
<file path=[Content_Types].xml><?xml version="1.0" encoding="utf-8"?>
<Types xmlns="http://schemas.openxmlformats.org/package/2006/content-types">
  <Default Extension="xml" ContentType="application/xml"/>
  <Default Extension="vml" ContentType="application/vnd.openxmlformats-officedocument.vmlDrawing"/>
  <Default Extension="jpeg" ContentType="image/jpeg"/>
  <Default Extension="JPG" ContentType="image/.jp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updateLinks="never"/>
  <bookViews>
    <workbookView windowWidth="24750" windowHeight="12080" tabRatio="755" activeTab="1"/>
  </bookViews>
  <sheets>
    <sheet name="起源" sheetId="17" r:id="rId1"/>
    <sheet name="主要" sheetId="2" r:id="rId2"/>
    <sheet name="数据表" sheetId="10" state="hidden" r:id="rId3"/>
    <sheet name="职业" sheetId="18" state="hidden" r:id="rId4"/>
    <sheet name="装备" sheetId="16" state="hidden" r:id="rId5"/>
    <sheet name="种族" sheetId="27" state="hidden" r:id="rId6"/>
    <sheet name="专长与据点" sheetId="29" state="hidden" r:id="rId7"/>
    <sheet name="背景" sheetId="26" state="hidden" r:id="rId8"/>
    <sheet name="背包" sheetId="3" r:id="rId9"/>
    <sheet name="盟友与魔宠" sheetId="31" r:id="rId10"/>
    <sheet name="据点" sheetId="30" r:id="rId11"/>
    <sheet name="法术书" sheetId="8" r:id="rId12"/>
    <sheet name="法术大全" sheetId="24" r:id="rId13"/>
    <sheet name="圆形效应范围" sheetId="32" r:id="rId14"/>
    <sheet name="骰娘导入" sheetId="28" r:id="rId15"/>
    <sheet name="自定义调整栏" sheetId="4" r:id="rId16"/>
    <sheet name="更新" sheetId="25" r:id="rId17"/>
  </sheets>
  <definedNames>
    <definedName name="_xlnm._FilterDatabase" localSheetId="12" hidden="1">法术大全!$A$2:$Z$865</definedName>
    <definedName name="_xlnm.Print_Area" localSheetId="1">主要!$A$1:$AT$128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Killer Queen</author>
  </authors>
  <commentList>
    <comment ref="S4" authorId="0">
      <text>
        <r>
          <rPr>
            <sz val="10"/>
            <rFont val="Times New Roman"/>
            <charset val="134"/>
          </rPr>
          <t>DMG2024</t>
        </r>
        <r>
          <rPr>
            <sz val="10"/>
            <rFont val="宋体"/>
            <charset val="134"/>
          </rPr>
          <t>，地下城主工具箱，创建背景一节提供了关于独创背景的属性选择：
选择属性</t>
        </r>
        <r>
          <rPr>
            <sz val="10"/>
            <rFont val="Times New Roman"/>
            <charset val="134"/>
          </rPr>
          <t xml:space="preserve"> Choose Abilities
</t>
        </r>
        <r>
          <rPr>
            <sz val="10"/>
            <rFont val="宋体"/>
            <charset val="134"/>
          </rPr>
          <t xml:space="preserve">选择三个和背景相符的属性：
</t>
        </r>
        <r>
          <rPr>
            <b/>
            <sz val="10"/>
            <rFont val="宋体"/>
            <charset val="134"/>
          </rPr>
          <t>力量或敏捷。</t>
        </r>
        <r>
          <rPr>
            <sz val="10"/>
            <rFont val="宋体"/>
            <charset val="134"/>
          </rPr>
          <t xml:space="preserve">这些属性适合涉及了体力活动的背景。
</t>
        </r>
        <r>
          <rPr>
            <b/>
            <sz val="10"/>
            <rFont val="宋体"/>
            <charset val="134"/>
          </rPr>
          <t>体质。</t>
        </r>
        <r>
          <rPr>
            <sz val="10"/>
            <rFont val="宋体"/>
            <charset val="134"/>
          </rPr>
          <t xml:space="preserve">这个属性适合需要耐力和长时间工作的背景。
</t>
        </r>
        <r>
          <rPr>
            <b/>
            <sz val="10"/>
            <rFont val="宋体"/>
            <charset val="134"/>
          </rPr>
          <t>智力或感知。</t>
        </r>
        <r>
          <rPr>
            <sz val="10"/>
            <rFont val="宋体"/>
            <charset val="134"/>
          </rPr>
          <t xml:space="preserve">这些属性适合侧重于脑力运动或宗教心灵方面的背景。
</t>
        </r>
        <r>
          <rPr>
            <b/>
            <sz val="10"/>
            <rFont val="宋体"/>
            <charset val="134"/>
          </rPr>
          <t>魅力。</t>
        </r>
        <r>
          <rPr>
            <sz val="10"/>
            <rFont val="宋体"/>
            <charset val="134"/>
          </rPr>
          <t>这个属性适合在涉及到表演、社交的背景中出现。</t>
        </r>
      </text>
    </comment>
    <comment ref="H8" authorId="0">
      <text>
        <r>
          <rPr>
            <sz val="9"/>
            <rFont val="宋体"/>
            <charset val="134"/>
          </rPr>
          <t>1英寸为2.54厘米
1英尺为30.48厘米</t>
        </r>
      </text>
    </comment>
    <comment ref="H9" authorId="0">
      <text>
        <r>
          <rPr>
            <sz val="9"/>
            <rFont val="宋体"/>
            <charset val="134"/>
          </rPr>
          <t>1磅约为0.453公斤</t>
        </r>
      </text>
    </comment>
  </commentList>
</comments>
</file>

<file path=xl/comments2.xml><?xml version="1.0" encoding="utf-8"?>
<comments xmlns="http://schemas.openxmlformats.org/spreadsheetml/2006/main">
  <authors>
    <author>LENOVO</author>
    <author>Killer Queen</author>
    <author>Administrator</author>
  </authors>
  <commentList>
    <comment ref="R7" authorId="0">
      <text>
        <r>
          <rPr>
            <sz val="9"/>
            <rFont val="微软雅黑"/>
            <charset val="134"/>
          </rPr>
          <t>在该栏中，你或许会看到：
“半血裔”“巫咒之子”“重生者”
这三项属于族系：如果你在选择种族后选择了一个族系，则你过去可能曾经是某一种族，但如今已不再是他们的一员。你现在只有来自族系的种族特质。（来自范·里希腾的鸦阁指南）
请在使用前咨询你的DM</t>
        </r>
      </text>
    </comment>
    <comment ref="C13" authorId="0">
      <text>
        <r>
          <rPr>
            <sz val="9"/>
            <rFont val="微软雅黑"/>
            <charset val="134"/>
          </rPr>
          <t>力量代表肌肉力量、运动训练及所能发挥的肉体潜能。
力量检定可以对应举重、推、拉、暴力破坏、推挤或其他使用蛮力的情况。
运动技能反映了某几类力量检定可以表示的能力。
当你执行以下行动时，可能会要求你进行力量检定：
强行突破卡死、上锁或栓住、堵塞的门。
扯开束缚物。
挤过太狭窄的通道。
被马车拖行时抓着马车不放。
推倒一座雕像。
止住滚动中的大圆石。</t>
        </r>
      </text>
    </comment>
    <comment ref="C14" authorId="0">
      <text>
        <r>
          <rPr>
            <sz val="9"/>
            <rFont val="微软雅黑"/>
            <charset val="134"/>
          </rPr>
          <t>敏捷代表机敏度、反射速度、平衡力。
当你执行以下行动时，也可能要求你进行敏捷检定：
在落坡时控制住重载的马车。
控制战车急转弯或避开障碍。
撬锁。
解除陷阱。
牢牢地绑住战俘。
从束缚中滑脱。
演奏弦乐
制作细致的小东西</t>
        </r>
      </text>
    </comment>
    <comment ref="BT14" authorId="1">
      <text>
        <r>
          <rPr>
            <sz val="10"/>
            <rFont val="宋体"/>
            <charset val="134"/>
          </rPr>
          <t>暂无收录</t>
        </r>
      </text>
    </comment>
    <comment ref="C15" authorId="0">
      <text>
        <r>
          <rPr>
            <sz val="9"/>
            <rFont val="微软雅黑"/>
            <charset val="134"/>
          </rPr>
          <t>体质代表健康、耐力、生命力。
当你进行以下行动时，可能会要求你进行体质检定：
闭气。
持续数小时不间断的行军或作苦力活。
通宵活动。
不吃不喝。
一口喝掉一大杯麦酒。</t>
        </r>
      </text>
    </comment>
    <comment ref="C16" authorId="0">
      <text>
        <r>
          <rPr>
            <sz val="9"/>
            <rFont val="微软雅黑"/>
            <charset val="134"/>
          </rPr>
          <t>智力代表思维能力、记忆能力、逻辑能力。
当你执行以下行动时，可能会要求你进行智力检定：
不使用言语与他人沟通
给一件贵重品估价
搜集材料以伪装成一名城市守卫通过某处
伪造文书。
忆起关于一门手艺或行业的知识
在技术性游戏中获胜。</t>
        </r>
      </text>
    </comment>
    <comment ref="BT16" authorId="1">
      <text>
        <r>
          <rPr>
            <sz val="10"/>
            <rFont val="宋体"/>
            <charset val="134"/>
          </rPr>
          <t>暂无收录</t>
        </r>
      </text>
    </comment>
    <comment ref="C17" authorId="0">
      <text>
        <r>
          <rPr>
            <sz val="9"/>
            <rFont val="微软雅黑"/>
            <charset val="134"/>
          </rPr>
          <t>感知代表你与周围环境的协和度，反映了你的观察力和洞察力。
当你执行以下行动时，可能会要你进行感知检定。
用直觉决定下一步应该怎样做。
办认看上去已经死了或者还活着的生物是否不死生物。</t>
        </r>
      </text>
    </comment>
    <comment ref="C18" authorId="0">
      <text>
        <r>
          <rPr>
            <sz val="9"/>
            <rFont val="微软雅黑"/>
            <charset val="134"/>
          </rPr>
          <t>魅力量化你跟他人有效地交流的能力。
它代表了信心、口才，也能代表迷人或有凝聚力的个性。
当你执行以下行动时，可能会要你进行魅力检定。
找出最消息灵通的人。
融入群众，听取当下的热门话题。</t>
        </r>
      </text>
    </comment>
    <comment ref="C32" authorId="0">
      <text>
        <r>
          <rPr>
            <sz val="9"/>
            <rFont val="微软雅黑"/>
            <charset val="134"/>
          </rPr>
          <t>涵盖了进行攀爬、跳跃、游泳时遇上的困难情况。其范例如下：
你尝试攀爬陡坡或滑坡或者在攀爬的同时回避危害物，又或者在有东西想撞开你的情况下抓紧壁面。
你尝试跳跃非常远的距离或在跳跃中施展花式。
你尝试在凶险的水流，风暴浪涛或水草海域中挣扎游泳或浮出水面。或者其他生物试图将你推下水，或拉入水中，又或者以其他方式阻碍你游泳。</t>
        </r>
      </text>
    </comment>
    <comment ref="C34" authorId="0">
      <text>
        <r>
          <rPr>
            <sz val="9"/>
            <rFont val="微软雅黑"/>
            <charset val="134"/>
          </rPr>
          <t>敏捷（体操）检定涵盖了在冰块上奔跑，在绳索上平衡，在摇曳甲板上站稳等需要保持平衡的情况。
也可用敏捷（体操）检定来判定你能否完成体操特技，如前翻、侧翻、空翻、后翻等。</t>
        </r>
      </text>
    </comment>
    <comment ref="C35" authorId="0">
      <text>
        <r>
          <rPr>
            <sz val="9"/>
            <rFont val="微软雅黑"/>
            <charset val="134"/>
          </rPr>
          <t>当你尝试施行障眼法或巧手时（如把一些东西放在他人身上，或者将一件东西藏在自已身上），进行一次敏捷（巧手）检定。
也可用敏捷（巧手）检定以判定你是否能从其他人的钱包或口袋中摸鱼。</t>
        </r>
      </text>
    </comment>
    <comment ref="C36" authorId="0">
      <text>
        <r>
          <rPr>
            <sz val="9"/>
            <rFont val="微软雅黑"/>
            <charset val="134"/>
          </rPr>
          <t>你尝试躲起避过敌人，躲过守卫，偷偷溜走，无声息地绕到某人背后时，进行一次敏捷（隐匿）检定。</t>
        </r>
      </text>
    </comment>
    <comment ref="I36" authorId="0">
      <text>
        <r>
          <rPr>
            <sz val="9"/>
            <rFont val="微软雅黑"/>
            <charset val="134"/>
          </rPr>
          <t xml:space="preserve">躲藏
　　执行躲藏动作时，你尝试将自己隐蔽起来。为了执行躲藏，你必须通过一次DC15的敏捷（隐匿）检定，你只有身处重度遮蔽之中、处于四分之三掩护之后或处于全身掩护之后，也不在任何敌人的视野内（如果你能看到一个生物，你就可以判断它是否能够看见你），才能这么做。
　　若检定成功，躲藏期间你处于隐形状态。记下你的检定结果总值，这将成为其他生物通过一个感知（察觉）检定来找到你的DC。 
　　发生以下情况时，你结束躲藏：你发出了高于低语的响声；敌人找到了你；你进行一次攻击检定；你施展了一个带有言语成分的法术。
</t>
        </r>
      </text>
    </comment>
    <comment ref="C38" authorId="0">
      <text>
        <r>
          <rPr>
            <sz val="9"/>
            <rFont val="微软雅黑"/>
            <charset val="134"/>
          </rPr>
          <t>当你到处嗅探线索并以此进行推理时，进行一次智力（调查）检定。
你可能要推断隐藏物件的位置，或从伤口的外观判断它由什么武器造成，又或者找出一条隧道的结构性弱点。
在一堆古书卷中寻找一段隐藏的知识也可能需要进行一次智力（调查）检定。</t>
        </r>
      </text>
    </comment>
    <comment ref="C39" authorId="0">
      <text>
        <r>
          <rPr>
            <sz val="9"/>
            <rFont val="微软雅黑"/>
            <charset val="134"/>
          </rPr>
          <t>你的智力（奥秘）检定量化你忆起关于法术、魔法物品、奥秘符文、魔法派系、位面、位面住民等相关知识的能力。</t>
        </r>
      </text>
    </comment>
    <comment ref="C40" authorId="0">
      <text>
        <r>
          <rPr>
            <sz val="9"/>
            <rFont val="微软雅黑"/>
            <charset val="134"/>
          </rPr>
          <t>你的智力（历史）检定量化你忆起关于历史事件、传奇人物、古王国、昔日纠纷、近代战争、失落文明等相关知识的能力。</t>
        </r>
      </text>
    </comment>
    <comment ref="C41" authorId="0">
      <text>
        <r>
          <rPr>
            <sz val="9"/>
            <rFont val="微软雅黑"/>
            <charset val="134"/>
          </rPr>
          <t>你的智力（自然）检定量化你忆起关于地势、动植物、气候、自然周期相关知识的能力。</t>
        </r>
      </text>
    </comment>
    <comment ref="C42" authorId="0">
      <text>
        <r>
          <rPr>
            <sz val="9"/>
            <rFont val="微软雅黑"/>
            <charset val="134"/>
          </rPr>
          <t>你的智力（宗教）检定量化你回忆神祇、仪式和祷告、宗教阶级、圣徽、秘密组织风俗等知识的能力。</t>
        </r>
      </text>
    </comment>
    <comment ref="C44" authorId="0">
      <text>
        <r>
          <rPr>
            <sz val="9"/>
            <rFont val="微软雅黑"/>
            <charset val="134"/>
          </rPr>
          <t>使用感知（察觉）检定让你可以看到，听到或以其他方式察觉到某些东西的存在。
它代表你对周围环境的警觉性，以及你感官的敏锐度。
例如，偷听门后的对话，或者在窗外窃听，又或者听到在林中静静移动的生物。
你也可以尝试看清被遮蔽或容易看走眼的东西，如在前方埋伏的兽人，躲在暗巷的痞子，或是从密门的门缝间漏出的烛光。</t>
        </r>
      </text>
    </comment>
    <comment ref="I44" authorId="0">
      <text>
        <r>
          <rPr>
            <sz val="9"/>
            <rFont val="微软雅黑"/>
            <charset val="134"/>
          </rPr>
          <t>寻找隐藏物件
    当你的角色搜索密门或者陷阱等隐藏物件时，一般会要求你进行一次感知（察觉）检定。
该检定用于寻找一些平时被忽视的蛛丝马迹，以从中获得更多的细节信息。</t>
        </r>
      </text>
    </comment>
    <comment ref="C45" authorId="0">
      <text>
        <r>
          <rPr>
            <sz val="9"/>
            <rFont val="微软雅黑"/>
            <charset val="134"/>
          </rPr>
          <t>感知（洞悉）检定决定你是否能辨别另一人的真实意图，例如辨别谎言或预测其下一步行动。
你需要理解对方的肢体语言、言谈举止、态度转变等，再察觉其中的含义。</t>
        </r>
      </text>
    </comment>
    <comment ref="C46" authorId="0">
      <text>
        <r>
          <rPr>
            <sz val="9"/>
            <rFont val="微软雅黑"/>
            <charset val="134"/>
          </rPr>
          <t>当不确定你是否能驯服一只牲畜，安抚坐骑使其免受惊吓，或者推断出动物的意向时，进行一次感知（驯兽）检定。
骑乘时，如果你尝试作出一些危险动作，也会需要进行一次感知（驯兽）检定去控制你的坐骑。</t>
        </r>
      </text>
    </comment>
    <comment ref="C47" authorId="0">
      <text>
        <r>
          <rPr>
            <sz val="9"/>
            <rFont val="微软雅黑"/>
            <charset val="134"/>
          </rPr>
          <t>感知（医药）检定让你可以尝试稳定濒死战友的伤势或者诊断病症。</t>
        </r>
      </text>
    </comment>
    <comment ref="C48" authorId="0">
      <text>
        <r>
          <rPr>
            <sz val="9"/>
            <rFont val="微软雅黑"/>
            <charset val="134"/>
          </rPr>
          <t>当你需要追踪，狩猎，引导队伍穿过冰原，辨认附近枭熊踪迹，预测天气，回避流沙或其他自然危害物时，可能会要求你进行一次感知（生存）检定。</t>
        </r>
      </text>
    </comment>
    <comment ref="C50" authorId="0">
      <text>
        <r>
          <rPr>
            <sz val="9"/>
            <rFont val="微软雅黑"/>
            <charset val="134"/>
          </rPr>
          <t>当你尝试圆滑、优雅、善意地游说某人或某些人时，可能会要求你进行一次魅力（说服）检定。
通常你会用游说去表示信任，促进友谊，诚恳地请求，或展示恰当的礼仪。
例子包括说服官务大臣让你跟国王会面，商谈多族间的和平契约，或激励一帮村民。</t>
        </r>
      </text>
    </comment>
    <comment ref="C51" authorId="0">
      <text>
        <r>
          <rPr>
            <sz val="9"/>
            <rFont val="微软雅黑"/>
            <charset val="134"/>
          </rPr>
          <t>魅力（欺诈）检定决定你能否可信地以言语或动作隐暪真相。
由模棱两可地误导人到弥天大谎都包括在内。
常见情况包括暪过守卫、骗过商人、从赌局赚钱、以易容暪天过海、安抚他人的怀疑、带着朴克脸撒大谎等。</t>
        </r>
      </text>
    </comment>
    <comment ref="C52" authorId="0">
      <text>
        <r>
          <rPr>
            <sz val="9"/>
            <rFont val="微软雅黑"/>
            <charset val="134"/>
          </rPr>
          <t>当你尝试用威胁、敌对行为、暴力等使他人改变心意时，进行一次魅力（威吓）检定。
例子包括迫供、吓退痞子、用破瓶的利口“说服”高官三思等。</t>
        </r>
      </text>
    </comment>
    <comment ref="V52" authorId="2">
      <text>
        <r>
          <rPr>
            <sz val="9"/>
            <rFont val="微软雅黑"/>
            <charset val="134"/>
          </rPr>
          <t>未使用负重变体时，选择最大载重以确认载重上限。
使用负重变体时，选择负重状态以确认载重状态。</t>
        </r>
      </text>
    </comment>
    <comment ref="C53" authorId="0">
      <text>
        <r>
          <rPr>
            <sz val="9"/>
            <rFont val="微软雅黑"/>
            <charset val="134"/>
          </rPr>
          <t>你的魅力（表演）检定决定你能多好地用音乐，舞蹈，扮演，卖艺，说书，或其他方式娱乐观众。</t>
        </r>
      </text>
    </comment>
    <comment ref="P55" authorId="1">
      <text>
        <r>
          <rPr>
            <sz val="9"/>
            <rFont val="微软雅黑"/>
            <charset val="134"/>
          </rPr>
          <t>因种族特性，专长，职业特性而无需消耗环位释放的法术，可以在此处记录（如因精类触碰而获得的迷踪步）</t>
        </r>
      </text>
    </comment>
    <comment ref="B74" authorId="1">
      <text>
        <r>
          <rPr>
            <sz val="9"/>
            <rFont val="宋体"/>
            <charset val="134"/>
          </rPr>
          <t>此处下拉栏选择的法术为已录入法术书中的法术</t>
        </r>
      </text>
    </comment>
  </commentList>
</comments>
</file>

<file path=xl/comments3.xml><?xml version="1.0" encoding="utf-8"?>
<comments xmlns="http://schemas.openxmlformats.org/spreadsheetml/2006/main">
  <authors>
    <author>Killer Queen</author>
    <author>LENOVO</author>
  </authors>
  <commentList>
    <comment ref="W2" authorId="0">
      <text>
        <r>
          <rPr>
            <sz val="10"/>
            <rFont val="宋体"/>
            <charset val="134"/>
          </rPr>
          <t>单位为磅，同时无需填入单位</t>
        </r>
      </text>
    </comment>
    <comment ref="Q9" authorId="1">
      <text>
        <r>
          <rPr>
            <sz val="9"/>
            <rFont val="微软雅黑"/>
            <charset val="134"/>
          </rPr>
          <t>力量代表肌肉力量、运动训练及所能发挥的肉体潜能。
力量检定可以对应举重、推、拉、暴力破坏、推挤或其他使用蛮力的情况。
运动技能反映了某几类力量检定可以表示的能力。
当你执行以下行动时，可能会要求你进行力量检定：
强行突破卡死、上锁或栓住、堵塞的门。
扯开束缚物。
挤过太狭窄的通道。
被马车拖行时抓着马车不放。
推倒一座雕像。
止住滚动中的大圆石。</t>
        </r>
      </text>
    </comment>
    <comment ref="Q10" authorId="1">
      <text>
        <r>
          <rPr>
            <sz val="9"/>
            <rFont val="微软雅黑"/>
            <charset val="134"/>
          </rPr>
          <t>敏捷代表机敏度、反射速度、平衡力。
当你执行以下行动时，也可能要求你进行敏捷检定：
在落坡时控制住重载的马车。
控制战车急转弯或避开障碍。
撬锁。
解除陷阱。
牢牢地绑住战俘。
从束缚中滑脱。
演奏弦乐
制作细致的小东西</t>
        </r>
      </text>
    </comment>
    <comment ref="Q11" authorId="1">
      <text>
        <r>
          <rPr>
            <sz val="9"/>
            <rFont val="微软雅黑"/>
            <charset val="134"/>
          </rPr>
          <t>体质代表健康、耐力、生命力。
当你进行以下行动时，可能会要求你进行体质检定：
闭气。
持续数小时不间断的行军或作苦力活。
通宵活动。
不吃不喝。
一口喝掉一大杯麦酒。</t>
        </r>
      </text>
    </comment>
    <comment ref="Q12" authorId="1">
      <text>
        <r>
          <rPr>
            <sz val="9"/>
            <rFont val="微软雅黑"/>
            <charset val="134"/>
          </rPr>
          <t>智力代表思维能力、记忆能力、逻辑能力。
当你执行以下行动时，可能会要求你进行智力检定：
不使用言语与他人沟通
给一件贵重品估价
搜集材料以伪装成一名城市守卫通过某处
伪造文书。
忆起关于一门手艺或行业的知识
在技术性游戏中获胜。</t>
        </r>
      </text>
    </comment>
    <comment ref="Q13" authorId="1">
      <text>
        <r>
          <rPr>
            <sz val="9"/>
            <rFont val="微软雅黑"/>
            <charset val="134"/>
          </rPr>
          <t>感知代表你与周围环境的协和度，反映了你的观察力和洞察力。
当你执行以下行动时，可能会要你进行感知检定。
用直觉决定下一步应该怎样做。
办认看上去已经死了或者还活着的生物是否不死生物。</t>
        </r>
      </text>
    </comment>
    <comment ref="Q14" authorId="1">
      <text>
        <r>
          <rPr>
            <sz val="9"/>
            <rFont val="微软雅黑"/>
            <charset val="134"/>
          </rPr>
          <t>魅力量化你跟他人有效地交流的能力。
它代表了信心、口才，也能代表迷人或有凝聚力的个性。
当你执行以下行动时，可能会要你进行魅力检定。
找出最消息灵通的人。
融入群众，听取当下的热门话题。</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<sst xmlns="http://schemas.openxmlformats.org/spreadsheetml/2006/main" count="22373" uniqueCount="10546">
  <si>
    <t>人物背景 Background</t>
  </si>
  <si>
    <t>角色名</t>
  </si>
  <si>
    <t>背景获利</t>
  </si>
  <si>
    <t>背景描述</t>
  </si>
  <si>
    <t>玩家</t>
  </si>
  <si>
    <t>属性值</t>
  </si>
  <si>
    <t>专长</t>
  </si>
  <si>
    <t>故乡</t>
  </si>
  <si>
    <t>技能熟练</t>
  </si>
  <si>
    <t>背景</t>
  </si>
  <si>
    <t>自定义背景</t>
  </si>
  <si>
    <t>工具熟练</t>
  </si>
  <si>
    <t>背景装备</t>
  </si>
  <si>
    <t>年龄</t>
  </si>
  <si>
    <t>身高</t>
  </si>
  <si>
    <t>性别</t>
  </si>
  <si>
    <t>体重</t>
  </si>
  <si>
    <t>人物形象</t>
  </si>
  <si>
    <t>个性</t>
  </si>
  <si>
    <t>人物立绘</t>
  </si>
  <si>
    <t>理念</t>
  </si>
  <si>
    <t>羁绊</t>
  </si>
  <si>
    <t>缺陷</t>
  </si>
  <si>
    <t>背景故事</t>
  </si>
  <si>
    <t>语言</t>
  </si>
  <si>
    <t>熟练工具</t>
  </si>
  <si>
    <t>DND 5E2024 人物卡&lt;悲灵v1.0.0&gt;</t>
  </si>
  <si>
    <t>生命值小工具</t>
  </si>
  <si>
    <t>生命骰使用期望</t>
  </si>
  <si>
    <t>是</t>
  </si>
  <si>
    <t>资源及扩展</t>
  </si>
  <si>
    <t>1级</t>
  </si>
  <si>
    <t>2级</t>
  </si>
  <si>
    <t>3级</t>
  </si>
  <si>
    <t>4级</t>
  </si>
  <si>
    <t>5级</t>
  </si>
  <si>
    <t>6级</t>
  </si>
  <si>
    <t>7级</t>
  </si>
  <si>
    <t>8级</t>
  </si>
  <si>
    <t>9级</t>
  </si>
  <si>
    <t>10级</t>
  </si>
  <si>
    <t>规则扩展</t>
  </si>
  <si>
    <t>第三方及UA</t>
  </si>
  <si>
    <t>熟练</t>
  </si>
  <si>
    <t>修正</t>
  </si>
  <si>
    <t>珊娜萨的万事指南</t>
  </si>
  <si>
    <t>O</t>
  </si>
  <si>
    <t>血猎手职业</t>
  </si>
  <si>
    <t>&lt;</t>
  </si>
  <si>
    <t>11级</t>
  </si>
  <si>
    <t>12级</t>
  </si>
  <si>
    <t>13级</t>
  </si>
  <si>
    <t>14级</t>
  </si>
  <si>
    <t>15级</t>
  </si>
  <si>
    <t>16级</t>
  </si>
  <si>
    <t>17级</t>
  </si>
  <si>
    <t>18级</t>
  </si>
  <si>
    <t>19级</t>
  </si>
  <si>
    <t>20级</t>
  </si>
  <si>
    <t>塔莎的万事坩埚</t>
  </si>
  <si>
    <t>塔尔多雷重制版</t>
  </si>
  <si>
    <t>主职</t>
  </si>
  <si>
    <t>子职</t>
  </si>
  <si>
    <t>Lv</t>
  </si>
  <si>
    <t>魔邓肯巨献：多元宇宙的怪物</t>
  </si>
  <si>
    <t>鬼魅幽谷</t>
  </si>
  <si>
    <t>主职业</t>
  </si>
  <si>
    <t>种族</t>
  </si>
  <si>
    <t>额外调整值</t>
  </si>
  <si>
    <t>生命总值</t>
  </si>
  <si>
    <t>仅需填入每级生命骰结果
自动结算等级与体质调整值</t>
  </si>
  <si>
    <t>费资本的巨龙宝库</t>
  </si>
  <si>
    <t>德拉肯海姆</t>
  </si>
  <si>
    <t>兼职1</t>
  </si>
  <si>
    <t>亚种</t>
  </si>
  <si>
    <t>毕格比巨献：巨人之荣耀</t>
  </si>
  <si>
    <t>谦卑林</t>
  </si>
  <si>
    <t>兼职2</t>
  </si>
  <si>
    <t>阵营</t>
  </si>
  <si>
    <t>万象无常书</t>
  </si>
  <si>
    <t>暗潮之书</t>
  </si>
  <si>
    <t>经验值</t>
  </si>
  <si>
    <t>信仰</t>
  </si>
  <si>
    <t>拳斗士</t>
  </si>
  <si>
    <t>方圆擂尊</t>
  </si>
  <si>
    <t>职业能力</t>
  </si>
  <si>
    <t>战役设定</t>
  </si>
  <si>
    <t>邪狱使</t>
  </si>
  <si>
    <t>名称</t>
  </si>
  <si>
    <t>描述</t>
  </si>
  <si>
    <t>被遗忘的国度：费伦英雄</t>
  </si>
  <si>
    <t>狮鹫的鞍中珍宝</t>
  </si>
  <si>
    <t>属性</t>
  </si>
  <si>
    <t>豁免熟练</t>
  </si>
  <si>
    <t>洛温：初光</t>
  </si>
  <si>
    <t>胧忆岛：蒿野物语</t>
  </si>
  <si>
    <t>总值</t>
  </si>
  <si>
    <t>初始值</t>
  </si>
  <si>
    <t>成长</t>
  </si>
  <si>
    <t>调整值</t>
  </si>
  <si>
    <t>豁免</t>
  </si>
  <si>
    <t>阿斯代伦的饥渴之书</t>
  </si>
  <si>
    <t>X</t>
  </si>
  <si>
    <t>瓦尔达的秘密尖塔</t>
  </si>
  <si>
    <t>力量</t>
  </si>
  <si>
    <t>&gt;</t>
  </si>
  <si>
    <t>武器熟练</t>
  </si>
  <si>
    <t>艾伯伦：奇械锻炉</t>
  </si>
  <si>
    <t>歪曲之月</t>
  </si>
  <si>
    <t>敏捷</t>
  </si>
  <si>
    <t>剑湾冒险者指南</t>
  </si>
  <si>
    <t>火炬光下的克苏鲁</t>
  </si>
  <si>
    <t>体质</t>
  </si>
  <si>
    <t>护甲受训</t>
  </si>
  <si>
    <t>拉尼卡公会长指南</t>
  </si>
  <si>
    <t>惊奇一发：节日包</t>
  </si>
  <si>
    <t>智力</t>
  </si>
  <si>
    <t>起始装备</t>
  </si>
  <si>
    <t>艾伯伦：从终末战争中崛起</t>
  </si>
  <si>
    <t>感知</t>
  </si>
  <si>
    <t>艾奎兹玄有限责任公司</t>
  </si>
  <si>
    <t>魅力</t>
  </si>
  <si>
    <t>塞洛斯之神话奥德赛</t>
  </si>
  <si>
    <t>范·里希腾的鸦阁指南</t>
  </si>
  <si>
    <t>战斗</t>
  </si>
  <si>
    <t>持有英雄激励</t>
  </si>
  <si>
    <t>否</t>
  </si>
  <si>
    <t>斯翠海文：混沌研习</t>
  </si>
  <si>
    <t>Now</t>
  </si>
  <si>
    <t>Max</t>
  </si>
  <si>
    <t>星界冒险者指南</t>
  </si>
  <si>
    <t>浩劫子职UA</t>
  </si>
  <si>
    <t>先攻</t>
  </si>
  <si>
    <t>HP</t>
  </si>
  <si>
    <t>/</t>
  </si>
  <si>
    <t>临时
HP</t>
  </si>
  <si>
    <t>印记城与外域</t>
  </si>
  <si>
    <t>神秘子职UA</t>
  </si>
  <si>
    <t>AC</t>
  </si>
  <si>
    <t>HD</t>
  </si>
  <si>
    <t>荒州冒险家指南</t>
  </si>
  <si>
    <t>灵能UA-2期</t>
  </si>
  <si>
    <t>画像</t>
  </si>
  <si>
    <t>DC</t>
  </si>
  <si>
    <t>体型</t>
  </si>
  <si>
    <t>中型</t>
  </si>
  <si>
    <t>速度</t>
  </si>
  <si>
    <t>抗性</t>
  </si>
  <si>
    <t>种族特性</t>
  </si>
  <si>
    <t>特殊能力</t>
  </si>
  <si>
    <t>免疫</t>
  </si>
  <si>
    <t>被动察觉</t>
  </si>
  <si>
    <t>优势</t>
  </si>
  <si>
    <t>生物种类</t>
  </si>
  <si>
    <t>技能</t>
  </si>
  <si>
    <t>装备</t>
  </si>
  <si>
    <t>已同调的装备</t>
  </si>
  <si>
    <t>武器攻击属性</t>
  </si>
  <si>
    <t>默认</t>
  </si>
  <si>
    <t>全局修正</t>
  </si>
  <si>
    <t>万事通</t>
  </si>
  <si>
    <t>护甲</t>
  </si>
  <si>
    <t>同调</t>
  </si>
  <si>
    <t>加值</t>
  </si>
  <si>
    <t>特性</t>
  </si>
  <si>
    <t>重量</t>
  </si>
  <si>
    <t>敏捷加值</t>
  </si>
  <si>
    <t>盾牌</t>
  </si>
  <si>
    <t>着装</t>
  </si>
  <si>
    <t>+</t>
  </si>
  <si>
    <t>运动</t>
  </si>
  <si>
    <t>武器</t>
  </si>
  <si>
    <t>武器名称</t>
  </si>
  <si>
    <t>攻击骰</t>
  </si>
  <si>
    <t>伤害骰</t>
  </si>
  <si>
    <t>类型</t>
  </si>
  <si>
    <t>精通</t>
  </si>
  <si>
    <t>弹药</t>
  </si>
  <si>
    <t>D20</t>
  </si>
  <si>
    <t>箭</t>
  </si>
  <si>
    <t>特技</t>
  </si>
  <si>
    <t>矢</t>
  </si>
  <si>
    <t>巧手</t>
  </si>
  <si>
    <t>弹</t>
  </si>
  <si>
    <t>隐匿</t>
  </si>
  <si>
    <t>投</t>
  </si>
  <si>
    <t>它</t>
  </si>
  <si>
    <t>调查</t>
  </si>
  <si>
    <t>奇物</t>
  </si>
  <si>
    <t>部位</t>
  </si>
  <si>
    <t>奥秘</t>
  </si>
  <si>
    <t>历史</t>
  </si>
  <si>
    <t>自然</t>
  </si>
  <si>
    <t>宗教</t>
  </si>
  <si>
    <t>察觉</t>
  </si>
  <si>
    <t>洞悉</t>
  </si>
  <si>
    <t>驯兽</t>
  </si>
  <si>
    <t>医药</t>
  </si>
  <si>
    <t>求生</t>
  </si>
  <si>
    <t>——负重&amp;财产——</t>
  </si>
  <si>
    <t>———随身钱币———</t>
  </si>
  <si>
    <t>游说</t>
  </si>
  <si>
    <t>背包1</t>
  </si>
  <si>
    <t>背包2</t>
  </si>
  <si>
    <t>总负重</t>
  </si>
  <si>
    <t>钱包</t>
  </si>
  <si>
    <t>GP</t>
  </si>
  <si>
    <t>PP</t>
  </si>
  <si>
    <t>欺瞒</t>
  </si>
  <si>
    <t>EP</t>
  </si>
  <si>
    <t>总财富</t>
  </si>
  <si>
    <t>威吓</t>
  </si>
  <si>
    <t>轻载</t>
  </si>
  <si>
    <t>重载</t>
  </si>
  <si>
    <t>超载</t>
  </si>
  <si>
    <t>最大载重</t>
  </si>
  <si>
    <t>次元袋</t>
  </si>
  <si>
    <t>SP</t>
  </si>
  <si>
    <t>表演</t>
  </si>
  <si>
    <t>CP</t>
  </si>
  <si>
    <t>法术</t>
  </si>
  <si>
    <t>无消耗法术</t>
  </si>
  <si>
    <t>准备法术</t>
  </si>
  <si>
    <t>战斗风格专长</t>
  </si>
  <si>
    <t>关键属性</t>
  </si>
  <si>
    <t>法术DC</t>
  </si>
  <si>
    <t>法术攻击骰</t>
  </si>
  <si>
    <t>法术名称</t>
  </si>
  <si>
    <t>职业归属</t>
  </si>
  <si>
    <t>可以准备的法术数量</t>
  </si>
  <si>
    <t>环阶</t>
  </si>
  <si>
    <t>法术位</t>
  </si>
  <si>
    <t>法术值</t>
  </si>
  <si>
    <t/>
  </si>
  <si>
    <t>已知戏法</t>
  </si>
  <si>
    <t>笔记</t>
  </si>
  <si>
    <t>法术简易速查</t>
  </si>
  <si>
    <t>法术效果</t>
  </si>
  <si>
    <t>法术名</t>
  </si>
  <si>
    <t>施法距离</t>
  </si>
  <si>
    <t>施法时间</t>
  </si>
  <si>
    <t>法术系别</t>
  </si>
  <si>
    <t>持续时间</t>
  </si>
  <si>
    <t>法术成分</t>
  </si>
  <si>
    <t>适用职业</t>
  </si>
  <si>
    <t>法术书</t>
  </si>
  <si>
    <t>专注</t>
  </si>
  <si>
    <t>仪式</t>
  </si>
  <si>
    <t>准备栏</t>
  </si>
  <si>
    <t>仪</t>
  </si>
  <si>
    <t>专</t>
  </si>
  <si>
    <t>等级</t>
  </si>
  <si>
    <t>熟练加值</t>
  </si>
  <si>
    <t>CR</t>
  </si>
  <si>
    <t>无消耗</t>
  </si>
  <si>
    <t>—标准语言—</t>
  </si>
  <si>
    <t>吟游诗人</t>
  </si>
  <si>
    <t>Exp</t>
  </si>
  <si>
    <t>戏法</t>
  </si>
  <si>
    <t>通用语</t>
  </si>
  <si>
    <t>牧师</t>
  </si>
  <si>
    <t>法术环阶</t>
  </si>
  <si>
    <t>1环</t>
  </si>
  <si>
    <t>1/8</t>
  </si>
  <si>
    <t>通用手语</t>
  </si>
  <si>
    <t>德鲁伊</t>
  </si>
  <si>
    <t>2环</t>
  </si>
  <si>
    <t>1/4</t>
  </si>
  <si>
    <t>龙语</t>
  </si>
  <si>
    <t>圣武士</t>
  </si>
  <si>
    <t>3环</t>
  </si>
  <si>
    <t>1/2</t>
  </si>
  <si>
    <t>矮人语</t>
  </si>
  <si>
    <t>游侠</t>
  </si>
  <si>
    <t>4环</t>
  </si>
  <si>
    <t>精灵语</t>
  </si>
  <si>
    <t>术士</t>
  </si>
  <si>
    <t>5环</t>
  </si>
  <si>
    <t>巨人语</t>
  </si>
  <si>
    <t>魔契师</t>
  </si>
  <si>
    <t>6环</t>
  </si>
  <si>
    <t>侏儒语</t>
  </si>
  <si>
    <t>法师</t>
  </si>
  <si>
    <t>7环</t>
  </si>
  <si>
    <t>戏法1</t>
  </si>
  <si>
    <t>地精语</t>
  </si>
  <si>
    <t>奇械师</t>
  </si>
  <si>
    <t>8环</t>
  </si>
  <si>
    <t>半身人语</t>
  </si>
  <si>
    <t>药剂师</t>
  </si>
  <si>
    <t>9环</t>
  </si>
  <si>
    <t>兽人语</t>
  </si>
  <si>
    <t>灵能使</t>
  </si>
  <si>
    <t>—稀有语言—</t>
  </si>
  <si>
    <t>奥法骑士</t>
  </si>
  <si>
    <t>深渊语</t>
  </si>
  <si>
    <t>诡术师</t>
  </si>
  <si>
    <t>戏法2</t>
  </si>
  <si>
    <t>天界语</t>
  </si>
  <si>
    <t>渎魂圣约</t>
  </si>
  <si>
    <t>深潜语</t>
  </si>
  <si>
    <t>筑灭师</t>
  </si>
  <si>
    <t>微型</t>
  </si>
  <si>
    <t>德鲁伊语</t>
  </si>
  <si>
    <t>魔弹客</t>
  </si>
  <si>
    <t>小型</t>
  </si>
  <si>
    <t>炼狱语</t>
  </si>
  <si>
    <t>织法宗</t>
  </si>
  <si>
    <t>原初语</t>
  </si>
  <si>
    <t>秘术武者</t>
  </si>
  <si>
    <t>大型</t>
  </si>
  <si>
    <t>列1</t>
  </si>
  <si>
    <t>木族语</t>
  </si>
  <si>
    <t>额外伤害</t>
  </si>
  <si>
    <t>巨型</t>
  </si>
  <si>
    <t>盗贼黑话</t>
  </si>
  <si>
    <t>超巨型</t>
  </si>
  <si>
    <t>地底通用语</t>
  </si>
  <si>
    <t>列2</t>
  </si>
  <si>
    <t>数量</t>
  </si>
  <si>
    <t>变化</t>
  </si>
  <si>
    <t>动作</t>
  </si>
  <si>
    <t>触及</t>
  </si>
  <si>
    <t>立即</t>
  </si>
  <si>
    <t>塑能</t>
  </si>
  <si>
    <t>附赠动作</t>
  </si>
  <si>
    <t>自身</t>
  </si>
  <si>
    <t>1轮</t>
  </si>
  <si>
    <t>防护</t>
  </si>
  <si>
    <t>1分钟</t>
  </si>
  <si>
    <t>15尺</t>
  </si>
  <si>
    <t>死灵</t>
  </si>
  <si>
    <t>动作或仪式</t>
  </si>
  <si>
    <t>30尺</t>
  </si>
  <si>
    <t>10分钟</t>
  </si>
  <si>
    <t>预言</t>
  </si>
  <si>
    <t>1分钟或仪式</t>
  </si>
  <si>
    <t>60尺</t>
  </si>
  <si>
    <t>1小时</t>
  </si>
  <si>
    <t>咒法</t>
  </si>
  <si>
    <t>90尺</t>
  </si>
  <si>
    <t>8小时</t>
  </si>
  <si>
    <t>惑控</t>
  </si>
  <si>
    <t>120尺</t>
  </si>
  <si>
    <t>24小时</t>
  </si>
  <si>
    <t>背包</t>
  </si>
  <si>
    <t>账本笔记</t>
  </si>
  <si>
    <t>幻术</t>
  </si>
  <si>
    <t>150尺</t>
  </si>
  <si>
    <t>专注，至多1轮</t>
  </si>
  <si>
    <t>合计结余</t>
  </si>
  <si>
    <t>300尺</t>
  </si>
  <si>
    <t>专注，至多1分钟</t>
  </si>
  <si>
    <t>项目</t>
  </si>
  <si>
    <t>明细</t>
  </si>
  <si>
    <t>自身(5尺半径)</t>
  </si>
  <si>
    <t>专注，至多10分钟</t>
  </si>
  <si>
    <t>列3</t>
  </si>
  <si>
    <t>自身(30尺半径)</t>
  </si>
  <si>
    <t>专注，至多1小时</t>
  </si>
  <si>
    <t>自身(15尺立方)</t>
  </si>
  <si>
    <t>10日</t>
  </si>
  <si>
    <t>自身(30尺锥状)</t>
  </si>
  <si>
    <t>7日</t>
  </si>
  <si>
    <t>自身(30尺线状)</t>
  </si>
  <si>
    <t>30日</t>
  </si>
  <si>
    <t>消耗品</t>
  </si>
  <si>
    <t>1里</t>
  </si>
  <si>
    <t>特殊</t>
  </si>
  <si>
    <t>视野内</t>
  </si>
  <si>
    <t>直到被解除</t>
  </si>
  <si>
    <t>直至被解除或被触发</t>
  </si>
  <si>
    <t>直至被驱散</t>
  </si>
  <si>
    <t>PHB</t>
  </si>
  <si>
    <t>XGE</t>
  </si>
  <si>
    <t>TCE</t>
  </si>
  <si>
    <t>BGG</t>
  </si>
  <si>
    <t>FTD</t>
  </si>
  <si>
    <t>VGR</t>
  </si>
  <si>
    <t>EGtW</t>
  </si>
  <si>
    <t>UA</t>
  </si>
  <si>
    <t>TCSR</t>
  </si>
  <si>
    <t>VSS</t>
  </si>
  <si>
    <t>HW</t>
  </si>
  <si>
    <t>FR:HoF</t>
  </si>
  <si>
    <t>GH</t>
  </si>
  <si>
    <t>DoDk</t>
  </si>
  <si>
    <t>BET</t>
  </si>
  <si>
    <t>CM</t>
  </si>
  <si>
    <t>TGS2</t>
  </si>
  <si>
    <t>OTTG</t>
  </si>
  <si>
    <t>CBT</t>
  </si>
  <si>
    <r>
      <rPr>
        <sz val="10"/>
        <color theme="1"/>
        <rFont val="宋体"/>
        <charset val="134"/>
      </rPr>
      <t>主职业</t>
    </r>
  </si>
  <si>
    <t>筛选</t>
  </si>
  <si>
    <r>
      <rPr>
        <sz val="10"/>
        <color theme="1"/>
        <rFont val="宋体"/>
        <charset val="134"/>
      </rPr>
      <t>兼职</t>
    </r>
    <r>
      <rPr>
        <sz val="10"/>
        <color theme="1"/>
        <rFont val="Times New Roman"/>
        <charset val="134"/>
      </rPr>
      <t>1</t>
    </r>
  </si>
  <si>
    <r>
      <rPr>
        <sz val="10"/>
        <color theme="1"/>
        <rFont val="宋体"/>
        <charset val="134"/>
      </rPr>
      <t>筛选</t>
    </r>
  </si>
  <si>
    <r>
      <rPr>
        <sz val="10"/>
        <color theme="1"/>
        <rFont val="宋体"/>
        <charset val="134"/>
      </rPr>
      <t>兼职</t>
    </r>
    <r>
      <rPr>
        <sz val="10"/>
        <color theme="1"/>
        <rFont val="Times New Roman"/>
        <charset val="134"/>
      </rPr>
      <t>2</t>
    </r>
  </si>
  <si>
    <r>
      <rPr>
        <sz val="10"/>
        <color theme="1"/>
        <rFont val="宋体"/>
        <charset val="134"/>
      </rPr>
      <t>职业特性</t>
    </r>
  </si>
  <si>
    <r>
      <rPr>
        <sz val="11"/>
        <color theme="1"/>
        <rFont val="宋体"/>
        <charset val="134"/>
      </rPr>
      <t>生命值成长</t>
    </r>
  </si>
  <si>
    <r>
      <rPr>
        <sz val="11"/>
        <color theme="1"/>
        <rFont val="宋体"/>
        <charset val="134"/>
      </rPr>
      <t>期望值</t>
    </r>
  </si>
  <si>
    <r>
      <rPr>
        <sz val="11"/>
        <rFont val="宋体"/>
        <charset val="134"/>
      </rPr>
      <t>生命骰</t>
    </r>
  </si>
  <si>
    <r>
      <rPr>
        <sz val="11"/>
        <rFont val="宋体"/>
        <charset val="134"/>
      </rPr>
      <t>期望值</t>
    </r>
  </si>
  <si>
    <r>
      <rPr>
        <sz val="10"/>
        <color theme="1"/>
        <rFont val="Times New Roman"/>
        <charset val="134"/>
      </rPr>
      <t>1</t>
    </r>
    <r>
      <rPr>
        <sz val="10"/>
        <color theme="1"/>
        <rFont val="宋体"/>
        <charset val="134"/>
      </rPr>
      <t>环</t>
    </r>
  </si>
  <si>
    <r>
      <rPr>
        <sz val="10"/>
        <color theme="1"/>
        <rFont val="宋体"/>
        <charset val="134"/>
      </rPr>
      <t>职业</t>
    </r>
  </si>
  <si>
    <r>
      <rPr>
        <sz val="10"/>
        <color theme="1"/>
        <rFont val="宋体"/>
        <charset val="134"/>
      </rPr>
      <t>等级</t>
    </r>
  </si>
  <si>
    <r>
      <rPr>
        <sz val="10"/>
        <color theme="1"/>
        <rFont val="宋体"/>
        <charset val="134"/>
      </rPr>
      <t>本职</t>
    </r>
  </si>
  <si>
    <r>
      <rPr>
        <sz val="10"/>
        <color theme="1"/>
        <rFont val="宋体"/>
        <charset val="134"/>
      </rPr>
      <t>子职</t>
    </r>
  </si>
  <si>
    <r>
      <rPr>
        <sz val="11"/>
        <color theme="1"/>
        <rFont val="宋体"/>
        <charset val="134"/>
      </rPr>
      <t>等级</t>
    </r>
  </si>
  <si>
    <r>
      <rPr>
        <sz val="11"/>
        <color theme="1"/>
        <rFont val="Times New Roman"/>
        <charset val="134"/>
      </rPr>
      <t>1</t>
    </r>
    <r>
      <rPr>
        <sz val="11"/>
        <color theme="1"/>
        <rFont val="宋体"/>
        <charset val="134"/>
      </rPr>
      <t>环</t>
    </r>
  </si>
  <si>
    <r>
      <rPr>
        <sz val="11"/>
        <color theme="1"/>
        <rFont val="Times New Roman"/>
        <charset val="134"/>
      </rPr>
      <t>2</t>
    </r>
    <r>
      <rPr>
        <sz val="11"/>
        <color theme="1"/>
        <rFont val="宋体"/>
        <charset val="134"/>
      </rPr>
      <t>环</t>
    </r>
  </si>
  <si>
    <r>
      <rPr>
        <sz val="11"/>
        <color theme="1"/>
        <rFont val="Times New Roman"/>
        <charset val="134"/>
      </rPr>
      <t>3</t>
    </r>
    <r>
      <rPr>
        <sz val="11"/>
        <color theme="1"/>
        <rFont val="宋体"/>
        <charset val="134"/>
      </rPr>
      <t>环</t>
    </r>
  </si>
  <si>
    <r>
      <rPr>
        <sz val="11"/>
        <color theme="1"/>
        <rFont val="Times New Roman"/>
        <charset val="134"/>
      </rPr>
      <t>4</t>
    </r>
    <r>
      <rPr>
        <sz val="11"/>
        <color theme="1"/>
        <rFont val="宋体"/>
        <charset val="134"/>
      </rPr>
      <t>环</t>
    </r>
  </si>
  <si>
    <r>
      <rPr>
        <sz val="11"/>
        <color theme="1"/>
        <rFont val="Times New Roman"/>
        <charset val="134"/>
      </rPr>
      <t>5</t>
    </r>
    <r>
      <rPr>
        <sz val="11"/>
        <color theme="1"/>
        <rFont val="宋体"/>
        <charset val="134"/>
      </rPr>
      <t>环</t>
    </r>
  </si>
  <si>
    <r>
      <rPr>
        <sz val="11"/>
        <color theme="1"/>
        <rFont val="Times New Roman"/>
        <charset val="134"/>
      </rPr>
      <t>6</t>
    </r>
    <r>
      <rPr>
        <sz val="11"/>
        <color theme="1"/>
        <rFont val="宋体"/>
        <charset val="134"/>
      </rPr>
      <t>环</t>
    </r>
  </si>
  <si>
    <r>
      <rPr>
        <sz val="11"/>
        <color theme="1"/>
        <rFont val="Times New Roman"/>
        <charset val="134"/>
      </rPr>
      <t>7</t>
    </r>
    <r>
      <rPr>
        <sz val="11"/>
        <color theme="1"/>
        <rFont val="宋体"/>
        <charset val="134"/>
      </rPr>
      <t>环</t>
    </r>
  </si>
  <si>
    <r>
      <rPr>
        <sz val="11"/>
        <color theme="1"/>
        <rFont val="Times New Roman"/>
        <charset val="134"/>
      </rPr>
      <t>8</t>
    </r>
    <r>
      <rPr>
        <sz val="11"/>
        <color theme="1"/>
        <rFont val="宋体"/>
        <charset val="134"/>
      </rPr>
      <t>环</t>
    </r>
  </si>
  <si>
    <r>
      <rPr>
        <sz val="11"/>
        <color theme="1"/>
        <rFont val="Times New Roman"/>
        <charset val="134"/>
      </rPr>
      <t>9</t>
    </r>
    <r>
      <rPr>
        <sz val="11"/>
        <color theme="1"/>
        <rFont val="宋体"/>
        <charset val="134"/>
      </rPr>
      <t>环</t>
    </r>
  </si>
  <si>
    <r>
      <rPr>
        <sz val="11"/>
        <color theme="1"/>
        <rFont val="宋体"/>
        <charset val="134"/>
      </rPr>
      <t>法术值</t>
    </r>
  </si>
  <si>
    <r>
      <rPr>
        <sz val="10"/>
        <color theme="1"/>
        <rFont val="宋体"/>
        <charset val="134"/>
      </rPr>
      <t>名称</t>
    </r>
  </si>
  <si>
    <r>
      <rPr>
        <sz val="10"/>
        <color theme="1"/>
        <rFont val="宋体"/>
        <charset val="134"/>
      </rPr>
      <t>描述</t>
    </r>
  </si>
  <si>
    <r>
      <rPr>
        <sz val="10"/>
        <color theme="1"/>
        <rFont val="宋体"/>
        <charset val="134"/>
      </rPr>
      <t>最小数据</t>
    </r>
  </si>
  <si>
    <r>
      <rPr>
        <sz val="10"/>
        <color theme="1"/>
        <rFont val="宋体"/>
        <charset val="134"/>
      </rPr>
      <t>最大数据</t>
    </r>
  </si>
  <si>
    <r>
      <rPr>
        <sz val="10"/>
        <color theme="1"/>
        <rFont val="宋体"/>
        <charset val="134"/>
      </rPr>
      <t>最小数据行</t>
    </r>
  </si>
  <si>
    <r>
      <rPr>
        <sz val="10"/>
        <color theme="1"/>
        <rFont val="宋体"/>
        <charset val="134"/>
      </rPr>
      <t>最大数据行</t>
    </r>
  </si>
  <si>
    <r>
      <rPr>
        <sz val="11"/>
        <color theme="1"/>
        <rFont val="宋体"/>
        <charset val="134"/>
      </rPr>
      <t>待选特性</t>
    </r>
  </si>
  <si>
    <r>
      <rPr>
        <sz val="10"/>
        <color theme="1"/>
        <rFont val="宋体"/>
        <charset val="134"/>
      </rPr>
      <t>特性名</t>
    </r>
  </si>
  <si>
    <r>
      <rPr>
        <sz val="10"/>
        <color theme="1"/>
        <rFont val="宋体"/>
        <charset val="134"/>
      </rPr>
      <t>特性描述</t>
    </r>
  </si>
  <si>
    <r>
      <rPr>
        <sz val="11"/>
        <rFont val="宋体"/>
        <charset val="134"/>
      </rPr>
      <t>法师</t>
    </r>
  </si>
  <si>
    <t>D6</t>
  </si>
  <si>
    <r>
      <rPr>
        <sz val="10"/>
        <color theme="1"/>
        <rFont val="Times New Roman"/>
        <charset val="134"/>
      </rPr>
      <t>2</t>
    </r>
    <r>
      <rPr>
        <sz val="10"/>
        <color theme="1"/>
        <rFont val="宋体"/>
        <charset val="134"/>
      </rPr>
      <t>环</t>
    </r>
  </si>
  <si>
    <r>
      <rPr>
        <sz val="10"/>
        <color theme="1"/>
        <rFont val="宋体"/>
        <charset val="134"/>
      </rPr>
      <t>野蛮人</t>
    </r>
  </si>
  <si>
    <t>野蛮人</t>
  </si>
  <si>
    <t>狂战士道途</t>
  </si>
  <si>
    <t>兽心道途</t>
  </si>
  <si>
    <t>世界树道途</t>
  </si>
  <si>
    <t>狂热者道途</t>
  </si>
  <si>
    <r>
      <rPr>
        <sz val="11"/>
        <rFont val="宋体"/>
        <charset val="134"/>
      </rPr>
      <t>术士</t>
    </r>
  </si>
  <si>
    <t>D8</t>
  </si>
  <si>
    <r>
      <rPr>
        <sz val="10"/>
        <color theme="1"/>
        <rFont val="Times New Roman"/>
        <charset val="134"/>
      </rPr>
      <t>3</t>
    </r>
    <r>
      <rPr>
        <sz val="10"/>
        <color theme="1"/>
        <rFont val="宋体"/>
        <charset val="134"/>
      </rPr>
      <t>环</t>
    </r>
  </si>
  <si>
    <r>
      <rPr>
        <sz val="10"/>
        <color theme="1"/>
        <rFont val="宋体"/>
        <charset val="134"/>
      </rPr>
      <t>吟游诗人</t>
    </r>
  </si>
  <si>
    <t>0v0?</t>
  </si>
  <si>
    <t>舞蹈学院</t>
  </si>
  <si>
    <t>魅心学院</t>
  </si>
  <si>
    <t>逸闻学院</t>
  </si>
  <si>
    <t>勇气学院</t>
  </si>
  <si>
    <r>
      <rPr>
        <sz val="11"/>
        <rFont val="宋体"/>
        <charset val="134"/>
      </rPr>
      <t>灵能使</t>
    </r>
  </si>
  <si>
    <t>D10</t>
  </si>
  <si>
    <r>
      <rPr>
        <sz val="10"/>
        <color theme="1"/>
        <rFont val="Times New Roman"/>
        <charset val="134"/>
      </rPr>
      <t>4</t>
    </r>
    <r>
      <rPr>
        <sz val="10"/>
        <color theme="1"/>
        <rFont val="宋体"/>
        <charset val="134"/>
      </rPr>
      <t>环</t>
    </r>
  </si>
  <si>
    <r>
      <rPr>
        <sz val="10"/>
        <color theme="1"/>
        <rFont val="宋体"/>
        <charset val="134"/>
      </rPr>
      <t>牧师</t>
    </r>
  </si>
  <si>
    <t>生命领域</t>
  </si>
  <si>
    <t>光明领域</t>
  </si>
  <si>
    <t>诡术领域</t>
  </si>
  <si>
    <t>战争领域</t>
  </si>
  <si>
    <r>
      <rPr>
        <sz val="11"/>
        <rFont val="宋体"/>
        <charset val="134"/>
      </rPr>
      <t>吟游诗人</t>
    </r>
  </si>
  <si>
    <t>D12</t>
  </si>
  <si>
    <r>
      <rPr>
        <sz val="10"/>
        <color theme="1"/>
        <rFont val="Times New Roman"/>
        <charset val="134"/>
      </rPr>
      <t>5</t>
    </r>
    <r>
      <rPr>
        <sz val="10"/>
        <color theme="1"/>
        <rFont val="宋体"/>
        <charset val="134"/>
      </rPr>
      <t>环</t>
    </r>
  </si>
  <si>
    <r>
      <rPr>
        <sz val="10"/>
        <color theme="1"/>
        <rFont val="宋体"/>
        <charset val="134"/>
      </rPr>
      <t>德鲁伊</t>
    </r>
  </si>
  <si>
    <r>
      <rPr>
        <sz val="10"/>
        <color theme="1"/>
        <rFont val="宋体"/>
        <charset val="134"/>
      </rPr>
      <t>增值</t>
    </r>
  </si>
  <si>
    <t>大地结社</t>
  </si>
  <si>
    <t>月亮结社</t>
  </si>
  <si>
    <t>海洋结社</t>
  </si>
  <si>
    <t>星辰结社</t>
  </si>
  <si>
    <r>
      <rPr>
        <sz val="11"/>
        <rFont val="宋体"/>
        <charset val="134"/>
      </rPr>
      <t>牧师</t>
    </r>
  </si>
  <si>
    <r>
      <rPr>
        <sz val="11"/>
        <color theme="1"/>
        <rFont val="宋体"/>
        <charset val="134"/>
      </rPr>
      <t>首级</t>
    </r>
  </si>
  <si>
    <r>
      <rPr>
        <sz val="11"/>
        <color rgb="FF00B050"/>
        <rFont val="宋体"/>
        <charset val="134"/>
      </rPr>
      <t>总等级</t>
    </r>
  </si>
  <si>
    <r>
      <rPr>
        <sz val="10"/>
        <color theme="1"/>
        <rFont val="Times New Roman"/>
        <charset val="134"/>
      </rPr>
      <t>6</t>
    </r>
    <r>
      <rPr>
        <sz val="10"/>
        <color theme="1"/>
        <rFont val="宋体"/>
        <charset val="134"/>
      </rPr>
      <t>环</t>
    </r>
  </si>
  <si>
    <r>
      <rPr>
        <sz val="10"/>
        <color theme="1"/>
        <rFont val="宋体"/>
        <charset val="134"/>
      </rPr>
      <t>战士</t>
    </r>
  </si>
  <si>
    <r>
      <rPr>
        <sz val="10"/>
        <color theme="1"/>
        <rFont val="宋体"/>
        <charset val="134"/>
      </rPr>
      <t>奥法骑士</t>
    </r>
  </si>
  <si>
    <t>战士</t>
  </si>
  <si>
    <t>战斗大师</t>
  </si>
  <si>
    <t>勇士</t>
  </si>
  <si>
    <t>灵能武士</t>
  </si>
  <si>
    <r>
      <rPr>
        <sz val="11"/>
        <rFont val="宋体"/>
        <charset val="134"/>
      </rPr>
      <t>德鲁伊</t>
    </r>
  </si>
  <si>
    <r>
      <rPr>
        <sz val="11"/>
        <color rgb="FF00B050"/>
        <rFont val="宋体"/>
        <charset val="134"/>
      </rPr>
      <t>首级</t>
    </r>
  </si>
  <si>
    <r>
      <rPr>
        <sz val="10"/>
        <color theme="1"/>
        <rFont val="Times New Roman"/>
        <charset val="134"/>
      </rPr>
      <t>7</t>
    </r>
    <r>
      <rPr>
        <sz val="10"/>
        <color theme="1"/>
        <rFont val="宋体"/>
        <charset val="134"/>
      </rPr>
      <t>环</t>
    </r>
  </si>
  <si>
    <r>
      <rPr>
        <sz val="10"/>
        <color theme="1"/>
        <rFont val="宋体"/>
        <charset val="134"/>
      </rPr>
      <t>武僧</t>
    </r>
  </si>
  <si>
    <r>
      <rPr>
        <sz val="10"/>
        <color theme="1"/>
        <rFont val="宋体"/>
        <charset val="134"/>
      </rPr>
      <t>诡术师</t>
    </r>
  </si>
  <si>
    <t>武僧</t>
  </si>
  <si>
    <t>命流武者</t>
  </si>
  <si>
    <t>暗影武者</t>
  </si>
  <si>
    <t>四象武者</t>
  </si>
  <si>
    <t>散打武者</t>
  </si>
  <si>
    <r>
      <rPr>
        <sz val="11"/>
        <rFont val="宋体"/>
        <charset val="134"/>
      </rPr>
      <t>武僧</t>
    </r>
  </si>
  <si>
    <r>
      <rPr>
        <sz val="10"/>
        <color theme="1"/>
        <rFont val="Times New Roman"/>
        <charset val="134"/>
      </rPr>
      <t>8</t>
    </r>
    <r>
      <rPr>
        <sz val="10"/>
        <color theme="1"/>
        <rFont val="宋体"/>
        <charset val="134"/>
      </rPr>
      <t>环</t>
    </r>
  </si>
  <si>
    <r>
      <rPr>
        <sz val="10"/>
        <color theme="1"/>
        <rFont val="宋体"/>
        <charset val="134"/>
      </rPr>
      <t>圣武士</t>
    </r>
  </si>
  <si>
    <t>奉献之誓</t>
  </si>
  <si>
    <t>荣耀之誓</t>
  </si>
  <si>
    <t>古贤之誓</t>
  </si>
  <si>
    <t>复仇之誓</t>
  </si>
  <si>
    <r>
      <rPr>
        <sz val="11"/>
        <rFont val="宋体"/>
        <charset val="134"/>
      </rPr>
      <t>游荡者</t>
    </r>
  </si>
  <si>
    <r>
      <rPr>
        <sz val="10"/>
        <color theme="1"/>
        <rFont val="宋体"/>
        <charset val="134"/>
      </rPr>
      <t>全施法者</t>
    </r>
  </si>
  <si>
    <r>
      <rPr>
        <sz val="10"/>
        <color theme="1"/>
        <rFont val="Times New Roman"/>
        <charset val="134"/>
      </rPr>
      <t>9</t>
    </r>
    <r>
      <rPr>
        <sz val="10"/>
        <color theme="1"/>
        <rFont val="宋体"/>
        <charset val="134"/>
      </rPr>
      <t>环</t>
    </r>
  </si>
  <si>
    <r>
      <rPr>
        <sz val="10"/>
        <color theme="1"/>
        <rFont val="宋体"/>
        <charset val="134"/>
      </rPr>
      <t>游侠</t>
    </r>
  </si>
  <si>
    <t>驯兽师</t>
  </si>
  <si>
    <t>妖精漫游者</t>
  </si>
  <si>
    <t>幽域追踪者</t>
  </si>
  <si>
    <t>猎人</t>
  </si>
  <si>
    <r>
      <rPr>
        <sz val="11"/>
        <rFont val="宋体"/>
        <charset val="134"/>
      </rPr>
      <t>魔契师</t>
    </r>
  </si>
  <si>
    <r>
      <rPr>
        <sz val="10"/>
        <color theme="1"/>
        <rFont val="宋体"/>
        <charset val="134"/>
      </rPr>
      <t>半施法者</t>
    </r>
  </si>
  <si>
    <r>
      <rPr>
        <sz val="10"/>
        <color theme="1"/>
        <rFont val="宋体"/>
        <charset val="134"/>
      </rPr>
      <t>游荡者</t>
    </r>
  </si>
  <si>
    <t>游荡者</t>
  </si>
  <si>
    <t>刺客</t>
  </si>
  <si>
    <t>魂刃</t>
  </si>
  <si>
    <t>盗贼</t>
  </si>
  <si>
    <r>
      <rPr>
        <sz val="11"/>
        <rFont val="宋体"/>
        <charset val="134"/>
      </rPr>
      <t>奇械师</t>
    </r>
  </si>
  <si>
    <r>
      <rPr>
        <sz val="10"/>
        <color theme="8" tint="-0.499984740745262"/>
        <rFont val="宋体"/>
        <charset val="134"/>
      </rPr>
      <t>施法者等级</t>
    </r>
  </si>
  <si>
    <r>
      <rPr>
        <sz val="10"/>
        <color theme="1"/>
        <rFont val="宋体"/>
        <charset val="134"/>
      </rPr>
      <t>诡奥</t>
    </r>
    <r>
      <rPr>
        <sz val="10"/>
        <color theme="1"/>
        <rFont val="宋体"/>
        <charset val="134"/>
      </rPr>
      <t>魔</t>
    </r>
  </si>
  <si>
    <r>
      <rPr>
        <sz val="10"/>
        <color theme="1"/>
        <rFont val="宋体"/>
        <charset val="134"/>
      </rPr>
      <t>术士</t>
    </r>
  </si>
  <si>
    <t>畸变术法</t>
  </si>
  <si>
    <t>时械术法</t>
  </si>
  <si>
    <t>龙族术法</t>
  </si>
  <si>
    <t>狂野术法</t>
  </si>
  <si>
    <r>
      <rPr>
        <sz val="11"/>
        <rFont val="宋体"/>
        <charset val="134"/>
      </rPr>
      <t>药剂师</t>
    </r>
  </si>
  <si>
    <r>
      <rPr>
        <sz val="10"/>
        <color theme="1"/>
        <rFont val="宋体"/>
        <charset val="134"/>
      </rPr>
      <t>魔契师</t>
    </r>
  </si>
  <si>
    <t>至高妖精宗主</t>
  </si>
  <si>
    <t>天界宗主</t>
  </si>
  <si>
    <t>邪魔宗主</t>
  </si>
  <si>
    <t>旧日支配者宗主</t>
  </si>
  <si>
    <t>铳士</t>
  </si>
  <si>
    <r>
      <rPr>
        <sz val="10"/>
        <color theme="1"/>
        <rFont val="宋体"/>
        <charset val="134"/>
      </rPr>
      <t>法师</t>
    </r>
  </si>
  <si>
    <t>防护师</t>
  </si>
  <si>
    <t>预言师</t>
  </si>
  <si>
    <t>塑能师</t>
  </si>
  <si>
    <t>幻术师</t>
  </si>
  <si>
    <r>
      <rPr>
        <sz val="11"/>
        <rFont val="宋体"/>
        <charset val="134"/>
      </rPr>
      <t>战士</t>
    </r>
  </si>
  <si>
    <r>
      <rPr>
        <sz val="10"/>
        <color theme="1"/>
        <rFont val="宋体"/>
        <charset val="134"/>
      </rPr>
      <t>奇械师</t>
    </r>
  </si>
  <si>
    <t>炼金师</t>
  </si>
  <si>
    <t>装甲师</t>
  </si>
  <si>
    <t>魔炮师</t>
  </si>
  <si>
    <t>战地匠师</t>
  </si>
  <si>
    <t>制图师</t>
  </si>
  <si>
    <r>
      <rPr>
        <sz val="11"/>
        <rFont val="宋体"/>
        <charset val="134"/>
      </rPr>
      <t>圣武士</t>
    </r>
  </si>
  <si>
    <r>
      <rPr>
        <sz val="10"/>
        <color theme="1"/>
        <rFont val="宋体"/>
        <charset val="134"/>
      </rPr>
      <t>灵能使</t>
    </r>
  </si>
  <si>
    <t>蜕变使</t>
  </si>
  <si>
    <t>裂空使</t>
  </si>
  <si>
    <t>念动使</t>
  </si>
  <si>
    <t>传心使</t>
  </si>
  <si>
    <r>
      <rPr>
        <sz val="11"/>
        <rFont val="宋体"/>
        <charset val="134"/>
      </rPr>
      <t>游侠</t>
    </r>
  </si>
  <si>
    <r>
      <rPr>
        <sz val="10"/>
        <color theme="1"/>
        <rFont val="宋体"/>
        <charset val="134"/>
      </rPr>
      <t>血猎手</t>
    </r>
  </si>
  <si>
    <r>
      <rPr>
        <sz val="10"/>
        <color theme="1"/>
        <rFont val="宋体"/>
        <charset val="134"/>
      </rPr>
      <t>渎魂圣约</t>
    </r>
  </si>
  <si>
    <t>弑灵圣约</t>
  </si>
  <si>
    <t>化狼圣约</t>
  </si>
  <si>
    <t>突变圣约</t>
  </si>
  <si>
    <r>
      <rPr>
        <sz val="11"/>
        <rFont val="宋体"/>
        <charset val="134"/>
      </rPr>
      <t>血猎手</t>
    </r>
  </si>
  <si>
    <r>
      <rPr>
        <sz val="10"/>
        <color theme="1"/>
        <rFont val="宋体"/>
        <charset val="134"/>
      </rPr>
      <t>药剂师</t>
    </r>
  </si>
  <si>
    <t>精神师</t>
  </si>
  <si>
    <t>化学家</t>
  </si>
  <si>
    <t>驱邪师</t>
  </si>
  <si>
    <t>突变者</t>
  </si>
  <si>
    <t>病原师</t>
  </si>
  <si>
    <t>掘坟人</t>
  </si>
  <si>
    <t>死瞳客</t>
  </si>
  <si>
    <t>豪赌客</t>
  </si>
  <si>
    <t>密间客</t>
  </si>
  <si>
    <t>花枪客</t>
  </si>
  <si>
    <t>白帽客</t>
  </si>
  <si>
    <t>狱言家</t>
  </si>
  <si>
    <t>恐惧屠戮者</t>
  </si>
  <si>
    <t>猩红骑士</t>
  </si>
  <si>
    <t>影宗</t>
  </si>
  <si>
    <t>犬师拳狩</t>
  </si>
  <si>
    <t>惧恶之手</t>
  </si>
  <si>
    <t>怒雷恶氓</t>
  </si>
  <si>
    <t>街角圣徒</t>
  </si>
  <si>
    <t>甜蜜科学</t>
  </si>
  <si>
    <r>
      <rPr>
        <sz val="11"/>
        <rFont val="宋体"/>
        <charset val="134"/>
      </rPr>
      <t>野蛮人</t>
    </r>
  </si>
  <si>
    <r>
      <rPr>
        <sz val="10"/>
        <color theme="1"/>
        <rFont val="宋体"/>
        <charset val="134"/>
      </rPr>
      <t>法术值</t>
    </r>
  </si>
  <si>
    <r>
      <rPr>
        <sz val="10"/>
        <color theme="1"/>
        <rFont val="宋体"/>
        <charset val="134"/>
      </rPr>
      <t>狂战士道途</t>
    </r>
  </si>
  <si>
    <r>
      <rPr>
        <sz val="10"/>
        <color theme="1"/>
        <rFont val="宋体"/>
        <charset val="134"/>
      </rPr>
      <t>兽心道途</t>
    </r>
  </si>
  <si>
    <r>
      <rPr>
        <sz val="10"/>
        <color theme="1"/>
        <rFont val="宋体"/>
        <charset val="134"/>
      </rPr>
      <t>世界树道途</t>
    </r>
  </si>
  <si>
    <r>
      <rPr>
        <sz val="10"/>
        <color theme="1"/>
        <rFont val="宋体"/>
        <charset val="134"/>
      </rPr>
      <t>狂热者道途</t>
    </r>
  </si>
  <si>
    <r>
      <rPr>
        <sz val="10"/>
        <color theme="1"/>
        <rFont val="宋体"/>
        <charset val="134"/>
      </rPr>
      <t>豁免熟练</t>
    </r>
  </si>
  <si>
    <r>
      <rPr>
        <sz val="10"/>
        <color theme="1"/>
        <rFont val="宋体"/>
        <charset val="134"/>
      </rPr>
      <t>力量与体质</t>
    </r>
  </si>
  <si>
    <r>
      <rPr>
        <sz val="10"/>
        <color theme="1"/>
        <rFont val="宋体"/>
        <charset val="134"/>
      </rPr>
      <t>敏捷与魅力</t>
    </r>
  </si>
  <si>
    <r>
      <rPr>
        <sz val="10"/>
        <color theme="1"/>
        <rFont val="宋体"/>
        <charset val="134"/>
      </rPr>
      <t>感知与魅力</t>
    </r>
  </si>
  <si>
    <r>
      <rPr>
        <sz val="10"/>
        <color theme="1"/>
        <rFont val="宋体"/>
        <charset val="134"/>
      </rPr>
      <t>智力与感知</t>
    </r>
  </si>
  <si>
    <r>
      <rPr>
        <sz val="10"/>
        <color theme="1"/>
        <rFont val="宋体"/>
        <charset val="134"/>
      </rPr>
      <t>力量与敏捷</t>
    </r>
  </si>
  <si>
    <r>
      <rPr>
        <sz val="10"/>
        <color theme="1"/>
        <rFont val="宋体"/>
        <charset val="134"/>
      </rPr>
      <t>敏捷与智力</t>
    </r>
  </si>
  <si>
    <r>
      <rPr>
        <sz val="10"/>
        <color theme="1"/>
        <rFont val="宋体"/>
        <charset val="134"/>
      </rPr>
      <t>体质与魅力</t>
    </r>
  </si>
  <si>
    <r>
      <rPr>
        <sz val="10"/>
        <color theme="1"/>
        <rFont val="宋体"/>
        <charset val="134"/>
      </rPr>
      <t>体质与智力</t>
    </r>
  </si>
  <si>
    <t>敏捷与魅力</t>
  </si>
  <si>
    <r>
      <rPr>
        <sz val="10"/>
        <color theme="1"/>
        <rFont val="宋体"/>
        <charset val="134"/>
      </rPr>
      <t>体质与魅力</t>
    </r>
    <r>
      <rPr>
        <sz val="10"/>
        <color theme="1"/>
        <rFont val="Times New Roman"/>
        <charset val="134"/>
      </rPr>
      <t xml:space="preserve"> </t>
    </r>
  </si>
  <si>
    <t>力量与体质</t>
  </si>
  <si>
    <r>
      <rPr>
        <sz val="10"/>
        <color theme="1"/>
        <rFont val="宋体"/>
        <charset val="134"/>
      </rPr>
      <t>先祖守卫道途</t>
    </r>
  </si>
  <si>
    <r>
      <rPr>
        <sz val="10"/>
        <color theme="1"/>
        <rFont val="宋体"/>
        <charset val="134"/>
      </rPr>
      <t>技能熟练</t>
    </r>
  </si>
  <si>
    <r>
      <rPr>
        <sz val="10"/>
        <color theme="1"/>
        <rFont val="宋体"/>
        <charset val="134"/>
      </rPr>
      <t>选择</t>
    </r>
    <r>
      <rPr>
        <sz val="10"/>
        <color theme="1"/>
        <rFont val="Times New Roman"/>
        <charset val="134"/>
      </rPr>
      <t>2</t>
    </r>
    <r>
      <rPr>
        <sz val="10"/>
        <color theme="1"/>
        <rFont val="宋体"/>
        <charset val="134"/>
      </rPr>
      <t>项：驯兽、运动、威吓、自然、察觉或求生</t>
    </r>
  </si>
  <si>
    <r>
      <rPr>
        <sz val="10"/>
        <color theme="1"/>
        <rFont val="宋体"/>
        <charset val="134"/>
      </rPr>
      <t>任选</t>
    </r>
    <r>
      <rPr>
        <sz val="10"/>
        <color theme="1"/>
        <rFont val="Times New Roman"/>
        <charset val="134"/>
      </rPr>
      <t>3</t>
    </r>
    <r>
      <rPr>
        <sz val="10"/>
        <color theme="1"/>
        <rFont val="宋体"/>
        <charset val="134"/>
      </rPr>
      <t>项</t>
    </r>
  </si>
  <si>
    <r>
      <rPr>
        <sz val="10"/>
        <color theme="1"/>
        <rFont val="宋体"/>
        <charset val="134"/>
      </rPr>
      <t>选择</t>
    </r>
    <r>
      <rPr>
        <sz val="10"/>
        <color theme="1"/>
        <rFont val="Times New Roman"/>
        <charset val="134"/>
      </rPr>
      <t>2</t>
    </r>
    <r>
      <rPr>
        <sz val="10"/>
        <color theme="1"/>
        <rFont val="宋体"/>
        <charset val="134"/>
      </rPr>
      <t>项：历史，洞悉，医药，说服或宗教</t>
    </r>
  </si>
  <si>
    <r>
      <rPr>
        <sz val="10"/>
        <color theme="1"/>
        <rFont val="宋体"/>
        <charset val="134"/>
      </rPr>
      <t>选择</t>
    </r>
    <r>
      <rPr>
        <sz val="10"/>
        <color theme="1"/>
        <rFont val="Times New Roman"/>
        <charset val="134"/>
      </rPr>
      <t>2</t>
    </r>
    <r>
      <rPr>
        <sz val="10"/>
        <color theme="1"/>
        <rFont val="宋体"/>
        <charset val="134"/>
      </rPr>
      <t>项：奥秘、驯兽、洞悉、医疗、自然、察觉、宗教或求生</t>
    </r>
  </si>
  <si>
    <r>
      <rPr>
        <sz val="10"/>
        <color theme="1"/>
        <rFont val="宋体"/>
        <charset val="134"/>
      </rPr>
      <t>选择</t>
    </r>
    <r>
      <rPr>
        <sz val="10"/>
        <color theme="1"/>
        <rFont val="Times New Roman"/>
        <charset val="134"/>
      </rPr>
      <t>2</t>
    </r>
    <r>
      <rPr>
        <sz val="10"/>
        <color theme="1"/>
        <rFont val="宋体"/>
        <charset val="134"/>
      </rPr>
      <t>项：特技、驯兽、运动、历史、洞悉、威吓、游说、察觉或求生</t>
    </r>
  </si>
  <si>
    <r>
      <rPr>
        <sz val="10"/>
        <color theme="1"/>
        <rFont val="宋体"/>
        <charset val="134"/>
      </rPr>
      <t>选择</t>
    </r>
    <r>
      <rPr>
        <sz val="10"/>
        <color theme="1"/>
        <rFont val="Times New Roman"/>
        <charset val="134"/>
      </rPr>
      <t>2</t>
    </r>
    <r>
      <rPr>
        <sz val="10"/>
        <color theme="1"/>
        <rFont val="宋体"/>
        <charset val="134"/>
      </rPr>
      <t>项：特技、运动、历史、洞悉、宗教或隐匿</t>
    </r>
  </si>
  <si>
    <r>
      <rPr>
        <sz val="10"/>
        <color theme="1"/>
        <rFont val="宋体"/>
        <charset val="134"/>
      </rPr>
      <t>选择</t>
    </r>
    <r>
      <rPr>
        <sz val="10"/>
        <color theme="1"/>
        <rFont val="Times New Roman"/>
        <charset val="134"/>
      </rPr>
      <t>2</t>
    </r>
    <r>
      <rPr>
        <sz val="10"/>
        <color theme="1"/>
        <rFont val="宋体"/>
        <charset val="134"/>
      </rPr>
      <t>项：运动、洞悉、威吓、医疗、说服或宗教</t>
    </r>
  </si>
  <si>
    <r>
      <rPr>
        <sz val="10"/>
        <color theme="1"/>
        <rFont val="宋体"/>
        <charset val="134"/>
      </rPr>
      <t>选择</t>
    </r>
    <r>
      <rPr>
        <sz val="10"/>
        <color theme="1"/>
        <rFont val="Times New Roman"/>
        <charset val="134"/>
      </rPr>
      <t>3</t>
    </r>
    <r>
      <rPr>
        <sz val="10"/>
        <color theme="1"/>
        <rFont val="宋体"/>
        <charset val="134"/>
      </rPr>
      <t>项：驯兽、运动、洞悉，调查，自然、察觉、隐匿或求生</t>
    </r>
  </si>
  <si>
    <r>
      <rPr>
        <sz val="10"/>
        <color theme="1"/>
        <rFont val="宋体"/>
        <charset val="134"/>
      </rPr>
      <t>选择</t>
    </r>
    <r>
      <rPr>
        <sz val="10"/>
        <color theme="1"/>
        <rFont val="Times New Roman"/>
        <charset val="134"/>
      </rPr>
      <t>4</t>
    </r>
    <r>
      <rPr>
        <sz val="10"/>
        <color theme="1"/>
        <rFont val="宋体"/>
        <charset val="134"/>
      </rPr>
      <t>项：特技、运动、欺瞒、洞悉、恐吓、调查、察觉、说服、巧手或隐匿</t>
    </r>
  </si>
  <si>
    <r>
      <rPr>
        <sz val="10"/>
        <color theme="1"/>
        <rFont val="宋体"/>
        <charset val="134"/>
      </rPr>
      <t>选择</t>
    </r>
    <r>
      <rPr>
        <sz val="10"/>
        <color theme="1"/>
        <rFont val="Times New Roman"/>
        <charset val="134"/>
      </rPr>
      <t>2</t>
    </r>
    <r>
      <rPr>
        <sz val="10"/>
        <color theme="1"/>
        <rFont val="宋体"/>
        <charset val="134"/>
      </rPr>
      <t>项：奥秘、欺瞒、洞悉、威吓、游说或宗教</t>
    </r>
  </si>
  <si>
    <r>
      <rPr>
        <sz val="10"/>
        <color theme="1"/>
        <rFont val="宋体"/>
        <charset val="134"/>
      </rPr>
      <t>选择</t>
    </r>
    <r>
      <rPr>
        <sz val="10"/>
        <color theme="1"/>
        <rFont val="Times New Roman"/>
        <charset val="134"/>
      </rPr>
      <t>2</t>
    </r>
    <r>
      <rPr>
        <sz val="10"/>
        <color theme="1"/>
        <rFont val="宋体"/>
        <charset val="134"/>
      </rPr>
      <t>项：奥秘、欺瞒、历史、威吓、调查、自然或宗教</t>
    </r>
  </si>
  <si>
    <r>
      <rPr>
        <sz val="10"/>
        <color theme="1"/>
        <rFont val="宋体"/>
        <charset val="134"/>
      </rPr>
      <t>选择</t>
    </r>
    <r>
      <rPr>
        <sz val="10"/>
        <color theme="1"/>
        <rFont val="Times New Roman"/>
        <charset val="134"/>
      </rPr>
      <t>2</t>
    </r>
    <r>
      <rPr>
        <sz val="10"/>
        <color theme="1"/>
        <rFont val="宋体"/>
        <charset val="134"/>
      </rPr>
      <t>项：奥秘、历史、洞悉、调查、医疗、自然或宗教</t>
    </r>
  </si>
  <si>
    <r>
      <rPr>
        <sz val="10"/>
        <color theme="1"/>
        <rFont val="宋体"/>
        <charset val="134"/>
      </rPr>
      <t>选择</t>
    </r>
    <r>
      <rPr>
        <sz val="10"/>
        <color theme="1"/>
        <rFont val="Times New Roman"/>
        <charset val="134"/>
      </rPr>
      <t>2</t>
    </r>
    <r>
      <rPr>
        <sz val="10"/>
        <color theme="1"/>
        <rFont val="宋体"/>
        <charset val="134"/>
      </rPr>
      <t>项：奥秘、历史、调查、医药、自然、察觉或巧手。</t>
    </r>
  </si>
  <si>
    <r>
      <rPr>
        <sz val="10"/>
        <color theme="1"/>
        <rFont val="宋体"/>
        <charset val="134"/>
      </rPr>
      <t>选择</t>
    </r>
    <r>
      <rPr>
        <sz val="10"/>
        <color theme="1"/>
        <rFont val="Times New Roman"/>
        <charset val="134"/>
      </rPr>
      <t>2</t>
    </r>
    <r>
      <rPr>
        <sz val="10"/>
        <color theme="1"/>
        <rFont val="宋体"/>
        <charset val="134"/>
      </rPr>
      <t>项：奥秘、洞悉、威吓、调查、医药、察觉或游说</t>
    </r>
  </si>
  <si>
    <r>
      <rPr>
        <sz val="10"/>
        <color theme="1"/>
        <rFont val="宋体"/>
        <charset val="134"/>
      </rPr>
      <t>选择</t>
    </r>
    <r>
      <rPr>
        <sz val="10"/>
        <color theme="1"/>
        <rFont val="Times New Roman"/>
        <charset val="134"/>
      </rPr>
      <t>3</t>
    </r>
    <r>
      <rPr>
        <sz val="10"/>
        <color theme="1"/>
        <rFont val="宋体"/>
        <charset val="134"/>
      </rPr>
      <t>项：特技、奥秘、运动、历史、洞悉、调查、宗教或生存</t>
    </r>
  </si>
  <si>
    <r>
      <rPr>
        <sz val="10"/>
        <color theme="1"/>
        <rFont val="宋体"/>
        <charset val="134"/>
      </rPr>
      <t>选择</t>
    </r>
    <r>
      <rPr>
        <sz val="10"/>
        <color theme="1"/>
        <rFont val="Times New Roman"/>
        <charset val="134"/>
      </rPr>
      <t>2</t>
    </r>
    <r>
      <rPr>
        <sz val="10"/>
        <color theme="1"/>
        <rFont val="宋体"/>
        <charset val="134"/>
      </rPr>
      <t>项：奥秘、历史、调查、医药、自然或宗教。</t>
    </r>
  </si>
  <si>
    <t>选择2项：特技、驯兽、运动、欺瞒、洞悉、威吓、察觉、游说、巧手和隐匿</t>
  </si>
  <si>
    <r>
      <rPr>
        <sz val="10"/>
        <color theme="1"/>
        <rFont val="宋体"/>
        <charset val="134"/>
      </rPr>
      <t>选择</t>
    </r>
    <r>
      <rPr>
        <sz val="10"/>
        <color theme="1"/>
        <rFont val="Times New Roman"/>
        <charset val="134"/>
      </rPr>
      <t>2</t>
    </r>
    <r>
      <rPr>
        <sz val="10"/>
        <color theme="1"/>
        <rFont val="宋体"/>
        <charset val="134"/>
      </rPr>
      <t>项：奥秘、运动、欺瞒、洞悉、威吓、调查、游说、宗教、隐匿</t>
    </r>
  </si>
  <si>
    <r>
      <rPr>
        <sz val="10"/>
        <color theme="1"/>
        <rFont val="宋体"/>
        <charset val="134"/>
      </rPr>
      <t>选择</t>
    </r>
    <r>
      <rPr>
        <sz val="10"/>
        <color theme="1"/>
        <rFont val="Times New Roman"/>
        <charset val="134"/>
      </rPr>
      <t>2</t>
    </r>
    <r>
      <rPr>
        <sz val="10"/>
        <color theme="1"/>
        <rFont val="宋体"/>
        <charset val="134"/>
      </rPr>
      <t>项：特技、运动、欺瞒、威吓、察觉、巧手或隐匿</t>
    </r>
  </si>
  <si>
    <r>
      <rPr>
        <sz val="10"/>
        <color theme="1"/>
        <rFont val="宋体"/>
        <charset val="134"/>
      </rPr>
      <t>风暴先驱道途</t>
    </r>
  </si>
  <si>
    <r>
      <rPr>
        <sz val="10"/>
        <color theme="1"/>
        <rFont val="宋体"/>
        <charset val="134"/>
      </rPr>
      <t>武器熟练</t>
    </r>
  </si>
  <si>
    <r>
      <rPr>
        <sz val="10"/>
        <color theme="1"/>
        <rFont val="宋体"/>
        <charset val="134"/>
      </rPr>
      <t>简易和军用武器</t>
    </r>
  </si>
  <si>
    <r>
      <rPr>
        <sz val="10"/>
        <color theme="1"/>
        <rFont val="宋体"/>
        <charset val="134"/>
      </rPr>
      <t>简易武器</t>
    </r>
  </si>
  <si>
    <r>
      <rPr>
        <sz val="10"/>
        <color theme="1"/>
        <rFont val="宋体"/>
        <charset val="134"/>
      </rPr>
      <t>简易与具备轻型词条的军用武器</t>
    </r>
  </si>
  <si>
    <r>
      <rPr>
        <sz val="10"/>
        <color theme="1"/>
        <rFont val="宋体"/>
        <charset val="134"/>
      </rPr>
      <t>简易武器和具有灵巧或轻型词条的军用武器</t>
    </r>
  </si>
  <si>
    <r>
      <rPr>
        <sz val="10"/>
        <color theme="1"/>
        <rFont val="宋体"/>
        <charset val="134"/>
      </rPr>
      <t>简易武器、短剑、手弩</t>
    </r>
  </si>
  <si>
    <t>简易武器和军用远程武器</t>
  </si>
  <si>
    <t>简易和军用武器</t>
  </si>
  <si>
    <t>简易和临时武器</t>
  </si>
  <si>
    <r>
      <rPr>
        <sz val="10"/>
        <color theme="1"/>
        <rFont val="宋体"/>
        <charset val="134"/>
      </rPr>
      <t>狂野魔法道途</t>
    </r>
  </si>
  <si>
    <r>
      <rPr>
        <sz val="10"/>
        <color theme="1"/>
        <rFont val="宋体"/>
        <charset val="134"/>
      </rPr>
      <t>工具熟练</t>
    </r>
  </si>
  <si>
    <r>
      <rPr>
        <sz val="10"/>
        <color theme="1"/>
        <rFont val="宋体"/>
        <charset val="134"/>
      </rPr>
      <t>无</t>
    </r>
  </si>
  <si>
    <r>
      <rPr>
        <sz val="10"/>
        <color theme="1"/>
        <rFont val="宋体"/>
        <charset val="134"/>
      </rPr>
      <t>任选</t>
    </r>
    <r>
      <rPr>
        <sz val="10"/>
        <color theme="1"/>
        <rFont val="Times New Roman"/>
        <charset val="134"/>
      </rPr>
      <t>3</t>
    </r>
    <r>
      <rPr>
        <sz val="10"/>
        <color theme="1"/>
        <rFont val="宋体"/>
        <charset val="134"/>
      </rPr>
      <t>项乐器</t>
    </r>
  </si>
  <si>
    <r>
      <rPr>
        <sz val="10"/>
        <color theme="1"/>
        <rFont val="宋体"/>
        <charset val="134"/>
      </rPr>
      <t>草药工具</t>
    </r>
  </si>
  <si>
    <r>
      <rPr>
        <sz val="10"/>
        <color theme="1"/>
        <rFont val="宋体"/>
        <charset val="134"/>
      </rPr>
      <t>选择</t>
    </r>
    <r>
      <rPr>
        <sz val="10"/>
        <color theme="1"/>
        <rFont val="Times New Roman"/>
        <charset val="134"/>
      </rPr>
      <t>1</t>
    </r>
    <r>
      <rPr>
        <sz val="10"/>
        <color theme="1"/>
        <rFont val="宋体"/>
        <charset val="134"/>
      </rPr>
      <t>种工匠工具或乐器</t>
    </r>
  </si>
  <si>
    <r>
      <rPr>
        <sz val="10"/>
        <color theme="1"/>
        <rFont val="宋体"/>
        <charset val="134"/>
      </rPr>
      <t>盗贼工具</t>
    </r>
  </si>
  <si>
    <r>
      <rPr>
        <sz val="10"/>
        <color theme="1"/>
        <rFont val="宋体"/>
        <charset val="134"/>
      </rPr>
      <t>盗贼工具，修补工具，以及一种你选择的工匠工具</t>
    </r>
  </si>
  <si>
    <r>
      <rPr>
        <sz val="10"/>
        <color theme="1"/>
        <rFont val="宋体"/>
        <charset val="134"/>
      </rPr>
      <t>炼金工具</t>
    </r>
  </si>
  <si>
    <r>
      <rPr>
        <sz val="10"/>
        <color theme="1"/>
        <rFont val="宋体"/>
        <charset val="134"/>
      </rPr>
      <t>任何一种工具熟练，再加上从以下工具中选择的一种：制毒工具，草药工具或炼金工具。</t>
    </r>
  </si>
  <si>
    <t>无</t>
  </si>
  <si>
    <r>
      <rPr>
        <sz val="10"/>
        <color theme="1"/>
        <rFont val="宋体"/>
        <charset val="134"/>
      </rPr>
      <t>任选</t>
    </r>
    <r>
      <rPr>
        <sz val="10"/>
        <color theme="1"/>
        <rFont val="Times New Roman"/>
        <charset val="134"/>
      </rPr>
      <t>1</t>
    </r>
    <r>
      <rPr>
        <sz val="10"/>
        <color theme="1"/>
        <rFont val="宋体"/>
        <charset val="134"/>
      </rPr>
      <t>项赌具</t>
    </r>
  </si>
  <si>
    <r>
      <rPr>
        <sz val="10"/>
        <color theme="1"/>
        <rFont val="宋体"/>
        <charset val="134"/>
      </rPr>
      <t>野兽道途</t>
    </r>
  </si>
  <si>
    <r>
      <rPr>
        <sz val="10"/>
        <color theme="1"/>
        <rFont val="宋体"/>
        <charset val="134"/>
      </rPr>
      <t>护甲受训</t>
    </r>
  </si>
  <si>
    <r>
      <rPr>
        <sz val="10"/>
        <color theme="1"/>
        <rFont val="宋体"/>
        <charset val="134"/>
      </rPr>
      <t>轻甲、中甲和盾牌</t>
    </r>
  </si>
  <si>
    <r>
      <rPr>
        <sz val="10"/>
        <color theme="1"/>
        <rFont val="宋体"/>
        <charset val="134"/>
      </rPr>
      <t>轻甲</t>
    </r>
  </si>
  <si>
    <r>
      <rPr>
        <sz val="10"/>
        <color theme="1"/>
        <rFont val="宋体"/>
        <charset val="134"/>
      </rPr>
      <t>轻甲和盾牌</t>
    </r>
  </si>
  <si>
    <r>
      <rPr>
        <sz val="10"/>
        <color theme="1"/>
        <rFont val="宋体"/>
        <charset val="134"/>
      </rPr>
      <t>轻甲、中甲、重甲和盾牌</t>
    </r>
  </si>
  <si>
    <r>
      <rPr>
        <sz val="10"/>
        <color theme="1"/>
        <rFont val="宋体"/>
        <charset val="134"/>
      </rPr>
      <t>轻甲，中甲和盾牌</t>
    </r>
  </si>
  <si>
    <r>
      <rPr>
        <sz val="10"/>
        <color theme="1"/>
        <rFont val="宋体"/>
        <charset val="134"/>
      </rPr>
      <t>轻甲、中甲</t>
    </r>
  </si>
  <si>
    <t>轻甲</t>
  </si>
  <si>
    <t>轻甲、中甲和盾牌</t>
  </si>
  <si>
    <r>
      <rPr>
        <sz val="10"/>
        <color theme="1"/>
        <rFont val="宋体"/>
        <charset val="134"/>
      </rPr>
      <t>巨人道途</t>
    </r>
  </si>
  <si>
    <r>
      <rPr>
        <sz val="10"/>
        <color theme="1"/>
        <rFont val="宋体"/>
        <charset val="134"/>
      </rPr>
      <t>起始装备</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</si>
  <si>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 xml:space="preserve">(A) </t>
    </r>
    <r>
      <rPr>
        <sz val="10"/>
        <color theme="1"/>
        <rFont val="宋体"/>
        <charset val="134"/>
      </rPr>
      <t>巨斧，</t>
    </r>
    <r>
      <rPr>
        <sz val="10"/>
        <color theme="1"/>
        <rFont val="Times New Roman"/>
        <charset val="134"/>
      </rPr>
      <t>4</t>
    </r>
    <r>
      <rPr>
        <sz val="10"/>
        <color theme="1"/>
        <rFont val="宋体"/>
        <charset val="134"/>
      </rPr>
      <t>把手斧，探索套组以及</t>
    </r>
    <r>
      <rPr>
        <sz val="10"/>
        <color theme="1"/>
        <rFont val="Times New Roman"/>
        <charset val="134"/>
      </rPr>
      <t>15GP</t>
    </r>
    <r>
      <rPr>
        <sz val="10"/>
        <color theme="1"/>
        <rFont val="宋体"/>
        <charset val="134"/>
      </rPr>
      <t>；或者</t>
    </r>
    <r>
      <rPr>
        <sz val="10"/>
        <color theme="1"/>
        <rFont val="Times New Roman"/>
        <charset val="134"/>
      </rPr>
      <t>(B) 75GP</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</si>
  <si>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 xml:space="preserve">(A) </t>
    </r>
    <r>
      <rPr>
        <sz val="10"/>
        <color theme="1"/>
        <rFont val="宋体"/>
        <charset val="134"/>
      </rPr>
      <t>皮甲，</t>
    </r>
    <r>
      <rPr>
        <sz val="10"/>
        <color theme="1"/>
        <rFont val="Times New Roman"/>
        <charset val="134"/>
      </rPr>
      <t>2</t>
    </r>
    <r>
      <rPr>
        <sz val="10"/>
        <color theme="1"/>
        <rFont val="宋体"/>
        <charset val="134"/>
      </rPr>
      <t>把匕首，你选择的乐器，艺人套组</t>
    </r>
    <r>
      <rPr>
        <sz val="10"/>
        <color theme="1"/>
        <rFont val="Times New Roman"/>
        <charset val="134"/>
      </rPr>
      <t xml:space="preserve"> </t>
    </r>
    <r>
      <rPr>
        <sz val="10"/>
        <color theme="1"/>
        <rFont val="宋体"/>
        <charset val="134"/>
      </rPr>
      <t>以及</t>
    </r>
    <r>
      <rPr>
        <sz val="10"/>
        <color theme="1"/>
        <rFont val="Times New Roman"/>
        <charset val="134"/>
      </rPr>
      <t>19GP</t>
    </r>
    <r>
      <rPr>
        <sz val="10"/>
        <color theme="1"/>
        <rFont val="宋体"/>
        <charset val="134"/>
      </rPr>
      <t>；或者</t>
    </r>
    <r>
      <rPr>
        <sz val="10"/>
        <color theme="1"/>
        <rFont val="Times New Roman"/>
        <charset val="134"/>
      </rPr>
      <t>(B) 90GP</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</si>
  <si>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 xml:space="preserve">(A) </t>
    </r>
    <r>
      <rPr>
        <sz val="10"/>
        <color theme="1"/>
        <rFont val="宋体"/>
        <charset val="134"/>
      </rPr>
      <t>链甲衫，盾牌，硬头锤，圣徽，祭司套组</t>
    </r>
    <r>
      <rPr>
        <sz val="10"/>
        <color theme="1"/>
        <rFont val="Times New Roman"/>
        <charset val="134"/>
      </rPr>
      <t xml:space="preserve"> </t>
    </r>
    <r>
      <rPr>
        <sz val="10"/>
        <color theme="1"/>
        <rFont val="宋体"/>
        <charset val="134"/>
      </rPr>
      <t>以及</t>
    </r>
    <r>
      <rPr>
        <sz val="10"/>
        <color theme="1"/>
        <rFont val="Times New Roman"/>
        <charset val="134"/>
      </rPr>
      <t>7GP</t>
    </r>
    <r>
      <rPr>
        <sz val="10"/>
        <color theme="1"/>
        <rFont val="宋体"/>
        <charset val="134"/>
      </rPr>
      <t>；或</t>
    </r>
    <r>
      <rPr>
        <sz val="10"/>
        <color theme="1"/>
        <rFont val="Times New Roman"/>
        <charset val="134"/>
      </rPr>
      <t xml:space="preserve">(B) 110GP </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</si>
  <si>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 xml:space="preserve">(A) </t>
    </r>
    <r>
      <rPr>
        <sz val="10"/>
        <color theme="1"/>
        <rFont val="宋体"/>
        <charset val="134"/>
      </rPr>
      <t>皮甲，盾牌，镰刀，德鲁伊法器（长棍），探索套组，草药工具以及</t>
    </r>
    <r>
      <rPr>
        <sz val="10"/>
        <color theme="1"/>
        <rFont val="Times New Roman"/>
        <charset val="134"/>
      </rPr>
      <t>9GP</t>
    </r>
    <r>
      <rPr>
        <sz val="10"/>
        <color theme="1"/>
        <rFont val="宋体"/>
        <charset val="134"/>
      </rPr>
      <t>；或者</t>
    </r>
    <r>
      <rPr>
        <sz val="10"/>
        <color theme="1"/>
        <rFont val="Times New Roman"/>
        <charset val="134"/>
      </rPr>
      <t xml:space="preserve">(B) 50GP
</t>
    </r>
  </si>
  <si>
    <r>
      <rPr>
        <sz val="10"/>
        <color theme="1"/>
        <rFont val="宋体"/>
        <charset val="134"/>
      </rPr>
      <t>选择</t>
    </r>
    <r>
      <rPr>
        <sz val="10"/>
        <color theme="1"/>
        <rFont val="Times New Roman"/>
        <charset val="134"/>
      </rPr>
      <t>A</t>
    </r>
    <r>
      <rPr>
        <sz val="10"/>
        <color theme="1"/>
        <rFont val="宋体"/>
        <charset val="134"/>
      </rPr>
      <t>、</t>
    </r>
    <r>
      <rPr>
        <sz val="10"/>
        <color theme="1"/>
        <rFont val="Times New Roman"/>
        <charset val="134"/>
      </rPr>
      <t>B</t>
    </r>
    <r>
      <rPr>
        <sz val="10"/>
        <color theme="1"/>
        <rFont val="宋体"/>
        <charset val="134"/>
      </rPr>
      <t>或</t>
    </r>
    <r>
      <rPr>
        <sz val="10"/>
        <color theme="1"/>
        <rFont val="Times New Roman"/>
        <charset val="134"/>
      </rPr>
      <t>C</t>
    </r>
    <r>
      <rPr>
        <sz val="10"/>
        <color theme="1"/>
        <rFont val="宋体"/>
        <charset val="134"/>
      </rPr>
      <t>：</t>
    </r>
    <r>
      <rPr>
        <sz val="10"/>
        <color theme="1"/>
        <rFont val="Times New Roman"/>
        <charset val="134"/>
      </rPr>
      <t>(A)</t>
    </r>
    <r>
      <rPr>
        <sz val="10"/>
        <color theme="1"/>
        <rFont val="宋体"/>
        <charset val="134"/>
      </rPr>
      <t>链甲，巨剑，链枷，</t>
    </r>
    <r>
      <rPr>
        <sz val="10"/>
        <color theme="1"/>
        <rFont val="Times New Roman"/>
        <charset val="134"/>
      </rPr>
      <t>8</t>
    </r>
    <r>
      <rPr>
        <sz val="10"/>
        <color theme="1"/>
        <rFont val="宋体"/>
        <charset val="134"/>
      </rPr>
      <t>杆标枪，地城套组以及</t>
    </r>
    <r>
      <rPr>
        <sz val="10"/>
        <color theme="1"/>
        <rFont val="Times New Roman"/>
        <charset val="134"/>
      </rPr>
      <t>4GP</t>
    </r>
    <r>
      <rPr>
        <sz val="10"/>
        <color theme="1"/>
        <rFont val="宋体"/>
        <charset val="134"/>
      </rPr>
      <t>；或者</t>
    </r>
    <r>
      <rPr>
        <sz val="10"/>
        <color theme="1"/>
        <rFont val="Times New Roman"/>
        <charset val="134"/>
      </rPr>
      <t xml:space="preserve">(B) </t>
    </r>
    <r>
      <rPr>
        <sz val="10"/>
        <color theme="1"/>
        <rFont val="宋体"/>
        <charset val="134"/>
      </rPr>
      <t>镶钉皮甲，弯刀，短剑，长弓，</t>
    </r>
    <r>
      <rPr>
        <sz val="10"/>
        <color theme="1"/>
        <rFont val="Times New Roman"/>
        <charset val="134"/>
      </rPr>
      <t>20</t>
    </r>
    <r>
      <rPr>
        <sz val="10"/>
        <color theme="1"/>
        <rFont val="宋体"/>
        <charset val="134"/>
      </rPr>
      <t>支箭矢，箭袋，地城套组</t>
    </r>
    <r>
      <rPr>
        <sz val="10"/>
        <color theme="1"/>
        <rFont val="Times New Roman"/>
        <charset val="134"/>
      </rPr>
      <t xml:space="preserve"> </t>
    </r>
    <r>
      <rPr>
        <sz val="10"/>
        <color theme="1"/>
        <rFont val="宋体"/>
        <charset val="134"/>
      </rPr>
      <t>以及</t>
    </r>
    <r>
      <rPr>
        <sz val="10"/>
        <color theme="1"/>
        <rFont val="Times New Roman"/>
        <charset val="134"/>
      </rPr>
      <t>11GP</t>
    </r>
    <r>
      <rPr>
        <sz val="10"/>
        <color theme="1"/>
        <rFont val="宋体"/>
        <charset val="134"/>
      </rPr>
      <t>；或者</t>
    </r>
    <r>
      <rPr>
        <sz val="10"/>
        <color theme="1"/>
        <rFont val="Times New Roman"/>
        <charset val="134"/>
      </rPr>
      <t>(C) 155GP</t>
    </r>
  </si>
  <si>
    <r>
      <rPr>
        <sz val="10"/>
        <color theme="1"/>
        <rFont val="宋体"/>
        <charset val="134"/>
      </rPr>
      <t>起始装备</t>
    </r>
    <r>
      <rPr>
        <sz val="10"/>
        <color theme="1"/>
        <rFont val="Times New Roman"/>
        <charset val="134"/>
      </rPr>
      <t xml:space="preserve">Starting Equipment  </t>
    </r>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(A)</t>
    </r>
    <r>
      <rPr>
        <sz val="10"/>
        <color theme="1"/>
        <rFont val="宋体"/>
        <charset val="134"/>
      </rPr>
      <t>矛，</t>
    </r>
    <r>
      <rPr>
        <sz val="10"/>
        <color theme="1"/>
        <rFont val="Times New Roman"/>
        <charset val="134"/>
      </rPr>
      <t>5</t>
    </r>
    <r>
      <rPr>
        <sz val="10"/>
        <color theme="1"/>
        <rFont val="宋体"/>
        <charset val="134"/>
      </rPr>
      <t>把匕首，你在工具熟练中所选择的工匠工具或乐器，探索套组以及</t>
    </r>
    <r>
      <rPr>
        <sz val="10"/>
        <color theme="1"/>
        <rFont val="Times New Roman"/>
        <charset val="134"/>
      </rPr>
      <t>11GP</t>
    </r>
    <r>
      <rPr>
        <sz val="10"/>
        <color theme="1"/>
        <rFont val="宋体"/>
        <charset val="134"/>
      </rPr>
      <t>；或者</t>
    </r>
    <r>
      <rPr>
        <sz val="10"/>
        <color theme="1"/>
        <rFont val="Times New Roman"/>
        <charset val="134"/>
      </rPr>
      <t>(B) 50GP</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</si>
  <si>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 xml:space="preserve">(A) </t>
    </r>
    <r>
      <rPr>
        <sz val="10"/>
        <color theme="1"/>
        <rFont val="宋体"/>
        <charset val="134"/>
      </rPr>
      <t>链甲，盾牌，长剑，</t>
    </r>
    <r>
      <rPr>
        <sz val="10"/>
        <color theme="1"/>
        <rFont val="Times New Roman"/>
        <charset val="134"/>
      </rPr>
      <t>6</t>
    </r>
    <r>
      <rPr>
        <sz val="10"/>
        <color theme="1"/>
        <rFont val="宋体"/>
        <charset val="134"/>
      </rPr>
      <t>根标枪，圣徽，祭司套组以及</t>
    </r>
    <r>
      <rPr>
        <sz val="10"/>
        <color theme="1"/>
        <rFont val="Times New Roman"/>
        <charset val="134"/>
      </rPr>
      <t>9GP</t>
    </r>
    <r>
      <rPr>
        <sz val="10"/>
        <color theme="1"/>
        <rFont val="宋体"/>
        <charset val="134"/>
      </rPr>
      <t>；或者</t>
    </r>
    <r>
      <rPr>
        <sz val="10"/>
        <color theme="1"/>
        <rFont val="Times New Roman"/>
        <charset val="134"/>
      </rPr>
      <t>(B) 150GP</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</si>
  <si>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 xml:space="preserve">(A) </t>
    </r>
    <r>
      <rPr>
        <sz val="10"/>
        <color theme="1"/>
        <rFont val="宋体"/>
        <charset val="134"/>
      </rPr>
      <t>镶钉皮甲、弯刀、短剑、长弓、</t>
    </r>
    <r>
      <rPr>
        <sz val="10"/>
        <color theme="1"/>
        <rFont val="Times New Roman"/>
        <charset val="134"/>
      </rPr>
      <t>20</t>
    </r>
    <r>
      <rPr>
        <sz val="10"/>
        <color theme="1"/>
        <rFont val="宋体"/>
        <charset val="134"/>
      </rPr>
      <t>支箭、箭袋、德鲁伊法器（槲寄生枝条）、探索套组以及</t>
    </r>
    <r>
      <rPr>
        <sz val="10"/>
        <color theme="1"/>
        <rFont val="Times New Roman"/>
        <charset val="134"/>
      </rPr>
      <t>7GP</t>
    </r>
    <r>
      <rPr>
        <sz val="10"/>
        <color theme="1"/>
        <rFont val="宋体"/>
        <charset val="134"/>
      </rPr>
      <t>；或者</t>
    </r>
    <r>
      <rPr>
        <sz val="10"/>
        <color theme="1"/>
        <rFont val="Times New Roman"/>
        <charset val="134"/>
      </rPr>
      <t>(B) 150GP</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</si>
  <si>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(A)</t>
    </r>
    <r>
      <rPr>
        <sz val="10"/>
        <color theme="1"/>
        <rFont val="宋体"/>
        <charset val="134"/>
      </rPr>
      <t>皮甲，</t>
    </r>
    <r>
      <rPr>
        <sz val="10"/>
        <color theme="1"/>
        <rFont val="Times New Roman"/>
        <charset val="134"/>
      </rPr>
      <t>2</t>
    </r>
    <r>
      <rPr>
        <sz val="10"/>
        <color theme="1"/>
        <rFont val="宋体"/>
        <charset val="134"/>
      </rPr>
      <t>把匕首，短剑，短弓，</t>
    </r>
    <r>
      <rPr>
        <sz val="10"/>
        <color theme="1"/>
        <rFont val="Times New Roman"/>
        <charset val="134"/>
      </rPr>
      <t>20</t>
    </r>
    <r>
      <rPr>
        <sz val="10"/>
        <color theme="1"/>
        <rFont val="宋体"/>
        <charset val="134"/>
      </rPr>
      <t>支箭矢，箭袋，盗贼工具，窃贼套组以及</t>
    </r>
    <r>
      <rPr>
        <sz val="10"/>
        <color theme="1"/>
        <rFont val="Times New Roman"/>
        <charset val="134"/>
      </rPr>
      <t>8GP</t>
    </r>
    <r>
      <rPr>
        <sz val="10"/>
        <color theme="1"/>
        <rFont val="宋体"/>
        <charset val="134"/>
      </rPr>
      <t>；或者</t>
    </r>
    <r>
      <rPr>
        <sz val="10"/>
        <color theme="1"/>
        <rFont val="Times New Roman"/>
        <charset val="134"/>
      </rPr>
      <t>(B) 100GP</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</si>
  <si>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(A)</t>
    </r>
    <r>
      <rPr>
        <sz val="10"/>
        <color theme="1"/>
        <rFont val="宋体"/>
        <charset val="134"/>
      </rPr>
      <t>矛，</t>
    </r>
    <r>
      <rPr>
        <sz val="10"/>
        <color theme="1"/>
        <rFont val="Times New Roman"/>
        <charset val="134"/>
      </rPr>
      <t>2</t>
    </r>
    <r>
      <rPr>
        <sz val="10"/>
        <color theme="1"/>
        <rFont val="宋体"/>
        <charset val="134"/>
      </rPr>
      <t>把匕首，奥术法器（水晶），地城套组以及</t>
    </r>
    <r>
      <rPr>
        <sz val="10"/>
        <color theme="1"/>
        <rFont val="Times New Roman"/>
        <charset val="134"/>
      </rPr>
      <t>28 GP</t>
    </r>
    <r>
      <rPr>
        <sz val="10"/>
        <color theme="1"/>
        <rFont val="宋体"/>
        <charset val="134"/>
      </rPr>
      <t>；或者</t>
    </r>
    <r>
      <rPr>
        <sz val="10"/>
        <color theme="1"/>
        <rFont val="Times New Roman"/>
        <charset val="134"/>
      </rPr>
      <t>(B) 50GP</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</si>
  <si>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 xml:space="preserve">(A) </t>
    </r>
    <r>
      <rPr>
        <sz val="10"/>
        <color theme="1"/>
        <rFont val="宋体"/>
        <charset val="134"/>
      </rPr>
      <t>皮甲，镰刀，</t>
    </r>
    <r>
      <rPr>
        <sz val="10"/>
        <color theme="1"/>
        <rFont val="Times New Roman"/>
        <charset val="134"/>
      </rPr>
      <t xml:space="preserve"> 2</t>
    </r>
    <r>
      <rPr>
        <sz val="10"/>
        <color theme="1"/>
        <rFont val="宋体"/>
        <charset val="134"/>
      </rPr>
      <t>把匕首</t>
    </r>
    <r>
      <rPr>
        <sz val="10"/>
        <color theme="1"/>
        <rFont val="Times New Roman"/>
        <charset val="134"/>
      </rPr>
      <t xml:space="preserve"> </t>
    </r>
    <r>
      <rPr>
        <sz val="10"/>
        <color theme="1"/>
        <rFont val="宋体"/>
        <charset val="134"/>
      </rPr>
      <t>，奥术法器（法球），书（隐秘学识），学者套组</t>
    </r>
    <r>
      <rPr>
        <sz val="10"/>
        <color theme="1"/>
        <rFont val="Times New Roman"/>
        <charset val="134"/>
      </rPr>
      <t xml:space="preserve"> </t>
    </r>
    <r>
      <rPr>
        <sz val="10"/>
        <color theme="1"/>
        <rFont val="宋体"/>
        <charset val="134"/>
      </rPr>
      <t>以及</t>
    </r>
    <r>
      <rPr>
        <sz val="10"/>
        <color theme="1"/>
        <rFont val="Times New Roman"/>
        <charset val="134"/>
      </rPr>
      <t>15GP</t>
    </r>
    <r>
      <rPr>
        <sz val="10"/>
        <color theme="1"/>
        <rFont val="宋体"/>
        <charset val="134"/>
      </rPr>
      <t>；或者</t>
    </r>
    <r>
      <rPr>
        <sz val="10"/>
        <color theme="1"/>
        <rFont val="Times New Roman"/>
        <charset val="134"/>
      </rPr>
      <t>(B) 100GP</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</si>
  <si>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(A) 2</t>
    </r>
    <r>
      <rPr>
        <sz val="10"/>
        <color theme="1"/>
        <rFont val="宋体"/>
        <charset val="134"/>
      </rPr>
      <t>把匕首，奥术法器（长棍），长袍，法术书，学者套组</t>
    </r>
    <r>
      <rPr>
        <sz val="10"/>
        <color theme="1"/>
        <rFont val="Times New Roman"/>
        <charset val="134"/>
      </rPr>
      <t xml:space="preserve"> </t>
    </r>
    <r>
      <rPr>
        <sz val="10"/>
        <color theme="1"/>
        <rFont val="宋体"/>
        <charset val="134"/>
      </rPr>
      <t>以及</t>
    </r>
    <r>
      <rPr>
        <sz val="10"/>
        <color theme="1"/>
        <rFont val="Times New Roman"/>
        <charset val="134"/>
      </rPr>
      <t>5GP</t>
    </r>
    <r>
      <rPr>
        <sz val="10"/>
        <color theme="1"/>
        <rFont val="宋体"/>
        <charset val="134"/>
      </rPr>
      <t>；或</t>
    </r>
    <r>
      <rPr>
        <sz val="10"/>
        <color theme="1"/>
        <rFont val="Times New Roman"/>
        <charset val="134"/>
      </rPr>
      <t>(B) 55GP</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</si>
  <si>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A</t>
    </r>
    <r>
      <rPr>
        <sz val="10"/>
        <color theme="1"/>
        <rFont val="宋体"/>
        <charset val="134"/>
      </rPr>
      <t>）镶钉皮甲，匕首，盗贼工具，修补工具，地城套组，和</t>
    </r>
    <r>
      <rPr>
        <sz val="10"/>
        <color theme="1"/>
        <rFont val="Times New Roman"/>
        <charset val="134"/>
      </rPr>
      <t>16GP</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 xml:space="preserve">150gp  </t>
    </r>
  </si>
  <si>
    <r>
      <rPr>
        <sz val="10"/>
        <color theme="1"/>
        <rFont val="Times New Roman"/>
        <charset val="134"/>
      </rPr>
      <t xml:space="preserve"> </t>
    </r>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A</t>
    </r>
    <r>
      <rPr>
        <sz val="10"/>
        <color theme="1"/>
        <rFont val="宋体"/>
        <charset val="134"/>
      </rPr>
      <t>）短矛、</t>
    </r>
    <r>
      <rPr>
        <sz val="10"/>
        <color theme="1"/>
        <rFont val="Times New Roman"/>
        <charset val="134"/>
      </rPr>
      <t>2</t>
    </r>
    <r>
      <rPr>
        <sz val="10"/>
        <color theme="1"/>
        <rFont val="宋体"/>
        <charset val="134"/>
      </rPr>
      <t>把匕首，轻弩，</t>
    </r>
    <r>
      <rPr>
        <sz val="10"/>
        <color theme="1"/>
        <rFont val="Times New Roman"/>
        <charset val="134"/>
      </rPr>
      <t>20</t>
    </r>
    <r>
      <rPr>
        <sz val="10"/>
        <color theme="1"/>
        <rFont val="宋体"/>
        <charset val="134"/>
      </rPr>
      <t>支弩矢，卷轴匣、地城套组与</t>
    </r>
    <r>
      <rPr>
        <sz val="10"/>
        <color theme="1"/>
        <rFont val="Times New Roman"/>
        <charset val="134"/>
      </rPr>
      <t>6GP</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 xml:space="preserve">50GP </t>
    </r>
  </si>
  <si>
    <r>
      <rPr>
        <sz val="10"/>
        <color theme="1"/>
        <rFont val="宋体"/>
        <charset val="134"/>
      </rPr>
      <t xml:space="preserve">你带着以下装备开始游戏。此外，你还可以从背景中获得额外的装备。
</t>
    </r>
    <r>
      <rPr>
        <sz val="10"/>
        <color theme="1"/>
        <rFont val="Times New Roman"/>
        <charset val="134"/>
      </rPr>
      <t xml:space="preserve">(a) </t>
    </r>
    <r>
      <rPr>
        <sz val="10"/>
        <color theme="1"/>
        <rFont val="宋体"/>
        <charset val="134"/>
      </rPr>
      <t>一件军用武器</t>
    </r>
    <r>
      <rPr>
        <sz val="10"/>
        <color theme="1"/>
        <rFont val="Times New Roman"/>
        <charset val="134"/>
      </rPr>
      <t xml:space="preserve"> </t>
    </r>
    <r>
      <rPr>
        <sz val="10"/>
        <color theme="1"/>
        <rFont val="宋体"/>
        <charset val="134"/>
      </rPr>
      <t>或</t>
    </r>
    <r>
      <rPr>
        <sz val="10"/>
        <color theme="1"/>
        <rFont val="Times New Roman"/>
        <charset val="134"/>
      </rPr>
      <t xml:space="preserve"> (b) </t>
    </r>
    <r>
      <rPr>
        <sz val="10"/>
        <color theme="1"/>
        <rFont val="宋体"/>
        <charset val="134"/>
      </rPr>
      <t>两件简易武器
一把轻弩和</t>
    </r>
    <r>
      <rPr>
        <sz val="10"/>
        <color theme="1"/>
        <rFont val="Times New Roman"/>
        <charset val="134"/>
      </rPr>
      <t xml:space="preserve"> 20 </t>
    </r>
    <r>
      <rPr>
        <sz val="10"/>
        <color theme="1"/>
        <rFont val="宋体"/>
        <charset val="134"/>
      </rPr>
      <t xml:space="preserve">发弩矢
</t>
    </r>
    <r>
      <rPr>
        <sz val="10"/>
        <color theme="1"/>
        <rFont val="Times New Roman"/>
        <charset val="134"/>
      </rPr>
      <t xml:space="preserve">(a) </t>
    </r>
    <r>
      <rPr>
        <sz val="10"/>
        <color theme="1"/>
        <rFont val="宋体"/>
        <charset val="134"/>
      </rPr>
      <t>一件镶钉皮甲</t>
    </r>
    <r>
      <rPr>
        <sz val="10"/>
        <color theme="1"/>
        <rFont val="Times New Roman"/>
        <charset val="134"/>
      </rPr>
      <t xml:space="preserve"> </t>
    </r>
    <r>
      <rPr>
        <sz val="10"/>
        <color theme="1"/>
        <rFont val="宋体"/>
        <charset val="134"/>
      </rPr>
      <t>或</t>
    </r>
    <r>
      <rPr>
        <sz val="10"/>
        <color theme="1"/>
        <rFont val="Times New Roman"/>
        <charset val="134"/>
      </rPr>
      <t xml:space="preserve"> (b) </t>
    </r>
    <r>
      <rPr>
        <sz val="10"/>
        <color theme="1"/>
        <rFont val="宋体"/>
        <charset val="134"/>
      </rPr>
      <t>一件鳞甲
一套探索套装和炼金工具
你也可以选择放弃上述装备，以</t>
    </r>
    <r>
      <rPr>
        <sz val="10"/>
        <color theme="1"/>
        <rFont val="Times New Roman"/>
        <charset val="134"/>
      </rPr>
      <t>4d4×10GP</t>
    </r>
    <r>
      <rPr>
        <sz val="10"/>
        <color theme="1"/>
        <rFont val="宋体"/>
        <charset val="134"/>
      </rPr>
      <t>开始游戏。</t>
    </r>
  </si>
  <si>
    <r>
      <rPr>
        <sz val="10"/>
        <color theme="1"/>
        <rFont val="宋体"/>
        <charset val="134"/>
      </rPr>
      <t xml:space="preserve">你带着以下装备开始游戏，此外该角色还可以从其背景项中获得额外的起始装备：
</t>
    </r>
    <r>
      <rPr>
        <sz val="10"/>
        <color theme="1"/>
        <rFont val="Times New Roman"/>
        <charset val="134"/>
      </rPr>
      <t xml:space="preserve">• </t>
    </r>
    <r>
      <rPr>
        <sz val="10"/>
        <color theme="1"/>
        <rFont val="宋体"/>
        <charset val="134"/>
      </rPr>
      <t>一把轻弩和</t>
    </r>
    <r>
      <rPr>
        <sz val="10"/>
        <color theme="1"/>
        <rFont val="Times New Roman"/>
        <charset val="134"/>
      </rPr>
      <t>20</t>
    </r>
    <r>
      <rPr>
        <sz val="10"/>
        <color theme="1"/>
        <rFont val="宋体"/>
        <charset val="134"/>
      </rPr>
      <t>支弩矢，（</t>
    </r>
    <r>
      <rPr>
        <sz val="10"/>
        <color theme="1"/>
        <rFont val="Times New Roman"/>
        <charset val="134"/>
      </rPr>
      <t>b</t>
    </r>
    <r>
      <rPr>
        <sz val="10"/>
        <color theme="1"/>
        <rFont val="宋体"/>
        <charset val="134"/>
      </rPr>
      <t xml:space="preserve">）一把短剑，或任意一把简易武器
</t>
    </r>
    <r>
      <rPr>
        <sz val="10"/>
        <color theme="1"/>
        <rFont val="Times New Roman"/>
        <charset val="134"/>
      </rPr>
      <t xml:space="preserve">• </t>
    </r>
    <r>
      <rPr>
        <sz val="10"/>
        <color theme="1"/>
        <rFont val="宋体"/>
        <charset val="134"/>
      </rPr>
      <t>（</t>
    </r>
    <r>
      <rPr>
        <sz val="10"/>
        <color theme="1"/>
        <rFont val="Times New Roman"/>
        <charset val="134"/>
      </rPr>
      <t>a</t>
    </r>
    <r>
      <rPr>
        <sz val="10"/>
        <color theme="1"/>
        <rFont val="宋体"/>
        <charset val="134"/>
      </rPr>
      <t>）一个材料包或（</t>
    </r>
    <r>
      <rPr>
        <sz val="10"/>
        <color theme="1"/>
        <rFont val="Times New Roman"/>
        <charset val="134"/>
      </rPr>
      <t>b</t>
    </r>
    <r>
      <rPr>
        <sz val="10"/>
        <color theme="1"/>
        <rFont val="宋体"/>
        <charset val="134"/>
      </rPr>
      <t xml:space="preserve">）一件奥术法器
</t>
    </r>
    <r>
      <rPr>
        <sz val="10"/>
        <color theme="1"/>
        <rFont val="Times New Roman"/>
        <charset val="134"/>
      </rPr>
      <t xml:space="preserve">• </t>
    </r>
    <r>
      <rPr>
        <sz val="10"/>
        <color theme="1"/>
        <rFont val="宋体"/>
        <charset val="134"/>
      </rPr>
      <t>（</t>
    </r>
    <r>
      <rPr>
        <sz val="10"/>
        <color theme="1"/>
        <rFont val="Times New Roman"/>
        <charset val="134"/>
      </rPr>
      <t>a</t>
    </r>
    <r>
      <rPr>
        <sz val="10"/>
        <color theme="1"/>
        <rFont val="宋体"/>
        <charset val="134"/>
      </rPr>
      <t>）一个学者套组或（</t>
    </r>
    <r>
      <rPr>
        <sz val="10"/>
        <color theme="1"/>
        <rFont val="Times New Roman"/>
        <charset val="134"/>
      </rPr>
      <t>b</t>
    </r>
    <r>
      <rPr>
        <sz val="10"/>
        <color theme="1"/>
        <rFont val="宋体"/>
        <charset val="134"/>
      </rPr>
      <t xml:space="preserve">）一个地城套组
</t>
    </r>
    <r>
      <rPr>
        <sz val="10"/>
        <color theme="1"/>
        <rFont val="Times New Roman"/>
        <charset val="134"/>
      </rPr>
      <t xml:space="preserve">• </t>
    </r>
    <r>
      <rPr>
        <sz val="10"/>
        <color theme="1"/>
        <rFont val="宋体"/>
        <charset val="134"/>
      </rPr>
      <t xml:space="preserve">兽皮甲、任意简易武器和两把匕首
</t>
    </r>
    <r>
      <rPr>
        <sz val="10"/>
        <color theme="1"/>
        <rFont val="Times New Roman"/>
        <charset val="134"/>
      </rPr>
      <t xml:space="preserve">• </t>
    </r>
    <r>
      <rPr>
        <sz val="10"/>
        <color theme="1"/>
        <rFont val="宋体"/>
        <charset val="134"/>
      </rPr>
      <t>一件医疗包</t>
    </r>
  </si>
  <si>
    <t>选择A或B：(A) 皮甲，4把匕首，左轮枪、50发子弹、探索套组以及11GP；或者(B) 175GP</t>
  </si>
  <si>
    <r>
      <rPr>
        <sz val="10"/>
        <color theme="1"/>
        <rFont val="宋体"/>
        <charset val="134"/>
      </rPr>
      <t>你携带以下装备（以及你背景提供的物品）开始游戏：</t>
    </r>
    <r>
      <rPr>
        <sz val="10"/>
        <color theme="1"/>
        <rFont val="Times New Roman"/>
        <charset val="134"/>
      </rPr>
      <t xml:space="preserve">
(a) 2</t>
    </r>
    <r>
      <rPr>
        <sz val="10"/>
        <color theme="1"/>
        <rFont val="宋体"/>
        <charset val="134"/>
      </rPr>
      <t>把军用武器或</t>
    </r>
    <r>
      <rPr>
        <sz val="10"/>
        <color theme="1"/>
        <rFont val="Times New Roman"/>
        <charset val="134"/>
      </rPr>
      <t>(b) 1</t>
    </r>
    <r>
      <rPr>
        <sz val="10"/>
        <color theme="1"/>
        <rFont val="宋体"/>
        <charset val="134"/>
      </rPr>
      <t>把军用武器加</t>
    </r>
    <r>
      <rPr>
        <sz val="10"/>
        <color theme="1"/>
        <rFont val="Times New Roman"/>
        <charset val="134"/>
      </rPr>
      <t>1</t>
    </r>
    <r>
      <rPr>
        <sz val="10"/>
        <color theme="1"/>
        <rFont val="宋体"/>
        <charset val="134"/>
      </rPr>
      <t>面盾牌</t>
    </r>
    <r>
      <rPr>
        <sz val="10"/>
        <color theme="1"/>
        <rFont val="Times New Roman"/>
        <charset val="134"/>
      </rPr>
      <t xml:space="preserve">
(a) </t>
    </r>
    <r>
      <rPr>
        <sz val="10"/>
        <color theme="1"/>
        <rFont val="宋体"/>
        <charset val="134"/>
      </rPr>
      <t>链甲衫或</t>
    </r>
    <r>
      <rPr>
        <sz val="10"/>
        <color theme="1"/>
        <rFont val="Times New Roman"/>
        <charset val="134"/>
      </rPr>
      <t xml:space="preserve">(b) </t>
    </r>
    <r>
      <rPr>
        <sz val="10"/>
        <color theme="1"/>
        <rFont val="宋体"/>
        <charset val="134"/>
      </rPr>
      <t>皮甲、长弓外加</t>
    </r>
    <r>
      <rPr>
        <sz val="10"/>
        <color theme="1"/>
        <rFont val="Times New Roman"/>
        <charset val="134"/>
      </rPr>
      <t>20</t>
    </r>
    <r>
      <rPr>
        <sz val="10"/>
        <color theme="1"/>
        <rFont val="宋体"/>
        <charset val="134"/>
      </rPr>
      <t>支箭矢</t>
    </r>
    <r>
      <rPr>
        <sz val="10"/>
        <color theme="1"/>
        <rFont val="Times New Roman"/>
        <charset val="134"/>
      </rPr>
      <t xml:space="preserve">
(a) </t>
    </r>
    <r>
      <rPr>
        <sz val="10"/>
        <color theme="1"/>
        <rFont val="宋体"/>
        <charset val="134"/>
      </rPr>
      <t>祭司套组或</t>
    </r>
    <r>
      <rPr>
        <sz val="10"/>
        <color theme="1"/>
        <rFont val="Times New Roman"/>
        <charset val="134"/>
      </rPr>
      <t xml:space="preserve"> (b) </t>
    </r>
    <r>
      <rPr>
        <sz val="10"/>
        <color theme="1"/>
        <rFont val="宋体"/>
        <charset val="134"/>
      </rPr>
      <t>地城套组</t>
    </r>
    <r>
      <rPr>
        <sz val="10"/>
        <color theme="1"/>
        <rFont val="Times New Roman"/>
        <charset val="134"/>
      </rPr>
      <t xml:space="preserve">
5</t>
    </r>
    <r>
      <rPr>
        <sz val="10"/>
        <color theme="1"/>
        <rFont val="宋体"/>
        <charset val="134"/>
      </rPr>
      <t>把标枪</t>
    </r>
    <r>
      <rPr>
        <sz val="10"/>
        <color theme="1"/>
        <rFont val="Times New Roman"/>
        <charset val="134"/>
      </rPr>
      <t xml:space="preserve"> 
</t>
    </r>
    <r>
      <rPr>
        <sz val="10"/>
        <color theme="1"/>
        <rFont val="宋体"/>
        <charset val="134"/>
      </rPr>
      <t>你也可以选择放弃上述装备，以</t>
    </r>
    <r>
      <rPr>
        <sz val="10"/>
        <color theme="1"/>
        <rFont val="Times New Roman"/>
        <charset val="134"/>
      </rPr>
      <t>5d4×10GP</t>
    </r>
    <r>
      <rPr>
        <sz val="10"/>
        <color theme="1"/>
        <rFont val="宋体"/>
        <charset val="134"/>
      </rPr>
      <t>开始游戏。</t>
    </r>
  </si>
  <si>
    <r>
      <rPr>
        <sz val="10"/>
        <color theme="1"/>
        <rFont val="宋体"/>
        <charset val="134"/>
      </rPr>
      <t>选择</t>
    </r>
    <r>
      <rPr>
        <sz val="10"/>
        <color theme="1"/>
        <rFont val="Times New Roman"/>
        <charset val="134"/>
      </rPr>
      <t>A</t>
    </r>
    <r>
      <rPr>
        <sz val="10"/>
        <color theme="1"/>
        <rFont val="宋体"/>
        <charset val="134"/>
      </rPr>
      <t>或</t>
    </r>
    <r>
      <rPr>
        <sz val="10"/>
        <color theme="1"/>
        <rFont val="Times New Roman"/>
        <charset val="134"/>
      </rPr>
      <t>B</t>
    </r>
    <r>
      <rPr>
        <sz val="10"/>
        <color theme="1"/>
        <rFont val="宋体"/>
        <charset val="134"/>
      </rPr>
      <t>：</t>
    </r>
    <r>
      <rPr>
        <sz val="10"/>
        <color theme="1"/>
        <rFont val="Times New Roman"/>
        <charset val="134"/>
      </rPr>
      <t xml:space="preserve">(A) </t>
    </r>
    <r>
      <rPr>
        <sz val="10"/>
        <color theme="1"/>
        <rFont val="宋体"/>
        <charset val="134"/>
      </rPr>
      <t>短棒，手斧，赌具（与上述工具熟练的种类相同），地城套组以及</t>
    </r>
    <r>
      <rPr>
        <sz val="10"/>
        <color theme="1"/>
        <rFont val="Times New Roman"/>
        <charset val="134"/>
      </rPr>
      <t>31GP</t>
    </r>
    <r>
      <rPr>
        <sz val="10"/>
        <color theme="1"/>
        <rFont val="宋体"/>
        <charset val="134"/>
      </rPr>
      <t>；或者</t>
    </r>
    <r>
      <rPr>
        <sz val="10"/>
        <color theme="1"/>
        <rFont val="Times New Roman"/>
        <charset val="134"/>
      </rPr>
      <t>(B) 50GP</t>
    </r>
  </si>
  <si>
    <r>
      <rPr>
        <sz val="10"/>
        <color theme="1"/>
        <rFont val="宋体"/>
        <charset val="134"/>
      </rPr>
      <t>蔑法道途</t>
    </r>
  </si>
  <si>
    <r>
      <rPr>
        <sz val="10"/>
        <color theme="1"/>
        <rFont val="宋体"/>
        <charset val="134"/>
      </rPr>
      <t>狂暴</t>
    </r>
  </si>
  <si>
    <r>
      <rPr>
        <sz val="10"/>
        <color theme="1"/>
        <rFont val="宋体"/>
        <charset val="134"/>
      </rPr>
      <t>你可以将名为狂暴的原初之力赋予己身，为你带来超越常规的伟力和韧性。未着装重甲时，你能够以一个附赠动作进入狂暴。</t>
    </r>
    <r>
      <rPr>
        <sz val="10"/>
        <color theme="1"/>
        <rFont val="Times New Roman"/>
        <charset val="134"/>
      </rPr>
      <t xml:space="preserve"> 
</t>
    </r>
    <r>
      <rPr>
        <sz val="10"/>
        <color theme="1"/>
        <rFont val="微软雅黑"/>
        <charset val="134"/>
      </rPr>
      <t>你可以进入狂暴的次数见野蛮人特性表中狂暴一栏。当你完成一次短休时，你重获一次已消耗的使用次数；当你完成一次长休时，你重获所有已消耗的使用次数。</t>
    </r>
    <r>
      <rPr>
        <sz val="10"/>
        <color theme="1"/>
        <rFont val="Times New Roman"/>
        <charset val="134"/>
      </rPr>
      <t xml:space="preserve"> 
</t>
    </r>
    <r>
      <rPr>
        <sz val="10"/>
        <color theme="1"/>
        <rFont val="微软雅黑"/>
        <charset val="134"/>
      </rPr>
      <t>狂暴激活期间，你将遵循以下这些规则：</t>
    </r>
    <r>
      <rPr>
        <sz val="10"/>
        <color theme="1"/>
        <rFont val="Times New Roman"/>
        <charset val="134"/>
      </rPr>
      <t xml:space="preserve"> 
</t>
    </r>
    <r>
      <rPr>
        <sz val="10"/>
        <color theme="1"/>
        <rFont val="微软雅黑"/>
        <charset val="134"/>
      </rPr>
      <t>伤害抗性</t>
    </r>
    <r>
      <rPr>
        <sz val="10"/>
        <color theme="1"/>
        <rFont val="Times New Roman"/>
        <charset val="134"/>
      </rPr>
      <t>Damage Resistance</t>
    </r>
    <r>
      <rPr>
        <sz val="10"/>
        <color theme="1"/>
        <rFont val="微软雅黑"/>
        <charset val="134"/>
      </rPr>
      <t>。你具有钝击、穿刺、挥砍伤害的抗性。</t>
    </r>
    <r>
      <rPr>
        <sz val="10"/>
        <color theme="1"/>
        <rFont val="Times New Roman"/>
        <charset val="134"/>
      </rPr>
      <t xml:space="preserve"> 
</t>
    </r>
    <r>
      <rPr>
        <sz val="10"/>
        <color theme="1"/>
        <rFont val="微软雅黑"/>
        <charset val="134"/>
      </rPr>
      <t>狂暴伤害</t>
    </r>
    <r>
      <rPr>
        <sz val="10"/>
        <color theme="1"/>
        <rFont val="Times New Roman"/>
        <charset val="134"/>
      </rPr>
      <t>Rage Damage</t>
    </r>
    <r>
      <rPr>
        <sz val="10"/>
        <color theme="1"/>
        <rFont val="微软雅黑"/>
        <charset val="134"/>
      </rPr>
      <t>。当你使用力量发动一次攻击（无论这是一次武器攻击还是一次徒手打击）并对目标造成伤害时，你的伤害掷骰获得额外加值，这个加值随着你的野蛮人等级提升，见野蛮人特性表中狂暴伤害一栏。</t>
    </r>
    <r>
      <rPr>
        <sz val="10"/>
        <color theme="1"/>
        <rFont val="Times New Roman"/>
        <charset val="134"/>
      </rPr>
      <t xml:space="preserve"> 
</t>
    </r>
    <r>
      <rPr>
        <sz val="10"/>
        <color theme="1"/>
        <rFont val="微软雅黑"/>
        <charset val="134"/>
      </rPr>
      <t>力量优势</t>
    </r>
    <r>
      <rPr>
        <sz val="10"/>
        <color theme="1"/>
        <rFont val="Times New Roman"/>
        <charset val="134"/>
      </rPr>
      <t>Strength Advantage</t>
    </r>
    <r>
      <rPr>
        <sz val="10"/>
        <color theme="1"/>
        <rFont val="微软雅黑"/>
        <charset val="134"/>
      </rPr>
      <t>。你的力量检定和力量豁免检定具有优势。</t>
    </r>
    <r>
      <rPr>
        <sz val="10"/>
        <color theme="1"/>
        <rFont val="Times New Roman"/>
        <charset val="134"/>
      </rPr>
      <t xml:space="preserve"> 
</t>
    </r>
    <r>
      <rPr>
        <sz val="10"/>
        <color theme="1"/>
        <rFont val="微软雅黑"/>
        <charset val="134"/>
      </rPr>
      <t>无法专注或施法</t>
    </r>
    <r>
      <rPr>
        <sz val="10"/>
        <color theme="1"/>
        <rFont val="Times New Roman"/>
        <charset val="134"/>
      </rPr>
      <t>No Concentration or Spells</t>
    </r>
    <r>
      <rPr>
        <sz val="10"/>
        <color theme="1"/>
        <rFont val="微软雅黑"/>
        <charset val="134"/>
      </rPr>
      <t>。你无法保持专注，也不能施展法术。</t>
    </r>
    <r>
      <rPr>
        <sz val="10"/>
        <color theme="1"/>
        <rFont val="Times New Roman"/>
        <charset val="134"/>
      </rPr>
      <t xml:space="preserve"> 
</t>
    </r>
    <r>
      <rPr>
        <sz val="10"/>
        <color theme="1"/>
        <rFont val="微软雅黑"/>
        <charset val="134"/>
      </rPr>
      <t>持续时间</t>
    </r>
    <r>
      <rPr>
        <sz val="10"/>
        <color theme="1"/>
        <rFont val="Times New Roman"/>
        <charset val="134"/>
      </rPr>
      <t>Duration</t>
    </r>
    <r>
      <rPr>
        <sz val="10"/>
        <color theme="1"/>
        <rFont val="微软雅黑"/>
        <charset val="134"/>
      </rPr>
      <t>。狂暴持续至你的下个回合结束，如果你穿戴重甲或陷入失能状态，狂暴提前结束。如果在你的下一回合狂暴仍处于激活状态，你可以通过以下的任一方式令狂暴延长一轮：</t>
    </r>
    <r>
      <rPr>
        <sz val="10"/>
        <color theme="1"/>
        <rFont val="Times New Roman"/>
        <charset val="134"/>
      </rPr>
      <t xml:space="preserve"> 
</t>
    </r>
    <r>
      <rPr>
        <sz val="10"/>
        <color theme="1"/>
        <rFont val="微软雅黑"/>
        <charset val="134"/>
      </rPr>
      <t>对一名敌人进行一次攻击检定。</t>
    </r>
    <r>
      <rPr>
        <sz val="10"/>
        <color theme="1"/>
        <rFont val="Times New Roman"/>
        <charset val="134"/>
      </rPr>
      <t xml:space="preserve">
</t>
    </r>
    <r>
      <rPr>
        <sz val="10"/>
        <color theme="1"/>
        <rFont val="微软雅黑"/>
        <charset val="134"/>
      </rPr>
      <t>迫使一名敌人进行一次豁免检定。</t>
    </r>
    <r>
      <rPr>
        <sz val="10"/>
        <color theme="1"/>
        <rFont val="Times New Roman"/>
        <charset val="134"/>
      </rPr>
      <t xml:space="preserve">
</t>
    </r>
    <r>
      <rPr>
        <sz val="10"/>
        <color theme="1"/>
        <rFont val="微软雅黑"/>
        <charset val="134"/>
      </rPr>
      <t>以一个附赠动作延长你的狂暴。</t>
    </r>
    <r>
      <rPr>
        <sz val="10"/>
        <color theme="1"/>
        <rFont val="Times New Roman"/>
        <charset val="134"/>
      </rPr>
      <t xml:space="preserve">
</t>
    </r>
    <r>
      <rPr>
        <sz val="10"/>
        <color theme="1"/>
        <rFont val="微软雅黑"/>
        <charset val="134"/>
      </rPr>
      <t>每当狂暴被延长，都会持续至你的下个回合结束。你至多可以维持狂暴</t>
    </r>
    <r>
      <rPr>
        <sz val="10"/>
        <color theme="1"/>
        <rFont val="Times New Roman"/>
        <charset val="134"/>
      </rPr>
      <t>10</t>
    </r>
    <r>
      <rPr>
        <sz val="10"/>
        <color theme="1"/>
        <rFont val="微软雅黑"/>
        <charset val="134"/>
      </rPr>
      <t>分钟。</t>
    </r>
  </si>
  <si>
    <r>
      <rPr>
        <sz val="10"/>
        <color theme="1"/>
        <rFont val="宋体"/>
        <charset val="134"/>
      </rPr>
      <t>吟游诗人激励</t>
    </r>
  </si>
  <si>
    <r>
      <rPr>
        <sz val="10"/>
        <color theme="1"/>
        <rFont val="宋体"/>
        <charset val="134"/>
      </rPr>
      <t>你可以用语言，音乐或舞蹈的形式对他人进行超自然的激励。这种激励的表现形式为数颗</t>
    </r>
    <r>
      <rPr>
        <sz val="10"/>
        <color theme="1"/>
        <rFont val="Times New Roman"/>
        <charset val="134"/>
      </rPr>
      <t>D6</t>
    </r>
    <r>
      <rPr>
        <sz val="10"/>
        <color theme="1"/>
        <rFont val="宋体"/>
        <charset val="134"/>
      </rPr>
      <t>骰，这些骰子被称为诗人激励骰。
使用诗人激励</t>
    </r>
    <r>
      <rPr>
        <sz val="10"/>
        <color theme="1"/>
        <rFont val="Times New Roman"/>
        <charset val="134"/>
      </rPr>
      <t>Using Bardic Inspriration</t>
    </r>
    <r>
      <rPr>
        <sz val="10"/>
        <color theme="1"/>
        <rFont val="宋体"/>
        <charset val="134"/>
      </rPr>
      <t>。</t>
    </r>
    <r>
      <rPr>
        <sz val="10"/>
        <color theme="1"/>
        <rFont val="Times New Roman"/>
        <charset val="134"/>
      </rPr>
      <t xml:space="preserve"> </t>
    </r>
    <r>
      <rPr>
        <sz val="10"/>
        <color theme="1"/>
        <rFont val="宋体"/>
        <charset val="134"/>
      </rPr>
      <t>以一个附赠动作，你可以激励位于你</t>
    </r>
    <r>
      <rPr>
        <sz val="10"/>
        <color theme="1"/>
        <rFont val="Times New Roman"/>
        <charset val="134"/>
      </rPr>
      <t>60</t>
    </r>
    <r>
      <rPr>
        <sz val="10"/>
        <color theme="1"/>
        <rFont val="宋体"/>
        <charset val="134"/>
      </rPr>
      <t>尺内的另一名能听见或看见你的生物。那名生物获得一枚你的诗人激励骰。一个生物同一时间只能拥有一枚诗人激励骰。在接下来的</t>
    </r>
    <r>
      <rPr>
        <sz val="10"/>
        <color theme="1"/>
        <rFont val="Times New Roman"/>
        <charset val="134"/>
      </rPr>
      <t>1</t>
    </r>
    <r>
      <rPr>
        <sz val="10"/>
        <color theme="1"/>
        <rFont val="宋体"/>
        <charset val="134"/>
      </rPr>
      <t>小时内，当那名生物在一次</t>
    </r>
    <r>
      <rPr>
        <sz val="10"/>
        <color theme="1"/>
        <rFont val="Times New Roman"/>
        <charset val="134"/>
      </rPr>
      <t>D20</t>
    </r>
    <r>
      <rPr>
        <sz val="10"/>
        <color theme="1"/>
        <rFont val="宋体"/>
        <charset val="134"/>
      </rPr>
      <t>检定中失败时，那名生物可以投掷诗人激励骰并将掷骰结果附加到该次</t>
    </r>
    <r>
      <rPr>
        <sz val="10"/>
        <color theme="1"/>
        <rFont val="Times New Roman"/>
        <charset val="134"/>
      </rPr>
      <t>d20</t>
    </r>
    <r>
      <rPr>
        <sz val="10"/>
        <color theme="1"/>
        <rFont val="宋体"/>
        <charset val="134"/>
      </rPr>
      <t>中，这可能将失败变为成功。诗人激励骰将在投掷时已消耗。</t>
    </r>
    <r>
      <rPr>
        <sz val="10"/>
        <color theme="1"/>
        <rFont val="Times New Roman"/>
        <charset val="134"/>
      </rPr>
      <t xml:space="preserve"> 
</t>
    </r>
    <r>
      <rPr>
        <sz val="10"/>
        <color theme="1"/>
        <rFont val="宋体"/>
        <charset val="134"/>
      </rPr>
      <t>使用次数</t>
    </r>
    <r>
      <rPr>
        <sz val="10"/>
        <color theme="1"/>
        <rFont val="Times New Roman"/>
        <charset val="134"/>
      </rPr>
      <t>Number of Uses</t>
    </r>
    <r>
      <rPr>
        <sz val="10"/>
        <color theme="1"/>
        <rFont val="宋体"/>
        <charset val="134"/>
      </rPr>
      <t>。</t>
    </r>
    <r>
      <rPr>
        <sz val="10"/>
        <color theme="1"/>
        <rFont val="Times New Roman"/>
        <charset val="134"/>
      </rPr>
      <t xml:space="preserve"> </t>
    </r>
    <r>
      <rPr>
        <sz val="10"/>
        <color theme="1"/>
        <rFont val="宋体"/>
        <charset val="134"/>
      </rPr>
      <t>你可以授予诗人激励骰的次数等于你的魅力调整值（最少</t>
    </r>
    <r>
      <rPr>
        <sz val="10"/>
        <color theme="1"/>
        <rFont val="Times New Roman"/>
        <charset val="134"/>
      </rPr>
      <t>1</t>
    </r>
    <r>
      <rPr>
        <sz val="10"/>
        <color theme="1"/>
        <rFont val="宋体"/>
        <charset val="134"/>
      </rPr>
      <t>次），当你完成长休时，你重获所有已消耗的使用次数。
更高等级</t>
    </r>
    <r>
      <rPr>
        <sz val="10"/>
        <color theme="1"/>
        <rFont val="Times New Roman"/>
        <charset val="134"/>
      </rPr>
      <t>At Higher Levels</t>
    </r>
    <r>
      <rPr>
        <sz val="10"/>
        <color theme="1"/>
        <rFont val="宋体"/>
        <charset val="134"/>
      </rPr>
      <t>。你的诗人激励骰会在你到达特定吟游诗人等级时改变，如吟游诗人特性表中的诗人骰所示。你的诗人骰会在</t>
    </r>
    <r>
      <rPr>
        <sz val="10"/>
        <color theme="1"/>
        <rFont val="Times New Roman"/>
        <charset val="134"/>
      </rPr>
      <t>5</t>
    </r>
    <r>
      <rPr>
        <sz val="10"/>
        <color theme="1"/>
        <rFont val="宋体"/>
        <charset val="134"/>
      </rPr>
      <t>级时变为</t>
    </r>
    <r>
      <rPr>
        <sz val="10"/>
        <color theme="1"/>
        <rFont val="Times New Roman"/>
        <charset val="134"/>
      </rPr>
      <t>d8</t>
    </r>
    <r>
      <rPr>
        <sz val="10"/>
        <color theme="1"/>
        <rFont val="宋体"/>
        <charset val="134"/>
      </rPr>
      <t>，在</t>
    </r>
    <r>
      <rPr>
        <sz val="10"/>
        <color theme="1"/>
        <rFont val="Times New Roman"/>
        <charset val="134"/>
      </rPr>
      <t>10</t>
    </r>
    <r>
      <rPr>
        <sz val="10"/>
        <color theme="1"/>
        <rFont val="宋体"/>
        <charset val="134"/>
      </rPr>
      <t>级时变为</t>
    </r>
    <r>
      <rPr>
        <sz val="10"/>
        <color theme="1"/>
        <rFont val="Times New Roman"/>
        <charset val="134"/>
      </rPr>
      <t>d10</t>
    </r>
    <r>
      <rPr>
        <sz val="10"/>
        <color theme="1"/>
        <rFont val="宋体"/>
        <charset val="134"/>
      </rPr>
      <t>，在</t>
    </r>
    <r>
      <rPr>
        <sz val="10"/>
        <color theme="1"/>
        <rFont val="Times New Roman"/>
        <charset val="134"/>
      </rPr>
      <t>15</t>
    </r>
    <r>
      <rPr>
        <sz val="10"/>
        <color theme="1"/>
        <rFont val="宋体"/>
        <charset val="134"/>
      </rPr>
      <t>级时变为</t>
    </r>
    <r>
      <rPr>
        <sz val="10"/>
        <color theme="1"/>
        <rFont val="Times New Roman"/>
        <charset val="134"/>
      </rPr>
      <t>d12</t>
    </r>
    <r>
      <rPr>
        <sz val="10"/>
        <color theme="1"/>
        <rFont val="宋体"/>
        <charset val="134"/>
      </rPr>
      <t>。</t>
    </r>
    <r>
      <rPr>
        <sz val="10"/>
        <color theme="1"/>
        <rFont val="Times New Roman"/>
        <charset val="134"/>
      </rPr>
      <t xml:space="preserve"> </t>
    </r>
  </si>
  <si>
    <r>
      <rPr>
        <sz val="10"/>
        <color theme="1"/>
        <rFont val="宋体"/>
        <charset val="134"/>
      </rPr>
      <t>施法</t>
    </r>
  </si>
  <si>
    <r>
      <rPr>
        <sz val="10"/>
        <color theme="1"/>
        <rFont val="宋体"/>
        <charset val="134"/>
      </rPr>
      <t>你通过祈祷，冥想与奉献习得如何施法。施法规则见第七章。下文将详述如何将这些规则应用于牧师法术，牧师法术详见本章后文职业描述中的牧师法术列表。</t>
    </r>
  </si>
  <si>
    <r>
      <rPr>
        <sz val="10"/>
        <color theme="1"/>
        <rFont val="宋体"/>
        <charset val="134"/>
      </rPr>
      <t>你通过研究自然的神秘伟力学会了如何施展法术。施法规则见第七章。下文将详述如何将这些规则应用于德鲁伊法术，德鲁伊法术详见本章后文职业描述中的德鲁伊法术列表。</t>
    </r>
  </si>
  <si>
    <r>
      <rPr>
        <sz val="10"/>
        <color theme="1"/>
        <rFont val="宋体"/>
        <charset val="134"/>
      </rPr>
      <t>战斗风格</t>
    </r>
  </si>
  <si>
    <r>
      <rPr>
        <sz val="10"/>
        <color theme="1"/>
        <rFont val="宋体"/>
        <charset val="134"/>
      </rPr>
      <t>你不断磨练你的武艺。你获得一项你选择的战斗风格专长（见第五章）。推荐选择防御。
每当你获得战士等级时，你可以将其改为另一个战斗风格专长。</t>
    </r>
  </si>
  <si>
    <r>
      <rPr>
        <sz val="10"/>
        <color theme="1"/>
        <rFont val="宋体"/>
        <charset val="134"/>
      </rPr>
      <t>武艺</t>
    </r>
  </si>
  <si>
    <r>
      <rPr>
        <sz val="10"/>
        <color theme="1"/>
        <rFont val="宋体"/>
        <charset val="134"/>
      </rPr>
      <t>你的武艺修行让你将徒手打击与武僧武器的使用方式烂熟于心。武僧武器包括：
简易近战武器
拥有轻型词条的军用近战武器
未着装任何护甲也没持用盾牌时，如果你徒手或只持用武僧武器，则你获得下列增益：
附赠徒手打击</t>
    </r>
    <r>
      <rPr>
        <sz val="10"/>
        <color theme="1"/>
        <rFont val="Times New Roman"/>
        <charset val="134"/>
      </rPr>
      <t>Bonus Unarmed Strike</t>
    </r>
    <r>
      <rPr>
        <sz val="10"/>
        <color theme="1"/>
        <rFont val="宋体"/>
        <charset val="134"/>
      </rPr>
      <t>。你可以用附赠动作发动一次徒手打击。　
武艺骰</t>
    </r>
    <r>
      <rPr>
        <sz val="10"/>
        <color theme="1"/>
        <rFont val="Times New Roman"/>
        <charset val="134"/>
      </rPr>
      <t>Martial Arts Die</t>
    </r>
    <r>
      <rPr>
        <sz val="10"/>
        <color theme="1"/>
        <rFont val="宋体"/>
        <charset val="134"/>
      </rPr>
      <t>。你使用徒手打击或武僧武器进行攻击时，可以选择用</t>
    </r>
    <r>
      <rPr>
        <sz val="10"/>
        <color theme="1"/>
        <rFont val="Times New Roman"/>
        <charset val="134"/>
      </rPr>
      <t>1d6</t>
    </r>
    <r>
      <rPr>
        <sz val="10"/>
        <color theme="1"/>
        <rFont val="宋体"/>
        <charset val="134"/>
      </rPr>
      <t>骰代替原本的伤害骰。该骰子将随武僧职业等级的提升而增大，具体数据见武僧特性表中的武艺骰一列。
敏捷攻击</t>
    </r>
    <r>
      <rPr>
        <sz val="10"/>
        <color theme="1"/>
        <rFont val="Times New Roman"/>
        <charset val="134"/>
      </rPr>
      <t>Dexterous Attacks</t>
    </r>
    <r>
      <rPr>
        <sz val="10"/>
        <color theme="1"/>
        <rFont val="宋体"/>
        <charset val="134"/>
      </rPr>
      <t>。你使用徒手打击或武僧武器进行攻击时，可以用敏捷代替力量进行攻击检定和伤害掷骰。此外，当你使用徒手打击的擒抱或推撞选项时，你也可以使用你的敏捷代替力量决定豁免</t>
    </r>
    <r>
      <rPr>
        <sz val="10"/>
        <color theme="1"/>
        <rFont val="Times New Roman"/>
        <charset val="134"/>
      </rPr>
      <t>DC</t>
    </r>
    <r>
      <rPr>
        <sz val="10"/>
        <color theme="1"/>
        <rFont val="宋体"/>
        <charset val="134"/>
      </rPr>
      <t>。</t>
    </r>
  </si>
  <si>
    <r>
      <rPr>
        <sz val="10"/>
        <color theme="1"/>
        <rFont val="宋体"/>
        <charset val="134"/>
      </rPr>
      <t>圣疗</t>
    </r>
  </si>
  <si>
    <r>
      <rPr>
        <sz val="10"/>
        <color theme="1"/>
        <rFont val="宋体"/>
        <charset val="134"/>
      </rPr>
      <t>你的触碰溢满祝福，可以医治伤口。你获得一个治疗能量池，其内的治疗能量在每次完成长休后自动补满。治疗能量池储备的可恢复生命值总值等于你的圣武士职业等级</t>
    </r>
    <r>
      <rPr>
        <sz val="10"/>
        <color theme="1"/>
        <rFont val="Times New Roman"/>
        <charset val="134"/>
      </rPr>
      <t>×5</t>
    </r>
    <r>
      <rPr>
        <sz val="10"/>
        <color theme="1"/>
        <rFont val="宋体"/>
        <charset val="134"/>
      </rPr>
      <t>。
你能够以一个附赠动作触碰一个生物（可以是你自己），并抽取治疗能量池中的能量恢复该生物的生命值，其恢复量最多等于你治疗能量池中剩余的治疗量。
此外，你也可以使用</t>
    </r>
    <r>
      <rPr>
        <sz val="10"/>
        <color theme="1"/>
        <rFont val="Times New Roman"/>
        <charset val="134"/>
      </rPr>
      <t>5</t>
    </r>
    <r>
      <rPr>
        <sz val="10"/>
        <color theme="1"/>
        <rFont val="宋体"/>
        <charset val="134"/>
      </rPr>
      <t>点治疗量来移除目标身上的中毒状态，而非恢复生命值。</t>
    </r>
  </si>
  <si>
    <r>
      <rPr>
        <sz val="10"/>
        <color theme="1"/>
        <rFont val="宋体"/>
        <charset val="134"/>
      </rPr>
      <t>你学会运用自然世界的魔法本源进行施法。施法规则见第七章。下文将详述如何将这些规则应用于游侠法术，游侠法术详见本章后文职业描述中的游侠法术表。</t>
    </r>
  </si>
  <si>
    <r>
      <rPr>
        <sz val="10"/>
        <color theme="1"/>
        <rFont val="宋体"/>
        <charset val="134"/>
      </rPr>
      <t>专精</t>
    </r>
  </si>
  <si>
    <r>
      <rPr>
        <sz val="10"/>
        <color theme="1"/>
        <rFont val="宋体"/>
        <charset val="134"/>
      </rPr>
      <t>你获得两项由你选择的你已熟练的技能的专精。
如果你有这两项技能的熟练的话，推荐选择巧手和隐匿。
当你的游荡者等级为</t>
    </r>
    <r>
      <rPr>
        <sz val="10"/>
        <color theme="1"/>
        <rFont val="Times New Roman"/>
        <charset val="134"/>
      </rPr>
      <t>6</t>
    </r>
    <r>
      <rPr>
        <sz val="10"/>
        <color theme="1"/>
        <rFont val="宋体"/>
        <charset val="134"/>
      </rPr>
      <t>级时，你额外再获得两项由你选择的你已熟练的技能的专精。</t>
    </r>
  </si>
  <si>
    <r>
      <rPr>
        <sz val="10"/>
        <color theme="1"/>
        <rFont val="宋体"/>
        <charset val="134"/>
      </rPr>
      <t>你从你的天生魔法汲取魔力用于施展法术。参见第</t>
    </r>
    <r>
      <rPr>
        <sz val="10"/>
        <color theme="1"/>
        <rFont val="Times New Roman"/>
        <charset val="134"/>
      </rPr>
      <t>7</t>
    </r>
    <r>
      <rPr>
        <sz val="10"/>
        <color theme="1"/>
        <rFont val="宋体"/>
        <charset val="134"/>
      </rPr>
      <t>章有关施法的规则。下述信息将详述如何将这些规则应用于术士法术，术士法术详见本章后文职业描述中的术士法表。</t>
    </r>
  </si>
  <si>
    <r>
      <rPr>
        <sz val="10"/>
        <color theme="1"/>
        <rFont val="宋体"/>
        <charset val="134"/>
      </rPr>
      <t>魔能祈唤</t>
    </r>
  </si>
  <si>
    <r>
      <rPr>
        <sz val="10"/>
        <color theme="1"/>
        <rFont val="宋体"/>
        <charset val="134"/>
      </rPr>
      <t>你在神秘学识的研习过程中发掘出了使用魔能祈唤的方式，这些禁忌的知识残章让你获得了持久的魔法能力。你获得一个自选的魔能祈唤，如书之魔契</t>
    </r>
    <r>
      <rPr>
        <sz val="10"/>
        <color theme="1"/>
        <rFont val="Times New Roman"/>
        <charset val="134"/>
      </rPr>
      <t>Pact of the Tome</t>
    </r>
    <r>
      <rPr>
        <sz val="10"/>
        <color theme="1"/>
        <rFont val="宋体"/>
        <charset val="134"/>
      </rPr>
      <t>（详见后文</t>
    </r>
    <r>
      <rPr>
        <sz val="10"/>
        <color theme="1"/>
        <rFont val="Times New Roman"/>
        <charset val="134"/>
      </rPr>
      <t>“</t>
    </r>
    <r>
      <rPr>
        <sz val="10"/>
        <color theme="1"/>
        <rFont val="宋体"/>
        <charset val="134"/>
      </rPr>
      <t>魔能祈唤选项</t>
    </r>
    <r>
      <rPr>
        <sz val="10"/>
        <color theme="1"/>
        <rFont val="Times New Roman"/>
        <charset val="134"/>
      </rPr>
      <t>“</t>
    </r>
    <r>
      <rPr>
        <sz val="10"/>
        <color theme="1"/>
        <rFont val="宋体"/>
        <charset val="134"/>
      </rPr>
      <t>）。
先决</t>
    </r>
    <r>
      <rPr>
        <sz val="10"/>
        <color theme="1"/>
        <rFont val="Times New Roman"/>
        <charset val="134"/>
      </rPr>
      <t>Prerequisites</t>
    </r>
    <r>
      <rPr>
        <sz val="10"/>
        <color theme="1"/>
        <rFont val="宋体"/>
        <charset val="134"/>
      </rPr>
      <t>。如果一个魔能祈唤具有先决，那你必须满足它才能选取。例如，若一个魔能祈唤需要你具有魔契师等级</t>
    </r>
    <r>
      <rPr>
        <sz val="10"/>
        <color theme="1"/>
        <rFont val="Times New Roman"/>
        <charset val="134"/>
      </rPr>
      <t>5+</t>
    </r>
    <r>
      <rPr>
        <sz val="10"/>
        <color theme="1"/>
        <rFont val="宋体"/>
        <charset val="134"/>
      </rPr>
      <t>，你在魔契师到达</t>
    </r>
    <r>
      <rPr>
        <sz val="10"/>
        <color theme="1"/>
        <rFont val="Times New Roman"/>
        <charset val="134"/>
      </rPr>
      <t>5</t>
    </r>
    <r>
      <rPr>
        <sz val="10"/>
        <color theme="1"/>
        <rFont val="宋体"/>
        <charset val="134"/>
      </rPr>
      <t>级时才可以选择该祈唤。
替换与获取魔能祈唤</t>
    </r>
    <r>
      <rPr>
        <sz val="10"/>
        <color theme="1"/>
        <rFont val="Times New Roman"/>
        <charset val="134"/>
      </rPr>
      <t>Replacing and Gaining Invocation</t>
    </r>
    <r>
      <rPr>
        <sz val="10"/>
        <color theme="1"/>
        <rFont val="宋体"/>
        <charset val="134"/>
      </rPr>
      <t>。每当你获得一级魔契师等级时，你都可以用新的祈唤替换一个已学会的祈唤，但你必须满足其先决条件。如果某个祈唤是另一个祈唤的先决条件，那你无法替换它。
当你到达特定的魔契师等级时，你还可以习得更多的魔能祈唤，具体数据见魔契师特性表中</t>
    </r>
    <r>
      <rPr>
        <sz val="10"/>
        <color theme="1"/>
        <rFont val="Times New Roman"/>
        <charset val="134"/>
      </rPr>
      <t>“</t>
    </r>
    <r>
      <rPr>
        <sz val="10"/>
        <color theme="1"/>
        <rFont val="宋体"/>
        <charset val="134"/>
      </rPr>
      <t>祈唤</t>
    </r>
    <r>
      <rPr>
        <sz val="10"/>
        <color theme="1"/>
        <rFont val="Times New Roman"/>
        <charset val="134"/>
      </rPr>
      <t>”</t>
    </r>
    <r>
      <rPr>
        <sz val="10"/>
        <color theme="1"/>
        <rFont val="宋体"/>
        <charset val="134"/>
      </rPr>
      <t>一栏。
你不能多次重复选择同一个魔能祈唤，除非该祈唤的描述另有说明。</t>
    </r>
  </si>
  <si>
    <r>
      <rPr>
        <sz val="10"/>
        <color theme="1"/>
        <rFont val="宋体"/>
        <charset val="134"/>
      </rPr>
      <t>你已经入门了奥术魔法，学会了如何施展法术。施法规则见第七章。下文将详述如何将这些规则应用于法师法术，法师法术详见本章后文职业描述中的法师法术表。</t>
    </r>
  </si>
  <si>
    <t>工艺魔法</t>
  </si>
  <si>
    <r>
      <rPr>
        <sz val="10"/>
        <color theme="1"/>
        <rFont val="宋体"/>
        <charset val="134"/>
      </rPr>
      <t>你习得戏法修复术</t>
    </r>
    <r>
      <rPr>
        <sz val="10"/>
        <color theme="1"/>
        <rFont val="Times New Roman"/>
        <charset val="134"/>
      </rPr>
      <t>Mending</t>
    </r>
    <r>
      <rPr>
        <sz val="10"/>
        <color theme="1"/>
        <rFont val="宋体"/>
        <charset val="134"/>
      </rPr>
      <t>。</t>
    </r>
    <r>
      <rPr>
        <sz val="10"/>
        <color theme="1"/>
        <rFont val="Times New Roman"/>
        <charset val="134"/>
      </rPr>
      <t xml:space="preserve">
</t>
    </r>
    <r>
      <rPr>
        <sz val="10"/>
        <color theme="1"/>
        <rFont val="宋体"/>
        <charset val="134"/>
      </rPr>
      <t>你可以在持握修补工具时以一个魔法动作，在你自身</t>
    </r>
    <r>
      <rPr>
        <sz val="10"/>
        <color theme="1"/>
        <rFont val="Times New Roman"/>
        <charset val="134"/>
      </rPr>
      <t>5</t>
    </r>
    <r>
      <rPr>
        <sz val="10"/>
        <color theme="1"/>
        <rFont val="宋体"/>
        <charset val="134"/>
      </rPr>
      <t>尺内一个未占据空间创造一件物品，从下表中选择这件物品：</t>
    </r>
    <r>
      <rPr>
        <sz val="10"/>
        <color theme="1"/>
        <rFont val="Times New Roman"/>
        <charset val="134"/>
      </rPr>
      <t xml:space="preserve">
</t>
    </r>
    <r>
      <rPr>
        <sz val="10"/>
        <color theme="1"/>
        <rFont val="宋体"/>
        <charset val="134"/>
      </rPr>
      <t>滚珠</t>
    </r>
    <r>
      <rPr>
        <sz val="10"/>
        <color theme="1"/>
        <rFont val="Times New Roman"/>
        <charset val="134"/>
      </rPr>
      <t xml:space="preserve"> </t>
    </r>
    <r>
      <rPr>
        <sz val="10"/>
        <color theme="1"/>
        <rFont val="宋体"/>
        <charset val="134"/>
      </rPr>
      <t>扁瓶</t>
    </r>
    <r>
      <rPr>
        <sz val="10"/>
        <color theme="1"/>
        <rFont val="Times New Roman"/>
        <charset val="134"/>
      </rPr>
      <t xml:space="preserve"> </t>
    </r>
    <r>
      <rPr>
        <sz val="10"/>
        <color theme="1"/>
        <rFont val="宋体"/>
        <charset val="134"/>
      </rPr>
      <t>小包</t>
    </r>
    <r>
      <rPr>
        <sz val="10"/>
        <color theme="1"/>
        <rFont val="Times New Roman"/>
        <charset val="134"/>
      </rPr>
      <t xml:space="preserve"> 
</t>
    </r>
    <r>
      <rPr>
        <sz val="10"/>
        <color theme="1"/>
        <rFont val="宋体"/>
        <charset val="134"/>
      </rPr>
      <t>篮子</t>
    </r>
    <r>
      <rPr>
        <sz val="10"/>
        <color theme="1"/>
        <rFont val="Times New Roman"/>
        <charset val="134"/>
      </rPr>
      <t xml:space="preserve"> </t>
    </r>
    <r>
      <rPr>
        <sz val="10"/>
        <color theme="1"/>
        <rFont val="宋体"/>
        <charset val="134"/>
      </rPr>
      <t>爪钩</t>
    </r>
    <r>
      <rPr>
        <sz val="10"/>
        <color theme="1"/>
        <rFont val="Times New Roman"/>
        <charset val="134"/>
      </rPr>
      <t xml:space="preserve"> </t>
    </r>
    <r>
      <rPr>
        <sz val="10"/>
        <color theme="1"/>
        <rFont val="宋体"/>
        <charset val="134"/>
      </rPr>
      <t>绳索</t>
    </r>
    <r>
      <rPr>
        <sz val="10"/>
        <color theme="1"/>
        <rFont val="Times New Roman"/>
        <charset val="134"/>
      </rPr>
      <t xml:space="preserve"> 
</t>
    </r>
    <r>
      <rPr>
        <sz val="10"/>
        <color theme="1"/>
        <rFont val="宋体"/>
        <charset val="134"/>
      </rPr>
      <t>铺盖</t>
    </r>
    <r>
      <rPr>
        <sz val="10"/>
        <color theme="1"/>
        <rFont val="Times New Roman"/>
        <charset val="134"/>
      </rPr>
      <t xml:space="preserve"> </t>
    </r>
    <r>
      <rPr>
        <sz val="10"/>
        <color theme="1"/>
        <rFont val="宋体"/>
        <charset val="134"/>
      </rPr>
      <t>捕猎陷阱</t>
    </r>
    <r>
      <rPr>
        <sz val="10"/>
        <color theme="1"/>
        <rFont val="Times New Roman"/>
        <charset val="134"/>
      </rPr>
      <t xml:space="preserve"> </t>
    </r>
    <r>
      <rPr>
        <sz val="10"/>
        <color theme="1"/>
        <rFont val="宋体"/>
        <charset val="134"/>
      </rPr>
      <t>麻袋</t>
    </r>
    <r>
      <rPr>
        <sz val="10"/>
        <color theme="1"/>
        <rFont val="Times New Roman"/>
        <charset val="134"/>
      </rPr>
      <t xml:space="preserve"> 
</t>
    </r>
    <r>
      <rPr>
        <sz val="10"/>
        <color theme="1"/>
        <rFont val="宋体"/>
        <charset val="134"/>
      </rPr>
      <t>铃铛</t>
    </r>
    <r>
      <rPr>
        <sz val="10"/>
        <color theme="1"/>
        <rFont val="Times New Roman"/>
        <charset val="134"/>
      </rPr>
      <t xml:space="preserve"> </t>
    </r>
    <r>
      <rPr>
        <sz val="10"/>
        <color theme="1"/>
        <rFont val="宋体"/>
        <charset val="134"/>
      </rPr>
      <t>壶</t>
    </r>
    <r>
      <rPr>
        <sz val="10"/>
        <color theme="1"/>
        <rFont val="Times New Roman"/>
        <charset val="134"/>
      </rPr>
      <t xml:space="preserve"> </t>
    </r>
    <r>
      <rPr>
        <sz val="10"/>
        <color theme="1"/>
        <rFont val="宋体"/>
        <charset val="134"/>
      </rPr>
      <t>铲子</t>
    </r>
    <r>
      <rPr>
        <sz val="10"/>
        <color theme="1"/>
        <rFont val="Times New Roman"/>
        <charset val="134"/>
      </rPr>
      <t xml:space="preserve"> 
</t>
    </r>
    <r>
      <rPr>
        <sz val="10"/>
        <color theme="1"/>
        <rFont val="宋体"/>
        <charset val="134"/>
      </rPr>
      <t>毯子</t>
    </r>
    <r>
      <rPr>
        <sz val="10"/>
        <color theme="1"/>
        <rFont val="Times New Roman"/>
        <charset val="134"/>
      </rPr>
      <t xml:space="preserve"> </t>
    </r>
    <r>
      <rPr>
        <sz val="10"/>
        <color theme="1"/>
        <rFont val="宋体"/>
        <charset val="134"/>
      </rPr>
      <t>油灯</t>
    </r>
    <r>
      <rPr>
        <sz val="10"/>
        <color theme="1"/>
        <rFont val="Times New Roman"/>
        <charset val="134"/>
      </rPr>
      <t xml:space="preserve"> </t>
    </r>
    <r>
      <rPr>
        <sz val="10"/>
        <color theme="1"/>
        <rFont val="宋体"/>
        <charset val="134"/>
      </rPr>
      <t>铁钉</t>
    </r>
    <r>
      <rPr>
        <sz val="10"/>
        <color theme="1"/>
        <rFont val="Times New Roman"/>
        <charset val="134"/>
      </rPr>
      <t xml:space="preserve"> 
</t>
    </r>
    <r>
      <rPr>
        <sz val="10"/>
        <color theme="1"/>
        <rFont val="宋体"/>
        <charset val="134"/>
      </rPr>
      <t>滑轮组</t>
    </r>
    <r>
      <rPr>
        <sz val="10"/>
        <color theme="1"/>
        <rFont val="Times New Roman"/>
        <charset val="134"/>
      </rPr>
      <t xml:space="preserve"> </t>
    </r>
    <r>
      <rPr>
        <sz val="10"/>
        <color theme="1"/>
        <rFont val="宋体"/>
        <charset val="134"/>
      </rPr>
      <t>镣铐</t>
    </r>
    <r>
      <rPr>
        <sz val="10"/>
        <color theme="1"/>
        <rFont val="Times New Roman"/>
        <charset val="134"/>
      </rPr>
      <t xml:space="preserve"> </t>
    </r>
    <r>
      <rPr>
        <sz val="10"/>
        <color theme="1"/>
        <rFont val="宋体"/>
        <charset val="134"/>
      </rPr>
      <t>细线</t>
    </r>
    <r>
      <rPr>
        <sz val="10"/>
        <color theme="1"/>
        <rFont val="Times New Roman"/>
        <charset val="134"/>
      </rPr>
      <t xml:space="preserve"> 
</t>
    </r>
    <r>
      <rPr>
        <sz val="10"/>
        <color theme="1"/>
        <rFont val="宋体"/>
        <charset val="134"/>
      </rPr>
      <t>玻璃瓶</t>
    </r>
    <r>
      <rPr>
        <sz val="10"/>
        <color theme="1"/>
        <rFont val="Times New Roman"/>
        <charset val="134"/>
      </rPr>
      <t xml:space="preserve"> </t>
    </r>
    <r>
      <rPr>
        <sz val="10"/>
        <color theme="1"/>
        <rFont val="宋体"/>
        <charset val="134"/>
      </rPr>
      <t>捕网</t>
    </r>
    <r>
      <rPr>
        <sz val="10"/>
        <color theme="1"/>
        <rFont val="Times New Roman"/>
        <charset val="134"/>
      </rPr>
      <t xml:space="preserve"> </t>
    </r>
    <r>
      <rPr>
        <sz val="10"/>
        <color theme="1"/>
        <rFont val="宋体"/>
        <charset val="134"/>
      </rPr>
      <t>火绒盒</t>
    </r>
    <r>
      <rPr>
        <sz val="10"/>
        <color theme="1"/>
        <rFont val="Times New Roman"/>
        <charset val="134"/>
      </rPr>
      <t xml:space="preserve"> 
</t>
    </r>
    <r>
      <rPr>
        <sz val="10"/>
        <color theme="1"/>
        <rFont val="宋体"/>
        <charset val="134"/>
      </rPr>
      <t>吊桶</t>
    </r>
    <r>
      <rPr>
        <sz val="10"/>
        <color theme="1"/>
        <rFont val="Times New Roman"/>
        <charset val="134"/>
      </rPr>
      <t xml:space="preserve"> </t>
    </r>
    <r>
      <rPr>
        <sz val="10"/>
        <color theme="1"/>
        <rFont val="宋体"/>
        <charset val="134"/>
      </rPr>
      <t>燃油</t>
    </r>
    <r>
      <rPr>
        <sz val="10"/>
        <color theme="1"/>
        <rFont val="Times New Roman"/>
        <charset val="134"/>
      </rPr>
      <t xml:space="preserve"> </t>
    </r>
    <r>
      <rPr>
        <sz val="10"/>
        <color theme="1"/>
        <rFont val="宋体"/>
        <charset val="134"/>
      </rPr>
      <t>火把</t>
    </r>
    <r>
      <rPr>
        <sz val="10"/>
        <color theme="1"/>
        <rFont val="Times New Roman"/>
        <charset val="134"/>
      </rPr>
      <t xml:space="preserve"> 
</t>
    </r>
    <r>
      <rPr>
        <sz val="10"/>
        <color theme="1"/>
        <rFont val="宋体"/>
        <charset val="134"/>
      </rPr>
      <t>铁蒺藜</t>
    </r>
    <r>
      <rPr>
        <sz val="10"/>
        <color theme="1"/>
        <rFont val="Times New Roman"/>
        <charset val="134"/>
      </rPr>
      <t xml:space="preserve"> </t>
    </r>
    <r>
      <rPr>
        <sz val="10"/>
        <color theme="1"/>
        <rFont val="宋体"/>
        <charset val="134"/>
      </rPr>
      <t>纸张</t>
    </r>
    <r>
      <rPr>
        <sz val="10"/>
        <color theme="1"/>
        <rFont val="Times New Roman"/>
        <charset val="134"/>
      </rPr>
      <t xml:space="preserve"> </t>
    </r>
    <r>
      <rPr>
        <sz val="10"/>
        <color theme="1"/>
        <rFont val="宋体"/>
        <charset val="134"/>
      </rPr>
      <t>小瓶</t>
    </r>
    <r>
      <rPr>
        <sz val="10"/>
        <color theme="1"/>
        <rFont val="Times New Roman"/>
        <charset val="134"/>
      </rPr>
      <t xml:space="preserve"> 
</t>
    </r>
    <r>
      <rPr>
        <sz val="10"/>
        <color theme="1"/>
        <rFont val="宋体"/>
        <charset val="134"/>
      </rPr>
      <t>蜡烛</t>
    </r>
    <r>
      <rPr>
        <sz val="10"/>
        <color theme="1"/>
        <rFont val="Times New Roman"/>
        <charset val="134"/>
      </rPr>
      <t xml:space="preserve"> </t>
    </r>
    <r>
      <rPr>
        <sz val="10"/>
        <color theme="1"/>
        <rFont val="宋体"/>
        <charset val="134"/>
      </rPr>
      <t>羊皮纸</t>
    </r>
    <r>
      <rPr>
        <sz val="10"/>
        <color theme="1"/>
        <rFont val="Times New Roman"/>
        <charset val="134"/>
      </rPr>
      <t xml:space="preserve">  
</t>
    </r>
    <r>
      <rPr>
        <sz val="10"/>
        <color theme="1"/>
        <rFont val="宋体"/>
        <charset val="134"/>
      </rPr>
      <t>撬棍</t>
    </r>
    <r>
      <rPr>
        <sz val="10"/>
        <color theme="1"/>
        <rFont val="Times New Roman"/>
        <charset val="134"/>
      </rPr>
      <t xml:space="preserve"> </t>
    </r>
    <r>
      <rPr>
        <sz val="10"/>
        <color theme="1"/>
        <rFont val="宋体"/>
        <charset val="134"/>
      </rPr>
      <t>长杆</t>
    </r>
    <r>
      <rPr>
        <sz val="10"/>
        <color theme="1"/>
        <rFont val="Times New Roman"/>
        <charset val="134"/>
      </rPr>
      <t xml:space="preserve">  
</t>
    </r>
    <r>
      <rPr>
        <sz val="10"/>
        <color theme="1"/>
        <rFont val="宋体"/>
        <charset val="134"/>
      </rPr>
      <t>对应物品的规则见《玩家手册》。该特性创造的物品将在你完成一次长休时消失。</t>
    </r>
    <r>
      <rPr>
        <sz val="10"/>
        <color theme="1"/>
        <rFont val="Times New Roman"/>
        <charset val="134"/>
      </rPr>
      <t xml:space="preserve">
</t>
    </r>
    <r>
      <rPr>
        <sz val="10"/>
        <color theme="1"/>
        <rFont val="宋体"/>
        <charset val="134"/>
      </rPr>
      <t>你可以使用此特性的次数等于你的智力调整值</t>
    </r>
    <r>
      <rPr>
        <sz val="10"/>
        <color theme="1"/>
        <rFont val="Times New Roman"/>
        <charset val="134"/>
      </rPr>
      <t>(</t>
    </r>
    <r>
      <rPr>
        <sz val="10"/>
        <color theme="1"/>
        <rFont val="宋体"/>
        <charset val="134"/>
      </rPr>
      <t>最少一次</t>
    </r>
    <r>
      <rPr>
        <sz val="10"/>
        <color theme="1"/>
        <rFont val="Times New Roman"/>
        <charset val="134"/>
      </rPr>
      <t>)</t>
    </r>
    <r>
      <rPr>
        <sz val="10"/>
        <color theme="1"/>
        <rFont val="宋体"/>
        <charset val="134"/>
      </rPr>
      <t>，你会在完成一次长休后恢复所有已使用的次数。</t>
    </r>
  </si>
  <si>
    <r>
      <rPr>
        <sz val="10"/>
        <color theme="1"/>
        <rFont val="宋体"/>
        <charset val="134"/>
      </rPr>
      <t>你学会了如何使用心灵之力引导魔法力量。施法规则见玩家手册，下文将详述如何将这些规则应用于灵能使法术，灵能使法术详见本章后文职业描述中的灵能使法术列表。</t>
    </r>
  </si>
  <si>
    <r>
      <rPr>
        <sz val="10"/>
        <color theme="1"/>
        <rFont val="宋体"/>
        <charset val="134"/>
      </rPr>
      <t>猎人之苦</t>
    </r>
  </si>
  <si>
    <r>
      <rPr>
        <sz val="10"/>
        <color theme="1"/>
        <rFont val="宋体"/>
        <charset val="134"/>
      </rPr>
      <t>你从猎人之苦之中生还</t>
    </r>
    <r>
      <rPr>
        <sz val="10"/>
        <color theme="1"/>
        <rFont val="Times New Roman"/>
        <charset val="134"/>
      </rPr>
      <t>——</t>
    </r>
    <r>
      <rPr>
        <sz val="10"/>
        <color theme="1"/>
        <rFont val="宋体"/>
        <charset val="134"/>
      </rPr>
      <t>那是一个危险而漫长的仪式，它扭曲你的生命之血，使你与黑暗永远为伴，且磨砺你的感官以对抗它们。你在追踪妖精、邪魔或亡灵的感知（求生）检定，以及获知它们的信息的智力检定中具有优势。
猎人之苦也使你的身体能够以你自己的血液与生命精华作为燃料，来操控并塑造鲜血降咒之魔法。你的部分特性要求你的目标进行豁免检定以对抗该特性的效果。豁免</t>
    </r>
    <r>
      <rPr>
        <sz val="10"/>
        <color theme="1"/>
        <rFont val="Times New Roman"/>
        <charset val="134"/>
      </rPr>
      <t xml:space="preserve"> DC </t>
    </r>
    <r>
      <rPr>
        <sz val="10"/>
        <color theme="1"/>
        <rFont val="宋体"/>
        <charset val="134"/>
      </rPr>
      <t>的计算式为：鲜血秘法豁免</t>
    </r>
    <r>
      <rPr>
        <sz val="10"/>
        <color theme="1"/>
        <rFont val="Times New Roman"/>
        <charset val="134"/>
      </rPr>
      <t xml:space="preserve"> DC = 8 + </t>
    </r>
    <r>
      <rPr>
        <sz val="10"/>
        <color theme="1"/>
        <rFont val="宋体"/>
        <charset val="134"/>
      </rPr>
      <t>你的熟练加值</t>
    </r>
    <r>
      <rPr>
        <sz val="10"/>
        <color theme="1"/>
        <rFont val="Times New Roman"/>
        <charset val="134"/>
      </rPr>
      <t xml:space="preserve"> + </t>
    </r>
    <r>
      <rPr>
        <sz val="10"/>
        <color theme="1"/>
        <rFont val="宋体"/>
        <charset val="134"/>
      </rPr>
      <t>你的智力调整值</t>
    </r>
  </si>
  <si>
    <r>
      <rPr>
        <sz val="10"/>
        <color theme="1"/>
        <rFont val="宋体"/>
        <charset val="134"/>
      </rPr>
      <t>药剂师施法</t>
    </r>
  </si>
  <si>
    <r>
      <rPr>
        <sz val="10"/>
        <color theme="1"/>
        <rFont val="宋体"/>
        <charset val="134"/>
      </rPr>
      <t>你的奥术研究使你能熟练地施展魔法。关于施法规则请查阅核心规则，关于药剂师法术列表请参阅本书中的法术清单。</t>
    </r>
  </si>
  <si>
    <t>战斗风格</t>
  </si>
  <si>
    <t>你获得一项你选择的战斗风格专长。若你选择了一项要求你单手或双手持握近战武器的专长（如巨武器战斗），你可以在持握远程武器时使用该专长。
每当你获得铳士等级时，你可以将其改为另一个战斗风格专长。</t>
  </si>
  <si>
    <t>极恶禁令</t>
  </si>
  <si>
    <r>
      <rPr>
        <sz val="10"/>
        <color theme="1"/>
        <rFont val="宋体"/>
        <charset val="134"/>
      </rPr>
      <t>你获得以九狱之力责难生物的能力。每个你的回合一次，你可以将一个魔法缄印施加在一名位于你</t>
    </r>
    <r>
      <rPr>
        <sz val="10"/>
        <color theme="1"/>
        <rFont val="Times New Roman"/>
        <charset val="134"/>
      </rPr>
      <t>30</t>
    </r>
    <r>
      <rPr>
        <sz val="10"/>
        <color theme="1"/>
        <rFont val="宋体"/>
        <charset val="134"/>
      </rPr>
      <t>尺内的生物身上。你可以在以一次武器攻击命中目标时施加缄印（无需动作），或是以一个附赠动作将缄印施加给距离内的可见目标。缄印存在</t>
    </r>
    <r>
      <rPr>
        <sz val="10"/>
        <color theme="1"/>
        <rFont val="Times New Roman"/>
        <charset val="134"/>
      </rPr>
      <t>1</t>
    </r>
    <r>
      <rPr>
        <sz val="10"/>
        <color theme="1"/>
        <rFont val="宋体"/>
        <charset val="134"/>
      </rPr>
      <t>分钟或在你焚灭缄印（见下方</t>
    </r>
    <r>
      <rPr>
        <sz val="10"/>
        <color theme="1"/>
        <rFont val="Times New Roman"/>
        <charset val="134"/>
      </rPr>
      <t>“</t>
    </r>
    <r>
      <rPr>
        <sz val="10"/>
        <color theme="1"/>
        <rFont val="宋体"/>
        <charset val="134"/>
      </rPr>
      <t>焚灭缄印</t>
    </r>
    <r>
      <rPr>
        <sz val="10"/>
        <color theme="1"/>
        <rFont val="Times New Roman"/>
        <charset val="134"/>
      </rPr>
      <t>”</t>
    </r>
    <r>
      <rPr>
        <sz val="10"/>
        <color theme="1"/>
        <rFont val="宋体"/>
        <charset val="134"/>
      </rPr>
      <t>）时提前消失。一名具有至少一枚缄印的生物被称为受禁生物。你施加的缄印对其他生物而言处于隐形，在你眼中，缄印是一枚在你可见的受禁生物身上闪烁的荧光符文。
每次休息前，你只能施加有限的缄印，在你完成短休或长休时，你重获所有缄印。当你获得邪狱使等级时，你可以施加的缄印数量也随之提升，见邪狱使职业特性表缄印一栏。
如果一名受禁生物死亡，在你的回合中，你能够以一个附赠动作将其身上所有的缄印施加给一名位于其</t>
    </r>
    <r>
      <rPr>
        <sz val="10"/>
        <color theme="1"/>
        <rFont val="Times New Roman"/>
        <charset val="134"/>
      </rPr>
      <t>30</t>
    </r>
    <r>
      <rPr>
        <sz val="10"/>
        <color theme="1"/>
        <rFont val="宋体"/>
        <charset val="134"/>
      </rPr>
      <t>尺内的可见生物。缄印的持续时间并不会因生物的死亡或缄印的转移而停止流逝。</t>
    </r>
  </si>
  <si>
    <t>拳斗</t>
  </si>
  <si>
    <r>
      <rPr>
        <sz val="10"/>
        <color theme="1"/>
        <rFont val="宋体"/>
        <charset val="134"/>
      </rPr>
      <t>你在黑街和酒馆年复一年的战斗让你精通使用徒手打击和拳斗武器的战斗风格，拳斗武器包括：
简易近战武器
临时武器
若你未持械或是仅使用拳斗武器，且你未着甲或仅着装轻甲并且没有持用盾牌，你获得以下增益：
附赠徒手打击</t>
    </r>
    <r>
      <rPr>
        <sz val="10"/>
        <color theme="1"/>
        <rFont val="Times New Roman"/>
        <charset val="134"/>
      </rPr>
      <t>Bonus Unarmed Strike</t>
    </r>
    <r>
      <rPr>
        <sz val="10"/>
        <color theme="1"/>
        <rFont val="宋体"/>
        <charset val="134"/>
      </rPr>
      <t>。你能以附赠动作发动一次徒手打击。
拳斗骰</t>
    </r>
    <r>
      <rPr>
        <sz val="10"/>
        <color theme="1"/>
        <rFont val="Times New Roman"/>
        <charset val="134"/>
      </rPr>
      <t>Fisticuffs Die</t>
    </r>
    <r>
      <rPr>
        <sz val="10"/>
        <color theme="1"/>
        <rFont val="宋体"/>
        <charset val="134"/>
      </rPr>
      <t>。你使用徒手打击或拳斗武器进行攻击时，可以选择用</t>
    </r>
    <r>
      <rPr>
        <sz val="10"/>
        <color theme="1"/>
        <rFont val="Times New Roman"/>
        <charset val="134"/>
      </rPr>
      <t>1d8</t>
    </r>
    <r>
      <rPr>
        <sz val="10"/>
        <color theme="1"/>
        <rFont val="宋体"/>
        <charset val="134"/>
      </rPr>
      <t>骰代替原本的伤害。该骰子将随拳斗士职业等级的提升而增大，具体数据见拳斗士特性表中的拳斗骰一列。
临时能弑</t>
    </r>
    <r>
      <rPr>
        <sz val="10"/>
        <color theme="1"/>
        <rFont val="Times New Roman"/>
        <charset val="134"/>
      </rPr>
      <t>Improved Improvisation</t>
    </r>
    <r>
      <rPr>
        <sz val="10"/>
        <color theme="1"/>
        <rFont val="宋体"/>
        <charset val="134"/>
      </rPr>
      <t>。你有着将万物化作武器的天赋，这让你能运用临时武器的精通词条。所有临时武器对你而言具有削弱精通词条。</t>
    </r>
  </si>
  <si>
    <t>古神道途</t>
  </si>
  <si>
    <r>
      <rPr>
        <sz val="10"/>
        <color theme="1"/>
        <rFont val="宋体"/>
        <charset val="134"/>
      </rPr>
      <t>无甲防御</t>
    </r>
  </si>
  <si>
    <r>
      <rPr>
        <sz val="10"/>
        <color theme="1"/>
        <rFont val="宋体"/>
        <charset val="134"/>
      </rPr>
      <t>你未着装任何护甲期间，你的基础护甲等级等于</t>
    </r>
    <r>
      <rPr>
        <sz val="10"/>
        <color theme="1"/>
        <rFont val="Times New Roman"/>
        <charset val="134"/>
      </rPr>
      <t>10+</t>
    </r>
    <r>
      <rPr>
        <sz val="10"/>
        <color theme="1"/>
        <rFont val="宋体"/>
        <charset val="134"/>
      </rPr>
      <t>你的敏捷调整值</t>
    </r>
    <r>
      <rPr>
        <sz val="10"/>
        <color theme="1"/>
        <rFont val="Times New Roman"/>
        <charset val="134"/>
      </rPr>
      <t>+</t>
    </r>
    <r>
      <rPr>
        <sz val="10"/>
        <color theme="1"/>
        <rFont val="宋体"/>
        <charset val="134"/>
      </rPr>
      <t>你的体质调整值。你可以使用盾牌并仍从此特性获益。</t>
    </r>
  </si>
  <si>
    <r>
      <rPr>
        <sz val="10"/>
        <color theme="1"/>
        <rFont val="宋体"/>
        <charset val="134"/>
      </rPr>
      <t>你从吟游艺术中学会了如何施展法术。施法规则见第七章。下文将详述如何将这些规则应用于吟游诗人法术，吟游诗人法术详见本章后文职业描述中的吟游诗人法术列表。</t>
    </r>
  </si>
  <si>
    <r>
      <rPr>
        <sz val="10"/>
        <color theme="1"/>
        <rFont val="宋体"/>
        <charset val="134"/>
      </rPr>
      <t>戏法</t>
    </r>
  </si>
  <si>
    <r>
      <rPr>
        <sz val="10"/>
        <color theme="1"/>
        <rFont val="宋体"/>
        <charset val="134"/>
      </rPr>
      <t>你已知三道你选择的牧师戏法。推荐选择神导术</t>
    </r>
    <r>
      <rPr>
        <sz val="10"/>
        <color theme="1"/>
        <rFont val="Times New Roman"/>
        <charset val="134"/>
      </rPr>
      <t>Guidance</t>
    </r>
    <r>
      <rPr>
        <sz val="10"/>
        <color theme="1"/>
        <rFont val="宋体"/>
        <charset val="134"/>
      </rPr>
      <t>，圣火术</t>
    </r>
    <r>
      <rPr>
        <sz val="10"/>
        <color theme="1"/>
        <rFont val="Times New Roman"/>
        <charset val="134"/>
      </rPr>
      <t>Sacred Flame</t>
    </r>
    <r>
      <rPr>
        <sz val="10"/>
        <color theme="1"/>
        <rFont val="宋体"/>
        <charset val="134"/>
      </rPr>
      <t>和奇术</t>
    </r>
    <r>
      <rPr>
        <sz val="10"/>
        <color theme="1"/>
        <rFont val="Times New Roman"/>
        <charset val="134"/>
      </rPr>
      <t>Thaumaturgy</t>
    </r>
    <r>
      <rPr>
        <sz val="10"/>
        <color theme="1"/>
        <rFont val="宋体"/>
        <charset val="134"/>
      </rPr>
      <t>。
每当你获得一个牧师等级时，你都能从你的戏法中选择其一替换为另一道你所选择的牧师戏法。
当你的牧师等级到达</t>
    </r>
    <r>
      <rPr>
        <sz val="10"/>
        <color theme="1"/>
        <rFont val="Times New Roman"/>
        <charset val="134"/>
      </rPr>
      <t>4</t>
    </r>
    <r>
      <rPr>
        <sz val="10"/>
        <color theme="1"/>
        <rFont val="宋体"/>
        <charset val="134"/>
      </rPr>
      <t>级和</t>
    </r>
    <r>
      <rPr>
        <sz val="10"/>
        <color theme="1"/>
        <rFont val="Times New Roman"/>
        <charset val="134"/>
      </rPr>
      <t>10</t>
    </r>
    <r>
      <rPr>
        <sz val="10"/>
        <color theme="1"/>
        <rFont val="宋体"/>
        <charset val="134"/>
      </rPr>
      <t>级时，你都能另选一道牧师戏法并习得，如牧师特性表中戏法一列所示。</t>
    </r>
    <r>
      <rPr>
        <sz val="10"/>
        <color theme="1"/>
        <rFont val="Times New Roman"/>
        <charset val="134"/>
      </rPr>
      <t xml:space="preserve"> </t>
    </r>
  </si>
  <si>
    <r>
      <rPr>
        <sz val="10"/>
        <color theme="1"/>
        <rFont val="宋体"/>
        <charset val="134"/>
      </rPr>
      <t>你已知两道你选择的德鲁伊戏法。推荐选择德鲁伊伎俩</t>
    </r>
    <r>
      <rPr>
        <sz val="10"/>
        <color theme="1"/>
        <rFont val="Times New Roman"/>
        <charset val="134"/>
      </rPr>
      <t>Druidcraft</t>
    </r>
    <r>
      <rPr>
        <sz val="10"/>
        <color theme="1"/>
        <rFont val="宋体"/>
        <charset val="134"/>
      </rPr>
      <t>和燃火术</t>
    </r>
    <r>
      <rPr>
        <sz val="10"/>
        <color theme="1"/>
        <rFont val="Times New Roman"/>
        <charset val="134"/>
      </rPr>
      <t>Produce Flame</t>
    </r>
    <r>
      <rPr>
        <sz val="10"/>
        <color theme="1"/>
        <rFont val="宋体"/>
        <charset val="134"/>
      </rPr>
      <t>。
你都能从此特性的戏法中选择其一替换为另一道你所选择的德鲁伊戏法。
当你的德鲁伊等级到达</t>
    </r>
    <r>
      <rPr>
        <sz val="10"/>
        <color theme="1"/>
        <rFont val="Times New Roman"/>
        <charset val="134"/>
      </rPr>
      <t>4</t>
    </r>
    <r>
      <rPr>
        <sz val="10"/>
        <color theme="1"/>
        <rFont val="宋体"/>
        <charset val="134"/>
      </rPr>
      <t>级和</t>
    </r>
    <r>
      <rPr>
        <sz val="10"/>
        <color theme="1"/>
        <rFont val="Times New Roman"/>
        <charset val="134"/>
      </rPr>
      <t>10</t>
    </r>
    <r>
      <rPr>
        <sz val="10"/>
        <color theme="1"/>
        <rFont val="宋体"/>
        <charset val="134"/>
      </rPr>
      <t>级时，你都能另选一道德鲁伊戏法并习得，如德鲁伊特性表中戏法一列所示。</t>
    </r>
  </si>
  <si>
    <r>
      <rPr>
        <sz val="10"/>
        <color theme="1"/>
        <rFont val="宋体"/>
        <charset val="134"/>
      </rPr>
      <t>回气</t>
    </r>
  </si>
  <si>
    <r>
      <rPr>
        <sz val="10"/>
        <color theme="1"/>
        <rFont val="宋体"/>
        <charset val="134"/>
      </rPr>
      <t>你可以利用有限的精力与体力来重整旗鼓。以一个附赠动作，你可以用此法恢复生命值，其总值为</t>
    </r>
    <r>
      <rPr>
        <sz val="10"/>
        <color theme="1"/>
        <rFont val="Times New Roman"/>
        <charset val="134"/>
      </rPr>
      <t>1d10</t>
    </r>
    <r>
      <rPr>
        <sz val="10"/>
        <color theme="1"/>
        <rFont val="宋体"/>
        <charset val="134"/>
      </rPr>
      <t>＋你的战士职业等级。
你可以使用此特性两次，并且在完成短休后恢复一次已消耗的使用次数，完成长休后恢复所有已消耗的使用次数。
当你到达特定战士等级时，你获得这项特性的额外使用次数，已列在战士特性表的回气一列。</t>
    </r>
  </si>
  <si>
    <r>
      <rPr>
        <sz val="10"/>
        <color theme="1"/>
        <rFont val="宋体"/>
        <charset val="134"/>
      </rPr>
      <t>未着装任何护甲也没持用盾牌时，你的</t>
    </r>
    <r>
      <rPr>
        <sz val="10"/>
        <color theme="1"/>
        <rFont val="Times New Roman"/>
        <charset val="134"/>
      </rPr>
      <t>AC</t>
    </r>
    <r>
      <rPr>
        <sz val="10"/>
        <color theme="1"/>
        <rFont val="宋体"/>
        <charset val="134"/>
      </rPr>
      <t>值等于</t>
    </r>
    <r>
      <rPr>
        <sz val="10"/>
        <color theme="1"/>
        <rFont val="Times New Roman"/>
        <charset val="134"/>
      </rPr>
      <t>10</t>
    </r>
    <r>
      <rPr>
        <sz val="10"/>
        <color theme="1"/>
        <rFont val="宋体"/>
        <charset val="134"/>
      </rPr>
      <t>＋你的敏捷调整值＋你的感知调整值。</t>
    </r>
  </si>
  <si>
    <r>
      <rPr>
        <sz val="10"/>
        <color theme="1"/>
        <rFont val="宋体"/>
        <charset val="134"/>
      </rPr>
      <t>你已经学会了如何通过祈祷与冥想来施展法术。施法规则见第七章。下文将详述如何将这些规则应用于圣武士法术，圣武士法术详见本章后文职业描述中的圣武士法术列表。</t>
    </r>
  </si>
  <si>
    <r>
      <rPr>
        <sz val="10"/>
        <color theme="1"/>
        <rFont val="宋体"/>
        <charset val="134"/>
      </rPr>
      <t>法术位</t>
    </r>
  </si>
  <si>
    <r>
      <rPr>
        <sz val="10"/>
        <color theme="1"/>
        <rFont val="宋体"/>
        <charset val="134"/>
      </rPr>
      <t>游侠特性表显示了你可用于施展一环及以上法术的法术位数量。当你完成长休时，你重获所有已消耗的法术位。</t>
    </r>
  </si>
  <si>
    <r>
      <rPr>
        <sz val="10"/>
        <color theme="1"/>
        <rFont val="宋体"/>
        <charset val="134"/>
      </rPr>
      <t>偷袭</t>
    </r>
  </si>
  <si>
    <r>
      <rPr>
        <sz val="10"/>
        <color theme="1"/>
        <rFont val="宋体"/>
        <charset val="134"/>
      </rPr>
      <t>你知道如何利用敌人的分心并发动致命的精巧打击。每个回合一次，当你的攻击检定命中了一个生物时，你可以造成</t>
    </r>
    <r>
      <rPr>
        <sz val="10"/>
        <color theme="1"/>
        <rFont val="Times New Roman"/>
        <charset val="134"/>
      </rPr>
      <t>1d6</t>
    </r>
    <r>
      <rPr>
        <sz val="10"/>
        <color theme="1"/>
        <rFont val="宋体"/>
        <charset val="134"/>
      </rPr>
      <t>的额外伤害。这次攻击必须使用一把灵巧或远程武器并具有优势。额外伤害的伤害类型与该武器的伤害类型一致。
除此之外，若你的目标周围</t>
    </r>
    <r>
      <rPr>
        <sz val="10"/>
        <color theme="1"/>
        <rFont val="Times New Roman"/>
        <charset val="134"/>
      </rPr>
      <t>5</t>
    </r>
    <r>
      <rPr>
        <sz val="10"/>
        <color theme="1"/>
        <rFont val="宋体"/>
        <charset val="134"/>
      </rPr>
      <t>尺内有你的盟友，并且该盟友没有陷入失能状态，你的攻击检定也没有劣势的话，则你不需要优势也造成额外伤害。
你的额外伤害会随着你的游荡者等级提高而增长，具体如游荡者特性表中的偷袭一列所示。</t>
    </r>
  </si>
  <si>
    <r>
      <rPr>
        <sz val="10"/>
        <color theme="1"/>
        <rFont val="宋体"/>
        <charset val="134"/>
      </rPr>
      <t>你已知</t>
    </r>
    <r>
      <rPr>
        <sz val="10"/>
        <color theme="1"/>
        <rFont val="Times New Roman"/>
        <charset val="134"/>
      </rPr>
      <t>4</t>
    </r>
    <r>
      <rPr>
        <sz val="10"/>
        <color theme="1"/>
        <rFont val="宋体"/>
        <charset val="134"/>
      </rPr>
      <t>个你选择的术士戏法。推荐选择光亮术</t>
    </r>
    <r>
      <rPr>
        <sz val="10"/>
        <color theme="1"/>
        <rFont val="Times New Roman"/>
        <charset val="134"/>
      </rPr>
      <t>Light</t>
    </r>
    <r>
      <rPr>
        <sz val="10"/>
        <color theme="1"/>
        <rFont val="宋体"/>
        <charset val="134"/>
      </rPr>
      <t>、魔法伎俩</t>
    </r>
    <r>
      <rPr>
        <sz val="10"/>
        <color theme="1"/>
        <rFont val="Times New Roman"/>
        <charset val="134"/>
      </rPr>
      <t>Prestidigitation</t>
    </r>
    <r>
      <rPr>
        <sz val="10"/>
        <color theme="1"/>
        <rFont val="宋体"/>
        <charset val="134"/>
      </rPr>
      <t>、电爪</t>
    </r>
    <r>
      <rPr>
        <sz val="10"/>
        <color theme="1"/>
        <rFont val="Times New Roman"/>
        <charset val="134"/>
      </rPr>
      <t>Shocking Grasp</t>
    </r>
    <r>
      <rPr>
        <sz val="10"/>
        <color theme="1"/>
        <rFont val="宋体"/>
        <charset val="134"/>
      </rPr>
      <t>和术法爆发</t>
    </r>
    <r>
      <rPr>
        <sz val="10"/>
        <color theme="1"/>
        <rFont val="Times New Roman"/>
        <charset val="134"/>
      </rPr>
      <t>Sorcerous Burst</t>
    </r>
    <r>
      <rPr>
        <sz val="10"/>
        <color theme="1"/>
        <rFont val="宋体"/>
        <charset val="134"/>
      </rPr>
      <t>。每当你获得一个术士等级时，你都能将通过此特性已知的其中一个戏法替换为另一个你所选择的术士戏法。
当你的术士等级达到</t>
    </r>
    <r>
      <rPr>
        <sz val="10"/>
        <color theme="1"/>
        <rFont val="Times New Roman"/>
        <charset val="134"/>
      </rPr>
      <t>4</t>
    </r>
    <r>
      <rPr>
        <sz val="10"/>
        <color theme="1"/>
        <rFont val="宋体"/>
        <charset val="134"/>
      </rPr>
      <t>级和</t>
    </r>
    <r>
      <rPr>
        <sz val="10"/>
        <color theme="1"/>
        <rFont val="Times New Roman"/>
        <charset val="134"/>
      </rPr>
      <t>10</t>
    </r>
    <r>
      <rPr>
        <sz val="10"/>
        <color theme="1"/>
        <rFont val="宋体"/>
        <charset val="134"/>
      </rPr>
      <t>级时，你都能另选一道术士戏法并习得，如术士特性表中戏法一列所示。</t>
    </r>
  </si>
  <si>
    <r>
      <rPr>
        <sz val="10"/>
        <color theme="1"/>
        <rFont val="宋体"/>
        <charset val="134"/>
      </rPr>
      <t>幽影护甲</t>
    </r>
  </si>
  <si>
    <r>
      <rPr>
        <sz val="10"/>
        <color theme="1"/>
        <rFont val="宋体"/>
        <charset val="134"/>
      </rPr>
      <t>你可以随意以自身为目标施展法师护甲</t>
    </r>
    <r>
      <rPr>
        <sz val="10"/>
        <color theme="1"/>
        <rFont val="Times New Roman"/>
        <charset val="134"/>
      </rPr>
      <t xml:space="preserve">Mage Armor </t>
    </r>
    <r>
      <rPr>
        <sz val="10"/>
        <color theme="1"/>
        <rFont val="宋体"/>
        <charset val="134"/>
      </rPr>
      <t>且无需消耗法术位。</t>
    </r>
  </si>
  <si>
    <r>
      <rPr>
        <sz val="10"/>
        <color theme="1"/>
        <rFont val="宋体"/>
        <charset val="134"/>
      </rPr>
      <t>已知三道你选择的法师戏法。推荐选择光亮术</t>
    </r>
    <r>
      <rPr>
        <sz val="10"/>
        <color theme="1"/>
        <rFont val="Times New Roman"/>
        <charset val="134"/>
      </rPr>
      <t>Light</t>
    </r>
    <r>
      <rPr>
        <sz val="10"/>
        <color theme="1"/>
        <rFont val="宋体"/>
        <charset val="134"/>
      </rPr>
      <t>、法师之手</t>
    </r>
    <r>
      <rPr>
        <sz val="10"/>
        <color theme="1"/>
        <rFont val="Times New Roman"/>
        <charset val="134"/>
      </rPr>
      <t xml:space="preserve">Mage Hand </t>
    </r>
    <r>
      <rPr>
        <sz val="10"/>
        <color theme="1"/>
        <rFont val="宋体"/>
        <charset val="134"/>
      </rPr>
      <t>和冷冻射线</t>
    </r>
    <r>
      <rPr>
        <sz val="10"/>
        <color theme="1"/>
        <rFont val="Times New Roman"/>
        <charset val="134"/>
      </rPr>
      <t xml:space="preserve">Ray of Frost </t>
    </r>
    <r>
      <rPr>
        <sz val="10"/>
        <color theme="1"/>
        <rFont val="宋体"/>
        <charset val="134"/>
      </rPr>
      <t>。
每当你完成一次长休时，你都能从此特性的戏法中选择其一替换为另一道你所选择的法师戏法。
当你的法师等级到达</t>
    </r>
    <r>
      <rPr>
        <sz val="10"/>
        <color theme="1"/>
        <rFont val="Times New Roman"/>
        <charset val="134"/>
      </rPr>
      <t>4</t>
    </r>
    <r>
      <rPr>
        <sz val="10"/>
        <color theme="1"/>
        <rFont val="宋体"/>
        <charset val="134"/>
      </rPr>
      <t>级和</t>
    </r>
    <r>
      <rPr>
        <sz val="10"/>
        <color theme="1"/>
        <rFont val="Times New Roman"/>
        <charset val="134"/>
      </rPr>
      <t>10</t>
    </r>
    <r>
      <rPr>
        <sz val="10"/>
        <color theme="1"/>
        <rFont val="宋体"/>
        <charset val="134"/>
      </rPr>
      <t>级时，你都能另选一道法师戏法并习得，如法师特性表中戏法一列所示。</t>
    </r>
  </si>
  <si>
    <t>你已经了解到如何通过物品引导魔法能量。参见《玩家手册》有关施法的规则。下述信息将详述如何将这些规则应用于奇械师法术，奇械师法术详见后文职业描述中的奇械师法术表。</t>
  </si>
  <si>
    <r>
      <rPr>
        <sz val="10"/>
        <color theme="1"/>
        <rFont val="宋体"/>
        <charset val="134"/>
      </rPr>
      <t>你知晓两道你选择的灵能使戏法。推荐选择次级幻象</t>
    </r>
    <r>
      <rPr>
        <sz val="10"/>
        <color theme="1"/>
        <rFont val="Times New Roman"/>
        <charset val="134"/>
      </rPr>
      <t>Minor Illusion</t>
    </r>
    <r>
      <rPr>
        <sz val="10"/>
        <color theme="1"/>
        <rFont val="宋体"/>
        <charset val="134"/>
      </rPr>
      <t>与念力飞掷</t>
    </r>
    <r>
      <rPr>
        <sz val="10"/>
        <color theme="1"/>
        <rFont val="Times New Roman"/>
        <charset val="134"/>
      </rPr>
      <t xml:space="preserve">Telekinetic Fling </t>
    </r>
    <r>
      <rPr>
        <sz val="10"/>
        <color theme="1"/>
        <rFont val="宋体"/>
        <charset val="134"/>
      </rPr>
      <t>。每当你获得一级灵能使等级，你都可以用另一道灵能使法表中的灵能使戏法替换你通过该特性得到的戏法。当你达到</t>
    </r>
    <r>
      <rPr>
        <sz val="10"/>
        <color theme="1"/>
        <rFont val="Times New Roman"/>
        <charset val="134"/>
      </rPr>
      <t>10</t>
    </r>
    <r>
      <rPr>
        <sz val="10"/>
        <color theme="1"/>
        <rFont val="宋体"/>
        <charset val="134"/>
      </rPr>
      <t>级、</t>
    </r>
    <r>
      <rPr>
        <sz val="10"/>
        <color theme="1"/>
        <rFont val="Times New Roman"/>
        <charset val="134"/>
      </rPr>
      <t>14</t>
    </r>
    <r>
      <rPr>
        <sz val="10"/>
        <color theme="1"/>
        <rFont val="宋体"/>
        <charset val="134"/>
      </rPr>
      <t>级灵能使等级时，你分别学会一道新的你选择的灵能使戏法，见灵能使法表中的戏法部分。</t>
    </r>
    <r>
      <rPr>
        <sz val="10"/>
        <color theme="1"/>
        <rFont val="Times New Roman"/>
        <charset val="134"/>
      </rPr>
      <t xml:space="preserve"> </t>
    </r>
  </si>
  <si>
    <r>
      <rPr>
        <sz val="10"/>
        <color theme="1"/>
        <rFont val="宋体"/>
        <charset val="134"/>
      </rPr>
      <t>鲜血恶戾</t>
    </r>
  </si>
  <si>
    <r>
      <rPr>
        <sz val="10"/>
        <color theme="1"/>
        <rFont val="宋体"/>
        <charset val="134"/>
      </rPr>
      <t>你得到引导、甚至是牺牲你的活力精华来以鲜血秘法诅咒和操控生物的能力。你学会一种你所选的血咒（在后文中详细描述）。在你第</t>
    </r>
    <r>
      <rPr>
        <sz val="10"/>
        <color theme="1"/>
        <rFont val="Times New Roman"/>
        <charset val="134"/>
      </rPr>
      <t xml:space="preserve"> 6</t>
    </r>
    <r>
      <rPr>
        <sz val="10"/>
        <color theme="1"/>
        <rFont val="宋体"/>
        <charset val="134"/>
      </rPr>
      <t>、第</t>
    </r>
    <r>
      <rPr>
        <sz val="10"/>
        <color theme="1"/>
        <rFont val="Times New Roman"/>
        <charset val="134"/>
      </rPr>
      <t xml:space="preserve"> 10</t>
    </r>
    <r>
      <rPr>
        <sz val="10"/>
        <color theme="1"/>
        <rFont val="宋体"/>
        <charset val="134"/>
      </rPr>
      <t>、第</t>
    </r>
    <r>
      <rPr>
        <sz val="10"/>
        <color theme="1"/>
        <rFont val="Times New Roman"/>
        <charset val="134"/>
      </rPr>
      <t xml:space="preserve"> 14 </t>
    </r>
    <r>
      <rPr>
        <sz val="10"/>
        <color theme="1"/>
        <rFont val="宋体"/>
        <charset val="134"/>
      </rPr>
      <t>及第</t>
    </r>
    <r>
      <rPr>
        <sz val="10"/>
        <color theme="1"/>
        <rFont val="Times New Roman"/>
        <charset val="134"/>
      </rPr>
      <t xml:space="preserve"> 18 </t>
    </r>
    <r>
      <rPr>
        <sz val="10"/>
        <color theme="1"/>
        <rFont val="宋体"/>
        <charset val="134"/>
      </rPr>
      <t>级时，你学会一种新的血咒，且你可以选择一个已知血咒替换为另一个。
当你使用鲜血恶戾时，你选择要使用哪种血咒。在血咒影响目标前，你可以通过失去一个鲜血秘法骰的生命值来增幅你的血咒。一个增幅的血咒会得到额外效果，具体参照诅咒的描述。体内没有血液的生物对未增幅的血咒免疫。
你能够使用此特性</t>
    </r>
    <r>
      <rPr>
        <sz val="10"/>
        <color theme="1"/>
        <rFont val="Times New Roman"/>
        <charset val="134"/>
      </rPr>
      <t xml:space="preserve"> 1 </t>
    </r>
    <r>
      <rPr>
        <sz val="10"/>
        <color theme="1"/>
        <rFont val="宋体"/>
        <charset val="134"/>
      </rPr>
      <t>次。从第</t>
    </r>
    <r>
      <rPr>
        <sz val="10"/>
        <color theme="1"/>
        <rFont val="Times New Roman"/>
        <charset val="134"/>
      </rPr>
      <t xml:space="preserve"> 6 </t>
    </r>
    <r>
      <rPr>
        <sz val="10"/>
        <color theme="1"/>
        <rFont val="宋体"/>
        <charset val="134"/>
      </rPr>
      <t>级开始，你可以使用此特性</t>
    </r>
    <r>
      <rPr>
        <sz val="10"/>
        <color theme="1"/>
        <rFont val="Times New Roman"/>
        <charset val="134"/>
      </rPr>
      <t xml:space="preserve"> 2 </t>
    </r>
    <r>
      <rPr>
        <sz val="10"/>
        <color theme="1"/>
        <rFont val="宋体"/>
        <charset val="134"/>
      </rPr>
      <t>次，第</t>
    </r>
    <r>
      <rPr>
        <sz val="10"/>
        <color theme="1"/>
        <rFont val="Times New Roman"/>
        <charset val="134"/>
      </rPr>
      <t xml:space="preserve"> 13 </t>
    </r>
    <r>
      <rPr>
        <sz val="10"/>
        <color theme="1"/>
        <rFont val="宋体"/>
        <charset val="134"/>
      </rPr>
      <t>级时增为</t>
    </r>
    <r>
      <rPr>
        <sz val="10"/>
        <color theme="1"/>
        <rFont val="Times New Roman"/>
        <charset val="134"/>
      </rPr>
      <t xml:space="preserve"> 3 </t>
    </r>
    <r>
      <rPr>
        <sz val="10"/>
        <color theme="1"/>
        <rFont val="宋体"/>
        <charset val="134"/>
      </rPr>
      <t>次，第</t>
    </r>
    <r>
      <rPr>
        <sz val="10"/>
        <color theme="1"/>
        <rFont val="Times New Roman"/>
        <charset val="134"/>
      </rPr>
      <t xml:space="preserve"> 17 </t>
    </r>
    <r>
      <rPr>
        <sz val="10"/>
        <color theme="1"/>
        <rFont val="宋体"/>
        <charset val="134"/>
      </rPr>
      <t>级时增为</t>
    </r>
    <r>
      <rPr>
        <sz val="10"/>
        <color theme="1"/>
        <rFont val="Times New Roman"/>
        <charset val="134"/>
      </rPr>
      <t xml:space="preserve"> 4 </t>
    </r>
    <r>
      <rPr>
        <sz val="10"/>
        <color theme="1"/>
        <rFont val="宋体"/>
        <charset val="134"/>
      </rPr>
      <t>次。完成一次短休或长休后，你将重获所有消耗掉的鲜血恶戾次数。</t>
    </r>
  </si>
  <si>
    <r>
      <rPr>
        <sz val="10"/>
        <color theme="1"/>
        <rFont val="宋体"/>
        <charset val="134"/>
      </rPr>
      <t>你从药剂师法术列表中选择三个戏法并掌握之。你可以在更高等级学会更多你所选的戏法，如药剂师职业表中已知戏法所展示的那样。</t>
    </r>
  </si>
  <si>
    <t>快速拔枪</t>
  </si>
  <si>
    <t>你善于在他人反应前就拔枪射击，你获得以下增益：
先攻Initiative。你的先攻检定具有优势。
双重拔枪Double Draw。拔出或入鞘武器时，你可以同时拔出或入鞘两把不具有双手词条的武器，而非通常情况下的一把。</t>
  </si>
  <si>
    <t>焚灭缄印</t>
  </si>
  <si>
    <r>
      <rPr>
        <sz val="10"/>
        <color theme="1"/>
        <rFont val="宋体"/>
        <charset val="134"/>
      </rPr>
      <t>当一名你可见的受禁生物受到任意来源的伤害时（邪狱使令缄印焚灭的伤害除外），你可以立即焚灭其身上任意数量的由你施加的缄印，每焚灭一枚缄印，便对其造成</t>
    </r>
    <r>
      <rPr>
        <sz val="10"/>
        <color theme="1"/>
        <rFont val="Times New Roman"/>
        <charset val="134"/>
      </rPr>
      <t>1d6</t>
    </r>
    <r>
      <rPr>
        <sz val="10"/>
        <color theme="1"/>
        <rFont val="宋体"/>
        <charset val="134"/>
      </rPr>
      <t>火焰或暗蚀伤害（由你选择）。焚灭缄印在该生物受到触发伤害之后立即造成伤害。焚灭缄印无需任何动作，但你无法在陷入失能期间如此做。缄印一经焚灭立即消失。
当你在本职业上到达</t>
    </r>
    <r>
      <rPr>
        <sz val="10"/>
        <color theme="1"/>
        <rFont val="Times New Roman"/>
        <charset val="134"/>
      </rPr>
      <t>5</t>
    </r>
    <r>
      <rPr>
        <sz val="10"/>
        <color theme="1"/>
        <rFont val="宋体"/>
        <charset val="134"/>
      </rPr>
      <t>级时，你与你的大魔鬼之间的联系将变得更加紧密。每枚缄印焚灭时将额外造成</t>
    </r>
    <r>
      <rPr>
        <sz val="10"/>
        <color theme="1"/>
        <rFont val="Times New Roman"/>
        <charset val="134"/>
      </rPr>
      <t>1d6</t>
    </r>
    <r>
      <rPr>
        <sz val="10"/>
        <color theme="1"/>
        <rFont val="宋体"/>
        <charset val="134"/>
      </rPr>
      <t>伤害（共</t>
    </r>
    <r>
      <rPr>
        <sz val="10"/>
        <color theme="1"/>
        <rFont val="Times New Roman"/>
        <charset val="134"/>
      </rPr>
      <t>2d6</t>
    </r>
    <r>
      <rPr>
        <sz val="10"/>
        <color theme="1"/>
        <rFont val="宋体"/>
        <charset val="134"/>
      </rPr>
      <t>）。该伤害在你到达下列等级时再次提升</t>
    </r>
    <r>
      <rPr>
        <sz val="10"/>
        <color theme="1"/>
        <rFont val="Times New Roman"/>
        <charset val="134"/>
      </rPr>
      <t>1d6</t>
    </r>
    <r>
      <rPr>
        <sz val="10"/>
        <color theme="1"/>
        <rFont val="宋体"/>
        <charset val="134"/>
      </rPr>
      <t>：</t>
    </r>
    <r>
      <rPr>
        <sz val="10"/>
        <color theme="1"/>
        <rFont val="Times New Roman"/>
        <charset val="134"/>
      </rPr>
      <t>11</t>
    </r>
    <r>
      <rPr>
        <sz val="10"/>
        <color theme="1"/>
        <rFont val="宋体"/>
        <charset val="134"/>
      </rPr>
      <t>级（共</t>
    </r>
    <r>
      <rPr>
        <sz val="10"/>
        <color theme="1"/>
        <rFont val="Times New Roman"/>
        <charset val="134"/>
      </rPr>
      <t>3d6</t>
    </r>
    <r>
      <rPr>
        <sz val="10"/>
        <color theme="1"/>
        <rFont val="宋体"/>
        <charset val="134"/>
      </rPr>
      <t>），</t>
    </r>
    <r>
      <rPr>
        <sz val="10"/>
        <color theme="1"/>
        <rFont val="Times New Roman"/>
        <charset val="134"/>
      </rPr>
      <t>20</t>
    </r>
    <r>
      <rPr>
        <sz val="10"/>
        <color theme="1"/>
        <rFont val="宋体"/>
        <charset val="134"/>
      </rPr>
      <t>级（共</t>
    </r>
    <r>
      <rPr>
        <sz val="10"/>
        <color theme="1"/>
        <rFont val="Times New Roman"/>
        <charset val="134"/>
      </rPr>
      <t>4d6</t>
    </r>
    <r>
      <rPr>
        <sz val="10"/>
        <color theme="1"/>
        <rFont val="宋体"/>
        <charset val="134"/>
      </rPr>
      <t>）。见邪狱使职业特性表缄印伤害一栏。</t>
    </r>
  </si>
  <si>
    <t>钢颚铁护</t>
  </si>
  <si>
    <r>
      <rPr>
        <sz val="10"/>
        <color theme="1"/>
        <rFont val="宋体"/>
        <charset val="134"/>
      </rPr>
      <t>若你未着甲或仅着装轻甲且未持用盾牌，你的基础护甲等级等于</t>
    </r>
    <r>
      <rPr>
        <sz val="10"/>
        <color theme="1"/>
        <rFont val="Times New Roman"/>
        <charset val="134"/>
      </rPr>
      <t>12+</t>
    </r>
    <r>
      <rPr>
        <sz val="10"/>
        <color theme="1"/>
        <rFont val="宋体"/>
        <charset val="134"/>
      </rPr>
      <t>你的体质调整值。</t>
    </r>
  </si>
  <si>
    <t>污霭狂怒者道途</t>
  </si>
  <si>
    <r>
      <rPr>
        <sz val="10"/>
        <color theme="1"/>
        <rFont val="宋体"/>
        <charset val="134"/>
      </rPr>
      <t>武器精通</t>
    </r>
  </si>
  <si>
    <r>
      <rPr>
        <sz val="10"/>
        <color theme="1"/>
        <rFont val="宋体"/>
        <charset val="134"/>
      </rPr>
      <t>你对武器的训练使你能够运用两种自选的简易或军用近战武器的精通属性，例如巨斧和手斧。每当你完成一次长休时，你可以重新演练武器技巧，来改变你所选择的其中一个武器类型。
当你获得特定的野蛮人等级时，你还可以使用更多种类武器的精通属性，详见野蛮人特性表中武器精通一栏。</t>
    </r>
  </si>
  <si>
    <r>
      <rPr>
        <sz val="10"/>
        <color theme="1"/>
        <rFont val="宋体"/>
        <charset val="134"/>
      </rPr>
      <t>你已知两道你选择的吟游诗人戏法。推荐选择舞光术</t>
    </r>
    <r>
      <rPr>
        <sz val="10"/>
        <color theme="1"/>
        <rFont val="Times New Roman"/>
        <charset val="134"/>
      </rPr>
      <t>Dancing Light</t>
    </r>
    <r>
      <rPr>
        <sz val="10"/>
        <color theme="1"/>
        <rFont val="宋体"/>
        <charset val="134"/>
      </rPr>
      <t>和恶言相加</t>
    </r>
    <r>
      <rPr>
        <sz val="10"/>
        <color theme="1"/>
        <rFont val="Times New Roman"/>
        <charset val="134"/>
      </rPr>
      <t>Vicious Mockery</t>
    </r>
    <r>
      <rPr>
        <sz val="10"/>
        <color theme="1"/>
        <rFont val="宋体"/>
        <charset val="134"/>
      </rPr>
      <t>。</t>
    </r>
  </si>
  <si>
    <r>
      <rPr>
        <sz val="10"/>
        <color theme="1"/>
        <rFont val="宋体"/>
        <charset val="134"/>
      </rPr>
      <t>牧师特性表显示了你可用于施展一环及以上法术的法术位数量。当你完成长休时，你重获所有已消耗的法术位。</t>
    </r>
    <r>
      <rPr>
        <sz val="10"/>
        <color theme="1"/>
        <rFont val="Times New Roman"/>
        <charset val="134"/>
      </rPr>
      <t xml:space="preserve"> </t>
    </r>
  </si>
  <si>
    <r>
      <rPr>
        <sz val="10"/>
        <color theme="1"/>
        <rFont val="宋体"/>
        <charset val="134"/>
      </rPr>
      <t>德鲁伊特性表显示了你可用于施展一环及以上法术的法术位数量。当你完成长休时，你重获所有已消耗的法术位。</t>
    </r>
  </si>
  <si>
    <r>
      <rPr>
        <sz val="10"/>
        <color theme="1"/>
        <rFont val="宋体"/>
        <charset val="134"/>
      </rPr>
      <t>你对武器的训练使你能够自选并使用</t>
    </r>
    <r>
      <rPr>
        <sz val="10"/>
        <color theme="1"/>
        <rFont val="Times New Roman"/>
        <charset val="134"/>
      </rPr>
      <t>3</t>
    </r>
    <r>
      <rPr>
        <sz val="10"/>
        <color theme="1"/>
        <rFont val="宋体"/>
        <charset val="134"/>
      </rPr>
      <t>种已熟练武器的精通词条。每当你完成一次长休时，你都可以练习武器技艺并改变你所选择的其中一种武器类型。
当你到达特定战士等级时，你可以使用更多种类武器的精通词条，已列在战士特性表的武器精通一列。</t>
    </r>
  </si>
  <si>
    <r>
      <rPr>
        <sz val="10"/>
        <color theme="1"/>
        <rFont val="宋体"/>
        <charset val="134"/>
      </rPr>
      <t>武僧武功</t>
    </r>
  </si>
  <si>
    <r>
      <rPr>
        <sz val="10"/>
        <color theme="1"/>
        <rFont val="宋体"/>
        <charset val="134"/>
      </rPr>
      <t>通过运转玄功和习练武艺，你便得以掌握自身非凡的内在能量。功力点代表着你所能使用的这份能量。你的武僧等级决定了你拥有多少功力点，具体数据见武僧特性表中的功力点一列。你可以消耗功力点来增强或启动特定的武僧特性。你一开始掌握三种特性：疾风连击，坚强防御，疾步如风。细节见下。
每当你消耗</t>
    </r>
    <r>
      <rPr>
        <sz val="10"/>
        <color theme="1"/>
        <rFont val="Times New Roman"/>
        <charset val="134"/>
      </rPr>
      <t>1</t>
    </r>
    <r>
      <rPr>
        <sz val="10"/>
        <color theme="1"/>
        <rFont val="宋体"/>
        <charset val="134"/>
      </rPr>
      <t>点功力时，直到你完成一次短休或者长休前其将暂时不可以再被使用。在完成休息时，你将回复所有已消耗的功力点。
你的某些特性会要求你的目标进行豁免以对抗该特性的效果，这些特性的豁免</t>
    </r>
    <r>
      <rPr>
        <sz val="10"/>
        <color theme="1"/>
        <rFont val="Times New Roman"/>
        <charset val="134"/>
      </rPr>
      <t>DC</t>
    </r>
    <r>
      <rPr>
        <sz val="10"/>
        <color theme="1"/>
        <rFont val="宋体"/>
        <charset val="134"/>
      </rPr>
      <t>为</t>
    </r>
    <r>
      <rPr>
        <sz val="10"/>
        <color theme="1"/>
        <rFont val="Times New Roman"/>
        <charset val="134"/>
      </rPr>
      <t>8+</t>
    </r>
    <r>
      <rPr>
        <sz val="10"/>
        <color theme="1"/>
        <rFont val="宋体"/>
        <charset val="134"/>
      </rPr>
      <t>你的感知调整值</t>
    </r>
    <r>
      <rPr>
        <sz val="10"/>
        <color theme="1"/>
        <rFont val="Times New Roman"/>
        <charset val="134"/>
      </rPr>
      <t>+</t>
    </r>
    <r>
      <rPr>
        <sz val="10"/>
        <color theme="1"/>
        <rFont val="宋体"/>
        <charset val="134"/>
      </rPr>
      <t>你的熟练加值。
疾风连击</t>
    </r>
    <r>
      <rPr>
        <sz val="10"/>
        <color theme="1"/>
        <rFont val="Times New Roman"/>
        <charset val="134"/>
      </rPr>
      <t>Flurry of Blows</t>
    </r>
    <r>
      <rPr>
        <sz val="10"/>
        <color theme="1"/>
        <rFont val="宋体"/>
        <charset val="134"/>
      </rPr>
      <t>。你可以消耗</t>
    </r>
    <r>
      <rPr>
        <sz val="10"/>
        <color theme="1"/>
        <rFont val="Times New Roman"/>
        <charset val="134"/>
      </rPr>
      <t>1</t>
    </r>
    <r>
      <rPr>
        <sz val="10"/>
        <color theme="1"/>
        <rFont val="宋体"/>
        <charset val="134"/>
      </rPr>
      <t>点功力，以一个附赠动作发动两次徒手打击。
坚强防御</t>
    </r>
    <r>
      <rPr>
        <sz val="10"/>
        <color theme="1"/>
        <rFont val="Times New Roman"/>
        <charset val="134"/>
      </rPr>
      <t>Patient Defense</t>
    </r>
    <r>
      <rPr>
        <sz val="10"/>
        <color theme="1"/>
        <rFont val="宋体"/>
        <charset val="134"/>
      </rPr>
      <t>。你能以一个附赠动作执行撤离动作。此外，你可以消耗</t>
    </r>
    <r>
      <rPr>
        <sz val="10"/>
        <color theme="1"/>
        <rFont val="Times New Roman"/>
        <charset val="134"/>
      </rPr>
      <t>1</t>
    </r>
    <r>
      <rPr>
        <sz val="10"/>
        <color theme="1"/>
        <rFont val="宋体"/>
        <charset val="134"/>
      </rPr>
      <t>点功力，以一个附赠动作同时执行撤离与回避动作。
疾步如风</t>
    </r>
    <r>
      <rPr>
        <sz val="10"/>
        <color theme="1"/>
        <rFont val="Times New Roman"/>
        <charset val="134"/>
      </rPr>
      <t>Step of the Wind</t>
    </r>
    <r>
      <rPr>
        <sz val="10"/>
        <color theme="1"/>
        <rFont val="宋体"/>
        <charset val="134"/>
      </rPr>
      <t>。你能以一个附赠动作执行疾走动作。此外，你可以消耗</t>
    </r>
    <r>
      <rPr>
        <sz val="10"/>
        <color theme="1"/>
        <rFont val="Times New Roman"/>
        <charset val="134"/>
      </rPr>
      <t>1</t>
    </r>
    <r>
      <rPr>
        <sz val="10"/>
        <color theme="1"/>
        <rFont val="宋体"/>
        <charset val="134"/>
      </rPr>
      <t>点功力，以一个附赠动作同时执行撤离与疾走</t>
    </r>
    <r>
      <rPr>
        <sz val="10"/>
        <color theme="1"/>
        <rFont val="Times New Roman"/>
        <charset val="134"/>
      </rPr>
      <t xml:space="preserve"> </t>
    </r>
    <r>
      <rPr>
        <sz val="10"/>
        <color theme="1"/>
        <rFont val="宋体"/>
        <charset val="134"/>
      </rPr>
      <t>动作，同时使你该回合内的跳跃距离翻倍。</t>
    </r>
  </si>
  <si>
    <r>
      <rPr>
        <sz val="10"/>
        <color theme="1"/>
        <rFont val="宋体"/>
        <charset val="134"/>
      </rPr>
      <t>圣武士特性表显示了你可用于施展一环及以上法术的法术位数量。当你完成长休时，你重获所有已消耗的法术位。</t>
    </r>
  </si>
  <si>
    <r>
      <rPr>
        <sz val="10"/>
        <color theme="1"/>
        <rFont val="宋体"/>
        <charset val="134"/>
      </rPr>
      <t>准备法术</t>
    </r>
  </si>
  <si>
    <r>
      <rPr>
        <sz val="10"/>
        <color theme="1"/>
        <rFont val="宋体"/>
        <charset val="134"/>
      </rPr>
      <t>你准备可供你以此特性施展的一环及更高环阶的法术列表。最初，选择两道游侠法术。推荐选择捕获打击</t>
    </r>
    <r>
      <rPr>
        <sz val="10"/>
        <color theme="1"/>
        <rFont val="Times New Roman"/>
        <charset val="134"/>
      </rPr>
      <t>Ensnaring Strike</t>
    </r>
    <r>
      <rPr>
        <sz val="10"/>
        <color theme="1"/>
        <rFont val="宋体"/>
        <charset val="134"/>
      </rPr>
      <t>和疗伤术</t>
    </r>
    <r>
      <rPr>
        <sz val="10"/>
        <color theme="1"/>
        <rFont val="Times New Roman"/>
        <charset val="134"/>
      </rPr>
      <t>Cure Wounds</t>
    </r>
    <r>
      <rPr>
        <sz val="10"/>
        <color theme="1"/>
        <rFont val="宋体"/>
        <charset val="134"/>
      </rPr>
      <t>。
已准备法术数量会随你游侠等级的提升而增加，如游侠特性表中的准备法术一列所示。每当这一列的数字增加时，从游侠法术列表中选择额外法术准备，直至已准备法术的数量与表格中的数字一致。你所选择法术的环阶必须是你所拥有法术位对应的环阶。例如，如果你是一名</t>
    </r>
    <r>
      <rPr>
        <sz val="10"/>
        <color theme="1"/>
        <rFont val="Times New Roman"/>
        <charset val="134"/>
      </rPr>
      <t>5</t>
    </r>
    <r>
      <rPr>
        <sz val="10"/>
        <color theme="1"/>
        <rFont val="宋体"/>
        <charset val="134"/>
      </rPr>
      <t>级游侠，则你的准备法术列表能包括六道一环或二环的游侠法术，随意组合。
如果游侠的其他特性给了你始终准备了的法术，这些法术不计入你以此法准备的法术数量，但这些法术对你而言都视为游侠法术。</t>
    </r>
  </si>
  <si>
    <r>
      <rPr>
        <sz val="10"/>
        <color theme="1"/>
        <rFont val="宋体"/>
        <charset val="134"/>
      </rPr>
      <t>盗贼黑话</t>
    </r>
  </si>
  <si>
    <r>
      <rPr>
        <sz val="10"/>
        <color theme="1"/>
        <rFont val="宋体"/>
        <charset val="134"/>
      </rPr>
      <t>你在施展自己游荡者才华的社区里学习了多样的语言。你习得盗贼黑话和第二章的语言表中的一项语言。</t>
    </r>
  </si>
  <si>
    <r>
      <rPr>
        <sz val="10"/>
        <color theme="1"/>
        <rFont val="宋体"/>
        <charset val="134"/>
      </rPr>
      <t>术士特性表显示了你可用于施展一环及以上法术的法术位数量。当你完成长休时，你重获所有已消耗的法术位。</t>
    </r>
  </si>
  <si>
    <r>
      <rPr>
        <sz val="10"/>
        <color theme="1"/>
        <rFont val="宋体"/>
        <charset val="134"/>
      </rPr>
      <t>魔能意志</t>
    </r>
  </si>
  <si>
    <r>
      <rPr>
        <sz val="10"/>
        <color theme="1"/>
        <rFont val="宋体"/>
        <charset val="134"/>
      </rPr>
      <t>你为保持专注所进行的体质豁免具有优势。</t>
    </r>
    <r>
      <rPr>
        <sz val="10"/>
        <color theme="1"/>
        <rFont val="Times New Roman"/>
        <charset val="134"/>
      </rPr>
      <t xml:space="preserve"> </t>
    </r>
  </si>
  <si>
    <r>
      <rPr>
        <sz val="10"/>
        <color theme="1"/>
        <rFont val="宋体"/>
        <charset val="134"/>
      </rPr>
      <t>法术书</t>
    </r>
  </si>
  <si>
    <r>
      <rPr>
        <sz val="10"/>
        <color theme="1"/>
        <rFont val="宋体"/>
        <charset val="134"/>
      </rPr>
      <t>你在法师学徒阶段获取的所有成果汇集于一本独特的书：你的法术书。它是一个重</t>
    </r>
    <r>
      <rPr>
        <sz val="10"/>
        <color theme="1"/>
        <rFont val="Times New Roman"/>
        <charset val="134"/>
      </rPr>
      <t>3</t>
    </r>
    <r>
      <rPr>
        <sz val="10"/>
        <color theme="1"/>
        <rFont val="宋体"/>
        <charset val="134"/>
      </rPr>
      <t>磅的微型物件，内有</t>
    </r>
    <r>
      <rPr>
        <sz val="10"/>
        <color theme="1"/>
        <rFont val="Times New Roman"/>
        <charset val="134"/>
      </rPr>
      <t>100</t>
    </r>
    <r>
      <rPr>
        <sz val="10"/>
        <color theme="1"/>
        <rFont val="宋体"/>
        <charset val="134"/>
      </rPr>
      <t>页，并且只能被你自己或者施展了鉴定术</t>
    </r>
    <r>
      <rPr>
        <sz val="10"/>
        <color theme="1"/>
        <rFont val="Times New Roman"/>
        <charset val="134"/>
      </rPr>
      <t>Identify</t>
    </r>
    <r>
      <rPr>
        <sz val="10"/>
        <color theme="1"/>
        <rFont val="宋体"/>
        <charset val="134"/>
      </rPr>
      <t>的人阅读。你来决定法术书的外貌和材料，比如一本镶金边的典籍或用麻绳装订的牛皮纸集。
这本书包含所有你已知的一环及以上的法术。最初，它记录着六道法师法术。推荐选择侦测魔法</t>
    </r>
    <r>
      <rPr>
        <sz val="10"/>
        <color theme="1"/>
        <rFont val="Times New Roman"/>
        <charset val="134"/>
      </rPr>
      <t>Detect Magic</t>
    </r>
    <r>
      <rPr>
        <sz val="10"/>
        <color theme="1"/>
        <rFont val="宋体"/>
        <charset val="134"/>
      </rPr>
      <t>、羽落术</t>
    </r>
    <r>
      <rPr>
        <sz val="10"/>
        <color theme="1"/>
        <rFont val="Times New Roman"/>
        <charset val="134"/>
      </rPr>
      <t>Feather Fall</t>
    </r>
    <r>
      <rPr>
        <sz val="10"/>
        <color theme="1"/>
        <rFont val="宋体"/>
        <charset val="134"/>
      </rPr>
      <t>、法师护甲</t>
    </r>
    <r>
      <rPr>
        <sz val="10"/>
        <color theme="1"/>
        <rFont val="Times New Roman"/>
        <charset val="134"/>
      </rPr>
      <t>Mage Armor</t>
    </r>
    <r>
      <rPr>
        <sz val="10"/>
        <color theme="1"/>
        <rFont val="宋体"/>
        <charset val="134"/>
      </rPr>
      <t>、魔法飞弹</t>
    </r>
    <r>
      <rPr>
        <sz val="10"/>
        <color theme="1"/>
        <rFont val="Times New Roman"/>
        <charset val="134"/>
      </rPr>
      <t>Magic Missile</t>
    </r>
    <r>
      <rPr>
        <sz val="10"/>
        <color theme="1"/>
        <rFont val="宋体"/>
        <charset val="134"/>
      </rPr>
      <t>、睡眠术</t>
    </r>
    <r>
      <rPr>
        <sz val="10"/>
        <color theme="1"/>
        <rFont val="Times New Roman"/>
        <charset val="134"/>
      </rPr>
      <t>Sleep</t>
    </r>
    <r>
      <rPr>
        <sz val="10"/>
        <color theme="1"/>
        <rFont val="宋体"/>
        <charset val="134"/>
      </rPr>
      <t>和雷鸣波</t>
    </r>
    <r>
      <rPr>
        <sz val="10"/>
        <color theme="1"/>
        <rFont val="Times New Roman"/>
        <charset val="134"/>
      </rPr>
      <t>Thunderwave</t>
    </r>
    <r>
      <rPr>
        <sz val="10"/>
        <color theme="1"/>
        <rFont val="宋体"/>
        <charset val="134"/>
      </rPr>
      <t xml:space="preserve">。
</t>
    </r>
    <r>
      <rPr>
        <sz val="10"/>
        <color theme="1"/>
        <rFont val="Times New Roman"/>
        <charset val="134"/>
      </rPr>
      <t>1</t>
    </r>
    <r>
      <rPr>
        <sz val="10"/>
        <color theme="1"/>
        <rFont val="宋体"/>
        <charset val="134"/>
      </rPr>
      <t>级之后每当你获得一个法师等级时，你就可以往法术书中添加两道你选择的法师法术。你所选择法术的环阶必须是你所拥有法术位对应的环阶，你所拥有的法术位如法师特性表中所示。这些法术是你定期进行奥术研究的成果。</t>
    </r>
  </si>
  <si>
    <r>
      <rPr>
        <sz val="10"/>
        <color theme="1"/>
        <rFont val="宋体"/>
        <charset val="134"/>
      </rPr>
      <t>必备工具</t>
    </r>
  </si>
  <si>
    <r>
      <rPr>
        <sz val="10"/>
        <color theme="1"/>
        <rFont val="宋体"/>
        <charset val="134"/>
      </rPr>
      <t>你通过工具来施展你的奇械师法术。你可以使用盗贼工具，修补工具，或其他你具有熟练的工匠工具作为你的施法法器，且当你施展一个奇械师法术时必须持握着其中一件法器（意味着当你施法时，法术具有</t>
    </r>
    <r>
      <rPr>
        <sz val="10"/>
        <color theme="1"/>
        <rFont val="Times New Roman"/>
        <charset val="134"/>
      </rPr>
      <t>“</t>
    </r>
    <r>
      <rPr>
        <sz val="10"/>
        <color theme="1"/>
        <rFont val="宋体"/>
        <charset val="134"/>
      </rPr>
      <t>材料</t>
    </r>
    <r>
      <rPr>
        <sz val="10"/>
        <color theme="1"/>
        <rFont val="Times New Roman"/>
        <charset val="134"/>
      </rPr>
      <t>M”</t>
    </r>
    <r>
      <rPr>
        <sz val="10"/>
        <color theme="1"/>
        <rFont val="宋体"/>
        <charset val="134"/>
      </rPr>
      <t>成分）。</t>
    </r>
  </si>
  <si>
    <r>
      <rPr>
        <sz val="10"/>
        <color theme="1"/>
        <rFont val="宋体"/>
        <charset val="134"/>
      </rPr>
      <t>灵能使特性表显示了你可用于施展一环及以上法术的法术位数量。当你完成长休时，你重获所有已消耗的法术位。</t>
    </r>
    <r>
      <rPr>
        <sz val="10"/>
        <color theme="1"/>
        <rFont val="Times New Roman"/>
        <charset val="134"/>
      </rPr>
      <t xml:space="preserve"> </t>
    </r>
  </si>
  <si>
    <r>
      <rPr>
        <sz val="10"/>
        <color theme="1"/>
        <rFont val="宋体"/>
        <charset val="134"/>
      </rPr>
      <t>焦虑血咒</t>
    </r>
  </si>
  <si>
    <r>
      <rPr>
        <sz val="10"/>
        <color theme="1"/>
        <rFont val="宋体"/>
        <charset val="134"/>
      </rPr>
      <t>以一个附赠动作，你破坏距离你</t>
    </r>
    <r>
      <rPr>
        <sz val="10"/>
        <color theme="1"/>
        <rFont val="Times New Roman"/>
        <charset val="134"/>
      </rPr>
      <t xml:space="preserve"> 30 </t>
    </r>
    <r>
      <rPr>
        <sz val="10"/>
        <color theme="1"/>
        <rFont val="宋体"/>
        <charset val="134"/>
      </rPr>
      <t>尺以内一生物的身体或思想，使他们更容易受到影响。</t>
    </r>
    <r>
      <rPr>
        <sz val="10"/>
        <color theme="1"/>
        <rFont val="Times New Roman"/>
        <charset val="134"/>
      </rPr>
      <t xml:space="preserve"> </t>
    </r>
    <r>
      <rPr>
        <sz val="10"/>
        <color theme="1"/>
        <rFont val="宋体"/>
        <charset val="134"/>
      </rPr>
      <t>在你的下一轮结束之前，对被诅咒生物进行的魅力（恐吓）检定具有优势。
增幅。在此诅咒结束前，目标下次进行的感知豁免具有劣势。</t>
    </r>
  </si>
  <si>
    <r>
      <rPr>
        <sz val="10"/>
        <color theme="1"/>
        <rFont val="宋体"/>
        <charset val="134"/>
      </rPr>
      <t>初级重组</t>
    </r>
  </si>
  <si>
    <r>
      <rPr>
        <sz val="10"/>
        <color theme="1"/>
        <rFont val="宋体"/>
        <charset val="134"/>
      </rPr>
      <t>当你完成一次长休并查阅了你的公式书时，你可以将一个你已知的药剂师戏法和药剂师法术列表中的另一个戏法替换。</t>
    </r>
  </si>
  <si>
    <t>武器精通</t>
  </si>
  <si>
    <t>你对武器的训练使你能够运用两种自选的简易或军用远程武器的精通词条。每当你完成一次长休时，你可以重新演练武器技巧，来改变你所选择的其中一个武器类型。
当你到达特定的铳士等级时，你还可以使用更多种类武器的精通词条，详见铳士特性表中武器精通一栏。</t>
  </si>
  <si>
    <t>禁令豁免</t>
  </si>
  <si>
    <r>
      <rPr>
        <sz val="10"/>
        <color theme="1"/>
        <rFont val="宋体"/>
        <charset val="134"/>
      </rPr>
      <t>你后续获得的职业特性将为你的极恶禁令带来额外效应，并要求目标以进行豁免检定抵抗其效果。那些效应的豁免</t>
    </r>
    <r>
      <rPr>
        <sz val="10"/>
        <color theme="1"/>
        <rFont val="Times New Roman"/>
        <charset val="134"/>
      </rPr>
      <t>DC</t>
    </r>
    <r>
      <rPr>
        <sz val="10"/>
        <color theme="1"/>
        <rFont val="宋体"/>
        <charset val="134"/>
      </rPr>
      <t>使用你的禁令豁免</t>
    </r>
    <r>
      <rPr>
        <sz val="10"/>
        <color theme="1"/>
        <rFont val="Times New Roman"/>
        <charset val="134"/>
      </rPr>
      <t>DC</t>
    </r>
    <r>
      <rPr>
        <sz val="10"/>
        <color theme="1"/>
        <rFont val="宋体"/>
        <charset val="134"/>
      </rPr>
      <t>，其计算方式如下：禁令豁免</t>
    </r>
    <r>
      <rPr>
        <sz val="10"/>
        <color theme="1"/>
        <rFont val="Times New Roman"/>
        <charset val="134"/>
      </rPr>
      <t>DC=8+</t>
    </r>
    <r>
      <rPr>
        <sz val="10"/>
        <color theme="1"/>
        <rFont val="宋体"/>
        <charset val="134"/>
      </rPr>
      <t>你的魅力调整值</t>
    </r>
    <r>
      <rPr>
        <sz val="10"/>
        <color theme="1"/>
        <rFont val="Times New Roman"/>
        <charset val="134"/>
      </rPr>
      <t>+</t>
    </r>
    <r>
      <rPr>
        <sz val="10"/>
        <color theme="1"/>
        <rFont val="宋体"/>
        <charset val="134"/>
      </rPr>
      <t>你的熟练加值</t>
    </r>
  </si>
  <si>
    <t>锐气</t>
  </si>
  <si>
    <r>
      <rPr>
        <sz val="10"/>
        <color theme="1"/>
        <rFont val="宋体"/>
        <charset val="134"/>
      </rPr>
      <t>你战胜逆境的经历让你在战斗时充满勇气，这种自信表现为你的锐气。你的拳斗士等级决定了你拥有多少点锐气，具体数据见拳斗士特性表中的锐气一列。
你可以消耗锐气来增强或启动特定的拳斗士特性。你一开始掌握三种特性：振奋精神，左右开弓，寓攻于走。细节见下。
每当你消耗</t>
    </r>
    <r>
      <rPr>
        <sz val="10"/>
        <color theme="1"/>
        <rFont val="Times New Roman"/>
        <charset val="134"/>
      </rPr>
      <t>1</t>
    </r>
    <r>
      <rPr>
        <sz val="10"/>
        <color theme="1"/>
        <rFont val="宋体"/>
        <charset val="134"/>
      </rPr>
      <t>点锐气时，其将暂时不可以再被使用直至你完成一次短休或长休。在完成休息时，你将重获所有已消耗的锐气。
振奋精神</t>
    </r>
    <r>
      <rPr>
        <sz val="10"/>
        <color theme="1"/>
        <rFont val="Times New Roman"/>
        <charset val="134"/>
      </rPr>
      <t>Brace up</t>
    </r>
    <r>
      <rPr>
        <sz val="10"/>
        <color theme="1"/>
        <rFont val="宋体"/>
        <charset val="134"/>
      </rPr>
      <t>。你能以附赠动作消耗</t>
    </r>
    <r>
      <rPr>
        <sz val="10"/>
        <color theme="1"/>
        <rFont val="Times New Roman"/>
        <charset val="134"/>
      </rPr>
      <t>1</t>
    </r>
    <r>
      <rPr>
        <sz val="10"/>
        <color theme="1"/>
        <rFont val="宋体"/>
        <charset val="134"/>
      </rPr>
      <t>点锐气来从攻击中为应对攻击打起精神。当你如此做时，投掷你的拳斗骰并获得骰值加你的拳斗士等级加你的体质调整值的临时生命值。该临时生命值将在</t>
    </r>
    <r>
      <rPr>
        <sz val="10"/>
        <color theme="1"/>
        <rFont val="Times New Roman"/>
        <charset val="134"/>
      </rPr>
      <t>10</t>
    </r>
    <r>
      <rPr>
        <sz val="10"/>
        <color theme="1"/>
        <rFont val="宋体"/>
        <charset val="134"/>
      </rPr>
      <t>分钟后消失（若有剩余）。
左右开弓</t>
    </r>
    <r>
      <rPr>
        <sz val="10"/>
        <color theme="1"/>
        <rFont val="Times New Roman"/>
        <charset val="134"/>
      </rPr>
      <t>One-Two Punch</t>
    </r>
    <r>
      <rPr>
        <sz val="10"/>
        <color theme="1"/>
        <rFont val="宋体"/>
        <charset val="134"/>
      </rPr>
      <t>。你能消耗</t>
    </r>
    <r>
      <rPr>
        <sz val="10"/>
        <color theme="1"/>
        <rFont val="Times New Roman"/>
        <charset val="134"/>
      </rPr>
      <t>1</t>
    </r>
    <r>
      <rPr>
        <sz val="10"/>
        <color theme="1"/>
        <rFont val="宋体"/>
        <charset val="134"/>
      </rPr>
      <t>点锐气，以附赠动作发动两次徒手打击。
寓攻于走</t>
    </r>
    <r>
      <rPr>
        <sz val="10"/>
        <color theme="1"/>
        <rFont val="Times New Roman"/>
        <charset val="134"/>
      </rPr>
      <t>Stick and Move</t>
    </r>
    <r>
      <rPr>
        <sz val="10"/>
        <color theme="1"/>
        <rFont val="宋体"/>
        <charset val="134"/>
      </rPr>
      <t>。你能消耗</t>
    </r>
    <r>
      <rPr>
        <sz val="10"/>
        <color theme="1"/>
        <rFont val="Times New Roman"/>
        <charset val="134"/>
      </rPr>
      <t>1</t>
    </r>
    <r>
      <rPr>
        <sz val="10"/>
        <color theme="1"/>
        <rFont val="宋体"/>
        <charset val="134"/>
      </rPr>
      <t>点锐气，并使用附赠动作发动一次徒手打击并执行疾行或撤离动作。</t>
    </r>
  </si>
  <si>
    <t>巨像道途</t>
  </si>
  <si>
    <r>
      <rPr>
        <sz val="10"/>
        <color theme="1"/>
        <rFont val="宋体"/>
        <charset val="134"/>
      </rPr>
      <t>危机感应</t>
    </r>
  </si>
  <si>
    <r>
      <rPr>
        <sz val="10"/>
        <color theme="1"/>
        <rFont val="宋体"/>
        <charset val="134"/>
      </rPr>
      <t>当非常事态发生时，一种不可思议的感觉降临你的心头，指引你更好的躲避危机。只要你未陷入失能状态，你的敏捷豁免检定就具有优势。</t>
    </r>
  </si>
  <si>
    <r>
      <rPr>
        <sz val="10"/>
        <color theme="1"/>
        <rFont val="宋体"/>
        <charset val="134"/>
      </rPr>
      <t>吟游诗人特性表显示了你可用于施展一环及以上法术的法术位数量。当你完成长休时，你重获所有已消耗的法术位。</t>
    </r>
  </si>
  <si>
    <r>
      <rPr>
        <sz val="10"/>
        <color theme="1"/>
        <rFont val="宋体"/>
        <charset val="134"/>
      </rPr>
      <t>你准备可供你以此特性施展的一环及更高环阶的法术列表。最初，选择四道牧师法术。推荐选择祝福术</t>
    </r>
    <r>
      <rPr>
        <sz val="10"/>
        <color theme="1"/>
        <rFont val="Times New Roman"/>
        <charset val="134"/>
      </rPr>
      <t>Bless</t>
    </r>
    <r>
      <rPr>
        <sz val="10"/>
        <color theme="1"/>
        <rFont val="宋体"/>
        <charset val="134"/>
      </rPr>
      <t>，疗伤术</t>
    </r>
    <r>
      <rPr>
        <sz val="10"/>
        <color theme="1"/>
        <rFont val="Times New Roman"/>
        <charset val="134"/>
      </rPr>
      <t>Cure Wounds</t>
    </r>
    <r>
      <rPr>
        <sz val="10"/>
        <color theme="1"/>
        <rFont val="宋体"/>
        <charset val="134"/>
      </rPr>
      <t>，光导箭</t>
    </r>
    <r>
      <rPr>
        <sz val="10"/>
        <color theme="1"/>
        <rFont val="Times New Roman"/>
        <charset val="134"/>
      </rPr>
      <t>Guiding Bolt</t>
    </r>
    <r>
      <rPr>
        <sz val="10"/>
        <color theme="1"/>
        <rFont val="宋体"/>
        <charset val="134"/>
      </rPr>
      <t>和虔诚护盾</t>
    </r>
    <r>
      <rPr>
        <sz val="10"/>
        <color theme="1"/>
        <rFont val="Times New Roman"/>
        <charset val="134"/>
      </rPr>
      <t>Shield of Faith</t>
    </r>
    <r>
      <rPr>
        <sz val="10"/>
        <color theme="1"/>
        <rFont val="宋体"/>
        <charset val="134"/>
      </rPr>
      <t>。
已准备法术数量会随你牧师等级的提升而增加，如牧师特性表中的准备法术一列所示。每当这一列的数字增加时，从牧师法术列表中选择额外法术准备，直至已准备法术的数量与表格中的数字一致。你所选择法术的环阶必须是你所拥有法术位对应的环阶。例如，如果你是一名</t>
    </r>
    <r>
      <rPr>
        <sz val="10"/>
        <color theme="1"/>
        <rFont val="Times New Roman"/>
        <charset val="134"/>
      </rPr>
      <t>3</t>
    </r>
    <r>
      <rPr>
        <sz val="10"/>
        <color theme="1"/>
        <rFont val="宋体"/>
        <charset val="134"/>
      </rPr>
      <t>级牧师，则你的准备法术列表能包括六道一环或二环的牧师法术，随意组合。
如果牧师的其他特性给了你始终准备了的法术，这些法术不计入你以此法准备的法术数量，但这些法术对你而言都视为牧师法术。</t>
    </r>
    <r>
      <rPr>
        <sz val="10"/>
        <color theme="1"/>
        <rFont val="Times New Roman"/>
        <charset val="134"/>
      </rPr>
      <t xml:space="preserve"> </t>
    </r>
  </si>
  <si>
    <r>
      <rPr>
        <sz val="10"/>
        <color theme="1"/>
        <rFont val="宋体"/>
        <charset val="134"/>
      </rPr>
      <t>你准备可供你以此特性施展的一环及更高环阶的法术列表。最初，选择四道德鲁伊法术。推荐选择化兽为友</t>
    </r>
    <r>
      <rPr>
        <sz val="10"/>
        <color theme="1"/>
        <rFont val="Times New Roman"/>
        <charset val="134"/>
      </rPr>
      <t>Animal Friendship</t>
    </r>
    <r>
      <rPr>
        <sz val="10"/>
        <color theme="1"/>
        <rFont val="宋体"/>
        <charset val="134"/>
      </rPr>
      <t>、疗伤术</t>
    </r>
    <r>
      <rPr>
        <sz val="10"/>
        <color theme="1"/>
        <rFont val="Times New Roman"/>
        <charset val="134"/>
      </rPr>
      <t>Cure Wound</t>
    </r>
    <r>
      <rPr>
        <sz val="10"/>
        <color theme="1"/>
        <rFont val="宋体"/>
        <charset val="134"/>
      </rPr>
      <t>、妖火</t>
    </r>
    <r>
      <rPr>
        <sz val="10"/>
        <color theme="1"/>
        <rFont val="Times New Roman"/>
        <charset val="134"/>
      </rPr>
      <t>Faerie Fire</t>
    </r>
    <r>
      <rPr>
        <sz val="10"/>
        <color theme="1"/>
        <rFont val="宋体"/>
        <charset val="134"/>
      </rPr>
      <t>和雷鸣波</t>
    </r>
    <r>
      <rPr>
        <sz val="10"/>
        <color theme="1"/>
        <rFont val="Times New Roman"/>
        <charset val="134"/>
      </rPr>
      <t>Thunderwave</t>
    </r>
    <r>
      <rPr>
        <sz val="10"/>
        <color theme="1"/>
        <rFont val="宋体"/>
        <charset val="134"/>
      </rPr>
      <t>。
已准备法术数量会随你德鲁伊等级的提升而增加，如德鲁伊特性表中的准备法术一列所示。每当这一列的数字增加时，从德鲁伊法术列表中选择额外法术准备，直至已准备法术的数量与表格中的数字一致。你所选择法术的环阶必须是你所拥有法术位对应的环阶。例如，如果你是一名</t>
    </r>
    <r>
      <rPr>
        <sz val="10"/>
        <color theme="1"/>
        <rFont val="Times New Roman"/>
        <charset val="134"/>
      </rPr>
      <t>3</t>
    </r>
    <r>
      <rPr>
        <sz val="10"/>
        <color theme="1"/>
        <rFont val="宋体"/>
        <charset val="134"/>
      </rPr>
      <t>级德鲁伊，则你的准备法术列表能包括六道一环或二环的德鲁伊法术，随意组合。
如果德鲁伊的其他特性给了你始终准备了的法术，这些法术不计入你以此法准备的法术数量，但这些法术对你而言都视为德鲁伊法术。</t>
    </r>
  </si>
  <si>
    <r>
      <rPr>
        <sz val="10"/>
        <color theme="1"/>
        <rFont val="宋体"/>
        <charset val="134"/>
      </rPr>
      <t>动作如潮</t>
    </r>
  </si>
  <si>
    <r>
      <rPr>
        <sz val="10"/>
        <color theme="1"/>
        <rFont val="宋体"/>
        <charset val="134"/>
      </rPr>
      <t>你可以在短期内让自己突破身为凡骨的极限。在你的回合中，你可以执行一个额外的动作，但不能是魔法动作。
你使用此特性后，你必须在完成一次短休或长休后才能再次使用。第</t>
    </r>
    <r>
      <rPr>
        <sz val="10"/>
        <color theme="1"/>
        <rFont val="Times New Roman"/>
        <charset val="134"/>
      </rPr>
      <t>17</t>
    </r>
    <r>
      <rPr>
        <sz val="10"/>
        <color theme="1"/>
        <rFont val="宋体"/>
        <charset val="134"/>
      </rPr>
      <t>级起，你可以在每次休息之间使用此特性两次，但每回合只能使用一次。</t>
    </r>
  </si>
  <si>
    <r>
      <rPr>
        <sz val="10"/>
        <color theme="1"/>
        <rFont val="宋体"/>
        <charset val="134"/>
      </rPr>
      <t>无甲移动</t>
    </r>
  </si>
  <si>
    <r>
      <rPr>
        <sz val="10"/>
        <color theme="1"/>
        <rFont val="宋体"/>
        <charset val="134"/>
      </rPr>
      <t>当未着装任何护甲也没持用盾牌时，你的速度提升</t>
    </r>
    <r>
      <rPr>
        <sz val="10"/>
        <color theme="1"/>
        <rFont val="Times New Roman"/>
        <charset val="134"/>
      </rPr>
      <t>10</t>
    </r>
    <r>
      <rPr>
        <sz val="10"/>
        <color theme="1"/>
        <rFont val="宋体"/>
        <charset val="134"/>
      </rPr>
      <t>尺。该加值将随着武僧职业等级的提升而增加，具体数值见武僧特性表。</t>
    </r>
  </si>
  <si>
    <r>
      <rPr>
        <sz val="10"/>
        <color theme="1"/>
        <rFont val="宋体"/>
        <charset val="134"/>
      </rPr>
      <t>你准备可供你以此特性施展的一环及更高环阶的法术列表。最初，选择两道圣武士法术推荐选择英雄气概</t>
    </r>
    <r>
      <rPr>
        <sz val="10"/>
        <color theme="1"/>
        <rFont val="Times New Roman"/>
        <charset val="134"/>
      </rPr>
      <t>Heroism</t>
    </r>
    <r>
      <rPr>
        <sz val="10"/>
        <color theme="1"/>
        <rFont val="宋体"/>
        <charset val="134"/>
      </rPr>
      <t>和炽焰斩</t>
    </r>
    <r>
      <rPr>
        <sz val="10"/>
        <color theme="1"/>
        <rFont val="Times New Roman"/>
        <charset val="134"/>
      </rPr>
      <t>Searing Smite</t>
    </r>
    <r>
      <rPr>
        <sz val="10"/>
        <color theme="1"/>
        <rFont val="宋体"/>
        <charset val="134"/>
      </rPr>
      <t>。
已准备法术数量会随你圣武士等级的提升而增加，如圣武士特性表中的准备法术一列所示。每当这一列的数字增加时，法术列表中选择额外法术准备，直至已准备法术的数量与表格中的数字一致。你所选择法术的环阶必须是你所拥有法术位对应的环阶。例如，如果你是一名</t>
    </r>
    <r>
      <rPr>
        <sz val="10"/>
        <color theme="1"/>
        <rFont val="Times New Roman"/>
        <charset val="134"/>
      </rPr>
      <t>5</t>
    </r>
    <r>
      <rPr>
        <sz val="10"/>
        <color theme="1"/>
        <rFont val="宋体"/>
        <charset val="134"/>
      </rPr>
      <t>级的圣武士，则你的准备法术列表能包括六道一环或二环的牧师法术，随意组合。
如果圣武士的其他特性给了你始终准备了的法术，这些法术不计入你以此法准备的法术数量，但这些法术对你而言都视为圣武士法术。</t>
    </r>
  </si>
  <si>
    <r>
      <rPr>
        <sz val="10"/>
        <color theme="1"/>
        <rFont val="宋体"/>
        <charset val="134"/>
      </rPr>
      <t>改变你的准备法术</t>
    </r>
  </si>
  <si>
    <r>
      <rPr>
        <sz val="10"/>
        <color theme="1"/>
        <rFont val="宋体"/>
        <charset val="134"/>
      </rPr>
      <t>每当你完成一次长休时，你可以将你准备列表上的一道法术替换为其他游侠法术，新替换的法术必须是你拥有法术位的法术。</t>
    </r>
    <r>
      <rPr>
        <sz val="10"/>
        <color theme="1"/>
        <rFont val="Times New Roman"/>
        <charset val="134"/>
      </rPr>
      <t xml:space="preserve"> </t>
    </r>
  </si>
  <si>
    <r>
      <rPr>
        <sz val="10"/>
        <color theme="1"/>
        <rFont val="宋体"/>
        <charset val="134"/>
      </rPr>
      <t>你对武器的训练使你能够运用两种自选熟练武器的精通属性，比如选择匕首和短弓。
当你完成一次长休时，你可以改变你所选择的武器类型。比如你可以改为使用弯刀和短剑。</t>
    </r>
  </si>
  <si>
    <r>
      <rPr>
        <sz val="10"/>
        <color theme="1"/>
        <rFont val="宋体"/>
        <charset val="134"/>
      </rPr>
      <t>你准备可供你以此特性施展的一环及更高环阶的法术列表。最初，选择两道术士法术。推荐选择燃烧之手</t>
    </r>
    <r>
      <rPr>
        <sz val="10"/>
        <color theme="1"/>
        <rFont val="Times New Roman"/>
        <charset val="134"/>
      </rPr>
      <t>Burning Hands</t>
    </r>
    <r>
      <rPr>
        <sz val="10"/>
        <color theme="1"/>
        <rFont val="宋体"/>
        <charset val="134"/>
      </rPr>
      <t>和侦测魔法</t>
    </r>
    <r>
      <rPr>
        <sz val="10"/>
        <color theme="1"/>
        <rFont val="Times New Roman"/>
        <charset val="134"/>
      </rPr>
      <t xml:space="preserve">Detect Magic </t>
    </r>
    <r>
      <rPr>
        <sz val="10"/>
        <color theme="1"/>
        <rFont val="宋体"/>
        <charset val="134"/>
      </rPr>
      <t>。
已准备法术数量会随你术士等级的提升而增加，如术士特性表中的准备法术一列所示。每当这一列的数字增加时，从术士法术列表中选择额外法术准备，直至已准备法术的数量与表格中的数字一致。你所选择法术的环阶必须是你所拥有法术位对应的环阶。例如，如果你是一位</t>
    </r>
    <r>
      <rPr>
        <sz val="10"/>
        <color theme="1"/>
        <rFont val="Times New Roman"/>
        <charset val="134"/>
      </rPr>
      <t>3</t>
    </r>
    <r>
      <rPr>
        <sz val="10"/>
        <color theme="1"/>
        <rFont val="宋体"/>
        <charset val="134"/>
      </rPr>
      <t>级术士，则你的准备法术列表能包括六道一环或二环的术士法术，随意组合。
如果术士的其他特性给了你始终准备了的法术，这些法术不计入你以此法准备的法术数量，但这些法术对你而言都视为术士法术。</t>
    </r>
  </si>
  <si>
    <r>
      <rPr>
        <sz val="10"/>
        <color theme="1"/>
        <rFont val="宋体"/>
        <charset val="134"/>
      </rPr>
      <t>刃之魔契</t>
    </r>
  </si>
  <si>
    <r>
      <rPr>
        <sz val="10"/>
        <color theme="1"/>
        <rFont val="宋体"/>
        <charset val="134"/>
      </rPr>
      <t>以一个附赠动作，你在手中咒唤出一把契约武器</t>
    </r>
    <r>
      <rPr>
        <sz val="10"/>
        <color theme="1"/>
        <rFont val="Times New Roman"/>
        <charset val="134"/>
      </rPr>
      <t>——</t>
    </r>
    <r>
      <rPr>
        <sz val="10"/>
        <color theme="1"/>
        <rFont val="宋体"/>
        <charset val="134"/>
      </rPr>
      <t>一把与你连结了的简易或军用近战武器</t>
    </r>
    <r>
      <rPr>
        <sz val="10"/>
        <color theme="1"/>
        <rFont val="Times New Roman"/>
        <charset val="134"/>
      </rPr>
      <t>——</t>
    </r>
    <r>
      <rPr>
        <sz val="10"/>
        <color theme="1"/>
        <rFont val="宋体"/>
        <charset val="134"/>
      </rPr>
      <t>或者与一个你所触摸的魔法武器建立连结。你不能与一把已经被其它生物同调或是和另一魔契师建立连结的魔法武器建立连结。直到连结结束，你拥有其熟练项，且你可以将其用作施法的法器。
当你用你连结的武器发动攻击时，你能使用魅力调整值进行攻击检定和伤害掷骰，取代使用力量或敏捷，且你可以令该武器造成暗蚀、心灵或光耀伤害，来取代原先的伤害类型。
你与武器的连结会在你再次使用此特性的附赠动作时，武器在你</t>
    </r>
    <r>
      <rPr>
        <sz val="10"/>
        <color theme="1"/>
        <rFont val="Times New Roman"/>
        <charset val="134"/>
      </rPr>
      <t>5</t>
    </r>
    <r>
      <rPr>
        <sz val="10"/>
        <color theme="1"/>
        <rFont val="宋体"/>
        <charset val="134"/>
      </rPr>
      <t>尺外</t>
    </r>
    <r>
      <rPr>
        <sz val="10"/>
        <color theme="1"/>
        <rFont val="Times New Roman"/>
        <charset val="134"/>
      </rPr>
      <t>1</t>
    </r>
    <r>
      <rPr>
        <sz val="10"/>
        <color theme="1"/>
        <rFont val="宋体"/>
        <charset val="134"/>
      </rPr>
      <t>分钟或更久或是你死亡时结束。一个被咒唤出的武器会在连结结束时消失。</t>
    </r>
  </si>
  <si>
    <r>
      <rPr>
        <sz val="10"/>
        <color theme="1"/>
        <rFont val="宋体"/>
        <charset val="134"/>
      </rPr>
      <t>法师特性表显示了你可用于施展一环及以上法术的法术位数量。你在完成一次长休时恢复所有已消耗的法术位。</t>
    </r>
  </si>
  <si>
    <r>
      <rPr>
        <sz val="10"/>
        <color theme="1"/>
        <rFont val="宋体"/>
        <charset val="134"/>
      </rPr>
      <t>你习得两个你选择的奇械师戏法。推荐酸液飞溅</t>
    </r>
    <r>
      <rPr>
        <sz val="10"/>
        <color theme="1"/>
        <rFont val="Times New Roman"/>
        <charset val="134"/>
      </rPr>
      <t>Acid Splash</t>
    </r>
    <r>
      <rPr>
        <sz val="10"/>
        <color theme="1"/>
        <rFont val="宋体"/>
        <charset val="134"/>
      </rPr>
      <t>和魔法伎俩</t>
    </r>
    <r>
      <rPr>
        <sz val="10"/>
        <color theme="1"/>
        <rFont val="Times New Roman"/>
        <charset val="134"/>
      </rPr>
      <t>Prestidigitation</t>
    </r>
    <r>
      <rPr>
        <sz val="10"/>
        <color theme="1"/>
        <rFont val="宋体"/>
        <charset val="134"/>
      </rPr>
      <t>。
每当你完成一次长休时，你都能将通过此特性得到的其中一个戏法替换为另一个你所选择的奇械师戏法。
当你的奇械师等级达到</t>
    </r>
    <r>
      <rPr>
        <sz val="10"/>
        <color theme="1"/>
        <rFont val="Times New Roman"/>
        <charset val="134"/>
      </rPr>
      <t>10</t>
    </r>
    <r>
      <rPr>
        <sz val="10"/>
        <color theme="1"/>
        <rFont val="宋体"/>
        <charset val="134"/>
      </rPr>
      <t>级和</t>
    </r>
    <r>
      <rPr>
        <sz val="10"/>
        <color theme="1"/>
        <rFont val="Times New Roman"/>
        <charset val="134"/>
      </rPr>
      <t>14</t>
    </r>
    <r>
      <rPr>
        <sz val="10"/>
        <color theme="1"/>
        <rFont val="宋体"/>
        <charset val="134"/>
      </rPr>
      <t>级时，你都能习得另一个你所选择的奇械师戏法，如奇械师特性表中戏法一列所示。</t>
    </r>
  </si>
  <si>
    <r>
      <rPr>
        <sz val="10"/>
        <color theme="1"/>
        <rFont val="宋体"/>
        <charset val="134"/>
      </rPr>
      <t>一环及以上的准备法术</t>
    </r>
  </si>
  <si>
    <r>
      <rPr>
        <sz val="10"/>
        <color theme="1"/>
        <rFont val="宋体"/>
        <charset val="134"/>
      </rPr>
      <t>你准备可供你以此特性施展的一环及更高环阶的法术列表。最初，选择四道灵能使法术。推荐选择魅惑人类、命令术、不谐低语与法师护甲。已准备法术数量会随你灵能使等级的提升而增加，如灵能使特性表中的准备法术一列所示。每当这一列的数字增加时，从灵能使法术列表中选择额外法术准备，直至已准备法术的数量与表格中的数字一致。你所选择法术的环阶必须是你所拥有法术位对应的环阶。例如，如果你是一位</t>
    </r>
    <r>
      <rPr>
        <sz val="10"/>
        <color theme="1"/>
        <rFont val="Times New Roman"/>
        <charset val="134"/>
      </rPr>
      <t>3</t>
    </r>
    <r>
      <rPr>
        <sz val="10"/>
        <color theme="1"/>
        <rFont val="宋体"/>
        <charset val="134"/>
      </rPr>
      <t>级灵能使，则你的准备法术列表能包括六道一环或二环的灵能使法术，随意组合。如果灵能使的其他特性给了你始终准备着的法术，这些法术不计入你以此法准备的法术数量，但这些法术对你而言都视为灵能使法术。</t>
    </r>
    <r>
      <rPr>
        <sz val="10"/>
        <color theme="1"/>
        <rFont val="Times New Roman"/>
        <charset val="134"/>
      </rPr>
      <t xml:space="preserve"> </t>
    </r>
  </si>
  <si>
    <r>
      <rPr>
        <sz val="10"/>
        <color theme="1"/>
        <rFont val="宋体"/>
        <charset val="134"/>
      </rPr>
      <t>捆缚血咒</t>
    </r>
  </si>
  <si>
    <r>
      <rPr>
        <sz val="10"/>
        <color theme="1"/>
        <rFont val="宋体"/>
        <charset val="134"/>
      </rPr>
      <t>以一个附赠动作，你试图束缚</t>
    </r>
    <r>
      <rPr>
        <sz val="10"/>
        <color theme="1"/>
        <rFont val="Times New Roman"/>
        <charset val="134"/>
      </rPr>
      <t xml:space="preserve"> 30 </t>
    </r>
    <r>
      <rPr>
        <sz val="10"/>
        <color theme="1"/>
        <rFont val="宋体"/>
        <charset val="134"/>
      </rPr>
      <t>尺内一个你能看见的、体型至多比你大一级的生物。
目标必须通过一次力量豁免，失败则速度降低为</t>
    </r>
    <r>
      <rPr>
        <sz val="10"/>
        <color theme="1"/>
        <rFont val="Times New Roman"/>
        <charset val="134"/>
      </rPr>
      <t xml:space="preserve"> 0</t>
    </r>
    <r>
      <rPr>
        <sz val="10"/>
        <color theme="1"/>
        <rFont val="宋体"/>
        <charset val="134"/>
      </rPr>
      <t>，且其无法使用反应，直至你下回合结束。
增幅。此诅咒持续一分钟，且可以影响任何体型的生物。其在自己的每回合结束时可以进行力量豁免。豁免成功时此诅咒结束。</t>
    </r>
  </si>
  <si>
    <r>
      <rPr>
        <sz val="10"/>
        <color theme="1"/>
        <rFont val="宋体"/>
        <charset val="134"/>
      </rPr>
      <t>公式书</t>
    </r>
  </si>
  <si>
    <r>
      <rPr>
        <sz val="10"/>
        <color theme="1"/>
        <rFont val="宋体"/>
        <charset val="134"/>
      </rPr>
      <t xml:space="preserve">你有一本书或是一本笔记收藏，用以研习和准备你的药剂师法术，提升你的隐秘理论，并记录你的玄奥实践。你可以使用公式书作为你施展药剂师法术的法器。你可以用任何你喜欢的方式描述你的公式书。你的公式书外型的范例包括：
</t>
    </r>
    <r>
      <rPr>
        <sz val="10"/>
        <color theme="1"/>
        <rFont val="Times New Roman"/>
        <charset val="134"/>
      </rPr>
      <t xml:space="preserve">• </t>
    </r>
    <r>
      <rPr>
        <sz val="10"/>
        <color theme="1"/>
        <rFont val="宋体"/>
        <charset val="134"/>
      </rPr>
      <t xml:space="preserve">一本纸面泛黄，皮面精装的大部头书，绑着一把铁锁。
</t>
    </r>
    <r>
      <rPr>
        <sz val="10"/>
        <color theme="1"/>
        <rFont val="Times New Roman"/>
        <charset val="134"/>
      </rPr>
      <t xml:space="preserve">• </t>
    </r>
    <r>
      <rPr>
        <sz val="10"/>
        <color theme="1"/>
        <rFont val="宋体"/>
        <charset val="134"/>
      </rPr>
      <t xml:space="preserve">各式各样零零散散的潦草笔记纸，被一根绳子宽松地捆在一起。
</t>
    </r>
    <r>
      <rPr>
        <sz val="10"/>
        <color theme="1"/>
        <rFont val="Times New Roman"/>
        <charset val="134"/>
      </rPr>
      <t xml:space="preserve">• </t>
    </r>
    <r>
      <rPr>
        <sz val="10"/>
        <color theme="1"/>
        <rFont val="宋体"/>
        <charset val="134"/>
      </rPr>
      <t xml:space="preserve">一本边缘整齐，字迹优美的崭新日记本。
</t>
    </r>
    <r>
      <rPr>
        <sz val="10"/>
        <color theme="1"/>
        <rFont val="Times New Roman"/>
        <charset val="134"/>
      </rPr>
      <t xml:space="preserve">• </t>
    </r>
    <r>
      <rPr>
        <sz val="10"/>
        <color theme="1"/>
        <rFont val="宋体"/>
        <charset val="134"/>
      </rPr>
      <t xml:space="preserve">一个有两把小金锁头的皮革公文包。
</t>
    </r>
    <r>
      <rPr>
        <sz val="10"/>
        <color theme="1"/>
        <rFont val="Times New Roman"/>
        <charset val="134"/>
      </rPr>
      <t xml:space="preserve">• </t>
    </r>
    <r>
      <rPr>
        <sz val="10"/>
        <color theme="1"/>
        <rFont val="宋体"/>
        <charset val="134"/>
      </rPr>
      <t xml:space="preserve">一个外侧有外科手术标志的医疗包。
</t>
    </r>
    <r>
      <rPr>
        <sz val="10"/>
        <color theme="1"/>
        <rFont val="Times New Roman"/>
        <charset val="134"/>
      </rPr>
      <t xml:space="preserve">• </t>
    </r>
    <r>
      <rPr>
        <sz val="10"/>
        <color theme="1"/>
        <rFont val="宋体"/>
        <charset val="134"/>
      </rPr>
      <t>一个挂在肩膀上的破旧挎包，每个口袋里都装了小瓶和试管。
如果书损坏或遗失了，你可以在长休中用墨水和纸重新制造它。</t>
    </r>
  </si>
  <si>
    <t>夺命重弹</t>
  </si>
  <si>
    <t>你远程武器的攻击检定在d20中掷出19或20时即可造成重击。
铳士第9级起，你远程武器的攻击检定在d20中掷出18-20时即可造成重击。铳士第17级起，你远程武器的攻击检定在d20中掷出17-20时即可造成重击。</t>
  </si>
  <si>
    <t>叉舌</t>
  </si>
  <si>
    <r>
      <rPr>
        <sz val="10"/>
        <color theme="1"/>
        <rFont val="宋体"/>
        <charset val="134"/>
      </rPr>
      <t>你可以说、读、写炼狱语，这是你的本能。
此外，你可以说另外两门你选择的语言，但是你无法读或写它们。当你完成长休时，你可以通过大魔鬼赐予的知识替换其中一门语言。当你如此做时，你选择另一门你知道其名字的语言，魔法性的忘记上一门语言并获得新的语言替代其。一旦你以此法替换了一门语言，在你完成一次长休前，你无法再如此做。</t>
    </r>
    <r>
      <rPr>
        <sz val="10"/>
        <color theme="1"/>
        <rFont val="Times New Roman"/>
        <charset val="134"/>
      </rPr>
      <t xml:space="preserve"> </t>
    </r>
    <r>
      <rPr>
        <sz val="10"/>
        <color theme="1"/>
        <rFont val="宋体"/>
        <charset val="134"/>
      </rPr>
      <t>（译注：何等废话文学的特性</t>
    </r>
    <r>
      <rPr>
        <sz val="10"/>
        <color theme="1"/>
        <rFont val="Times New Roman"/>
        <charset val="134"/>
      </rPr>
      <t>……</t>
    </r>
    <r>
      <rPr>
        <sz val="10"/>
        <color theme="1"/>
        <rFont val="宋体"/>
        <charset val="134"/>
      </rPr>
      <t xml:space="preserve">）
</t>
    </r>
    <r>
      <rPr>
        <sz val="10"/>
        <color theme="1"/>
        <rFont val="Times New Roman"/>
        <charset val="134"/>
      </rPr>
      <t>9</t>
    </r>
    <r>
      <rPr>
        <sz val="10"/>
        <color theme="1"/>
        <rFont val="宋体"/>
        <charset val="134"/>
      </rPr>
      <t>级起，该特性赋予你另一门语言（即炼狱语外共三门）。不仅如此，你在确定生物意图或诚意的感知（洞悉）检定上具有优势。</t>
    </r>
  </si>
  <si>
    <t>浴血奋战</t>
  </si>
  <si>
    <t>当你受到伤害时，你能以反应重获所有已消耗的锐气。若当你执行此反应时你处于浴血，你还会获得等于你拳斗士等级四倍的临时生命值。该临时生命值将在你完成长休时消失（若有剩余）。
此特性一经使用，直至完成短休或长休你都无法再次使用。</t>
  </si>
  <si>
    <t>肌肉法师道途</t>
  </si>
  <si>
    <r>
      <rPr>
        <sz val="10"/>
        <color theme="1"/>
        <rFont val="宋体"/>
        <charset val="134"/>
      </rPr>
      <t>鲁莽攻击</t>
    </r>
  </si>
  <si>
    <r>
      <rPr>
        <sz val="10"/>
        <color theme="1"/>
        <rFont val="宋体"/>
        <charset val="134"/>
      </rPr>
      <t>你可以抛弃一切对防御的顾虑来发起更加狂乱的攻击。你在你的回合中进行第一次攻击检定时，可以不顾一切地发起攻势。若如此做，直至你的下个回合开始，你使用力量进行的攻击检定具有优势，但在此期间所有以你为目标的攻击检定也具有优势。</t>
    </r>
  </si>
  <si>
    <r>
      <rPr>
        <sz val="10"/>
        <color theme="1"/>
        <rFont val="宋体"/>
        <charset val="134"/>
      </rPr>
      <t>你准备可供你以此特性施展的一环及更高环阶的法术列表。最初，选择四道吟游诗人法术。推荐选择魅惑类人</t>
    </r>
    <r>
      <rPr>
        <sz val="10"/>
        <color theme="1"/>
        <rFont val="Times New Roman"/>
        <charset val="134"/>
      </rPr>
      <t>Charm person</t>
    </r>
    <r>
      <rPr>
        <sz val="10"/>
        <color theme="1"/>
        <rFont val="宋体"/>
        <charset val="134"/>
      </rPr>
      <t>，七彩喷射</t>
    </r>
    <r>
      <rPr>
        <sz val="10"/>
        <color theme="1"/>
        <rFont val="Times New Roman"/>
        <charset val="134"/>
      </rPr>
      <t>Color Spray</t>
    </r>
    <r>
      <rPr>
        <sz val="10"/>
        <color theme="1"/>
        <rFont val="宋体"/>
        <charset val="134"/>
      </rPr>
      <t>，不谐低语</t>
    </r>
    <r>
      <rPr>
        <sz val="10"/>
        <color theme="1"/>
        <rFont val="Times New Roman"/>
        <charset val="134"/>
      </rPr>
      <t>Dissonant Whispers</t>
    </r>
    <r>
      <rPr>
        <sz val="10"/>
        <color theme="1"/>
        <rFont val="宋体"/>
        <charset val="134"/>
      </rPr>
      <t>和治愈真言</t>
    </r>
    <r>
      <rPr>
        <sz val="10"/>
        <color theme="1"/>
        <rFont val="Times New Roman"/>
        <charset val="134"/>
      </rPr>
      <t>Healing Word</t>
    </r>
    <r>
      <rPr>
        <sz val="10"/>
        <color theme="1"/>
        <rFont val="宋体"/>
        <charset val="134"/>
      </rPr>
      <t>。
已准备法术数量会随你吟游诗人等级的提升而增加，如吟游诗人特性表中的准备法术一列所示。每当这一列的数字增加时，从吟游诗人法术列表中选择额外法术准备，直至已准备法术的数量与表格中的数字一致。你所选择法术的环阶必须是你所拥有法术位对应的环阶。例如，如果你是一名</t>
    </r>
    <r>
      <rPr>
        <sz val="10"/>
        <color theme="1"/>
        <rFont val="Times New Roman"/>
        <charset val="134"/>
      </rPr>
      <t>3</t>
    </r>
    <r>
      <rPr>
        <sz val="10"/>
        <color theme="1"/>
        <rFont val="宋体"/>
        <charset val="134"/>
      </rPr>
      <t>级吟游诗人，则你的准备法术列表能包括六道一环或二环的吟游诗人法术，随意组合。
如果吟游诗人的其他特性给了你始终准备了的法术，这些法术不计入你以此法准备的法术数量，但这些法术对你而言都视为吟游诗人法术。</t>
    </r>
  </si>
  <si>
    <r>
      <rPr>
        <sz val="10"/>
        <color theme="1"/>
        <rFont val="宋体"/>
        <charset val="134"/>
      </rPr>
      <t>每当你完成一次长休时，你可以将你准备列表上的一道或更多法术替换为其他牧师法术，新替换的法术必须是你拥有法术位的法术。</t>
    </r>
    <r>
      <rPr>
        <sz val="10"/>
        <color theme="1"/>
        <rFont val="Times New Roman"/>
        <charset val="134"/>
      </rPr>
      <t xml:space="preserve"> </t>
    </r>
  </si>
  <si>
    <r>
      <rPr>
        <sz val="10"/>
        <color theme="1"/>
        <rFont val="宋体"/>
        <charset val="134"/>
      </rPr>
      <t>当你完成一次长休时，你可以将你准备列表上的一道或更多法术替换为其他德鲁伊法术，新替换的法术必须是你拥有法术位的法术。</t>
    </r>
    <r>
      <rPr>
        <sz val="10"/>
        <color theme="1"/>
        <rFont val="Times New Roman"/>
        <charset val="134"/>
      </rPr>
      <t xml:space="preserve"> </t>
    </r>
  </si>
  <si>
    <r>
      <rPr>
        <sz val="10"/>
        <color theme="1"/>
        <rFont val="宋体"/>
        <charset val="134"/>
      </rPr>
      <t>战术思维</t>
    </r>
  </si>
  <si>
    <r>
      <rPr>
        <sz val="10"/>
        <color theme="1"/>
        <rFont val="宋体"/>
        <charset val="134"/>
      </rPr>
      <t>在战场内外，你都能够运用你的战术思维。当你在一次属性检定上失败时，你可以消耗一次回气次数让你更接近成功。你掷</t>
    </r>
    <r>
      <rPr>
        <sz val="10"/>
        <color theme="1"/>
        <rFont val="Times New Roman"/>
        <charset val="134"/>
      </rPr>
      <t>1d10</t>
    </r>
    <r>
      <rPr>
        <sz val="10"/>
        <color theme="1"/>
        <rFont val="宋体"/>
        <charset val="134"/>
      </rPr>
      <t>并将骰值加入到结果之中，而非恢复生命值。这可能会让结果变为成功。如果检定依旧失败，则不会消耗回气次数。</t>
    </r>
  </si>
  <si>
    <r>
      <rPr>
        <sz val="10"/>
        <color theme="1"/>
        <rFont val="宋体"/>
        <charset val="134"/>
      </rPr>
      <t>运转周天</t>
    </r>
  </si>
  <si>
    <r>
      <rPr>
        <sz val="10"/>
        <color theme="1"/>
        <rFont val="宋体"/>
        <charset val="134"/>
      </rPr>
      <t>当你投掷先攻时，你可以回复所有已消耗的功力点。若你如此做，掷你的武艺骰，并且回复其结果</t>
    </r>
    <r>
      <rPr>
        <sz val="10"/>
        <color theme="1"/>
        <rFont val="Times New Roman"/>
        <charset val="134"/>
      </rPr>
      <t>+</t>
    </r>
    <r>
      <rPr>
        <sz val="10"/>
        <color theme="1"/>
        <rFont val="宋体"/>
        <charset val="134"/>
      </rPr>
      <t>你的武僧等级的生命值。
使用此特性后，你必须完成一次长休才能再次使用。</t>
    </r>
  </si>
  <si>
    <r>
      <rPr>
        <sz val="10"/>
        <color theme="1"/>
        <rFont val="宋体"/>
        <charset val="134"/>
      </rPr>
      <t>每当你完成一次长休时，你可以将你准备列表上的一道或更多法术替换为其他圣武士法术，新替换的法术必须是你拥有法术位的法术。</t>
    </r>
    <r>
      <rPr>
        <sz val="10"/>
        <color theme="1"/>
        <rFont val="Times New Roman"/>
        <charset val="134"/>
      </rPr>
      <t xml:space="preserve"> </t>
    </r>
  </si>
  <si>
    <r>
      <rPr>
        <sz val="10"/>
        <color theme="1"/>
        <rFont val="宋体"/>
        <charset val="134"/>
      </rPr>
      <t>施法属性</t>
    </r>
  </si>
  <si>
    <r>
      <rPr>
        <sz val="10"/>
        <color theme="1"/>
        <rFont val="宋体"/>
        <charset val="134"/>
      </rPr>
      <t>你游侠法术的施法属性是感知。</t>
    </r>
  </si>
  <si>
    <r>
      <rPr>
        <sz val="10"/>
        <color theme="1"/>
        <rFont val="宋体"/>
        <charset val="134"/>
      </rPr>
      <t>灵巧动作</t>
    </r>
  </si>
  <si>
    <r>
      <rPr>
        <sz val="10"/>
        <color theme="1"/>
        <rFont val="宋体"/>
        <charset val="134"/>
      </rPr>
      <t>你精妙的思维与身手使你的行动无比迅速。在你的回合内，你能够以附赠动作执行疾走，撤离或躲藏动作之一。</t>
    </r>
  </si>
  <si>
    <r>
      <rPr>
        <sz val="10"/>
        <color theme="1"/>
        <rFont val="宋体"/>
        <charset val="134"/>
      </rPr>
      <t>每当你获得一个术士等级时，你就可以将你准备列表上的一道法术替换为另一道术士法术，你必须拥有替换后法术对应环阶的法术位才可以替换。</t>
    </r>
  </si>
  <si>
    <r>
      <rPr>
        <sz val="10"/>
        <color theme="1"/>
        <rFont val="宋体"/>
        <charset val="134"/>
      </rPr>
      <t>链之魔契</t>
    </r>
  </si>
  <si>
    <r>
      <rPr>
        <sz val="10"/>
        <color theme="1"/>
        <rFont val="宋体"/>
        <charset val="134"/>
      </rPr>
      <t>你习得法术寻获魔宠</t>
    </r>
    <r>
      <rPr>
        <sz val="10"/>
        <color theme="1"/>
        <rFont val="Times New Roman"/>
        <charset val="134"/>
      </rPr>
      <t>Find Familiar</t>
    </r>
    <r>
      <rPr>
        <sz val="10"/>
        <color theme="1"/>
        <rFont val="微软雅黑"/>
        <charset val="134"/>
      </rPr>
      <t>且能以一个魔法动作施展它，且无需消耗法术位。</t>
    </r>
    <r>
      <rPr>
        <sz val="10"/>
        <color theme="1"/>
        <rFont val="Times New Roman"/>
        <charset val="134"/>
      </rPr>
      <t xml:space="preserve">
</t>
    </r>
    <r>
      <rPr>
        <sz val="10"/>
        <color theme="1"/>
        <rFont val="微软雅黑"/>
        <charset val="134"/>
      </rPr>
      <t>每当你施展该法术，并为你的魔宠选择形态时，除了通常的形态选项，你还可以改为选择下列特殊形态之一：小魔鬼</t>
    </r>
    <r>
      <rPr>
        <sz val="10"/>
        <color theme="1"/>
        <rFont val="Times New Roman"/>
        <charset val="134"/>
      </rPr>
      <t>Imp</t>
    </r>
    <r>
      <rPr>
        <sz val="10"/>
        <color theme="1"/>
        <rFont val="微软雅黑"/>
        <charset val="134"/>
      </rPr>
      <t>、伪龙</t>
    </r>
    <r>
      <rPr>
        <sz val="10"/>
        <color theme="1"/>
        <rFont val="Times New Roman"/>
        <charset val="134"/>
      </rPr>
      <t>Pseudodragon</t>
    </r>
    <r>
      <rPr>
        <sz val="10"/>
        <color theme="1"/>
        <rFont val="微软雅黑"/>
        <charset val="134"/>
      </rPr>
      <t>、小恶魔</t>
    </r>
    <r>
      <rPr>
        <sz val="10"/>
        <color theme="1"/>
        <rFont val="Times New Roman"/>
        <charset val="134"/>
      </rPr>
      <t>Quasit</t>
    </r>
    <r>
      <rPr>
        <sz val="10"/>
        <color theme="1"/>
        <rFont val="微软雅黑"/>
        <charset val="134"/>
      </rPr>
      <t>、骷髅</t>
    </r>
    <r>
      <rPr>
        <sz val="10"/>
        <color theme="1"/>
        <rFont val="Times New Roman"/>
        <charset val="134"/>
      </rPr>
      <t>Skeleton</t>
    </r>
    <r>
      <rPr>
        <sz val="10"/>
        <color theme="1"/>
        <rFont val="微软雅黑"/>
        <charset val="134"/>
      </rPr>
      <t>、史拉蟾蝌蚪</t>
    </r>
    <r>
      <rPr>
        <sz val="10"/>
        <color theme="1"/>
        <rFont val="Times New Roman"/>
        <charset val="134"/>
      </rPr>
      <t xml:space="preserve">Slaad Tadpole </t>
    </r>
    <r>
      <rPr>
        <sz val="10"/>
        <color theme="1"/>
        <rFont val="微软雅黑"/>
        <charset val="134"/>
      </rPr>
      <t>、求索斯芬克斯</t>
    </r>
    <r>
      <rPr>
        <sz val="10"/>
        <color theme="1"/>
        <rFont val="Times New Roman"/>
        <charset val="134"/>
      </rPr>
      <t xml:space="preserve">Sphinx of Wonder </t>
    </r>
    <r>
      <rPr>
        <sz val="10"/>
        <color theme="1"/>
        <rFont val="微软雅黑"/>
        <charset val="134"/>
      </rPr>
      <t>、小仙灵</t>
    </r>
    <r>
      <rPr>
        <sz val="10"/>
        <color theme="1"/>
        <rFont val="Times New Roman"/>
        <charset val="134"/>
      </rPr>
      <t>Sprite</t>
    </r>
    <r>
      <rPr>
        <sz val="10"/>
        <color theme="1"/>
        <rFont val="微软雅黑"/>
        <charset val="134"/>
      </rPr>
      <t>或毒蛇</t>
    </r>
    <r>
      <rPr>
        <sz val="10"/>
        <color theme="1"/>
        <rFont val="Times New Roman"/>
        <charset val="134"/>
      </rPr>
      <t xml:space="preserve">Venomous Snake </t>
    </r>
    <r>
      <rPr>
        <sz val="10"/>
        <color theme="1"/>
        <rFont val="微软雅黑"/>
        <charset val="134"/>
      </rPr>
      <t>（魔宠的数据见附录</t>
    </r>
    <r>
      <rPr>
        <sz val="10"/>
        <color theme="1"/>
        <rFont val="Times New Roman"/>
        <charset val="134"/>
      </rPr>
      <t>B</t>
    </r>
    <r>
      <rPr>
        <sz val="10"/>
        <color theme="1"/>
        <rFont val="微软雅黑"/>
        <charset val="134"/>
      </rPr>
      <t>）。</t>
    </r>
    <r>
      <rPr>
        <sz val="10"/>
        <color theme="1"/>
        <rFont val="Times New Roman"/>
        <charset val="134"/>
      </rPr>
      <t xml:space="preserve">
</t>
    </r>
    <r>
      <rPr>
        <sz val="10"/>
        <color theme="1"/>
        <rFont val="微软雅黑"/>
        <charset val="134"/>
      </rPr>
      <t>此外，当你执行攻击动作时可以放弃自己动作攻击中的一次攻击，转而让你的魔宠使用其反应发动一次攻击。</t>
    </r>
  </si>
  <si>
    <r>
      <rPr>
        <sz val="10"/>
        <color theme="1"/>
        <rFont val="宋体"/>
        <charset val="134"/>
      </rPr>
      <t>你准备可供你以此特性施展的一环及更高环阶的法术列表。为此，从书中选择四道法师法术。你所选择法术的环阶必须是你所拥有法术位对应的环阶
已准备法术数量会随你法师等级的提升而增加，如法师特性表中的准备法术一列所示。每当这一列的数字增加时，从法师法术列表中选择额外法术准备，直至已准备法术的数量与表格中的数字一致。你所选择法术的环阶必须是你所拥有法术位对应的环阶。例如，如果你是一名</t>
    </r>
    <r>
      <rPr>
        <sz val="10"/>
        <color theme="1"/>
        <rFont val="Times New Roman"/>
        <charset val="134"/>
      </rPr>
      <t>3</t>
    </r>
    <r>
      <rPr>
        <sz val="10"/>
        <color theme="1"/>
        <rFont val="宋体"/>
        <charset val="134"/>
      </rPr>
      <t>级法师，则你的准备法术列表能包括六道一环或二环的法师法术，随意组合。
如果法师的其他特性给了你始终准备了的法术，这些法术不计入你以此法准备的法术数量，但这些法术对你而言都视为法师法术。</t>
    </r>
  </si>
  <si>
    <r>
      <rPr>
        <sz val="10"/>
        <color theme="1"/>
        <rFont val="宋体"/>
        <charset val="134"/>
      </rPr>
      <t>奇械师特性表显示了你可用于施展一环及以上法术的法术位数量。你在完成一次长休时恢复所有已消耗的法术位。</t>
    </r>
  </si>
  <si>
    <r>
      <rPr>
        <sz val="10"/>
        <color theme="1"/>
        <rFont val="宋体"/>
        <charset val="134"/>
      </rPr>
      <t>每当你获得一个灵能使等级时，你就可以将你准备列表上的一道法术替换为另一道灵能使法术，你必须拥有替换后法术对应环阶的法术位才可以替换。</t>
    </r>
    <r>
      <rPr>
        <sz val="10"/>
        <color theme="1"/>
        <rFont val="Times New Roman"/>
        <charset val="134"/>
      </rPr>
      <t xml:space="preserve"> </t>
    </r>
  </si>
  <si>
    <r>
      <rPr>
        <sz val="10"/>
        <color theme="1"/>
        <rFont val="宋体"/>
        <charset val="134"/>
      </rPr>
      <t>胀痛血咒</t>
    </r>
  </si>
  <si>
    <r>
      <rPr>
        <sz val="10"/>
        <color theme="1"/>
        <rFont val="宋体"/>
        <charset val="134"/>
      </rPr>
      <t>以一个附赠动作，你诅咒</t>
    </r>
    <r>
      <rPr>
        <sz val="10"/>
        <color theme="1"/>
        <rFont val="Times New Roman"/>
        <charset val="134"/>
      </rPr>
      <t xml:space="preserve"> 30 </t>
    </r>
    <r>
      <rPr>
        <sz val="10"/>
        <color theme="1"/>
        <rFont val="宋体"/>
        <charset val="134"/>
      </rPr>
      <t>尺内一个你能看见的生物，令其痛苦地膨胀直至你的下回合结束。在此诅咒生效期间，该生物在力量及敏捷检定中具有劣势，并且，如果其在回合内近战多于一次，受到</t>
    </r>
    <r>
      <rPr>
        <sz val="10"/>
        <color theme="1"/>
        <rFont val="Times New Roman"/>
        <charset val="134"/>
      </rPr>
      <t xml:space="preserve"> 1d8 </t>
    </r>
    <r>
      <rPr>
        <sz val="10"/>
        <color theme="1"/>
        <rFont val="宋体"/>
        <charset val="134"/>
      </rPr>
      <t>点暗蚀伤害。
增幅。此诅咒持续一分钟。被诅咒的生物在自己的每回合结束时可以进行体质豁免。豁免成功时此诅咒结束。</t>
    </r>
  </si>
  <si>
    <r>
      <rPr>
        <sz val="10"/>
        <color theme="1"/>
        <rFont val="宋体"/>
        <charset val="134"/>
      </rPr>
      <t>法术的准备和施展</t>
    </r>
  </si>
  <si>
    <r>
      <rPr>
        <sz val="10"/>
        <color theme="1"/>
        <rFont val="Times New Roman"/>
        <charset val="134"/>
      </rPr>
      <t xml:space="preserve">  </t>
    </r>
    <r>
      <rPr>
        <sz val="10"/>
        <color theme="1"/>
        <rFont val="宋体"/>
        <charset val="134"/>
      </rPr>
      <t xml:space="preserve">药剂师职业表展示了你有多少能用以施展一环到五环药剂师法术的法术位。职业表也展示了这些法术位的环阶；你所有法术位的环阶总是相同的。要施展一个你的一环或更高环阶的药剂师法术，你必须消耗一个法术位。当你完成一次短休或长休后，你恢复所有已消耗的法术位。
</t>
    </r>
    <r>
      <rPr>
        <sz val="10"/>
        <color theme="1"/>
        <rFont val="Times New Roman"/>
        <charset val="134"/>
      </rPr>
      <t xml:space="preserve">  </t>
    </r>
    <r>
      <rPr>
        <sz val="10"/>
        <color theme="1"/>
        <rFont val="宋体"/>
        <charset val="134"/>
      </rPr>
      <t>从药剂师法术列表中，你可以准备一系列药剂师法术供你自由施展。当你这样做时，选择数量等同于你智力调整值</t>
    </r>
    <r>
      <rPr>
        <sz val="10"/>
        <color theme="1"/>
        <rFont val="Times New Roman"/>
        <charset val="134"/>
      </rPr>
      <t>+</t>
    </r>
    <r>
      <rPr>
        <sz val="10"/>
        <color theme="1"/>
        <rFont val="宋体"/>
        <charset val="134"/>
      </rPr>
      <t>你药剂师职业等级（最少为</t>
    </r>
    <r>
      <rPr>
        <sz val="10"/>
        <color theme="1"/>
        <rFont val="Times New Roman"/>
        <charset val="134"/>
      </rPr>
      <t>1</t>
    </r>
    <r>
      <rPr>
        <sz val="10"/>
        <color theme="1"/>
        <rFont val="宋体"/>
        <charset val="134"/>
      </rPr>
      <t>）的药剂师法术。你准备的一个法术，其环阶不能超过药剂师职业表所展示的你当前职业等级所对应的法术环阶。
举例来说，如果你是一个五级药剂师，你拥有三个</t>
    </r>
    <r>
      <rPr>
        <sz val="10"/>
        <color theme="1"/>
        <rFont val="Times New Roman"/>
        <charset val="134"/>
      </rPr>
      <t>3</t>
    </r>
    <r>
      <rPr>
        <sz val="10"/>
        <color theme="1"/>
        <rFont val="宋体"/>
        <charset val="134"/>
      </rPr>
      <t>环法术位。智力属性为</t>
    </r>
    <r>
      <rPr>
        <sz val="10"/>
        <color theme="1"/>
        <rFont val="Times New Roman"/>
        <charset val="134"/>
      </rPr>
      <t>16</t>
    </r>
    <r>
      <rPr>
        <sz val="10"/>
        <color theme="1"/>
        <rFont val="宋体"/>
        <charset val="134"/>
      </rPr>
      <t>时，你的准备法术列表便囊括了</t>
    </r>
    <r>
      <rPr>
        <sz val="10"/>
        <color theme="1"/>
        <rFont val="Times New Roman"/>
        <charset val="134"/>
      </rPr>
      <t>1</t>
    </r>
    <r>
      <rPr>
        <sz val="10"/>
        <color theme="1"/>
        <rFont val="宋体"/>
        <charset val="134"/>
      </rPr>
      <t>环、</t>
    </r>
    <r>
      <rPr>
        <sz val="10"/>
        <color theme="1"/>
        <rFont val="Times New Roman"/>
        <charset val="134"/>
      </rPr>
      <t>2</t>
    </r>
    <r>
      <rPr>
        <sz val="10"/>
        <color theme="1"/>
        <rFont val="宋体"/>
        <charset val="134"/>
      </rPr>
      <t>环、</t>
    </r>
    <r>
      <rPr>
        <sz val="10"/>
        <color theme="1"/>
        <rFont val="Times New Roman"/>
        <charset val="134"/>
      </rPr>
      <t>3</t>
    </r>
    <r>
      <rPr>
        <sz val="10"/>
        <color theme="1"/>
        <rFont val="宋体"/>
        <charset val="134"/>
      </rPr>
      <t>环中任意选择的八个法术。要施展</t>
    </r>
    <r>
      <rPr>
        <sz val="10"/>
        <color theme="1"/>
        <rFont val="Times New Roman"/>
        <charset val="134"/>
      </rPr>
      <t>1</t>
    </r>
    <r>
      <rPr>
        <sz val="10"/>
        <color theme="1"/>
        <rFont val="宋体"/>
        <charset val="134"/>
      </rPr>
      <t>环法术疗伤术，你必须消耗这些法术环位中的一个，并以</t>
    </r>
    <r>
      <rPr>
        <sz val="10"/>
        <color theme="1"/>
        <rFont val="Times New Roman"/>
        <charset val="134"/>
      </rPr>
      <t>3</t>
    </r>
    <r>
      <rPr>
        <sz val="10"/>
        <color theme="1"/>
        <rFont val="宋体"/>
        <charset val="134"/>
      </rPr>
      <t>环版本释放它。施展一个法术并不会将它从你的准备法术列表中移除。
当你长休后，你可以改变你的准备法术列表。准备一系列新的药剂师法术需要为你列表中每个法术每个法术环阶消耗至少一分钟的时间。</t>
    </r>
  </si>
  <si>
    <t>风险</t>
  </si>
  <si>
    <t>借助名为风险骰的特殊骰子，你可以施展令人难以置信的大胆壮举。
风险骰Risk Dice。 你具有四枚d8风险骰。每当你使用风险骰时，其被消耗。当你完成短休或长休时，重获所有已消耗的风险骰。你的风险骰将变动，且其可用数量会增多，如铳士特性表中风险骰一列所示。
战技Maneuvers。你可以消耗风险骰来施展战技。你的战技选项见后文详述。
豁免检定Saving Throw。若某个战技要求豁免检定，其DC等于8加你的敏捷调整值加你的熟练加值。</t>
  </si>
  <si>
    <t>战斗精通</t>
  </si>
  <si>
    <r>
      <rPr>
        <sz val="10"/>
        <color theme="1"/>
        <rFont val="宋体"/>
        <charset val="134"/>
      </rPr>
      <t>你的大魔鬼赐予了你以某种特定方式战斗的强大技艺。选择以下邪狱使战斗精通之一：
傲慢</t>
    </r>
    <r>
      <rPr>
        <sz val="10"/>
        <color theme="1"/>
        <rFont val="Times New Roman"/>
        <charset val="134"/>
      </rPr>
      <t>Bravado</t>
    </r>
    <r>
      <rPr>
        <sz val="10"/>
        <color theme="1"/>
        <rFont val="宋体"/>
        <charset val="134"/>
      </rPr>
      <t>。若你未着装任何护甲，你的护甲等级等于</t>
    </r>
    <r>
      <rPr>
        <sz val="10"/>
        <color theme="1"/>
        <rFont val="Times New Roman"/>
        <charset val="134"/>
      </rPr>
      <t>10+</t>
    </r>
    <r>
      <rPr>
        <sz val="10"/>
        <color theme="1"/>
        <rFont val="宋体"/>
        <charset val="134"/>
      </rPr>
      <t>你的敏捷调整值</t>
    </r>
    <r>
      <rPr>
        <sz val="10"/>
        <color theme="1"/>
        <rFont val="Times New Roman"/>
        <charset val="134"/>
      </rPr>
      <t>+</t>
    </r>
    <r>
      <rPr>
        <sz val="10"/>
        <color theme="1"/>
        <rFont val="宋体"/>
        <charset val="134"/>
      </rPr>
      <t>你的魅力调整值。你可以使用盾牌并仍从此特性获益。
蛮横</t>
    </r>
    <r>
      <rPr>
        <sz val="10"/>
        <color theme="1"/>
        <rFont val="Times New Roman"/>
        <charset val="134"/>
      </rPr>
      <t>Brutal</t>
    </r>
    <r>
      <rPr>
        <sz val="10"/>
        <color theme="1"/>
        <rFont val="宋体"/>
        <charset val="134"/>
      </rPr>
      <t>。当你使用双手持握一把近战武器发动的攻击，命中了一个体型至多比你大一级的生物时，你可以令目标水平移动</t>
    </r>
    <r>
      <rPr>
        <sz val="10"/>
        <color theme="1"/>
        <rFont val="Times New Roman"/>
        <charset val="134"/>
      </rPr>
      <t>5</t>
    </r>
    <r>
      <rPr>
        <sz val="10"/>
        <color theme="1"/>
        <rFont val="宋体"/>
        <charset val="134"/>
      </rPr>
      <t>尺。你可以选择在这之后立即消耗你的移动力移动到该生物移动前所处的空间。
无阻</t>
    </r>
    <r>
      <rPr>
        <sz val="10"/>
        <color theme="1"/>
        <rFont val="Times New Roman"/>
        <charset val="134"/>
      </rPr>
      <t>Inexorable</t>
    </r>
    <r>
      <rPr>
        <sz val="10"/>
        <color theme="1"/>
        <rFont val="宋体"/>
        <charset val="134"/>
      </rPr>
      <t>。每有一名敌对生物位于你</t>
    </r>
    <r>
      <rPr>
        <sz val="10"/>
        <color theme="1"/>
        <rFont val="Times New Roman"/>
        <charset val="134"/>
      </rPr>
      <t>5</t>
    </r>
    <r>
      <rPr>
        <sz val="10"/>
        <color theme="1"/>
        <rFont val="宋体"/>
        <charset val="134"/>
      </rPr>
      <t>尺内，你进行的豁免检定就会获得</t>
    </r>
    <r>
      <rPr>
        <sz val="10"/>
        <color theme="1"/>
        <rFont val="Times New Roman"/>
        <charset val="134"/>
      </rPr>
      <t>+1</t>
    </r>
    <r>
      <rPr>
        <sz val="10"/>
        <color theme="1"/>
        <rFont val="宋体"/>
        <charset val="134"/>
      </rPr>
      <t>加值，至多以此获得</t>
    </r>
    <r>
      <rPr>
        <sz val="10"/>
        <color theme="1"/>
        <rFont val="Times New Roman"/>
        <charset val="134"/>
      </rPr>
      <t>+5</t>
    </r>
    <r>
      <rPr>
        <sz val="10"/>
        <color theme="1"/>
        <rFont val="宋体"/>
        <charset val="134"/>
      </rPr>
      <t>加值。
欺诈</t>
    </r>
    <r>
      <rPr>
        <sz val="10"/>
        <color theme="1"/>
        <rFont val="Times New Roman"/>
        <charset val="134"/>
      </rPr>
      <t>Lies</t>
    </r>
    <r>
      <rPr>
        <sz val="10"/>
        <color theme="1"/>
        <rFont val="宋体"/>
        <charset val="134"/>
      </rPr>
      <t>。你可以选择一种近战武器，例如战斧、巨剑、矛。当你使用所选类型的武器攻击时，可以用魅力调整值代替力量或敏捷来进行攻击检定和伤害掷骰。当你完成一次长休时，你可以选择一个新的武器类型，代替原先所选的武器类型。
轻盈</t>
    </r>
    <r>
      <rPr>
        <sz val="10"/>
        <color theme="1"/>
        <rFont val="Times New Roman"/>
        <charset val="134"/>
      </rPr>
      <t>Lissome</t>
    </r>
    <r>
      <rPr>
        <sz val="10"/>
        <color theme="1"/>
        <rFont val="宋体"/>
        <charset val="134"/>
      </rPr>
      <t>。当你以一次近战武器攻击命一名生物时，你可以消耗你的移动力移动</t>
    </r>
    <r>
      <rPr>
        <sz val="10"/>
        <color theme="1"/>
        <rFont val="Times New Roman"/>
        <charset val="134"/>
      </rPr>
      <t>5</t>
    </r>
    <r>
      <rPr>
        <sz val="10"/>
        <color theme="1"/>
        <rFont val="宋体"/>
        <charset val="134"/>
      </rPr>
      <t>尺，此次移动不会引发借机攻击。
无拘</t>
    </r>
    <r>
      <rPr>
        <sz val="10"/>
        <color theme="1"/>
        <rFont val="Times New Roman"/>
        <charset val="134"/>
      </rPr>
      <t>Unfettered</t>
    </r>
    <r>
      <rPr>
        <sz val="10"/>
        <color theme="1"/>
        <rFont val="宋体"/>
        <charset val="134"/>
      </rPr>
      <t>。当你尝试用极恶禁令特性施加或焚灭缄印时，其范围不再是</t>
    </r>
    <r>
      <rPr>
        <sz val="10"/>
        <color theme="1"/>
        <rFont val="Times New Roman"/>
        <charset val="134"/>
      </rPr>
      <t>30</t>
    </r>
    <r>
      <rPr>
        <sz val="10"/>
        <color theme="1"/>
        <rFont val="宋体"/>
        <charset val="134"/>
      </rPr>
      <t>尺而是改为</t>
    </r>
    <r>
      <rPr>
        <sz val="10"/>
        <color theme="1"/>
        <rFont val="Times New Roman"/>
        <charset val="134"/>
      </rPr>
      <t>60</t>
    </r>
    <r>
      <rPr>
        <sz val="10"/>
        <color theme="1"/>
        <rFont val="宋体"/>
        <charset val="134"/>
      </rPr>
      <t>尺。当你在</t>
    </r>
    <r>
      <rPr>
        <sz val="10"/>
        <color theme="1"/>
        <rFont val="Times New Roman"/>
        <charset val="134"/>
      </rPr>
      <t>6</t>
    </r>
    <r>
      <rPr>
        <sz val="10"/>
        <color theme="1"/>
        <rFont val="宋体"/>
        <charset val="134"/>
      </rPr>
      <t>级获得炼狱交移特性时，其范围不再是触碰而是改为</t>
    </r>
    <r>
      <rPr>
        <sz val="10"/>
        <color theme="1"/>
        <rFont val="Times New Roman"/>
        <charset val="134"/>
      </rPr>
      <t>30</t>
    </r>
    <r>
      <rPr>
        <sz val="10"/>
        <color theme="1"/>
        <rFont val="宋体"/>
        <charset val="134"/>
      </rPr>
      <t>尺。此外，若你</t>
    </r>
    <r>
      <rPr>
        <sz val="10"/>
        <color theme="1"/>
        <rFont val="Times New Roman"/>
        <charset val="134"/>
      </rPr>
      <t>5</t>
    </r>
    <r>
      <rPr>
        <sz val="10"/>
        <color theme="1"/>
        <rFont val="宋体"/>
        <charset val="134"/>
      </rPr>
      <t>尺内有敌对生物，你发动的远程攻击不会因此具有劣势。</t>
    </r>
  </si>
  <si>
    <t>傲然致胜</t>
  </si>
  <si>
    <r>
      <rPr>
        <sz val="10"/>
        <color theme="1"/>
        <rFont val="宋体"/>
        <charset val="134"/>
      </rPr>
      <t>当你的力量、敏捷、体质或魅力检定失败时，你能消耗</t>
    </r>
    <r>
      <rPr>
        <sz val="10"/>
        <color theme="1"/>
        <rFont val="Times New Roman"/>
        <charset val="134"/>
      </rPr>
      <t>1</t>
    </r>
    <r>
      <rPr>
        <sz val="10"/>
        <color theme="1"/>
        <rFont val="宋体"/>
        <charset val="134"/>
      </rPr>
      <t>点锐气尝试以傲然之姿迈向成功。投掷你的拳斗骰并将骰值加入属性检定中，这可能使你的检定改为成功。若属性检定仍然失败，你重获消耗的那点锐气且直至完成短休或长休都无法再次使用该特性。</t>
    </r>
  </si>
  <si>
    <t>腹酿道途</t>
  </si>
  <si>
    <r>
      <rPr>
        <sz val="10"/>
        <color theme="1"/>
        <rFont val="宋体"/>
        <charset val="134"/>
      </rPr>
      <t>野蛮人子职</t>
    </r>
  </si>
  <si>
    <r>
      <rPr>
        <sz val="10"/>
        <color theme="1"/>
        <rFont val="宋体"/>
        <charset val="134"/>
      </rPr>
      <t>你选择获得一项野蛮人子职：狂战士道途，兽心道途，世界树道途或狂热者道途。子职的内容见后文。子职是一种特化，在特定的野蛮人等级给予你对应的独特能力。此后你将获得你所选的子职所有能力</t>
    </r>
    <r>
      <rPr>
        <sz val="10"/>
        <color theme="1"/>
        <rFont val="Times New Roman"/>
        <charset val="134"/>
      </rPr>
      <t>——</t>
    </r>
    <r>
      <rPr>
        <sz val="10"/>
        <color theme="1"/>
        <rFont val="宋体"/>
        <charset val="134"/>
      </rPr>
      <t>只要其所需等级不超过你的野蛮人等级。野蛮人特性表列出了你从子职中获得新特性的野蛮人等级。</t>
    </r>
  </si>
  <si>
    <r>
      <rPr>
        <sz val="10"/>
        <color theme="1"/>
        <rFont val="宋体"/>
        <charset val="134"/>
      </rPr>
      <t>每当你获得一个吟游诗人等级时，你就可以将你准备列表上的一道法术替换为另一道吟游诗人法术，你必须拥有替换后法术对应环阶的法术位才可以替换。</t>
    </r>
  </si>
  <si>
    <r>
      <rPr>
        <sz val="10"/>
        <color theme="1"/>
        <rFont val="宋体"/>
        <charset val="134"/>
      </rPr>
      <t>你牧师法术的施法属性是感知。</t>
    </r>
    <r>
      <rPr>
        <sz val="10"/>
        <color theme="1"/>
        <rFont val="Times New Roman"/>
        <charset val="134"/>
      </rPr>
      <t xml:space="preserve"> </t>
    </r>
  </si>
  <si>
    <r>
      <rPr>
        <sz val="10"/>
        <color theme="1"/>
        <rFont val="宋体"/>
        <charset val="134"/>
      </rPr>
      <t>你德鲁伊法术的施法属性是感知。</t>
    </r>
  </si>
  <si>
    <r>
      <rPr>
        <sz val="10"/>
        <color theme="1"/>
        <rFont val="宋体"/>
        <charset val="134"/>
      </rPr>
      <t>战士子职</t>
    </r>
  </si>
  <si>
    <r>
      <rPr>
        <sz val="10"/>
        <color theme="1"/>
        <rFont val="宋体"/>
        <charset val="134"/>
      </rPr>
      <t>你选择获得一项战士子职：战斗大师、</t>
    </r>
    <r>
      <rPr>
        <sz val="10"/>
        <color theme="1"/>
        <rFont val="Times New Roman"/>
        <charset val="134"/>
      </rPr>
      <t xml:space="preserve"> </t>
    </r>
    <r>
      <rPr>
        <sz val="10"/>
        <color theme="1"/>
        <rFont val="宋体"/>
        <charset val="134"/>
      </rPr>
      <t>勇士</t>
    </r>
    <r>
      <rPr>
        <sz val="10"/>
        <color theme="1"/>
        <rFont val="Times New Roman"/>
        <charset val="134"/>
      </rPr>
      <t xml:space="preserve"> </t>
    </r>
    <r>
      <rPr>
        <sz val="10"/>
        <color theme="1"/>
        <rFont val="宋体"/>
        <charset val="134"/>
      </rPr>
      <t>、</t>
    </r>
    <r>
      <rPr>
        <sz val="10"/>
        <color theme="1"/>
        <rFont val="Times New Roman"/>
        <charset val="134"/>
      </rPr>
      <t xml:space="preserve"> </t>
    </r>
    <r>
      <rPr>
        <sz val="10"/>
        <color theme="1"/>
        <rFont val="宋体"/>
        <charset val="134"/>
      </rPr>
      <t>奥法骑士或</t>
    </r>
    <r>
      <rPr>
        <sz val="10"/>
        <color theme="1"/>
        <rFont val="Times New Roman"/>
        <charset val="134"/>
      </rPr>
      <t xml:space="preserve"> </t>
    </r>
    <r>
      <rPr>
        <sz val="10"/>
        <color theme="1"/>
        <rFont val="宋体"/>
        <charset val="134"/>
      </rPr>
      <t>灵能武士。子职的内容见后文。子职是一种特化，在特定的战士等级给予你对应的独特能力。此后你将获得你所选的子职所有能力</t>
    </r>
    <r>
      <rPr>
        <sz val="10"/>
        <color theme="1"/>
        <rFont val="Times New Roman"/>
        <charset val="134"/>
      </rPr>
      <t>——</t>
    </r>
    <r>
      <rPr>
        <sz val="10"/>
        <color theme="1"/>
        <rFont val="宋体"/>
        <charset val="134"/>
      </rPr>
      <t>只要其所需等级不超过你的战士等级。战士特性表列出了你从子职中获得新特性的战士等级。</t>
    </r>
    <r>
      <rPr>
        <sz val="10"/>
        <color theme="1"/>
        <rFont val="Times New Roman"/>
        <charset val="134"/>
      </rPr>
      <t xml:space="preserve"> </t>
    </r>
  </si>
  <si>
    <r>
      <rPr>
        <sz val="10"/>
        <color theme="1"/>
        <rFont val="宋体"/>
        <charset val="134"/>
      </rPr>
      <t>拨挡攻击</t>
    </r>
  </si>
  <si>
    <r>
      <rPr>
        <sz val="10"/>
        <color theme="1"/>
        <rFont val="宋体"/>
        <charset val="134"/>
      </rPr>
      <t>当你被一次伤害中包含钝击，穿刺或挥砍伤害的攻击检定命中时，你可以执行反应减少此次攻击对你造成伤害的总值，减值等于</t>
    </r>
    <r>
      <rPr>
        <sz val="10"/>
        <color theme="1"/>
        <rFont val="Times New Roman"/>
        <charset val="134"/>
      </rPr>
      <t>1d10+</t>
    </r>
    <r>
      <rPr>
        <sz val="10"/>
        <color theme="1"/>
        <rFont val="宋体"/>
        <charset val="134"/>
      </rPr>
      <t>你的敏捷调整值</t>
    </r>
    <r>
      <rPr>
        <sz val="10"/>
        <color theme="1"/>
        <rFont val="Times New Roman"/>
        <charset val="134"/>
      </rPr>
      <t>+</t>
    </r>
    <r>
      <rPr>
        <sz val="10"/>
        <color theme="1"/>
        <rFont val="宋体"/>
        <charset val="134"/>
      </rPr>
      <t>你的武僧等级。
若被拨挡攻击的伤害减少至</t>
    </r>
    <r>
      <rPr>
        <sz val="10"/>
        <color theme="1"/>
        <rFont val="Times New Roman"/>
        <charset val="134"/>
      </rPr>
      <t>0</t>
    </r>
    <r>
      <rPr>
        <sz val="10"/>
        <color theme="1"/>
        <rFont val="宋体"/>
        <charset val="134"/>
      </rPr>
      <t>，则你可以消耗</t>
    </r>
    <r>
      <rPr>
        <sz val="10"/>
        <color theme="1"/>
        <rFont val="Times New Roman"/>
        <charset val="134"/>
      </rPr>
      <t>1</t>
    </r>
    <r>
      <rPr>
        <sz val="10"/>
        <color theme="1"/>
        <rFont val="宋体"/>
        <charset val="134"/>
      </rPr>
      <t>点功力将此次攻击的部分伤害重新定向。如果是近战攻击，选择你周围</t>
    </r>
    <r>
      <rPr>
        <sz val="10"/>
        <color theme="1"/>
        <rFont val="Times New Roman"/>
        <charset val="134"/>
      </rPr>
      <t>5</t>
    </r>
    <r>
      <rPr>
        <sz val="10"/>
        <color theme="1"/>
        <rFont val="宋体"/>
        <charset val="134"/>
      </rPr>
      <t>尺内的一个你可见的生物；如果是远程攻击，选择</t>
    </r>
    <r>
      <rPr>
        <sz val="10"/>
        <color theme="1"/>
        <rFont val="Times New Roman"/>
        <charset val="134"/>
      </rPr>
      <t>60</t>
    </r>
    <r>
      <rPr>
        <sz val="10"/>
        <color theme="1"/>
        <rFont val="宋体"/>
        <charset val="134"/>
      </rPr>
      <t>尺内一个不位于全身掩护后的你可见的生物。该生物必须成功通过一次敏捷豁免，否则受到相当于你</t>
    </r>
    <r>
      <rPr>
        <sz val="10"/>
        <color theme="1"/>
        <rFont val="Times New Roman"/>
        <charset val="134"/>
      </rPr>
      <t>2</t>
    </r>
    <r>
      <rPr>
        <sz val="10"/>
        <color theme="1"/>
        <rFont val="宋体"/>
        <charset val="134"/>
      </rPr>
      <t>个武艺骰</t>
    </r>
    <r>
      <rPr>
        <sz val="10"/>
        <color theme="1"/>
        <rFont val="Times New Roman"/>
        <charset val="134"/>
      </rPr>
      <t>+</t>
    </r>
    <r>
      <rPr>
        <sz val="10"/>
        <color theme="1"/>
        <rFont val="宋体"/>
        <charset val="134"/>
      </rPr>
      <t>你的敏捷调整值的伤害。其伤害类型与原先攻击的伤害类型相同。</t>
    </r>
  </si>
  <si>
    <r>
      <rPr>
        <sz val="10"/>
        <color theme="1"/>
        <rFont val="宋体"/>
        <charset val="134"/>
      </rPr>
      <t>你圣武士法术的施法属性是魅力。</t>
    </r>
  </si>
  <si>
    <r>
      <rPr>
        <sz val="10"/>
        <color theme="1"/>
        <rFont val="宋体"/>
        <charset val="134"/>
      </rPr>
      <t>施法法器</t>
    </r>
  </si>
  <si>
    <r>
      <rPr>
        <sz val="10"/>
        <color theme="1"/>
        <rFont val="宋体"/>
        <charset val="134"/>
      </rPr>
      <t>你可以使用德鲁伊法器作为你游侠法术的施法法器。</t>
    </r>
  </si>
  <si>
    <r>
      <rPr>
        <sz val="10"/>
        <color theme="1"/>
        <rFont val="宋体"/>
        <charset val="134"/>
      </rPr>
      <t>游荡者子职</t>
    </r>
  </si>
  <si>
    <r>
      <rPr>
        <sz val="10"/>
        <color theme="1"/>
        <rFont val="宋体"/>
        <charset val="134"/>
      </rPr>
      <t>你选择获得一项游荡者子职：诡术师，刺客，</t>
    </r>
    <r>
      <rPr>
        <sz val="10"/>
        <color theme="1"/>
        <rFont val="Times New Roman"/>
        <charset val="134"/>
      </rPr>
      <t xml:space="preserve"> </t>
    </r>
    <r>
      <rPr>
        <sz val="10"/>
        <color theme="1"/>
        <rFont val="宋体"/>
        <charset val="134"/>
      </rPr>
      <t>魂刃</t>
    </r>
    <r>
      <rPr>
        <sz val="10"/>
        <color theme="1"/>
        <rFont val="Times New Roman"/>
        <charset val="134"/>
      </rPr>
      <t xml:space="preserve"> </t>
    </r>
    <r>
      <rPr>
        <sz val="10"/>
        <color theme="1"/>
        <rFont val="宋体"/>
        <charset val="134"/>
      </rPr>
      <t>或</t>
    </r>
    <r>
      <rPr>
        <sz val="10"/>
        <color theme="1"/>
        <rFont val="Times New Roman"/>
        <charset val="134"/>
      </rPr>
      <t xml:space="preserve"> </t>
    </r>
    <r>
      <rPr>
        <sz val="10"/>
        <color theme="1"/>
        <rFont val="宋体"/>
        <charset val="134"/>
      </rPr>
      <t>盗贼。子职的内容见后文。子职是一种特化，在特定的游荡者等级给予你对应的独特能力。此后你将获得你所选的子职所有能力</t>
    </r>
    <r>
      <rPr>
        <sz val="10"/>
        <color theme="1"/>
        <rFont val="Times New Roman"/>
        <charset val="134"/>
      </rPr>
      <t>——</t>
    </r>
    <r>
      <rPr>
        <sz val="10"/>
        <color theme="1"/>
        <rFont val="宋体"/>
        <charset val="134"/>
      </rPr>
      <t>只要其所需等级不超过你的游荡者等级。游荡者特性表列出了你从子职中获得新特性的游荡者等级。</t>
    </r>
  </si>
  <si>
    <r>
      <rPr>
        <sz val="10"/>
        <color theme="1"/>
        <rFont val="宋体"/>
        <charset val="134"/>
      </rPr>
      <t>你术士法术的施法属性是魅力。</t>
    </r>
  </si>
  <si>
    <r>
      <rPr>
        <sz val="10"/>
        <color theme="1"/>
        <rFont val="宋体"/>
        <charset val="134"/>
      </rPr>
      <t>书之魔契</t>
    </r>
  </si>
  <si>
    <r>
      <rPr>
        <sz val="10"/>
        <color theme="1"/>
        <rFont val="宋体"/>
        <charset val="134"/>
      </rPr>
      <t>在一次短休或长休结束时，你将幽影聚在手中，编织为一本书册。这本书（由你决定外观）中承载着只有你能理解的骇人魔法，令你获得以下增益。书册会在你以此特性咒唤另一本书或死亡时消失。
戏法和仪式</t>
    </r>
    <r>
      <rPr>
        <sz val="10"/>
        <color theme="1"/>
        <rFont val="Times New Roman"/>
        <charset val="134"/>
      </rPr>
      <t>Cantrips and Rituals</t>
    </r>
    <r>
      <rPr>
        <sz val="10"/>
        <color theme="1"/>
        <rFont val="宋体"/>
        <charset val="134"/>
      </rPr>
      <t>。当书册出现时，选择三道戏法和两道带有仪式标签的一环法术。这些法术可以来自任何职业的法术列表，且不能是你已经准备了的法术。当这本书册在你的角色身上时，你总是准备了这些法术，且对你而言这些法术是魔契师法术。
施法法器</t>
    </r>
    <r>
      <rPr>
        <sz val="10"/>
        <color theme="1"/>
        <rFont val="Times New Roman"/>
        <charset val="134"/>
      </rPr>
      <t>Spallcasting Forcus</t>
    </r>
    <r>
      <rPr>
        <sz val="10"/>
        <color theme="1"/>
        <rFont val="宋体"/>
        <charset val="134"/>
      </rPr>
      <t>。你可以将此书册作为施法法器。</t>
    </r>
  </si>
  <si>
    <r>
      <rPr>
        <sz val="10"/>
        <color theme="1"/>
        <rFont val="宋体"/>
        <charset val="134"/>
      </rPr>
      <t>每当你完成一次长休时，你可以将你准备列表上的一道或更多法术替换为你法术书上的其他法师法术。</t>
    </r>
    <r>
      <rPr>
        <sz val="10"/>
        <color theme="1"/>
        <rFont val="Times New Roman"/>
        <charset val="134"/>
      </rPr>
      <t xml:space="preserve"> </t>
    </r>
  </si>
  <si>
    <r>
      <rPr>
        <sz val="10"/>
        <color theme="1"/>
        <rFont val="宋体"/>
        <charset val="134"/>
      </rPr>
      <t>准备一环或以上的法术</t>
    </r>
  </si>
  <si>
    <r>
      <rPr>
        <sz val="10"/>
        <color theme="1"/>
        <rFont val="宋体"/>
        <charset val="134"/>
      </rPr>
      <t>准备可供你以此特性施展的</t>
    </r>
    <r>
      <rPr>
        <sz val="10"/>
        <color theme="1"/>
        <rFont val="Times New Roman"/>
        <charset val="134"/>
      </rPr>
      <t>1+</t>
    </r>
    <r>
      <rPr>
        <sz val="10"/>
        <color theme="1"/>
        <rFont val="宋体"/>
        <charset val="134"/>
      </rPr>
      <t>环的法术列表。为此，选择两个一环奇械师法术。推荐疗伤术</t>
    </r>
    <r>
      <rPr>
        <sz val="10"/>
        <color theme="1"/>
        <rFont val="Times New Roman"/>
        <charset val="134"/>
      </rPr>
      <t>Cure Wounds</t>
    </r>
    <r>
      <rPr>
        <sz val="10"/>
        <color theme="1"/>
        <rFont val="宋体"/>
        <charset val="134"/>
      </rPr>
      <t>和油腻术</t>
    </r>
    <r>
      <rPr>
        <sz val="10"/>
        <color theme="1"/>
        <rFont val="Times New Roman"/>
        <charset val="134"/>
      </rPr>
      <t xml:space="preserve">Grease </t>
    </r>
    <r>
      <rPr>
        <sz val="10"/>
        <color theme="1"/>
        <rFont val="宋体"/>
        <charset val="134"/>
      </rPr>
      <t>。</t>
    </r>
    <r>
      <rPr>
        <sz val="10"/>
        <color theme="1"/>
        <rFont val="Times New Roman"/>
        <charset val="134"/>
      </rPr>
      <t xml:space="preserve"> 
</t>
    </r>
    <r>
      <rPr>
        <sz val="10"/>
        <color theme="1"/>
        <rFont val="宋体"/>
        <charset val="134"/>
      </rPr>
      <t>你列表中的法术数量会在你提升奇械师等级时增加，如奇械师特性表中的准备法术一列所示。每当这一列的数字增加时，选择额外的奇械师法术，直至你列表中的法术数量的数量与表格中的数字一致。选择的法术必须有相对应环阶的法术位。例如，如果你是一位</t>
    </r>
    <r>
      <rPr>
        <sz val="10"/>
        <color theme="1"/>
        <rFont val="Times New Roman"/>
        <charset val="134"/>
      </rPr>
      <t>5</t>
    </r>
    <r>
      <rPr>
        <sz val="10"/>
        <color theme="1"/>
        <rFont val="宋体"/>
        <charset val="134"/>
      </rPr>
      <t>级奇械师，你的准备法术列表能包括</t>
    </r>
    <r>
      <rPr>
        <sz val="10"/>
        <color theme="1"/>
        <rFont val="Times New Roman"/>
        <charset val="134"/>
      </rPr>
      <t>6</t>
    </r>
    <r>
      <rPr>
        <sz val="10"/>
        <color theme="1"/>
        <rFont val="宋体"/>
        <charset val="134"/>
      </rPr>
      <t>道一环或二环的奇械师法术，随意组合。</t>
    </r>
    <r>
      <rPr>
        <sz val="10"/>
        <color theme="1"/>
        <rFont val="Times New Roman"/>
        <charset val="134"/>
      </rPr>
      <t xml:space="preserve"> 
</t>
    </r>
    <r>
      <rPr>
        <sz val="10"/>
        <color theme="1"/>
        <rFont val="宋体"/>
        <charset val="134"/>
      </rPr>
      <t>如果其他奇械师特性给了你永远已准备的法术，这些法术不计入你以此法准备的法术数量，但除此以外对你来说都视为奇械师法术。</t>
    </r>
  </si>
  <si>
    <r>
      <rPr>
        <sz val="10"/>
        <color theme="1"/>
        <rFont val="宋体"/>
        <charset val="134"/>
      </rPr>
      <t>你灵能使法术的施法属性是智力。</t>
    </r>
    <r>
      <rPr>
        <sz val="10"/>
        <color theme="1"/>
        <rFont val="Times New Roman"/>
        <charset val="134"/>
      </rPr>
      <t xml:space="preserve"> </t>
    </r>
  </si>
  <si>
    <r>
      <rPr>
        <sz val="10"/>
        <color theme="1"/>
        <rFont val="宋体"/>
        <charset val="134"/>
      </rPr>
      <t>暴露诅咒</t>
    </r>
  </si>
  <si>
    <r>
      <rPr>
        <sz val="10"/>
        <color theme="1"/>
        <rFont val="宋体"/>
        <charset val="134"/>
      </rPr>
      <t>当距你</t>
    </r>
    <r>
      <rPr>
        <sz val="10"/>
        <color theme="1"/>
        <rFont val="Times New Roman"/>
        <charset val="134"/>
      </rPr>
      <t xml:space="preserve"> 30 </t>
    </r>
    <r>
      <rPr>
        <sz val="10"/>
        <color theme="1"/>
        <rFont val="宋体"/>
        <charset val="134"/>
      </rPr>
      <t>尺内一你能看到的生物受到攻击或法术的伤害时，你可以使用你的反应来暂时削弱其抵抗力。直到目标下一回合结束，其失去对该攻击或法术造成的所有伤害类型的抵抗力（包括该攻击或法术）。
增幅。目标失去对该攻击或法术的所有的伤害类型的免疫力，但在其下一回合结束前，对这些伤害类型具有抵抗力。</t>
    </r>
  </si>
  <si>
    <r>
      <rPr>
        <sz val="10"/>
        <color theme="1"/>
        <rFont val="宋体"/>
        <charset val="134"/>
      </rPr>
      <t>药剂师法术的施法属性是智力。</t>
    </r>
  </si>
  <si>
    <t>咬紧牙关</t>
  </si>
  <si>
    <t>以一个附赠动作，你可以消耗一枚风险骰获得数值等于风险骰骰值加你的铳士等级的临时生命值。</t>
  </si>
  <si>
    <t>禁令</t>
  </si>
  <si>
    <r>
      <rPr>
        <sz val="10"/>
        <color theme="1"/>
        <rFont val="宋体"/>
        <charset val="134"/>
      </rPr>
      <t>你可以将炼狱的魔法力量注入缄印以增强其效应。
已知禁令恩惠</t>
    </r>
    <r>
      <rPr>
        <sz val="10"/>
        <color theme="1"/>
        <rFont val="Times New Roman"/>
        <charset val="134"/>
      </rPr>
      <t>Interdict Boons Known</t>
    </r>
    <r>
      <rPr>
        <sz val="10"/>
        <color theme="1"/>
        <rFont val="宋体"/>
        <charset val="134"/>
      </rPr>
      <t>。你自禁令恩惠选项中习得一种自选的禁令恩惠。当你获得本职业等级时，你选择获得额外的禁令恩惠，具体数据见邪狱使表中</t>
    </r>
    <r>
      <rPr>
        <sz val="10"/>
        <color theme="1"/>
        <rFont val="Times New Roman"/>
        <charset val="134"/>
      </rPr>
      <t>“</t>
    </r>
    <r>
      <rPr>
        <sz val="10"/>
        <color theme="1"/>
        <rFont val="宋体"/>
        <charset val="134"/>
      </rPr>
      <t>禁令恩惠</t>
    </r>
    <r>
      <rPr>
        <sz val="10"/>
        <color theme="1"/>
        <rFont val="Times New Roman"/>
        <charset val="134"/>
      </rPr>
      <t>”</t>
    </r>
    <r>
      <rPr>
        <sz val="10"/>
        <color theme="1"/>
        <rFont val="宋体"/>
        <charset val="134"/>
      </rPr>
      <t>一栏。你必须满足每个新恩惠的先决等级。例如，当你到达</t>
    </r>
    <r>
      <rPr>
        <sz val="10"/>
        <color theme="1"/>
        <rFont val="Times New Roman"/>
        <charset val="134"/>
      </rPr>
      <t>7</t>
    </r>
    <r>
      <rPr>
        <sz val="10"/>
        <color theme="1"/>
        <rFont val="宋体"/>
        <charset val="134"/>
      </rPr>
      <t>级时，你可以习得一个</t>
    </r>
    <r>
      <rPr>
        <sz val="10"/>
        <color theme="1"/>
        <rFont val="Times New Roman"/>
        <charset val="134"/>
      </rPr>
      <t>2</t>
    </r>
    <r>
      <rPr>
        <sz val="10"/>
        <color theme="1"/>
        <rFont val="宋体"/>
        <charset val="134"/>
      </rPr>
      <t>级或</t>
    </r>
    <r>
      <rPr>
        <sz val="10"/>
        <color theme="1"/>
        <rFont val="Times New Roman"/>
        <charset val="134"/>
      </rPr>
      <t>7</t>
    </r>
    <r>
      <rPr>
        <sz val="10"/>
        <color theme="1"/>
        <rFont val="宋体"/>
        <charset val="134"/>
      </rPr>
      <t>级的恩惠。
每当你获得一级邪狱使等级时，你都可以用新的恩惠替换一个已知的恩惠，但你必须可以习得新恩惠。
使用禁令恩惠</t>
    </r>
    <r>
      <rPr>
        <sz val="10"/>
        <color theme="1"/>
        <rFont val="Times New Roman"/>
        <charset val="134"/>
      </rPr>
      <t>Use Interdict Boons</t>
    </r>
    <r>
      <rPr>
        <sz val="10"/>
        <color theme="1"/>
        <rFont val="宋体"/>
        <charset val="134"/>
      </rPr>
      <t>。</t>
    </r>
    <r>
      <rPr>
        <sz val="10"/>
        <color theme="1"/>
        <rFont val="Times New Roman"/>
        <charset val="134"/>
      </rPr>
      <t xml:space="preserve"> </t>
    </r>
    <r>
      <rPr>
        <sz val="10"/>
        <color theme="1"/>
        <rFont val="宋体"/>
        <charset val="134"/>
      </rPr>
      <t>一些恩惠允许你消耗未施加的缄印来增强能力，另一些恩惠则增强你的缄印或是赋予你对抗受禁生物时生效的增益。
那些授予被动的（或者说</t>
    </r>
    <r>
      <rPr>
        <sz val="10"/>
        <color theme="1"/>
        <rFont val="Times New Roman"/>
        <charset val="134"/>
      </rPr>
      <t>“</t>
    </r>
    <r>
      <rPr>
        <sz val="10"/>
        <color theme="1"/>
        <rFont val="宋体"/>
        <charset val="134"/>
      </rPr>
      <t>始终开启的</t>
    </r>
    <r>
      <rPr>
        <sz val="10"/>
        <color theme="1"/>
        <rFont val="Times New Roman"/>
        <charset val="134"/>
      </rPr>
      <t>”</t>
    </r>
    <r>
      <rPr>
        <sz val="10"/>
        <color theme="1"/>
        <rFont val="宋体"/>
        <charset val="134"/>
      </rPr>
      <t>）增益的恩惠，例如</t>
    </r>
    <r>
      <rPr>
        <sz val="10"/>
        <color theme="1"/>
        <rFont val="Times New Roman"/>
        <charset val="134"/>
      </rPr>
      <t>2</t>
    </r>
    <r>
      <rPr>
        <sz val="10"/>
        <color theme="1"/>
        <rFont val="宋体"/>
        <charset val="134"/>
      </rPr>
      <t>级的</t>
    </r>
    <r>
      <rPr>
        <sz val="10"/>
        <color theme="1"/>
        <rFont val="Times New Roman"/>
        <charset val="134"/>
      </rPr>
      <t>“</t>
    </r>
    <r>
      <rPr>
        <sz val="10"/>
        <color theme="1"/>
        <rFont val="宋体"/>
        <charset val="134"/>
      </rPr>
      <t>极速惩戒</t>
    </r>
    <r>
      <rPr>
        <sz val="10"/>
        <color theme="1"/>
        <rFont val="Times New Roman"/>
        <charset val="134"/>
      </rPr>
      <t>”</t>
    </r>
    <r>
      <rPr>
        <sz val="10"/>
        <color theme="1"/>
        <rFont val="宋体"/>
        <charset val="134"/>
      </rPr>
      <t>恩惠，标有</t>
    </r>
    <r>
      <rPr>
        <sz val="10"/>
        <color theme="1"/>
        <rFont val="Times New Roman"/>
        <charset val="134"/>
      </rPr>
      <t>“</t>
    </r>
    <r>
      <rPr>
        <sz val="10"/>
        <color theme="1"/>
        <rFont val="宋体"/>
        <charset val="134"/>
      </rPr>
      <t>被动</t>
    </r>
    <r>
      <rPr>
        <sz val="10"/>
        <color theme="1"/>
        <rFont val="Times New Roman"/>
        <charset val="134"/>
      </rPr>
      <t>”</t>
    </r>
    <r>
      <rPr>
        <sz val="10"/>
        <color theme="1"/>
        <rFont val="宋体"/>
        <charset val="134"/>
      </rPr>
      <t>标签。你无需消耗缄印或是执行动作即可从被动恩惠中获得增益。而所有其他没有被动标签的恩惠，例如</t>
    </r>
    <r>
      <rPr>
        <sz val="10"/>
        <color theme="1"/>
        <rFont val="Times New Roman"/>
        <charset val="134"/>
      </rPr>
      <t>2</t>
    </r>
    <r>
      <rPr>
        <sz val="10"/>
        <color theme="1"/>
        <rFont val="宋体"/>
        <charset val="134"/>
      </rPr>
      <t>级的</t>
    </r>
    <r>
      <rPr>
        <sz val="10"/>
        <color theme="1"/>
        <rFont val="Times New Roman"/>
        <charset val="134"/>
      </rPr>
      <t>“</t>
    </r>
    <r>
      <rPr>
        <sz val="10"/>
        <color theme="1"/>
        <rFont val="宋体"/>
        <charset val="134"/>
      </rPr>
      <t>缓弱缄印</t>
    </r>
    <r>
      <rPr>
        <sz val="10"/>
        <color theme="1"/>
        <rFont val="Times New Roman"/>
        <charset val="134"/>
      </rPr>
      <t>”</t>
    </r>
    <r>
      <rPr>
        <sz val="10"/>
        <color theme="1"/>
        <rFont val="宋体"/>
        <charset val="134"/>
      </rPr>
      <t>恩惠必须在某个回合激活（例如通过消耗缄印）。无论你已知的恩惠有几个，每回合你只能激活一个非被动恩惠。</t>
    </r>
  </si>
  <si>
    <t>重磅巨拳</t>
  </si>
  <si>
    <t>当你以徒手打击命中一名生物时，你能在应用徒手打击的伤害选项的同时选择应用擒抱或推撞选项中的一项。</t>
  </si>
  <si>
    <t>实验道途</t>
  </si>
  <si>
    <r>
      <rPr>
        <sz val="10"/>
        <color theme="1"/>
        <rFont val="宋体"/>
        <charset val="134"/>
      </rPr>
      <t>原初学识</t>
    </r>
  </si>
  <si>
    <r>
      <rPr>
        <sz val="10"/>
        <color theme="1"/>
        <rFont val="宋体"/>
        <charset val="134"/>
      </rPr>
      <t>除了</t>
    </r>
    <r>
      <rPr>
        <sz val="10"/>
        <color theme="1"/>
        <rFont val="Times New Roman"/>
        <charset val="134"/>
      </rPr>
      <t>1</t>
    </r>
    <r>
      <rPr>
        <sz val="10"/>
        <color theme="1"/>
        <rFont val="宋体"/>
        <charset val="134"/>
      </rPr>
      <t>级选择的技能以外，你可以从野蛮人技能列表中额外获得一个技能的熟练。
此外，狂暴激活期间，你可以在尝试完成特定的事项时与原初之力相连。每当你使用以下技能进行一次属性检定时，你可以使用力量进行检定而非通常使用的其他属性：特技，威吓，察觉，隐匿或求生。当你使用这项能力时，你的力量代表着一种环绕你身的原初之力，强化了你的灵敏度、气质和感知力。</t>
    </r>
  </si>
  <si>
    <r>
      <rPr>
        <sz val="10"/>
        <color theme="1"/>
        <rFont val="宋体"/>
        <charset val="134"/>
      </rPr>
      <t>你吟游诗人法术的施法属性是魅力</t>
    </r>
    <r>
      <rPr>
        <sz val="10"/>
        <color theme="1"/>
        <rFont val="Times New Roman"/>
        <charset val="134"/>
      </rPr>
      <t xml:space="preserve"> </t>
    </r>
    <r>
      <rPr>
        <sz val="10"/>
        <color theme="1"/>
        <rFont val="宋体"/>
        <charset val="134"/>
      </rPr>
      <t>。</t>
    </r>
  </si>
  <si>
    <r>
      <rPr>
        <sz val="10"/>
        <color theme="1"/>
        <rFont val="宋体"/>
        <charset val="134"/>
      </rPr>
      <t>你可以使用圣徽作为你牧师法术的施法法器</t>
    </r>
    <r>
      <rPr>
        <sz val="10"/>
        <color theme="1"/>
        <rFont val="Times New Roman"/>
        <charset val="134"/>
      </rPr>
      <t xml:space="preserve"> </t>
    </r>
    <r>
      <rPr>
        <sz val="10"/>
        <color theme="1"/>
        <rFont val="宋体"/>
        <charset val="134"/>
      </rPr>
      <t>。</t>
    </r>
    <r>
      <rPr>
        <sz val="10"/>
        <color theme="1"/>
        <rFont val="Times New Roman"/>
        <charset val="134"/>
      </rPr>
      <t xml:space="preserve"> </t>
    </r>
  </si>
  <si>
    <r>
      <rPr>
        <sz val="10"/>
        <color theme="1"/>
        <rFont val="宋体"/>
        <charset val="134"/>
      </rPr>
      <t>你可以使用德鲁伊法器作为你德鲁伊法术的施法法器。</t>
    </r>
  </si>
  <si>
    <r>
      <rPr>
        <sz val="10"/>
        <color theme="1"/>
        <rFont val="宋体"/>
        <charset val="134"/>
      </rPr>
      <t>属性值提升</t>
    </r>
  </si>
  <si>
    <r>
      <rPr>
        <sz val="10"/>
        <color theme="1"/>
        <rFont val="宋体"/>
        <charset val="134"/>
      </rPr>
      <t>你获得属性值提升专长（见第五章）或其它你满足条件的专长。如战士特性表所示，你还会在第</t>
    </r>
    <r>
      <rPr>
        <sz val="10"/>
        <color theme="1"/>
        <rFont val="Times New Roman"/>
        <charset val="134"/>
      </rPr>
      <t>6</t>
    </r>
    <r>
      <rPr>
        <sz val="10"/>
        <color theme="1"/>
        <rFont val="宋体"/>
        <charset val="134"/>
      </rPr>
      <t>、第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14</t>
    </r>
    <r>
      <rPr>
        <sz val="10"/>
        <color theme="1"/>
        <rFont val="宋体"/>
        <charset val="134"/>
      </rPr>
      <t>、第</t>
    </r>
    <r>
      <rPr>
        <sz val="10"/>
        <color theme="1"/>
        <rFont val="Times New Roman"/>
        <charset val="134"/>
      </rPr>
      <t>16</t>
    </r>
    <r>
      <rPr>
        <sz val="10"/>
        <color theme="1"/>
        <rFont val="宋体"/>
        <charset val="134"/>
      </rPr>
      <t>级时再次获得本特性。</t>
    </r>
  </si>
  <si>
    <r>
      <rPr>
        <sz val="10"/>
        <color theme="1"/>
        <rFont val="宋体"/>
        <charset val="134"/>
      </rPr>
      <t>武僧子职</t>
    </r>
  </si>
  <si>
    <r>
      <rPr>
        <sz val="10"/>
        <color theme="1"/>
        <rFont val="宋体"/>
        <charset val="134"/>
      </rPr>
      <t>你选择获得一项武僧子职：命流武者、暗影武者、</t>
    </r>
    <r>
      <rPr>
        <sz val="10"/>
        <color theme="1"/>
        <rFont val="Times New Roman"/>
        <charset val="134"/>
      </rPr>
      <t xml:space="preserve"> </t>
    </r>
    <r>
      <rPr>
        <sz val="10"/>
        <color theme="1"/>
        <rFont val="宋体"/>
        <charset val="134"/>
      </rPr>
      <t>四象武者和散打武者。子职的内容见后文。子职是一种特化，在特定的武僧等级给予你对应的独特能力。以后你将获得你所选的子职的所有能力</t>
    </r>
    <r>
      <rPr>
        <sz val="10"/>
        <color theme="1"/>
        <rFont val="Times New Roman"/>
        <charset val="134"/>
      </rPr>
      <t>——</t>
    </r>
    <r>
      <rPr>
        <sz val="10"/>
        <color theme="1"/>
        <rFont val="宋体"/>
        <charset val="134"/>
      </rPr>
      <t>只要其所需等级不超过你的武僧等级。武僧特性表列出了你从子职中获得新特性的武僧等级。</t>
    </r>
  </si>
  <si>
    <r>
      <rPr>
        <sz val="10"/>
        <color theme="1"/>
        <rFont val="宋体"/>
        <charset val="134"/>
      </rPr>
      <t>你可以使用圣徽作为你圣武士法术的施法法器</t>
    </r>
    <r>
      <rPr>
        <sz val="10"/>
        <color theme="1"/>
        <rFont val="Times New Roman"/>
        <charset val="134"/>
      </rPr>
      <t xml:space="preserve"> </t>
    </r>
    <r>
      <rPr>
        <sz val="10"/>
        <color theme="1"/>
        <rFont val="宋体"/>
        <charset val="134"/>
      </rPr>
      <t>。</t>
    </r>
  </si>
  <si>
    <r>
      <rPr>
        <sz val="10"/>
        <color theme="1"/>
        <rFont val="宋体"/>
        <charset val="134"/>
      </rPr>
      <t>宿敌</t>
    </r>
  </si>
  <si>
    <r>
      <rPr>
        <sz val="10"/>
        <color theme="1"/>
        <rFont val="宋体"/>
        <charset val="134"/>
      </rPr>
      <t>你始终准备了法术猎人印记</t>
    </r>
    <r>
      <rPr>
        <sz val="10"/>
        <color theme="1"/>
        <rFont val="Times New Roman"/>
        <charset val="134"/>
      </rPr>
      <t>Hunter’s Mark</t>
    </r>
    <r>
      <rPr>
        <sz val="10"/>
        <color theme="1"/>
        <rFont val="宋体"/>
        <charset val="134"/>
      </rPr>
      <t>。你可以无需法术位地施展此法术共计两次，并在完成一次长休后恢复此能力的所有使用次数。
你能无需法术位施展该法术的次数会在你获得特定游侠等级时提升，见游侠特性表中的宿敌一栏。</t>
    </r>
  </si>
  <si>
    <r>
      <rPr>
        <sz val="10"/>
        <color theme="1"/>
        <rFont val="宋体"/>
        <charset val="134"/>
      </rPr>
      <t>稳定瞄准</t>
    </r>
  </si>
  <si>
    <r>
      <rPr>
        <sz val="10"/>
        <color theme="1"/>
        <rFont val="宋体"/>
        <charset val="134"/>
      </rPr>
      <t>以一个附赠动作，你在当前回合为你的下一次攻击提供优势。你只能在你本回合还没有移动的时候使用这个附赠动作，而且在你使用这个附赠动作后，你的速度在当前回合里归</t>
    </r>
    <r>
      <rPr>
        <sz val="10"/>
        <color theme="1"/>
        <rFont val="Times New Roman"/>
        <charset val="134"/>
      </rPr>
      <t>0</t>
    </r>
    <r>
      <rPr>
        <sz val="10"/>
        <color theme="1"/>
        <rFont val="宋体"/>
        <charset val="134"/>
      </rPr>
      <t>。</t>
    </r>
    <r>
      <rPr>
        <sz val="10"/>
        <color theme="1"/>
        <rFont val="Times New Roman"/>
        <charset val="134"/>
      </rPr>
      <t xml:space="preserve"> </t>
    </r>
  </si>
  <si>
    <r>
      <rPr>
        <sz val="10"/>
        <color theme="1"/>
        <rFont val="宋体"/>
        <charset val="134"/>
      </rPr>
      <t>你可以使用奥术法器作为你术士法术的施法法器。</t>
    </r>
    <r>
      <rPr>
        <sz val="10"/>
        <color theme="1"/>
        <rFont val="Times New Roman"/>
        <charset val="134"/>
      </rPr>
      <t xml:space="preserve"> </t>
    </r>
  </si>
  <si>
    <r>
      <rPr>
        <sz val="10"/>
        <color theme="1"/>
        <rFont val="宋体"/>
        <charset val="134"/>
      </rPr>
      <t>你不再需要睡眠，同样不能以任何方式强行陷入睡眠。为了获得长休的益处，你可以在</t>
    </r>
    <r>
      <rPr>
        <sz val="10"/>
        <color theme="1"/>
        <rFont val="Times New Roman"/>
        <charset val="134"/>
      </rPr>
      <t>8</t>
    </r>
    <r>
      <rPr>
        <sz val="10"/>
        <color theme="1"/>
        <rFont val="宋体"/>
        <charset val="134"/>
      </rPr>
      <t>小时内执行一些轻度活动，像是阅读你的</t>
    </r>
    <r>
      <rPr>
        <sz val="10"/>
        <color theme="1"/>
        <rFont val="Times New Roman"/>
        <charset val="134"/>
      </rPr>
      <t xml:space="preserve"> </t>
    </r>
    <r>
      <rPr>
        <sz val="10"/>
        <color theme="1"/>
        <rFont val="宋体"/>
        <charset val="134"/>
      </rPr>
      <t>影之书</t>
    </r>
    <r>
      <rPr>
        <sz val="10"/>
        <color theme="1"/>
        <rFont val="Times New Roman"/>
        <charset val="134"/>
      </rPr>
      <t xml:space="preserve">Book of Shadows </t>
    </r>
    <r>
      <rPr>
        <sz val="10"/>
        <color theme="1"/>
        <rFont val="宋体"/>
        <charset val="134"/>
      </rPr>
      <t>或是放哨之类的。
先决条件：书之魔契</t>
    </r>
  </si>
  <si>
    <r>
      <rPr>
        <sz val="10"/>
        <color theme="1"/>
        <rFont val="宋体"/>
        <charset val="134"/>
      </rPr>
      <t>你法师法术的施法属性是智力。</t>
    </r>
  </si>
  <si>
    <r>
      <rPr>
        <sz val="10"/>
        <color theme="1"/>
        <rFont val="宋体"/>
        <charset val="134"/>
      </rPr>
      <t>改变准备法术</t>
    </r>
  </si>
  <si>
    <r>
      <rPr>
        <sz val="10"/>
        <color theme="1"/>
        <rFont val="宋体"/>
        <charset val="134"/>
      </rPr>
      <t>每当你结束一次长休时，你可以改变你的法术准备列表，将任意数量的法术替换为你具有对应法术位的奇械师法术。</t>
    </r>
  </si>
  <si>
    <r>
      <rPr>
        <sz val="10"/>
        <color theme="1"/>
        <rFont val="宋体"/>
        <charset val="134"/>
      </rPr>
      <t>灵能施法</t>
    </r>
  </si>
  <si>
    <r>
      <rPr>
        <sz val="10"/>
        <color theme="1"/>
        <rFont val="宋体"/>
        <charset val="134"/>
      </rPr>
      <t>当你施展一道灵能使法术时，那道法术不需要言语或材料成分，哪怕该法术在其法术成分中标注了</t>
    </r>
    <r>
      <rPr>
        <sz val="10"/>
        <color theme="1"/>
        <rFont val="Times New Roman"/>
        <charset val="134"/>
      </rPr>
      <t>“V”</t>
    </r>
    <r>
      <rPr>
        <sz val="10"/>
        <color theme="1"/>
        <rFont val="宋体"/>
        <charset val="134"/>
      </rPr>
      <t>和</t>
    </r>
    <r>
      <rPr>
        <sz val="10"/>
        <color theme="1"/>
        <rFont val="Times New Roman"/>
        <charset val="134"/>
      </rPr>
      <t>“M”</t>
    </r>
    <r>
      <rPr>
        <sz val="10"/>
        <color theme="1"/>
        <rFont val="宋体"/>
        <charset val="134"/>
      </rPr>
      <t>，除非法术材料成分会被消耗或有特定价格。</t>
    </r>
  </si>
  <si>
    <r>
      <rPr>
        <sz val="10"/>
        <color theme="1"/>
        <rFont val="宋体"/>
        <charset val="134"/>
      </rPr>
      <t>盲目血咒</t>
    </r>
  </si>
  <si>
    <r>
      <rPr>
        <sz val="10"/>
        <color theme="1"/>
        <rFont val="宋体"/>
        <charset val="134"/>
      </rPr>
      <t>当距你</t>
    </r>
    <r>
      <rPr>
        <sz val="10"/>
        <color theme="1"/>
        <rFont val="Times New Roman"/>
        <charset val="134"/>
      </rPr>
      <t xml:space="preserve"> 30 </t>
    </r>
    <r>
      <rPr>
        <sz val="10"/>
        <color theme="1"/>
        <rFont val="宋体"/>
        <charset val="134"/>
      </rPr>
      <t>尺内一个你能看见的生物进行一次攻击时，你可以使用你的反应来掷一个鲜血秘法骰，并在目标的掷骰结果中减去你的掷骰结果。你可以在目标掷出骰子后，</t>
    </r>
    <r>
      <rPr>
        <sz val="10"/>
        <color theme="1"/>
        <rFont val="Times New Roman"/>
        <charset val="134"/>
      </rPr>
      <t xml:space="preserve">DM </t>
    </r>
    <r>
      <rPr>
        <sz val="10"/>
        <color theme="1"/>
        <rFont val="宋体"/>
        <charset val="134"/>
      </rPr>
      <t>宣布结果之前决定是否使用此特性。若目标免疫目盲状态，则目标同样也会免疫该特性。
增幅。你对该生物的所有攻击检定使用此诅咒，直至回合结束。你为每次受影响的攻击各掷一次鲜血秘法骰。</t>
    </r>
  </si>
  <si>
    <r>
      <rPr>
        <sz val="10"/>
        <color theme="1"/>
        <rFont val="宋体"/>
        <charset val="134"/>
      </rPr>
      <t>法器</t>
    </r>
  </si>
  <si>
    <r>
      <rPr>
        <sz val="10"/>
        <color theme="1"/>
        <rFont val="宋体"/>
        <charset val="134"/>
      </rPr>
      <t>你可以使用奥术法器（详见第</t>
    </r>
    <r>
      <rPr>
        <sz val="10"/>
        <color theme="1"/>
        <rFont val="Times New Roman"/>
        <charset val="134"/>
      </rPr>
      <t>5</t>
    </r>
    <r>
      <rPr>
        <sz val="10"/>
        <color theme="1"/>
        <rFont val="宋体"/>
        <charset val="134"/>
      </rPr>
      <t>章）来作为施展药剂师法术的法器。</t>
    </r>
  </si>
  <si>
    <t>盲射</t>
  </si>
  <si>
    <t>你能够以附赠动作消耗一枚风险骰来获得30尺盲视，持续至当前回合结束。</t>
  </si>
  <si>
    <t>缓弱缄印</t>
  </si>
  <si>
    <t>当一名你可见的生物对你或位于你30尺内的盟友造成伤害时，你能够以反应消耗一枚缄印，来减少目标受到的伤害，减少量等于1d10+你的邪狱使等级的一半（向下取整）。</t>
  </si>
  <si>
    <t>拳斗士子职</t>
  </si>
  <si>
    <r>
      <rPr>
        <sz val="10"/>
        <color theme="1"/>
        <rFont val="宋体"/>
        <charset val="134"/>
      </rPr>
      <t>你选择获得一项拳斗士子职。子职的内容见后文。子职是一种特化，在特定的拳斗士等级给予你对应的独特能力。此后你将获得你所选的子职所有能力</t>
    </r>
    <r>
      <rPr>
        <sz val="10"/>
        <color theme="1"/>
        <rFont val="Times New Roman"/>
        <charset val="134"/>
      </rPr>
      <t>——</t>
    </r>
    <r>
      <rPr>
        <sz val="10"/>
        <color theme="1"/>
        <rFont val="宋体"/>
        <charset val="134"/>
      </rPr>
      <t>只要其所需等级不超过你的拳斗士等级。</t>
    </r>
  </si>
  <si>
    <t>腐鸦道途</t>
  </si>
  <si>
    <r>
      <rPr>
        <sz val="10"/>
        <color theme="1"/>
        <rFont val="宋体"/>
        <charset val="134"/>
      </rPr>
      <t>你获得属性值提升专长（见第五章）或其他你满足条件的专长。如野蛮人特性表所示，你还会在第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级时再次获得本特性。</t>
    </r>
  </si>
  <si>
    <r>
      <rPr>
        <sz val="10"/>
        <color theme="1"/>
        <rFont val="宋体"/>
        <charset val="134"/>
      </rPr>
      <t>可以使用乐器作为你吟游诗人法术的施法法器。</t>
    </r>
    <r>
      <rPr>
        <sz val="10"/>
        <color theme="1"/>
        <rFont val="Times New Roman"/>
        <charset val="134"/>
      </rPr>
      <t xml:space="preserve"> </t>
    </r>
  </si>
  <si>
    <r>
      <rPr>
        <sz val="10"/>
        <color theme="1"/>
        <rFont val="宋体"/>
        <charset val="134"/>
      </rPr>
      <t>圣职</t>
    </r>
  </si>
  <si>
    <r>
      <rPr>
        <sz val="10"/>
        <color theme="1"/>
        <rFont val="宋体"/>
        <charset val="134"/>
      </rPr>
      <t>你让自己投身于以下一种由你自己选择的神圣职能：
保护者</t>
    </r>
    <r>
      <rPr>
        <sz val="10"/>
        <color theme="1"/>
        <rFont val="Times New Roman"/>
        <charset val="134"/>
      </rPr>
      <t xml:space="preserve"> Protcetor</t>
    </r>
    <r>
      <rPr>
        <sz val="10"/>
        <color theme="1"/>
        <rFont val="宋体"/>
        <charset val="134"/>
      </rPr>
      <t>。通过战斗训练，你获得军用武器熟练与重甲受训。
奇术使</t>
    </r>
    <r>
      <rPr>
        <sz val="10"/>
        <color theme="1"/>
        <rFont val="Times New Roman"/>
        <charset val="134"/>
      </rPr>
      <t xml:space="preserve"> Thaumaturage</t>
    </r>
    <r>
      <rPr>
        <sz val="10"/>
        <color theme="1"/>
        <rFont val="宋体"/>
        <charset val="134"/>
      </rPr>
      <t>。你从牧师法术列表中额外学会一道戏法。此外，你与神性的神秘链接使你在智力（奥秘和宗教）检定中获得加值。加值等于你的感知调整值（最小为</t>
    </r>
    <r>
      <rPr>
        <sz val="10"/>
        <color theme="1"/>
        <rFont val="Times New Roman"/>
        <charset val="134"/>
      </rPr>
      <t>1</t>
    </r>
    <r>
      <rPr>
        <sz val="10"/>
        <color theme="1"/>
        <rFont val="宋体"/>
        <charset val="134"/>
      </rPr>
      <t>）。</t>
    </r>
  </si>
  <si>
    <r>
      <rPr>
        <sz val="10"/>
        <color theme="1"/>
        <rFont val="宋体"/>
        <charset val="134"/>
      </rPr>
      <t>德鲁伊语</t>
    </r>
  </si>
  <si>
    <r>
      <rPr>
        <sz val="10"/>
        <color theme="1"/>
        <rFont val="宋体"/>
        <charset val="134"/>
      </rPr>
      <t>你学会了德鲁伊语，一门德鲁伊之间的秘密语言。在学会这门古老语言的同时，你也解锁了和动物交谈的魔法：你始终准备了法术动物交谈</t>
    </r>
    <r>
      <rPr>
        <sz val="10"/>
        <color theme="1"/>
        <rFont val="Times New Roman"/>
        <charset val="134"/>
      </rPr>
      <t>Speak With Animals</t>
    </r>
    <r>
      <rPr>
        <sz val="10"/>
        <color theme="1"/>
        <rFont val="宋体"/>
        <charset val="134"/>
      </rPr>
      <t>。
你可以使用德鲁伊语来传递隐藏的信息。你和其他知晓这门语言的对象能够自动辨认出信息。其他人需要通过</t>
    </r>
    <r>
      <rPr>
        <sz val="10"/>
        <color theme="1"/>
        <rFont val="Times New Roman"/>
        <charset val="134"/>
      </rPr>
      <t>DC15</t>
    </r>
    <r>
      <rPr>
        <sz val="10"/>
        <color theme="1"/>
        <rFont val="宋体"/>
        <charset val="134"/>
      </rPr>
      <t>的智力（调查）检定才能意识到信息的存在，但不借助魔法则无法解读。</t>
    </r>
  </si>
  <si>
    <r>
      <rPr>
        <sz val="10"/>
        <color theme="1"/>
        <rFont val="宋体"/>
        <charset val="134"/>
      </rPr>
      <t>额外攻击</t>
    </r>
  </si>
  <si>
    <r>
      <rPr>
        <sz val="10"/>
        <color theme="1"/>
        <rFont val="宋体"/>
        <charset val="134"/>
      </rPr>
      <t>你在自己回合内执行攻击动作时，可以发动两次攻击而非一次。</t>
    </r>
  </si>
  <si>
    <r>
      <rPr>
        <sz val="10"/>
        <color theme="1"/>
        <rFont val="宋体"/>
        <charset val="134"/>
      </rPr>
      <t>你获得属性值提升专长（见第五章）或其它你满足条件的专长。如武僧特性表所示，你在第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级时会再次获得本特性。</t>
    </r>
  </si>
  <si>
    <r>
      <rPr>
        <sz val="10"/>
        <color theme="1"/>
        <rFont val="宋体"/>
        <charset val="134"/>
      </rPr>
      <t>你对武器的训练使你能够运用两种自选熟练武器的精通属性，比如选择长剑和标枪。
当你完成一次长休时，你可以改变你所选择的武器类型。比如你可以改为使用长戟和连枷。</t>
    </r>
  </si>
  <si>
    <r>
      <rPr>
        <sz val="10"/>
        <color theme="1"/>
        <rFont val="宋体"/>
        <charset val="134"/>
      </rPr>
      <t>你对武器的训练使你能够自选并使用</t>
    </r>
    <r>
      <rPr>
        <sz val="10"/>
        <color theme="1"/>
        <rFont val="Times New Roman"/>
        <charset val="134"/>
      </rPr>
      <t>2</t>
    </r>
    <r>
      <rPr>
        <sz val="10"/>
        <color theme="1"/>
        <rFont val="宋体"/>
        <charset val="134"/>
      </rPr>
      <t>种已熟练武器的精通词条，例如长弓和短剑。
当你完成一次长休时，你可以改变你所选择的武器类型。比如你可以将其改为弯刀和长剑。</t>
    </r>
  </si>
  <si>
    <r>
      <rPr>
        <sz val="10"/>
        <color theme="1"/>
        <rFont val="宋体"/>
        <charset val="134"/>
      </rPr>
      <t>你获得属性值提升专长（见第五章）或其它你满足条件的专长。如游荡者特性表所示，你还会在第</t>
    </r>
    <r>
      <rPr>
        <sz val="10"/>
        <color theme="1"/>
        <rFont val="Times New Roman"/>
        <charset val="134"/>
      </rPr>
      <t>8</t>
    </r>
    <r>
      <rPr>
        <sz val="10"/>
        <color theme="1"/>
        <rFont val="宋体"/>
        <charset val="134"/>
      </rPr>
      <t>，第</t>
    </r>
    <r>
      <rPr>
        <sz val="10"/>
        <color theme="1"/>
        <rFont val="Times New Roman"/>
        <charset val="134"/>
      </rPr>
      <t>10</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级时再次获得本特性。</t>
    </r>
  </si>
  <si>
    <r>
      <rPr>
        <sz val="10"/>
        <color theme="1"/>
        <rFont val="宋体"/>
        <charset val="134"/>
      </rPr>
      <t>先天术法</t>
    </r>
  </si>
  <si>
    <r>
      <rPr>
        <sz val="10"/>
        <color theme="1"/>
        <rFont val="宋体"/>
        <charset val="134"/>
      </rPr>
      <t>你过去经历的某件事在你身上留下了不可磨灭的印记，为你注入了难以控制的涌动魔力。以一个附赠动作，你可以将魔力释放而出，持续</t>
    </r>
    <r>
      <rPr>
        <sz val="10"/>
        <color theme="1"/>
        <rFont val="Times New Roman"/>
        <charset val="134"/>
      </rPr>
      <t>1</t>
    </r>
    <r>
      <rPr>
        <sz val="10"/>
        <color theme="1"/>
        <rFont val="宋体"/>
        <charset val="134"/>
      </rPr>
      <t>分钟。在这</t>
    </r>
    <r>
      <rPr>
        <sz val="10"/>
        <color theme="1"/>
        <rFont val="Times New Roman"/>
        <charset val="134"/>
      </rPr>
      <t>1</t>
    </r>
    <r>
      <rPr>
        <sz val="10"/>
        <color theme="1"/>
        <rFont val="宋体"/>
        <charset val="134"/>
      </rPr>
      <t>分钟期间，你获得以下增益：
你的术士法术豁免</t>
    </r>
    <r>
      <rPr>
        <sz val="10"/>
        <color theme="1"/>
        <rFont val="Times New Roman"/>
        <charset val="134"/>
      </rPr>
      <t>DC+1</t>
    </r>
    <r>
      <rPr>
        <sz val="10"/>
        <color theme="1"/>
        <rFont val="宋体"/>
        <charset val="134"/>
      </rPr>
      <t>。
你施展的术士法术的攻击检定具有优势。
你可以使用此特性两次，你在完成一次长休时重获所有已消耗的使用次数。</t>
    </r>
  </si>
  <si>
    <r>
      <rPr>
        <sz val="10"/>
        <color theme="1"/>
        <rFont val="宋体"/>
        <charset val="134"/>
      </rPr>
      <t>当你被恢复生命值时，只要此时你的魔宠与你之间的距离不超过</t>
    </r>
    <r>
      <rPr>
        <sz val="10"/>
        <color theme="1"/>
        <rFont val="Times New Roman"/>
        <charset val="134"/>
      </rPr>
      <t>100</t>
    </r>
    <r>
      <rPr>
        <sz val="10"/>
        <color theme="1"/>
        <rFont val="宋体"/>
        <charset val="134"/>
      </rPr>
      <t>尺，所有决定你恢复生命值点数的骰，都被视为骰出了最大值。
先决条件：链之魔契</t>
    </r>
  </si>
  <si>
    <r>
      <rPr>
        <sz val="10"/>
        <color theme="1"/>
        <rFont val="宋体"/>
        <charset val="134"/>
      </rPr>
      <t>你可以使用奥术法器或你的法术书作为你法师法术的施法法器。</t>
    </r>
  </si>
  <si>
    <r>
      <rPr>
        <sz val="10"/>
        <color theme="1"/>
        <rFont val="宋体"/>
        <charset val="134"/>
      </rPr>
      <t>奇械师法术的施法属性是智力。</t>
    </r>
  </si>
  <si>
    <r>
      <rPr>
        <sz val="10"/>
        <color theme="1"/>
        <rFont val="宋体"/>
        <charset val="134"/>
      </rPr>
      <t>灵能力量</t>
    </r>
  </si>
  <si>
    <r>
      <rPr>
        <sz val="10"/>
        <color theme="1"/>
        <rFont val="宋体"/>
        <charset val="134"/>
      </rPr>
      <t>你的体内潜藏着一股灵能力量之源。这股力量由你的灵能骰展示。你的灵能使等级决定了灵能骰大小与数量，如灵能使特性表格中展示。</t>
    </r>
    <r>
      <rPr>
        <sz val="10"/>
        <color theme="1"/>
        <rFont val="Times New Roman"/>
        <charset val="134"/>
      </rPr>
      <t xml:space="preserve"> 
</t>
    </r>
    <r>
      <rPr>
        <sz val="10"/>
        <color theme="1"/>
        <rFont val="宋体"/>
        <charset val="134"/>
      </rPr>
      <t>你的灵能骰可用来强化或为特定灵能使特性充能。你在起始时拥有两项特性：念力驱使与心灵连接，每一项详述于下。有些心灵异能会消耗灵能骰，具体见各项异能详述，当你所有的灵能骰都消耗光时，你无法使用一项需要你使用一枚灵能骰的异能。</t>
    </r>
    <r>
      <rPr>
        <sz val="10"/>
        <color theme="1"/>
        <rFont val="Times New Roman"/>
        <charset val="134"/>
      </rPr>
      <t xml:space="preserve"> 
</t>
    </r>
    <r>
      <rPr>
        <sz val="10"/>
        <color theme="1"/>
        <rFont val="宋体"/>
        <charset val="134"/>
      </rPr>
      <t>你在完成一次短休时恢复一枚灵能骰，你在完成一次长休时回复所有灵能骰。有的使用灵能骰的特性要求你的目标进行豁免检定。异能豁免</t>
    </r>
    <r>
      <rPr>
        <sz val="10"/>
        <color theme="1"/>
        <rFont val="Times New Roman"/>
        <charset val="134"/>
      </rPr>
      <t>DC</t>
    </r>
    <r>
      <rPr>
        <sz val="10"/>
        <color theme="1"/>
        <rFont val="宋体"/>
        <charset val="134"/>
      </rPr>
      <t>与本职业的施法特性中的法术豁免</t>
    </r>
    <r>
      <rPr>
        <sz val="10"/>
        <color theme="1"/>
        <rFont val="Times New Roman"/>
        <charset val="134"/>
      </rPr>
      <t>DC</t>
    </r>
    <r>
      <rPr>
        <sz val="10"/>
        <color theme="1"/>
        <rFont val="宋体"/>
        <charset val="134"/>
      </rPr>
      <t>相同。</t>
    </r>
    <r>
      <rPr>
        <sz val="10"/>
        <color theme="1"/>
        <rFont val="Times New Roman"/>
        <charset val="134"/>
      </rPr>
      <t xml:space="preserve"> 
</t>
    </r>
    <r>
      <rPr>
        <sz val="10"/>
        <color theme="1"/>
        <rFont val="宋体"/>
        <charset val="134"/>
      </rPr>
      <t>念力驱使</t>
    </r>
    <r>
      <rPr>
        <sz val="10"/>
        <color theme="1"/>
        <rFont val="Times New Roman"/>
        <charset val="134"/>
      </rPr>
      <t>Telekinetic Propel</t>
    </r>
    <r>
      <rPr>
        <sz val="10"/>
        <color theme="1"/>
        <rFont val="宋体"/>
        <charset val="134"/>
      </rPr>
      <t>。</t>
    </r>
    <r>
      <rPr>
        <sz val="10"/>
        <color theme="1"/>
        <rFont val="Times New Roman"/>
        <charset val="134"/>
      </rPr>
      <t xml:space="preserve"> </t>
    </r>
    <r>
      <rPr>
        <sz val="10"/>
        <color theme="1"/>
        <rFont val="宋体"/>
        <charset val="134"/>
      </rPr>
      <t>以一个附赠动作，选择</t>
    </r>
    <r>
      <rPr>
        <sz val="10"/>
        <color theme="1"/>
        <rFont val="Times New Roman"/>
        <charset val="134"/>
      </rPr>
      <t>30</t>
    </r>
    <r>
      <rPr>
        <sz val="10"/>
        <color theme="1"/>
        <rFont val="宋体"/>
        <charset val="134"/>
      </rPr>
      <t>尺内一名你可见的不超过大型的除你以外的生物。若如此做，目标必须成功通过一次力量豁免，否则就会被你向自己的方向或背向自己的方向直线移动</t>
    </r>
    <r>
      <rPr>
        <sz val="10"/>
        <color theme="1"/>
        <rFont val="Times New Roman"/>
        <charset val="134"/>
      </rPr>
      <t>5</t>
    </r>
    <r>
      <rPr>
        <sz val="10"/>
        <color theme="1"/>
        <rFont val="宋体"/>
        <charset val="134"/>
      </rPr>
      <t>尺。此外，你执行此附赠动作时可以投掷一枚灵能骰，移动距离等于灵能骰点数的</t>
    </r>
    <r>
      <rPr>
        <sz val="10"/>
        <color theme="1"/>
        <rFont val="Times New Roman"/>
        <charset val="134"/>
      </rPr>
      <t>5</t>
    </r>
    <r>
      <rPr>
        <sz val="10"/>
        <color theme="1"/>
        <rFont val="宋体"/>
        <charset val="134"/>
      </rPr>
      <t>倍。灵能骰只在目标豁免失败时被消耗。</t>
    </r>
    <r>
      <rPr>
        <sz val="10"/>
        <color theme="1"/>
        <rFont val="Times New Roman"/>
        <charset val="134"/>
      </rPr>
      <t xml:space="preserve"> 
</t>
    </r>
    <r>
      <rPr>
        <sz val="10"/>
        <color theme="1"/>
        <rFont val="宋体"/>
        <charset val="134"/>
      </rPr>
      <t>心灵连接</t>
    </r>
    <r>
      <rPr>
        <sz val="10"/>
        <color theme="1"/>
        <rFont val="Times New Roman"/>
        <charset val="134"/>
      </rPr>
      <t>Telepathic Connection</t>
    </r>
    <r>
      <rPr>
        <sz val="10"/>
        <color theme="1"/>
        <rFont val="宋体"/>
        <charset val="134"/>
      </rPr>
      <t>。你具有</t>
    </r>
    <r>
      <rPr>
        <sz val="10"/>
        <color theme="1"/>
        <rFont val="Times New Roman"/>
        <charset val="134"/>
      </rPr>
      <t>30</t>
    </r>
    <r>
      <rPr>
        <sz val="10"/>
        <color theme="1"/>
        <rFont val="宋体"/>
        <charset val="134"/>
      </rPr>
      <t>尺心灵感应。以一个附赠动作，你可以投掷一枚灵能骰。你的心灵感应等于灵能骰点数的</t>
    </r>
    <r>
      <rPr>
        <sz val="10"/>
        <color theme="1"/>
        <rFont val="Times New Roman"/>
        <charset val="134"/>
      </rPr>
      <t>10</t>
    </r>
    <r>
      <rPr>
        <sz val="10"/>
        <color theme="1"/>
        <rFont val="宋体"/>
        <charset val="134"/>
      </rPr>
      <t>倍的距离，持续</t>
    </r>
    <r>
      <rPr>
        <sz val="10"/>
        <color theme="1"/>
        <rFont val="Times New Roman"/>
        <charset val="134"/>
      </rPr>
      <t>1</t>
    </r>
    <r>
      <rPr>
        <sz val="10"/>
        <color theme="1"/>
        <rFont val="宋体"/>
        <charset val="134"/>
      </rPr>
      <t>小时。你在每次长休后首次执行此附赠动作时，你无需消耗灵能骰。其他所有时间你使用该特性时，你消耗灵能骰。</t>
    </r>
  </si>
  <si>
    <r>
      <rPr>
        <sz val="10"/>
        <color theme="1"/>
        <rFont val="宋体"/>
        <charset val="134"/>
      </rPr>
      <t>傀儡血咒</t>
    </r>
  </si>
  <si>
    <r>
      <rPr>
        <sz val="10"/>
        <color theme="1"/>
        <rFont val="宋体"/>
        <charset val="134"/>
      </rPr>
      <t>当距你</t>
    </r>
    <r>
      <rPr>
        <sz val="10"/>
        <color theme="1"/>
        <rFont val="Times New Roman"/>
        <charset val="134"/>
      </rPr>
      <t xml:space="preserve"> 30 </t>
    </r>
    <r>
      <rPr>
        <sz val="10"/>
        <color theme="1"/>
        <rFont val="宋体"/>
        <charset val="134"/>
      </rPr>
      <t>尺内一个你能看见的生物生命值降为</t>
    </r>
    <r>
      <rPr>
        <sz val="10"/>
        <color theme="1"/>
        <rFont val="Times New Roman"/>
        <charset val="134"/>
      </rPr>
      <t xml:space="preserve"> 0 </t>
    </r>
    <r>
      <rPr>
        <sz val="10"/>
        <color theme="1"/>
        <rFont val="宋体"/>
        <charset val="134"/>
      </rPr>
      <t>点时，你可以使用你的反应来迫使该生物立即对其攻击范围内一个你选择的目标发动一次武器攻击。
增幅。你可以先移动该生物至多其速度一半的距离，并且该生物的攻击骰得到等同于你鲜血秘法调整值的加值（至少为</t>
    </r>
    <r>
      <rPr>
        <sz val="10"/>
        <color theme="1"/>
        <rFont val="Times New Roman"/>
        <charset val="134"/>
      </rPr>
      <t xml:space="preserve"> 1</t>
    </r>
    <r>
      <rPr>
        <sz val="10"/>
        <color theme="1"/>
        <rFont val="宋体"/>
        <charset val="134"/>
      </rPr>
      <t>）。</t>
    </r>
  </si>
  <si>
    <r>
      <rPr>
        <sz val="10"/>
        <color theme="1"/>
        <rFont val="宋体"/>
        <charset val="134"/>
      </rPr>
      <t>隐秘理论</t>
    </r>
  </si>
  <si>
    <r>
      <rPr>
        <sz val="10"/>
        <color theme="1"/>
        <rFont val="宋体"/>
        <charset val="134"/>
      </rPr>
      <t>你已经发现了一些隐秘理论，这些失落学问的只言片语可以用来强化你的魔法能力。
你获得两种你所选的隐秘理论。可供你所选的理论在职业描述最后有详述。
当你获得特定药剂师等级时，你可以额外获得你选择的理论，如药剂师职业表所展示的已知理论栏所示。除此之外，每当你获得一个该职业等级时，你可以选择一个你已经学习的理论，并用你当前等级可学习的另一个理论替换之。</t>
    </r>
  </si>
  <si>
    <t>翻滚闪避</t>
  </si>
  <si>
    <r>
      <rPr>
        <sz val="10"/>
        <color theme="1"/>
        <rFont val="宋体"/>
        <charset val="134"/>
      </rPr>
      <t>作为一个附赠动作，你可以消耗一枚风险骰移动至多</t>
    </r>
    <r>
      <rPr>
        <sz val="10"/>
        <color theme="1"/>
        <rFont val="Times New Roman"/>
        <charset val="134"/>
      </rPr>
      <t>15</t>
    </r>
    <r>
      <rPr>
        <sz val="10"/>
        <color theme="1"/>
        <rFont val="宋体"/>
        <charset val="134"/>
      </rPr>
      <t>尺并为你正持握的远程武器换弹。此次移动不会引发借机攻击且不受困难地形影响。</t>
    </r>
  </si>
  <si>
    <t>凌虐</t>
  </si>
  <si>
    <t>当你焚灭受禁生物身上的缄印时，你可以激活此恩惠（无需动作）。目标在其下回合结束前进行的下一次豁免检定承受等于你熟练加值的减值。</t>
  </si>
  <si>
    <t>属性值提升</t>
  </si>
  <si>
    <r>
      <rPr>
        <sz val="10"/>
        <color theme="1"/>
        <rFont val="宋体"/>
        <charset val="134"/>
      </rPr>
      <t>你获得属性值提升专长或其他你满足条件的专长。你还会在第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级时再次获得本特性。</t>
    </r>
  </si>
  <si>
    <t>炼狱道途</t>
  </si>
  <si>
    <r>
      <rPr>
        <sz val="10"/>
        <color theme="1"/>
        <rFont val="宋体"/>
        <charset val="134"/>
      </rPr>
      <t>当你在自己的回合执行攻击动作时，你可以发动两次攻击而非一次。</t>
    </r>
  </si>
  <si>
    <r>
      <rPr>
        <sz val="10"/>
        <color theme="1"/>
        <rFont val="宋体"/>
        <charset val="134"/>
      </rPr>
      <t>你获得两项由你选择的你熟练技能的专精（见术语汇编）。如果你具有表演和游说的熟练，推荐选择这两项。
当你的吟游诗人等级到达</t>
    </r>
    <r>
      <rPr>
        <sz val="10"/>
        <color theme="1"/>
        <rFont val="Times New Roman"/>
        <charset val="134"/>
      </rPr>
      <t>9</t>
    </r>
    <r>
      <rPr>
        <sz val="10"/>
        <color theme="1"/>
        <rFont val="宋体"/>
        <charset val="134"/>
      </rPr>
      <t>级时，你再额外获得两项由你选择的你熟练技能的专精。</t>
    </r>
    <r>
      <rPr>
        <sz val="10"/>
        <color theme="1"/>
        <rFont val="Times New Roman"/>
        <charset val="134"/>
      </rPr>
      <t xml:space="preserve"> </t>
    </r>
  </si>
  <si>
    <r>
      <rPr>
        <sz val="10"/>
        <color theme="1"/>
        <rFont val="宋体"/>
        <charset val="134"/>
      </rPr>
      <t>引导神力</t>
    </r>
  </si>
  <si>
    <r>
      <rPr>
        <sz val="10"/>
        <color theme="1"/>
        <rFont val="宋体"/>
        <charset val="134"/>
      </rPr>
      <t>你能从外层位面引导神圣能量，并用其引动魔法效应。你起始时具有两种选项：神圣火花与驱散亡灵，其效果如下所示。每当你使用你的引导神力时，你选择要创造哪种效应。你会在更高的牧师等级获得更多选项。
你可以使用引导神力两次，你在完成一次短休时恢复一次使用次数，而在完成一次长休时重获所有已使用的次数。你在达到特定的牧师等级时获得额外的使用次数，具体见牧师特性表中引导神力一栏。
如果某个引导神力效应需要目标进行豁免，则其豁免</t>
    </r>
    <r>
      <rPr>
        <sz val="10"/>
        <color theme="1"/>
        <rFont val="Times New Roman"/>
        <charset val="134"/>
      </rPr>
      <t>DC</t>
    </r>
    <r>
      <rPr>
        <sz val="10"/>
        <color theme="1"/>
        <rFont val="宋体"/>
        <charset val="134"/>
      </rPr>
      <t>等于本职业的施法特性中的法术豁免</t>
    </r>
    <r>
      <rPr>
        <sz val="10"/>
        <color theme="1"/>
        <rFont val="Times New Roman"/>
        <charset val="134"/>
      </rPr>
      <t>DC</t>
    </r>
    <r>
      <rPr>
        <sz val="10"/>
        <color theme="1"/>
        <rFont val="宋体"/>
        <charset val="134"/>
      </rPr>
      <t>。</t>
    </r>
  </si>
  <si>
    <r>
      <rPr>
        <sz val="10"/>
        <color theme="1"/>
        <rFont val="宋体"/>
        <charset val="134"/>
      </rPr>
      <t>原初职能</t>
    </r>
  </si>
  <si>
    <r>
      <rPr>
        <sz val="10"/>
        <color theme="1"/>
        <rFont val="宋体"/>
        <charset val="134"/>
      </rPr>
      <t>你将自己投身于所选择的以下一项神圣的角色之中：
术师</t>
    </r>
    <r>
      <rPr>
        <sz val="10"/>
        <color theme="1"/>
        <rFont val="Times New Roman"/>
        <charset val="134"/>
      </rPr>
      <t>Magician</t>
    </r>
    <r>
      <rPr>
        <sz val="10"/>
        <color theme="1"/>
        <rFont val="宋体"/>
        <charset val="134"/>
      </rPr>
      <t>。你从德鲁伊法术列表中额外学会一道戏法。此外，你与自然的神秘连接让你在智力（奥秘和自然）检定上获得加值。加值等于你的感知调整值（最低为</t>
    </r>
    <r>
      <rPr>
        <sz val="10"/>
        <color theme="1"/>
        <rFont val="Times New Roman"/>
        <charset val="134"/>
      </rPr>
      <t>1</t>
    </r>
    <r>
      <rPr>
        <sz val="10"/>
        <color theme="1"/>
        <rFont val="宋体"/>
        <charset val="134"/>
      </rPr>
      <t>）。
卫士</t>
    </r>
    <r>
      <rPr>
        <sz val="10"/>
        <color theme="1"/>
        <rFont val="Times New Roman"/>
        <charset val="134"/>
      </rPr>
      <t>Warden</t>
    </r>
    <r>
      <rPr>
        <sz val="10"/>
        <color theme="1"/>
        <rFont val="宋体"/>
        <charset val="134"/>
      </rPr>
      <t>。你受到了战斗的训练，获得军用武器熟练和中甲熟练。</t>
    </r>
  </si>
  <si>
    <r>
      <rPr>
        <sz val="10"/>
        <color theme="1"/>
        <rFont val="宋体"/>
        <charset val="134"/>
      </rPr>
      <t>战术转进</t>
    </r>
  </si>
  <si>
    <r>
      <rPr>
        <sz val="10"/>
        <color theme="1"/>
        <rFont val="宋体"/>
        <charset val="134"/>
      </rPr>
      <t>每当你使用附赠动作进行回气时，你可以移动至多相当于你速度一半的距离，且不会引发借机攻击。</t>
    </r>
  </si>
  <si>
    <r>
      <rPr>
        <sz val="10"/>
        <color theme="1"/>
        <rFont val="宋体"/>
        <charset val="134"/>
      </rPr>
      <t>轻身坠</t>
    </r>
  </si>
  <si>
    <r>
      <rPr>
        <sz val="10"/>
        <color theme="1"/>
        <rFont val="宋体"/>
        <charset val="134"/>
      </rPr>
      <t>当你要承受坠落伤害时，你可以使用反应将伤害减少等同于五倍武僧职业等级的数值。</t>
    </r>
  </si>
  <si>
    <r>
      <rPr>
        <sz val="10"/>
        <color theme="1"/>
        <rFont val="宋体"/>
        <charset val="134"/>
      </rPr>
      <t>你获得一项战斗风格专长（见第五章）。</t>
    </r>
  </si>
  <si>
    <r>
      <rPr>
        <sz val="10"/>
        <color theme="1"/>
        <rFont val="宋体"/>
        <charset val="134"/>
      </rPr>
      <t>熟练探险家</t>
    </r>
  </si>
  <si>
    <r>
      <rPr>
        <sz val="10"/>
        <color theme="1"/>
        <rFont val="宋体"/>
        <charset val="134"/>
      </rPr>
      <t>得益于你的旅途，你获得以下增益。
专精</t>
    </r>
    <r>
      <rPr>
        <sz val="10"/>
        <color theme="1"/>
        <rFont val="Times New Roman"/>
        <charset val="134"/>
      </rPr>
      <t>Expertise</t>
    </r>
    <r>
      <rPr>
        <sz val="10"/>
        <color theme="1"/>
        <rFont val="宋体"/>
        <charset val="134"/>
      </rPr>
      <t>。选择一项你熟练但不具备专精的技能。你在那个技能上获得专精。
语言</t>
    </r>
    <r>
      <rPr>
        <sz val="10"/>
        <color theme="1"/>
        <rFont val="Times New Roman"/>
        <charset val="134"/>
      </rPr>
      <t>Languages</t>
    </r>
    <r>
      <rPr>
        <sz val="10"/>
        <color theme="1"/>
        <rFont val="宋体"/>
        <charset val="134"/>
      </rPr>
      <t>。</t>
    </r>
    <r>
      <rPr>
        <sz val="10"/>
        <color theme="1"/>
        <rFont val="Times New Roman"/>
        <charset val="134"/>
      </rPr>
      <t xml:space="preserve"> </t>
    </r>
    <r>
      <rPr>
        <sz val="10"/>
        <color theme="1"/>
        <rFont val="宋体"/>
        <charset val="134"/>
      </rPr>
      <t>你习得第二章中的语言表中的两种语言</t>
    </r>
  </si>
  <si>
    <r>
      <rPr>
        <sz val="10"/>
        <color theme="1"/>
        <rFont val="宋体"/>
        <charset val="134"/>
      </rPr>
      <t>诡诈打击</t>
    </r>
  </si>
  <si>
    <r>
      <rPr>
        <sz val="10"/>
        <color theme="1"/>
        <rFont val="宋体"/>
        <charset val="134"/>
      </rPr>
      <t>你学会了如何使你的偷袭更加狡诈的方法。当你造成偷袭伤害时，你可以选择下列一种诡诈打击的效果加入到本次偷袭中。每种效果都需要花费一定数量的偷袭伤害骰才能生效。你必须在投掷伤害前扣除所花费的偷袭的伤害骰，而效果会在这次攻击的伤害产生后立即发生。例如，如果你在本次偷袭中选择了淬毒效果，那么你在投掷偷袭伤害骰前需要先减少一颗</t>
    </r>
    <r>
      <rPr>
        <sz val="10"/>
        <color theme="1"/>
        <rFont val="Times New Roman"/>
        <charset val="134"/>
      </rPr>
      <t>1d6</t>
    </r>
    <r>
      <rPr>
        <sz val="10"/>
        <color theme="1"/>
        <rFont val="宋体"/>
        <charset val="134"/>
      </rPr>
      <t>。
如果一种诡诈打击的效果要求目标进行豁免，其</t>
    </r>
    <r>
      <rPr>
        <sz val="10"/>
        <color theme="1"/>
        <rFont val="Times New Roman"/>
        <charset val="134"/>
      </rPr>
      <t>DC</t>
    </r>
    <r>
      <rPr>
        <sz val="10"/>
        <color theme="1"/>
        <rFont val="宋体"/>
        <charset val="134"/>
      </rPr>
      <t>为</t>
    </r>
    <r>
      <rPr>
        <sz val="10"/>
        <color theme="1"/>
        <rFont val="Times New Roman"/>
        <charset val="134"/>
      </rPr>
      <t>8+</t>
    </r>
    <r>
      <rPr>
        <sz val="10"/>
        <color theme="1"/>
        <rFont val="宋体"/>
        <charset val="134"/>
      </rPr>
      <t>你的熟练加值</t>
    </r>
    <r>
      <rPr>
        <sz val="10"/>
        <color theme="1"/>
        <rFont val="Times New Roman"/>
        <charset val="134"/>
      </rPr>
      <t>+</t>
    </r>
    <r>
      <rPr>
        <sz val="10"/>
        <color theme="1"/>
        <rFont val="宋体"/>
        <charset val="134"/>
      </rPr>
      <t>你的敏捷调整值。
淬毒</t>
    </r>
    <r>
      <rPr>
        <sz val="10"/>
        <color theme="1"/>
        <rFont val="Times New Roman"/>
        <charset val="134"/>
      </rPr>
      <t>Poison</t>
    </r>
    <r>
      <rPr>
        <sz val="10"/>
        <color theme="1"/>
        <rFont val="宋体"/>
        <charset val="134"/>
      </rPr>
      <t>（花费：</t>
    </r>
    <r>
      <rPr>
        <sz val="10"/>
        <color theme="1"/>
        <rFont val="Times New Roman"/>
        <charset val="134"/>
      </rPr>
      <t>1d6</t>
    </r>
    <r>
      <rPr>
        <sz val="10"/>
        <color theme="1"/>
        <rFont val="宋体"/>
        <charset val="134"/>
      </rPr>
      <t>）。你为你的打击附上毒素，强迫目标进行一次体质豁免。若失败，目标将陷入一分钟的中毒状态。目标可以在每次自己的回合结束时重新进行豁免，若成功，中毒状态终止。为了使用这个效果，你必须携带一套制毒工具在身上。
摔绊</t>
    </r>
    <r>
      <rPr>
        <sz val="10"/>
        <color theme="1"/>
        <rFont val="Times New Roman"/>
        <charset val="134"/>
      </rPr>
      <t>Trip</t>
    </r>
    <r>
      <rPr>
        <sz val="10"/>
        <color theme="1"/>
        <rFont val="宋体"/>
        <charset val="134"/>
      </rPr>
      <t>（花费：</t>
    </r>
    <r>
      <rPr>
        <sz val="10"/>
        <color theme="1"/>
        <rFont val="Times New Roman"/>
        <charset val="134"/>
      </rPr>
      <t>1d6</t>
    </r>
    <r>
      <rPr>
        <sz val="10"/>
        <color theme="1"/>
        <rFont val="宋体"/>
        <charset val="134"/>
      </rPr>
      <t>）。若偷袭的目标是大型及以下，它必须成功通过一次敏捷豁免，否则陷入倒地状态。
撤步</t>
    </r>
    <r>
      <rPr>
        <sz val="10"/>
        <color theme="1"/>
        <rFont val="Times New Roman"/>
        <charset val="134"/>
      </rPr>
      <t>Withdraw (</t>
    </r>
    <r>
      <rPr>
        <sz val="10"/>
        <color theme="1"/>
        <rFont val="宋体"/>
        <charset val="134"/>
      </rPr>
      <t>花费：</t>
    </r>
    <r>
      <rPr>
        <sz val="10"/>
        <color theme="1"/>
        <rFont val="Times New Roman"/>
        <charset val="134"/>
      </rPr>
      <t>1d6)</t>
    </r>
    <r>
      <rPr>
        <sz val="10"/>
        <color theme="1"/>
        <rFont val="宋体"/>
        <charset val="134"/>
      </rPr>
      <t>。攻击后你立刻移动至多等于你速度的一半的距离，并且不会引发借机攻击。</t>
    </r>
  </si>
  <si>
    <r>
      <rPr>
        <sz val="10"/>
        <color theme="1"/>
        <rFont val="宋体"/>
        <charset val="134"/>
      </rPr>
      <t>魔力泉涌</t>
    </r>
  </si>
  <si>
    <r>
      <rPr>
        <sz val="10"/>
        <color theme="1"/>
        <rFont val="宋体"/>
        <charset val="134"/>
      </rPr>
      <t>你汲取体内的魔力之源，从中涌现的魔力体现为你的可用术法点。你可以使用术法点创造各种魔法效应。
你拥有</t>
    </r>
    <r>
      <rPr>
        <sz val="10"/>
        <color theme="1"/>
        <rFont val="Times New Roman"/>
        <charset val="134"/>
      </rPr>
      <t>2</t>
    </r>
    <r>
      <rPr>
        <sz val="10"/>
        <color theme="1"/>
        <rFont val="宋体"/>
        <charset val="134"/>
      </rPr>
      <t>点术法点，你在到达更高等级时获得更多术法点，如同术士特性表中术法点一栏所示。你无法拥有比表格中对应数量更多的术法点。你在完成一次长休后重获所有已消耗的术法点。
你可以消耗你的术法点来使用以下特性，例如超魔法。
法术位转化为术法点</t>
    </r>
    <r>
      <rPr>
        <sz val="10"/>
        <color theme="1"/>
        <rFont val="Times New Roman"/>
        <charset val="134"/>
      </rPr>
      <t>Converting Spell Slots to Sorcery Points</t>
    </r>
    <r>
      <rPr>
        <sz val="10"/>
        <color theme="1"/>
        <rFont val="宋体"/>
        <charset val="134"/>
      </rPr>
      <t>。你可以消耗一个法术位来获得等同于其环位的术法点（无需动作）。
创造法术位</t>
    </r>
    <r>
      <rPr>
        <sz val="10"/>
        <color theme="1"/>
        <rFont val="Times New Roman"/>
        <charset val="134"/>
      </rPr>
      <t>Creating Spell Slots</t>
    </r>
    <r>
      <rPr>
        <sz val="10"/>
        <color theme="1"/>
        <rFont val="宋体"/>
        <charset val="134"/>
      </rPr>
      <t>。以一个附赠动作，你可以将未消耗的术法点转化为一个法术位。创造法术位表格中展示了创造法术位所需的术法点以及创造它所需的最小术士等级。你无法创造高于五环的法术位。
你以此特性创造的任何法术位都在完成一次长休时消失。
创造法术位</t>
    </r>
    <r>
      <rPr>
        <sz val="10"/>
        <color theme="1"/>
        <rFont val="Times New Roman"/>
        <charset val="134"/>
      </rPr>
      <t xml:space="preserve">Creating Spell Slots 
</t>
    </r>
    <r>
      <rPr>
        <sz val="10"/>
        <color theme="1"/>
        <rFont val="宋体"/>
        <charset val="134"/>
      </rPr>
      <t>法术位环阶</t>
    </r>
    <r>
      <rPr>
        <sz val="10"/>
        <color theme="1"/>
        <rFont val="Times New Roman"/>
        <charset val="134"/>
      </rPr>
      <t xml:space="preserve"> </t>
    </r>
    <r>
      <rPr>
        <sz val="10"/>
        <color theme="1"/>
        <rFont val="宋体"/>
        <charset val="134"/>
      </rPr>
      <t>术法点消耗</t>
    </r>
    <r>
      <rPr>
        <sz val="10"/>
        <color theme="1"/>
        <rFont val="Times New Roman"/>
        <charset val="134"/>
      </rPr>
      <t xml:space="preserve"> </t>
    </r>
    <r>
      <rPr>
        <sz val="10"/>
        <color theme="1"/>
        <rFont val="宋体"/>
        <charset val="134"/>
      </rPr>
      <t>最小术士等级
　　</t>
    </r>
    <r>
      <rPr>
        <sz val="10"/>
        <color theme="1"/>
        <rFont val="Times New Roman"/>
        <charset val="134"/>
      </rPr>
      <t>1</t>
    </r>
    <r>
      <rPr>
        <sz val="10"/>
        <color theme="1"/>
        <rFont val="宋体"/>
        <charset val="134"/>
      </rPr>
      <t>　　　　</t>
    </r>
    <r>
      <rPr>
        <sz val="10"/>
        <color theme="1"/>
        <rFont val="Times New Roman"/>
        <charset val="134"/>
      </rPr>
      <t>2</t>
    </r>
    <r>
      <rPr>
        <sz val="10"/>
        <color theme="1"/>
        <rFont val="宋体"/>
        <charset val="134"/>
      </rPr>
      <t>　　　　</t>
    </r>
    <r>
      <rPr>
        <sz val="10"/>
        <color theme="1"/>
        <rFont val="Times New Roman"/>
        <charset val="134"/>
      </rPr>
      <t xml:space="preserve">2
</t>
    </r>
    <r>
      <rPr>
        <sz val="10"/>
        <color theme="1"/>
        <rFont val="宋体"/>
        <charset val="134"/>
      </rPr>
      <t>　　</t>
    </r>
    <r>
      <rPr>
        <sz val="10"/>
        <color theme="1"/>
        <rFont val="Times New Roman"/>
        <charset val="134"/>
      </rPr>
      <t>2</t>
    </r>
    <r>
      <rPr>
        <sz val="10"/>
        <color theme="1"/>
        <rFont val="宋体"/>
        <charset val="134"/>
      </rPr>
      <t>　　　　</t>
    </r>
    <r>
      <rPr>
        <sz val="10"/>
        <color theme="1"/>
        <rFont val="Times New Roman"/>
        <charset val="134"/>
      </rPr>
      <t>3</t>
    </r>
    <r>
      <rPr>
        <sz val="10"/>
        <color theme="1"/>
        <rFont val="宋体"/>
        <charset val="134"/>
      </rPr>
      <t>　　　　</t>
    </r>
    <r>
      <rPr>
        <sz val="10"/>
        <color theme="1"/>
        <rFont val="Times New Roman"/>
        <charset val="134"/>
      </rPr>
      <t xml:space="preserve">3
</t>
    </r>
    <r>
      <rPr>
        <sz val="10"/>
        <color theme="1"/>
        <rFont val="宋体"/>
        <charset val="134"/>
      </rPr>
      <t>　　</t>
    </r>
    <r>
      <rPr>
        <sz val="10"/>
        <color theme="1"/>
        <rFont val="Times New Roman"/>
        <charset val="134"/>
      </rPr>
      <t>3</t>
    </r>
    <r>
      <rPr>
        <sz val="10"/>
        <color theme="1"/>
        <rFont val="宋体"/>
        <charset val="134"/>
      </rPr>
      <t>　　　　</t>
    </r>
    <r>
      <rPr>
        <sz val="10"/>
        <color theme="1"/>
        <rFont val="Times New Roman"/>
        <charset val="134"/>
      </rPr>
      <t>5</t>
    </r>
    <r>
      <rPr>
        <sz val="10"/>
        <color theme="1"/>
        <rFont val="宋体"/>
        <charset val="134"/>
      </rPr>
      <t>　　　　</t>
    </r>
    <r>
      <rPr>
        <sz val="10"/>
        <color theme="1"/>
        <rFont val="Times New Roman"/>
        <charset val="134"/>
      </rPr>
      <t xml:space="preserve">5
</t>
    </r>
    <r>
      <rPr>
        <sz val="10"/>
        <color theme="1"/>
        <rFont val="宋体"/>
        <charset val="134"/>
      </rPr>
      <t>　　</t>
    </r>
    <r>
      <rPr>
        <sz val="10"/>
        <color theme="1"/>
        <rFont val="Times New Roman"/>
        <charset val="134"/>
      </rPr>
      <t>4</t>
    </r>
    <r>
      <rPr>
        <sz val="10"/>
        <color theme="1"/>
        <rFont val="宋体"/>
        <charset val="134"/>
      </rPr>
      <t>　　　　</t>
    </r>
    <r>
      <rPr>
        <sz val="10"/>
        <color theme="1"/>
        <rFont val="Times New Roman"/>
        <charset val="134"/>
      </rPr>
      <t>6</t>
    </r>
    <r>
      <rPr>
        <sz val="10"/>
        <color theme="1"/>
        <rFont val="宋体"/>
        <charset val="134"/>
      </rPr>
      <t>　　　　</t>
    </r>
    <r>
      <rPr>
        <sz val="10"/>
        <color theme="1"/>
        <rFont val="Times New Roman"/>
        <charset val="134"/>
      </rPr>
      <t xml:space="preserve">7
</t>
    </r>
    <r>
      <rPr>
        <sz val="10"/>
        <color theme="1"/>
        <rFont val="宋体"/>
        <charset val="134"/>
      </rPr>
      <t>　　</t>
    </r>
    <r>
      <rPr>
        <sz val="10"/>
        <color theme="1"/>
        <rFont val="Times New Roman"/>
        <charset val="134"/>
      </rPr>
      <t>5</t>
    </r>
    <r>
      <rPr>
        <sz val="10"/>
        <color theme="1"/>
        <rFont val="宋体"/>
        <charset val="134"/>
      </rPr>
      <t>　　　　</t>
    </r>
    <r>
      <rPr>
        <sz val="10"/>
        <color theme="1"/>
        <rFont val="Times New Roman"/>
        <charset val="134"/>
      </rPr>
      <t>7</t>
    </r>
    <r>
      <rPr>
        <sz val="10"/>
        <color theme="1"/>
        <rFont val="宋体"/>
        <charset val="134"/>
      </rPr>
      <t>　　　　</t>
    </r>
    <r>
      <rPr>
        <sz val="10"/>
        <color theme="1"/>
        <rFont val="Times New Roman"/>
        <charset val="134"/>
      </rPr>
      <t>9</t>
    </r>
  </si>
  <si>
    <r>
      <rPr>
        <sz val="10"/>
        <color theme="1"/>
        <rFont val="宋体"/>
        <charset val="134"/>
      </rPr>
      <t>你可以使用你刃之魔契职业特性召唤出来的任何武器作为你施展邪术师法术的法器使用。
此外，若你的契约武器不是一件在攻击检定与其伤害掷骰上具有加值的魔法武器，你的契约武器在攻击检定与其伤害骰上获得</t>
    </r>
    <r>
      <rPr>
        <sz val="10"/>
        <color theme="1"/>
        <rFont val="Times New Roman"/>
        <charset val="134"/>
      </rPr>
      <t>+1</t>
    </r>
    <r>
      <rPr>
        <sz val="10"/>
        <color theme="1"/>
        <rFont val="宋体"/>
        <charset val="134"/>
      </rPr>
      <t>加值。
不仅如此，当你塑造新的武器时，你可以塑造出一把短弓、长弓、轻弩、或重弩。
（校对注：不选用此魔能祈唤依旧能将魔法武器的此类武器以及其他远程武器作为你的契约武器使用。）
先决条件：刃之魔契特性</t>
    </r>
  </si>
  <si>
    <r>
      <rPr>
        <sz val="10"/>
        <color theme="1"/>
        <rFont val="宋体"/>
        <charset val="134"/>
      </rPr>
      <t>扩展与替换法术书</t>
    </r>
  </si>
  <si>
    <r>
      <rPr>
        <sz val="10"/>
        <color theme="1"/>
        <rFont val="宋体"/>
        <charset val="134"/>
      </rPr>
      <t>你获得职业等级时添加到法术书中的法术反映了你自己进行的魔法研究，但你可能会在冒险过程中发现其他可以添加至法术书中的法术。例如，你可能在一张法术卷轴</t>
    </r>
    <r>
      <rPr>
        <sz val="10"/>
        <color theme="1"/>
        <rFont val="Times New Roman"/>
        <charset val="134"/>
      </rPr>
      <t>Spell Scroll</t>
    </r>
    <r>
      <rPr>
        <sz val="10"/>
        <color theme="1"/>
        <rFont val="宋体"/>
        <charset val="134"/>
      </rPr>
      <t>中发现一道法师法术，然后将该法术抄到你的法术书中。</t>
    </r>
  </si>
  <si>
    <r>
      <rPr>
        <sz val="10"/>
        <color theme="1"/>
        <rFont val="宋体"/>
        <charset val="134"/>
      </rPr>
      <t>仿制魔法物品</t>
    </r>
  </si>
  <si>
    <r>
      <rPr>
        <sz val="10"/>
        <color theme="1"/>
        <rFont val="宋体"/>
        <charset val="134"/>
      </rPr>
      <t>你知晓一些用来制造魔法物品的奥术方案。
已知方案</t>
    </r>
    <r>
      <rPr>
        <sz val="10"/>
        <color theme="1"/>
        <rFont val="Times New Roman"/>
        <charset val="134"/>
      </rPr>
      <t>Plans Known</t>
    </r>
    <r>
      <rPr>
        <sz val="10"/>
        <color theme="1"/>
        <rFont val="宋体"/>
        <charset val="134"/>
      </rPr>
      <t>。当你获得此特性时，从魔法物品方案表（奇械师等级</t>
    </r>
    <r>
      <rPr>
        <sz val="10"/>
        <color theme="1"/>
        <rFont val="Times New Roman"/>
        <charset val="134"/>
      </rPr>
      <t>2+</t>
    </r>
    <r>
      <rPr>
        <sz val="10"/>
        <color theme="1"/>
        <rFont val="宋体"/>
        <charset val="134"/>
      </rPr>
      <t>）中选择四个方案习得（见《城主指南》以了解物品的描述）。推荐次元袋</t>
    </r>
    <r>
      <rPr>
        <sz val="10"/>
        <color theme="1"/>
        <rFont val="Times New Roman"/>
        <charset val="134"/>
      </rPr>
      <t>Bag of Holding</t>
    </r>
    <r>
      <rPr>
        <sz val="10"/>
        <color theme="1"/>
        <rFont val="宋体"/>
        <charset val="134"/>
      </rPr>
      <t>，水下呼吸帽</t>
    </r>
    <r>
      <rPr>
        <sz val="10"/>
        <color theme="1"/>
        <rFont val="Times New Roman"/>
        <charset val="134"/>
      </rPr>
      <t>Cap of Water Breathing</t>
    </r>
    <r>
      <rPr>
        <sz val="10"/>
        <color theme="1"/>
        <rFont val="宋体"/>
        <charset val="134"/>
      </rPr>
      <t>，传讯石</t>
    </r>
    <r>
      <rPr>
        <sz val="10"/>
        <color theme="1"/>
        <rFont val="Times New Roman"/>
        <charset val="134"/>
      </rPr>
      <t>Sending Stones</t>
    </r>
    <r>
      <rPr>
        <sz val="10"/>
        <color theme="1"/>
        <rFont val="宋体"/>
        <charset val="134"/>
      </rPr>
      <t>和</t>
    </r>
    <r>
      <rPr>
        <sz val="10"/>
        <color theme="1"/>
        <rFont val="Times New Roman"/>
        <charset val="134"/>
      </rPr>
      <t>+1</t>
    </r>
    <r>
      <rPr>
        <sz val="10"/>
        <color theme="1"/>
        <rFont val="宋体"/>
        <charset val="134"/>
      </rPr>
      <t>战法师魔杖</t>
    </r>
    <r>
      <rPr>
        <sz val="10"/>
        <color theme="1"/>
        <rFont val="Times New Roman"/>
        <charset val="134"/>
      </rPr>
      <t xml:space="preserve"> Wand of the War Mage+1 </t>
    </r>
    <r>
      <rPr>
        <sz val="10"/>
        <color theme="1"/>
        <rFont val="宋体"/>
        <charset val="134"/>
      </rPr>
      <t>。每当你提升一个奇械师等级时，你可以将其中一个你已知的方案替换为一个你能够选择的新方案。
当你达到特定奇械师等级时，你知晓另外的你选择的方案，如奇械师特性表中已知方案一列所示。
创造物品</t>
    </r>
    <r>
      <rPr>
        <sz val="10"/>
        <color theme="1"/>
        <rFont val="Times New Roman"/>
        <charset val="134"/>
      </rPr>
      <t>Creating an Item</t>
    </r>
    <r>
      <rPr>
        <sz val="10"/>
        <color theme="1"/>
        <rFont val="宋体"/>
        <charset val="134"/>
      </rPr>
      <t>。当你结束长休时，你可以在持握修补工具时创造一件或两件不同的魔法物品。每件物品都基于你在此特性已知的其中一个方案。
如果一件创造物品需要同调，你可以在创造它时立刻与其同调。如果你决定以后再与这个物品进行同调，你就必须进行通常的同调程序了。
当你达到奇械师特性表中魔法物品列所示的特定的奇械师等级时，你在长休结束时可以创造的魔法物品数量会增加。每件你创造的物品都必须基于你已知的不同方案。
如果你尝试超过此特性的最大魔法物品数量，最旧的物品将会消失，随后新的物品出现。
持续时间</t>
    </r>
    <r>
      <rPr>
        <sz val="10"/>
        <color theme="1"/>
        <rFont val="Times New Roman"/>
        <charset val="134"/>
      </rPr>
      <t>Duration</t>
    </r>
    <r>
      <rPr>
        <sz val="10"/>
        <color theme="1"/>
        <rFont val="宋体"/>
        <charset val="134"/>
      </rPr>
      <t>。以此特性创造的魔法物品作用如同正常的魔法物品，只是它的魔法不是永久的。当你死亡，魔法物品会在</t>
    </r>
    <r>
      <rPr>
        <sz val="10"/>
        <color theme="1"/>
        <rFont val="Times New Roman"/>
        <charset val="134"/>
      </rPr>
      <t>1d4</t>
    </r>
    <r>
      <rPr>
        <sz val="10"/>
        <color theme="1"/>
        <rFont val="宋体"/>
        <charset val="134"/>
      </rPr>
      <t>天后消失。
如果你以此特性创造的一件物品是一个容器，比如次元袋</t>
    </r>
    <r>
      <rPr>
        <sz val="10"/>
        <color theme="1"/>
        <rFont val="Times New Roman"/>
        <charset val="134"/>
      </rPr>
      <t xml:space="preserve">Bag of Holding </t>
    </r>
    <r>
      <rPr>
        <sz val="10"/>
        <color theme="1"/>
        <rFont val="宋体"/>
        <charset val="134"/>
      </rPr>
      <t>，它消失时，其中的物品将无害地出现在它周围的空间中。
施法法器</t>
    </r>
    <r>
      <rPr>
        <sz val="10"/>
        <color theme="1"/>
        <rFont val="Times New Roman"/>
        <charset val="134"/>
      </rPr>
      <t>Spellcasting Focus</t>
    </r>
    <r>
      <rPr>
        <sz val="10"/>
        <color theme="1"/>
        <rFont val="宋体"/>
        <charset val="134"/>
      </rPr>
      <t>。</t>
    </r>
    <r>
      <rPr>
        <sz val="10"/>
        <color theme="1"/>
        <rFont val="Times New Roman"/>
        <charset val="134"/>
      </rPr>
      <t xml:space="preserve"> </t>
    </r>
    <r>
      <rPr>
        <sz val="10"/>
        <color theme="1"/>
        <rFont val="宋体"/>
        <charset val="134"/>
      </rPr>
      <t>你可以使用任何以此法创造的魔杖或武器代替使用工匠工具来作为施法法器</t>
    </r>
  </si>
  <si>
    <r>
      <rPr>
        <sz val="10"/>
        <color theme="1"/>
        <rFont val="宋体"/>
        <charset val="134"/>
      </rPr>
      <t>精妙念力</t>
    </r>
  </si>
  <si>
    <t>你知晓戏法法师之手。你可以施展该法术而不需要言语成分，你可以在施展法术时令幽灵手隐形。</t>
  </si>
  <si>
    <r>
      <rPr>
        <sz val="10"/>
        <color theme="1"/>
        <rFont val="宋体"/>
        <charset val="134"/>
      </rPr>
      <t>印记血咒</t>
    </r>
  </si>
  <si>
    <r>
      <rPr>
        <sz val="10"/>
        <color theme="1"/>
        <rFont val="宋体"/>
        <charset val="134"/>
      </rPr>
      <t>以一个附赠动作，你可以标记距你</t>
    </r>
    <r>
      <rPr>
        <sz val="10"/>
        <color theme="1"/>
        <rFont val="Times New Roman"/>
        <charset val="134"/>
      </rPr>
      <t xml:space="preserve"> 30 </t>
    </r>
    <r>
      <rPr>
        <sz val="10"/>
        <color theme="1"/>
        <rFont val="宋体"/>
        <charset val="134"/>
      </rPr>
      <t>尺内一个生物。直至你下回合结束，当你对目标造成血仪伤害时，你额外造成一个鲜血秘法骰的血仪伤害。
增幅。你在下回合结束前，对目标进行的下次攻击骰具有优势。</t>
    </r>
  </si>
  <si>
    <r>
      <rPr>
        <sz val="10"/>
        <color theme="1"/>
        <rFont val="宋体"/>
        <charset val="134"/>
      </rPr>
      <t>后天耐受性</t>
    </r>
  </si>
  <si>
    <r>
      <rPr>
        <sz val="10"/>
        <color theme="1"/>
        <rFont val="宋体"/>
        <charset val="134"/>
      </rPr>
      <t>你进行对抗毒素的豁免时具有优势，并且拥有毒素伤害的抗性。此外，你自动通过来自你自己的药剂师法术的豁免检定，并且永远不会因自己的药剂师法术收到伤害。</t>
    </r>
  </si>
  <si>
    <t>擦掠弹</t>
  </si>
  <si>
    <t>当你使用武器进行的远程攻击检定失手时，你可以消耗一枚风险骰（无需动作）对该生物造成等于风险骰骰值加你的敏捷调整值（至少为1）的伤害，伤害类型为武器伤害类型，此伤害仅可通过提升属性调整值提高。每回合你仅可使用一次该战技。</t>
  </si>
  <si>
    <t>噬魂夺魄</t>
  </si>
  <si>
    <t>当你焚灭受禁生物身上的缄印时，你可以激活此恩惠（无需动作）以获得等于你邪狱使等级的临时生命值。</t>
  </si>
  <si>
    <t>反求诸己</t>
  </si>
  <si>
    <r>
      <rPr>
        <sz val="10"/>
        <color theme="1"/>
        <rFont val="宋体"/>
        <charset val="134"/>
      </rPr>
      <t>你能以附赠动作反求诸己。你具有对钝击、穿刺和挥砍伤害的抗性，且你免疫等级低于</t>
    </r>
    <r>
      <rPr>
        <sz val="10"/>
        <color theme="1"/>
        <rFont val="Times New Roman"/>
        <charset val="134"/>
      </rPr>
      <t>6</t>
    </r>
    <r>
      <rPr>
        <sz val="10"/>
        <color theme="1"/>
        <rFont val="宋体"/>
        <charset val="134"/>
      </rPr>
      <t>级的力竭效应，持续</t>
    </r>
    <r>
      <rPr>
        <sz val="10"/>
        <color theme="1"/>
        <rFont val="Times New Roman"/>
        <charset val="134"/>
      </rPr>
      <t>10</t>
    </r>
    <r>
      <rPr>
        <sz val="10"/>
        <color theme="1"/>
        <rFont val="宋体"/>
        <charset val="134"/>
      </rPr>
      <t>分钟。
此特性一经使用，直至完成长休你都无法再次使用，除非你获得</t>
    </r>
    <r>
      <rPr>
        <sz val="10"/>
        <color theme="1"/>
        <rFont val="Times New Roman"/>
        <charset val="134"/>
      </rPr>
      <t>1</t>
    </r>
    <r>
      <rPr>
        <sz val="10"/>
        <color theme="1"/>
        <rFont val="宋体"/>
        <charset val="134"/>
      </rPr>
      <t>级力竭（无需动作）来重置该特性的使用权。</t>
    </r>
  </si>
  <si>
    <t>噬影徒</t>
  </si>
  <si>
    <r>
      <rPr>
        <sz val="10"/>
        <color theme="1"/>
        <rFont val="宋体"/>
        <charset val="134"/>
      </rPr>
      <t>快速移动</t>
    </r>
  </si>
  <si>
    <r>
      <rPr>
        <sz val="10"/>
        <color theme="1"/>
        <rFont val="宋体"/>
        <charset val="134"/>
      </rPr>
      <t>当你未着装重甲时，你的速度提升</t>
    </r>
    <r>
      <rPr>
        <sz val="10"/>
        <color theme="1"/>
        <rFont val="Times New Roman"/>
        <charset val="134"/>
      </rPr>
      <t>10</t>
    </r>
    <r>
      <rPr>
        <sz val="10"/>
        <color theme="1"/>
        <rFont val="宋体"/>
        <charset val="134"/>
      </rPr>
      <t>尺。</t>
    </r>
  </si>
  <si>
    <r>
      <rPr>
        <sz val="10"/>
        <color theme="1"/>
        <rFont val="宋体"/>
        <charset val="134"/>
      </rPr>
      <t>万事通</t>
    </r>
  </si>
  <si>
    <r>
      <rPr>
        <sz val="10"/>
        <color theme="1"/>
        <rFont val="宋体"/>
        <charset val="134"/>
      </rPr>
      <t>你可以将你熟练加值的一半（向下取整）添加到任何你不具备其技能熟练并无法通过其他方式应用熟练加值的属性检定中。
例如，如果你要进行力量（运动）检定，且不具有运动熟练，则你可以将熟练加值的一半添加到检定中。</t>
    </r>
  </si>
  <si>
    <r>
      <rPr>
        <sz val="10"/>
        <color theme="1"/>
        <rFont val="宋体"/>
        <charset val="134"/>
      </rPr>
      <t>神圣火花</t>
    </r>
  </si>
  <si>
    <r>
      <rPr>
        <sz val="10"/>
        <color theme="1"/>
        <rFont val="宋体"/>
        <charset val="134"/>
      </rPr>
      <t>以一个魔法动作，你将你的圣徽指向</t>
    </r>
    <r>
      <rPr>
        <sz val="10"/>
        <color theme="1"/>
        <rFont val="Times New Roman"/>
        <charset val="134"/>
      </rPr>
      <t>30</t>
    </r>
    <r>
      <rPr>
        <sz val="10"/>
        <color theme="1"/>
        <rFont val="宋体"/>
        <charset val="134"/>
      </rPr>
      <t>尺内一个你可见的其他生物，并将神圣能量凝聚于该生物。投掷</t>
    </r>
    <r>
      <rPr>
        <sz val="10"/>
        <color theme="1"/>
        <rFont val="Times New Roman"/>
        <charset val="134"/>
      </rPr>
      <t>1d8</t>
    </r>
    <r>
      <rPr>
        <sz val="10"/>
        <color theme="1"/>
        <rFont val="宋体"/>
        <charset val="134"/>
      </rPr>
      <t>加上你的感知调整值，你为该生物恢复该数值的生命或迫使其进行一次体质豁免，失败则受到等同该数值的黯蚀或光耀伤害（由你选择），成功则伤害减半（向下取整）。
神圣火花在以下牧师等级获得额外的</t>
    </r>
    <r>
      <rPr>
        <sz val="10"/>
        <color theme="1"/>
        <rFont val="Times New Roman"/>
        <charset val="134"/>
      </rPr>
      <t>d8</t>
    </r>
    <r>
      <rPr>
        <sz val="10"/>
        <color theme="1"/>
        <rFont val="宋体"/>
        <charset val="134"/>
      </rPr>
      <t>骰：</t>
    </r>
    <r>
      <rPr>
        <sz val="10"/>
        <color theme="1"/>
        <rFont val="Times New Roman"/>
        <charset val="134"/>
      </rPr>
      <t>7</t>
    </r>
    <r>
      <rPr>
        <sz val="10"/>
        <color theme="1"/>
        <rFont val="宋体"/>
        <charset val="134"/>
      </rPr>
      <t>级（</t>
    </r>
    <r>
      <rPr>
        <sz val="10"/>
        <color theme="1"/>
        <rFont val="Times New Roman"/>
        <charset val="134"/>
      </rPr>
      <t>2d8</t>
    </r>
    <r>
      <rPr>
        <sz val="10"/>
        <color theme="1"/>
        <rFont val="宋体"/>
        <charset val="134"/>
      </rPr>
      <t>），</t>
    </r>
    <r>
      <rPr>
        <sz val="10"/>
        <color theme="1"/>
        <rFont val="Times New Roman"/>
        <charset val="134"/>
      </rPr>
      <t>13</t>
    </r>
    <r>
      <rPr>
        <sz val="10"/>
        <color theme="1"/>
        <rFont val="宋体"/>
        <charset val="134"/>
      </rPr>
      <t>级（</t>
    </r>
    <r>
      <rPr>
        <sz val="10"/>
        <color theme="1"/>
        <rFont val="Times New Roman"/>
        <charset val="134"/>
      </rPr>
      <t>3d8</t>
    </r>
    <r>
      <rPr>
        <sz val="10"/>
        <color theme="1"/>
        <rFont val="宋体"/>
        <charset val="134"/>
      </rPr>
      <t>）以及</t>
    </r>
    <r>
      <rPr>
        <sz val="10"/>
        <color theme="1"/>
        <rFont val="Times New Roman"/>
        <charset val="134"/>
      </rPr>
      <t>18</t>
    </r>
    <r>
      <rPr>
        <sz val="10"/>
        <color theme="1"/>
        <rFont val="宋体"/>
        <charset val="134"/>
      </rPr>
      <t>级（</t>
    </r>
    <r>
      <rPr>
        <sz val="10"/>
        <color theme="1"/>
        <rFont val="Times New Roman"/>
        <charset val="134"/>
      </rPr>
      <t>4d8</t>
    </r>
    <r>
      <rPr>
        <sz val="10"/>
        <color theme="1"/>
        <rFont val="宋体"/>
        <charset val="134"/>
      </rPr>
      <t>）。</t>
    </r>
  </si>
  <si>
    <r>
      <rPr>
        <sz val="10"/>
        <color theme="1"/>
        <rFont val="宋体"/>
        <charset val="134"/>
      </rPr>
      <t>荒野变形</t>
    </r>
  </si>
  <si>
    <r>
      <rPr>
        <sz val="10"/>
        <color theme="1"/>
        <rFont val="宋体"/>
        <charset val="134"/>
      </rPr>
      <t>大自然的魔力使你得以化形为一只野兽。以一个附赠动作，你变形为一只你已经通过该特性学会的野兽形态（见下文</t>
    </r>
    <r>
      <rPr>
        <sz val="10"/>
        <color theme="1"/>
        <rFont val="Times New Roman"/>
        <charset val="134"/>
      </rPr>
      <t>“</t>
    </r>
    <r>
      <rPr>
        <sz val="10"/>
        <color theme="1"/>
        <rFont val="宋体"/>
        <charset val="134"/>
      </rPr>
      <t>已知形态</t>
    </r>
    <r>
      <rPr>
        <sz val="10"/>
        <color theme="1"/>
        <rFont val="Times New Roman"/>
        <charset val="134"/>
      </rPr>
      <t>”</t>
    </r>
    <r>
      <rPr>
        <sz val="10"/>
        <color theme="1"/>
        <rFont val="宋体"/>
        <charset val="134"/>
      </rPr>
      <t>）。你能保持该形态长达你德鲁伊等级一半的小时数，或者直到你再次使用荒野变形，陷入失能，或死亡。你也可以使用一个附赠动作提早结束荒野变形。</t>
    </r>
  </si>
  <si>
    <r>
      <rPr>
        <sz val="10"/>
        <color theme="1"/>
        <rFont val="宋体"/>
        <charset val="134"/>
      </rPr>
      <t>不屈</t>
    </r>
  </si>
  <si>
    <r>
      <rPr>
        <sz val="10"/>
        <color theme="1"/>
        <rFont val="宋体"/>
        <charset val="134"/>
      </rPr>
      <t>当你在一次豁免检定中失败时，你可以重投并获得等同你战士等级的加值。你必须使用新的掷骰结果，你使用此特性后，你必须在完成一次长休后才能再次使用。
第</t>
    </r>
    <r>
      <rPr>
        <sz val="10"/>
        <color theme="1"/>
        <rFont val="Times New Roman"/>
        <charset val="134"/>
      </rPr>
      <t>13</t>
    </r>
    <r>
      <rPr>
        <sz val="10"/>
        <color theme="1"/>
        <rFont val="宋体"/>
        <charset val="134"/>
      </rPr>
      <t>级起，你可以在两次长休之间使用此特性两次；第</t>
    </r>
    <r>
      <rPr>
        <sz val="10"/>
        <color theme="1"/>
        <rFont val="Times New Roman"/>
        <charset val="134"/>
      </rPr>
      <t>17</t>
    </r>
    <r>
      <rPr>
        <sz val="10"/>
        <color theme="1"/>
        <rFont val="宋体"/>
        <charset val="134"/>
      </rPr>
      <t>级起，你可以在两次长休之间使用此特性三次。</t>
    </r>
  </si>
  <si>
    <r>
      <rPr>
        <sz val="10"/>
        <color theme="1"/>
        <rFont val="宋体"/>
        <charset val="134"/>
      </rPr>
      <t>圣武斩</t>
    </r>
  </si>
  <si>
    <r>
      <rPr>
        <sz val="10"/>
        <color theme="1"/>
        <rFont val="宋体"/>
        <charset val="134"/>
      </rPr>
      <t>你始终准备了法术至圣斩</t>
    </r>
    <r>
      <rPr>
        <sz val="10"/>
        <color theme="1"/>
        <rFont val="Times New Roman"/>
        <charset val="134"/>
      </rPr>
      <t xml:space="preserve">Divine Smite </t>
    </r>
    <r>
      <rPr>
        <sz val="10"/>
        <color theme="1"/>
        <rFont val="宋体"/>
        <charset val="134"/>
      </rPr>
      <t>。此外，你可以不消耗法术位地施展该法术一次，而后你必须完成一次长休才能再次这么做。</t>
    </r>
  </si>
  <si>
    <r>
      <rPr>
        <sz val="10"/>
        <color theme="1"/>
        <rFont val="宋体"/>
        <charset val="134"/>
      </rPr>
      <t>直觉闪避</t>
    </r>
  </si>
  <si>
    <r>
      <rPr>
        <sz val="10"/>
        <color theme="1"/>
        <rFont val="宋体"/>
        <charset val="134"/>
      </rPr>
      <t>当一个你能看见的攻击者用一次攻击检定命中你时，你可以用你的反应将这次攻击对你造成的伤害减半（向下取整）。</t>
    </r>
  </si>
  <si>
    <r>
      <rPr>
        <sz val="10"/>
        <color theme="1"/>
        <rFont val="宋体"/>
        <charset val="134"/>
      </rPr>
      <t>超魔法</t>
    </r>
  </si>
  <si>
    <r>
      <rPr>
        <sz val="10"/>
        <color theme="1"/>
        <rFont val="宋体"/>
        <charset val="134"/>
      </rPr>
      <t>由于你的魔法直接从你体内流向外界，你可以修改你的法术来适应自己的需要。你从超魔法选项中选择并获得</t>
    </r>
    <r>
      <rPr>
        <sz val="10"/>
        <color theme="1"/>
        <rFont val="Times New Roman"/>
        <charset val="134"/>
      </rPr>
      <t>2</t>
    </r>
    <r>
      <rPr>
        <sz val="10"/>
        <color theme="1"/>
        <rFont val="宋体"/>
        <charset val="134"/>
      </rPr>
      <t>个你所选的超魔法选项。你使用你所选的超魔法来临时改变你施展的法术。要使用一个超魔法选项，你必须消耗等同于其描述中需求的术法点。
当你施展一道法术时，你只能在其上应用一次超魔法选项，除非超魔法选项中另有说明。
每当你获得一级术士等级时，你可以将一个超魔法选项更改为另一个超魔法选项。当你到达</t>
    </r>
    <r>
      <rPr>
        <sz val="10"/>
        <color theme="1"/>
        <rFont val="Times New Roman"/>
        <charset val="134"/>
      </rPr>
      <t>10</t>
    </r>
    <r>
      <rPr>
        <sz val="10"/>
        <color theme="1"/>
        <rFont val="宋体"/>
        <charset val="134"/>
      </rPr>
      <t>级和</t>
    </r>
    <r>
      <rPr>
        <sz val="10"/>
        <color theme="1"/>
        <rFont val="Times New Roman"/>
        <charset val="134"/>
      </rPr>
      <t>17</t>
    </r>
    <r>
      <rPr>
        <sz val="10"/>
        <color theme="1"/>
        <rFont val="宋体"/>
        <charset val="134"/>
      </rPr>
      <t>级术士等级时，你可以分别再获得</t>
    </r>
    <r>
      <rPr>
        <sz val="10"/>
        <color theme="1"/>
        <rFont val="Times New Roman"/>
        <charset val="134"/>
      </rPr>
      <t>2</t>
    </r>
    <r>
      <rPr>
        <sz val="10"/>
        <color theme="1"/>
        <rFont val="宋体"/>
        <charset val="134"/>
      </rPr>
      <t>个超魔法选项。</t>
    </r>
  </si>
  <si>
    <r>
      <rPr>
        <sz val="10"/>
        <color theme="1"/>
        <rFont val="宋体"/>
        <charset val="134"/>
      </rPr>
      <t>当你施展</t>
    </r>
    <r>
      <rPr>
        <sz val="10"/>
        <color theme="1"/>
        <rFont val="Times New Roman"/>
        <charset val="134"/>
      </rPr>
      <t xml:space="preserve"> </t>
    </r>
    <r>
      <rPr>
        <sz val="10"/>
        <color theme="1"/>
        <rFont val="宋体"/>
        <charset val="134"/>
      </rPr>
      <t>寻获魔宠</t>
    </r>
    <r>
      <rPr>
        <sz val="10"/>
        <color theme="1"/>
        <rFont val="Times New Roman"/>
        <charset val="134"/>
      </rPr>
      <t xml:space="preserve">find familiar </t>
    </r>
    <r>
      <rPr>
        <sz val="10"/>
        <color theme="1"/>
        <rFont val="宋体"/>
        <charset val="134"/>
      </rPr>
      <t xml:space="preserve">时，你将一定程度的魔能力量灌注给被召唤的魔宠，给予这个生物以下的能力：
</t>
    </r>
    <r>
      <rPr>
        <sz val="10"/>
        <color theme="1"/>
        <rFont val="Times New Roman"/>
        <charset val="134"/>
      </rPr>
      <t xml:space="preserve">• </t>
    </r>
    <r>
      <rPr>
        <sz val="10"/>
        <color theme="1"/>
        <rFont val="宋体"/>
        <charset val="134"/>
      </rPr>
      <t>该魔宠获得</t>
    </r>
    <r>
      <rPr>
        <sz val="10"/>
        <color theme="1"/>
        <rFont val="Times New Roman"/>
        <charset val="134"/>
      </rPr>
      <t>40</t>
    </r>
    <r>
      <rPr>
        <sz val="10"/>
        <color theme="1"/>
        <rFont val="宋体"/>
        <charset val="134"/>
      </rPr>
      <t>尺的飞行速度、或</t>
    </r>
    <r>
      <rPr>
        <sz val="10"/>
        <color theme="1"/>
        <rFont val="Times New Roman"/>
        <charset val="134"/>
      </rPr>
      <t>40</t>
    </r>
    <r>
      <rPr>
        <sz val="10"/>
        <color theme="1"/>
        <rFont val="宋体"/>
        <charset val="134"/>
      </rPr>
      <t>尺的游泳速度（由你选择）。</t>
    </r>
    <r>
      <rPr>
        <sz val="10"/>
        <color theme="1"/>
        <rFont val="Times New Roman"/>
        <charset val="134"/>
      </rPr>
      <t xml:space="preserve">  
• </t>
    </r>
    <r>
      <rPr>
        <sz val="10"/>
        <color theme="1"/>
        <rFont val="宋体"/>
        <charset val="134"/>
      </rPr>
      <t xml:space="preserve">你可以使用一个附赠动作，指挥你的魔宠进行一次攻击动作。
</t>
    </r>
    <r>
      <rPr>
        <sz val="10"/>
        <color theme="1"/>
        <rFont val="Times New Roman"/>
        <charset val="134"/>
      </rPr>
      <t xml:space="preserve">• </t>
    </r>
    <r>
      <rPr>
        <sz val="10"/>
        <color theme="1"/>
        <rFont val="宋体"/>
        <charset val="134"/>
      </rPr>
      <t>该魔宠的武器攻击被视为魔法性的，用于克服对于非魔法攻击的免疫和抗性。</t>
    </r>
    <r>
      <rPr>
        <sz val="10"/>
        <color theme="1"/>
        <rFont val="Times New Roman"/>
        <charset val="134"/>
      </rPr>
      <t xml:space="preserve">  
• </t>
    </r>
    <r>
      <rPr>
        <sz val="10"/>
        <color theme="1"/>
        <rFont val="宋体"/>
        <charset val="134"/>
      </rPr>
      <t>若该魔宠强迫一个生物进行豁免检定，它使用你的法术豁免</t>
    </r>
    <r>
      <rPr>
        <sz val="10"/>
        <color theme="1"/>
        <rFont val="Times New Roman"/>
        <charset val="134"/>
      </rPr>
      <t>DC</t>
    </r>
    <r>
      <rPr>
        <sz val="10"/>
        <color theme="1"/>
        <rFont val="宋体"/>
        <charset val="134"/>
      </rPr>
      <t>。</t>
    </r>
    <r>
      <rPr>
        <sz val="10"/>
        <color theme="1"/>
        <rFont val="Times New Roman"/>
        <charset val="134"/>
      </rPr>
      <t xml:space="preserve">  
• </t>
    </r>
    <r>
      <rPr>
        <sz val="10"/>
        <color theme="1"/>
        <rFont val="宋体"/>
        <charset val="134"/>
      </rPr>
      <t>若该魔宠受到伤害，你可以使用你的反应给予它仅对于那次伤害的抗性。
先决条件：链之魔契</t>
    </r>
  </si>
  <si>
    <r>
      <rPr>
        <sz val="10"/>
        <color theme="1"/>
        <rFont val="宋体"/>
        <charset val="134"/>
      </rPr>
      <t>将一道法术抄写到法术书中</t>
    </r>
  </si>
  <si>
    <r>
      <rPr>
        <sz val="10"/>
        <color theme="1"/>
        <rFont val="宋体"/>
        <charset val="134"/>
      </rPr>
      <t>如果它是你能进行准备的法术位环阶且你能抽出时间来抄写它，则你可以将其抄写到你的法术书中。每个法术环阶的抄录过程都需要</t>
    </r>
    <r>
      <rPr>
        <sz val="10"/>
        <color theme="1"/>
        <rFont val="Times New Roman"/>
        <charset val="134"/>
      </rPr>
      <t>2</t>
    </r>
    <r>
      <rPr>
        <sz val="10"/>
        <color theme="1"/>
        <rFont val="宋体"/>
        <charset val="134"/>
      </rPr>
      <t>小时并花费</t>
    </r>
    <r>
      <rPr>
        <sz val="10"/>
        <color theme="1"/>
        <rFont val="Times New Roman"/>
        <charset val="134"/>
      </rPr>
      <t>50GP</t>
    </r>
    <r>
      <rPr>
        <sz val="10"/>
        <color theme="1"/>
        <rFont val="宋体"/>
        <charset val="134"/>
      </rPr>
      <t>。在此之后，你就可以像准备法术书中的其他法术一样准备该法术了。</t>
    </r>
  </si>
  <si>
    <r>
      <rPr>
        <sz val="10"/>
        <color theme="1"/>
        <rFont val="宋体"/>
        <charset val="134"/>
      </rPr>
      <t>魔法物品方案（奇械师等级</t>
    </r>
    <r>
      <rPr>
        <sz val="10"/>
        <color theme="1"/>
        <rFont val="Times New Roman"/>
        <charset val="134"/>
      </rPr>
      <t>2+</t>
    </r>
    <r>
      <rPr>
        <sz val="10"/>
        <color theme="1"/>
        <rFont val="宋体"/>
        <charset val="134"/>
      </rPr>
      <t>）</t>
    </r>
    <r>
      <rPr>
        <sz val="10"/>
        <color theme="1"/>
        <rFont val="Times New Roman"/>
        <charset val="134"/>
      </rPr>
      <t xml:space="preserve"> </t>
    </r>
  </si>
  <si>
    <r>
      <rPr>
        <sz val="10"/>
        <color theme="1"/>
        <rFont val="宋体"/>
        <charset val="134"/>
      </rPr>
      <t>魔法物品方案</t>
    </r>
    <r>
      <rPr>
        <sz val="10"/>
        <color theme="1"/>
        <rFont val="Times New Roman"/>
        <charset val="134"/>
      </rPr>
      <t xml:space="preserve"> </t>
    </r>
    <r>
      <rPr>
        <sz val="10"/>
        <color theme="1"/>
        <rFont val="宋体"/>
        <charset val="134"/>
      </rPr>
      <t>同调</t>
    </r>
    <r>
      <rPr>
        <sz val="10"/>
        <color theme="1"/>
        <rFont val="Times New Roman"/>
        <charset val="134"/>
      </rPr>
      <t xml:space="preserve"> 
</t>
    </r>
    <r>
      <rPr>
        <sz val="10"/>
        <color theme="1"/>
        <rFont val="宋体"/>
        <charset val="134"/>
      </rPr>
      <t>炼金壶</t>
    </r>
    <r>
      <rPr>
        <sz val="10"/>
        <color theme="1"/>
        <rFont val="Times New Roman"/>
        <charset val="134"/>
      </rPr>
      <t xml:space="preserve"> Alchemy Jug </t>
    </r>
    <r>
      <rPr>
        <sz val="10"/>
        <color theme="1"/>
        <rFont val="宋体"/>
        <charset val="134"/>
      </rPr>
      <t>否</t>
    </r>
    <r>
      <rPr>
        <sz val="10"/>
        <color theme="1"/>
        <rFont val="Times New Roman"/>
        <charset val="134"/>
      </rPr>
      <t xml:space="preserve"> 
</t>
    </r>
    <r>
      <rPr>
        <sz val="10"/>
        <color theme="1"/>
        <rFont val="宋体"/>
        <charset val="134"/>
      </rPr>
      <t>次元袋</t>
    </r>
    <r>
      <rPr>
        <sz val="10"/>
        <color theme="1"/>
        <rFont val="Times New Roman"/>
        <charset val="134"/>
      </rPr>
      <t xml:space="preserve"> Bag of Holding </t>
    </r>
    <r>
      <rPr>
        <sz val="10"/>
        <color theme="1"/>
        <rFont val="宋体"/>
        <charset val="134"/>
      </rPr>
      <t>否</t>
    </r>
    <r>
      <rPr>
        <sz val="10"/>
        <color theme="1"/>
        <rFont val="Times New Roman"/>
        <charset val="134"/>
      </rPr>
      <t xml:space="preserve"> 
</t>
    </r>
    <r>
      <rPr>
        <sz val="10"/>
        <color theme="1"/>
        <rFont val="宋体"/>
        <charset val="134"/>
      </rPr>
      <t>水下呼吸帽</t>
    </r>
    <r>
      <rPr>
        <sz val="10"/>
        <color theme="1"/>
        <rFont val="Times New Roman"/>
        <charset val="134"/>
      </rPr>
      <t xml:space="preserve"> Cap of Water Breathing </t>
    </r>
    <r>
      <rPr>
        <sz val="10"/>
        <color theme="1"/>
        <rFont val="宋体"/>
        <charset val="134"/>
      </rPr>
      <t>否</t>
    </r>
    <r>
      <rPr>
        <sz val="10"/>
        <color theme="1"/>
        <rFont val="Times New Roman"/>
        <charset val="134"/>
      </rPr>
      <t xml:space="preserve"> 
</t>
    </r>
    <r>
      <rPr>
        <sz val="10"/>
        <color theme="1"/>
        <rFont val="宋体"/>
        <charset val="134"/>
      </rPr>
      <t>非药水、卷轴，且无诅咒的普通魔法物品</t>
    </r>
    <r>
      <rPr>
        <sz val="10"/>
        <color theme="1"/>
        <rFont val="Times New Roman"/>
        <charset val="134"/>
      </rPr>
      <t xml:space="preserve">* </t>
    </r>
    <r>
      <rPr>
        <sz val="10"/>
        <color theme="1"/>
        <rFont val="宋体"/>
        <charset val="134"/>
      </rPr>
      <t>多种</t>
    </r>
    <r>
      <rPr>
        <sz val="10"/>
        <color theme="1"/>
        <rFont val="Times New Roman"/>
        <charset val="134"/>
      </rPr>
      <t xml:space="preserve"> 
</t>
    </r>
    <r>
      <rPr>
        <sz val="10"/>
        <color theme="1"/>
        <rFont val="宋体"/>
        <charset val="134"/>
      </rPr>
      <t>夜视镜</t>
    </r>
    <r>
      <rPr>
        <sz val="10"/>
        <color theme="1"/>
        <rFont val="Times New Roman"/>
        <charset val="134"/>
      </rPr>
      <t xml:space="preserve"> Goggles of Night </t>
    </r>
    <r>
      <rPr>
        <sz val="10"/>
        <color theme="1"/>
        <rFont val="宋体"/>
        <charset val="134"/>
      </rPr>
      <t>否</t>
    </r>
    <r>
      <rPr>
        <sz val="10"/>
        <color theme="1"/>
        <rFont val="Times New Roman"/>
        <charset val="134"/>
      </rPr>
      <t xml:space="preserve"> 
</t>
    </r>
    <r>
      <rPr>
        <sz val="10"/>
        <color theme="1"/>
        <rFont val="宋体"/>
        <charset val="134"/>
      </rPr>
      <t>百变工具</t>
    </r>
    <r>
      <rPr>
        <sz val="10"/>
        <color theme="1"/>
        <rFont val="Times New Roman"/>
        <charset val="134"/>
      </rPr>
      <t xml:space="preserve">Manifold Tool+ </t>
    </r>
    <r>
      <rPr>
        <sz val="10"/>
        <color theme="1"/>
        <rFont val="宋体"/>
        <charset val="134"/>
      </rPr>
      <t>是</t>
    </r>
    <r>
      <rPr>
        <sz val="10"/>
        <color theme="1"/>
        <rFont val="Times New Roman"/>
        <charset val="134"/>
      </rPr>
      <t xml:space="preserve"> 
</t>
    </r>
    <r>
      <rPr>
        <sz val="10"/>
        <color theme="1"/>
        <rFont val="宋体"/>
        <charset val="134"/>
      </rPr>
      <t>连射武器</t>
    </r>
    <r>
      <rPr>
        <sz val="10"/>
        <color theme="1"/>
        <rFont val="Times New Roman"/>
        <charset val="134"/>
      </rPr>
      <t xml:space="preserve">Repeating Shot+ </t>
    </r>
    <r>
      <rPr>
        <sz val="10"/>
        <color theme="1"/>
        <rFont val="宋体"/>
        <charset val="134"/>
      </rPr>
      <t>是</t>
    </r>
    <r>
      <rPr>
        <sz val="10"/>
        <color theme="1"/>
        <rFont val="Times New Roman"/>
        <charset val="134"/>
      </rPr>
      <t xml:space="preserve"> 
</t>
    </r>
    <r>
      <rPr>
        <sz val="10"/>
        <color theme="1"/>
        <rFont val="宋体"/>
        <charset val="134"/>
      </rPr>
      <t>回力武器</t>
    </r>
    <r>
      <rPr>
        <sz val="10"/>
        <color theme="1"/>
        <rFont val="Times New Roman"/>
        <charset val="134"/>
      </rPr>
      <t xml:space="preserve"> Returning Weapon </t>
    </r>
    <r>
      <rPr>
        <sz val="10"/>
        <color theme="1"/>
        <rFont val="宋体"/>
        <charset val="134"/>
      </rPr>
      <t>否</t>
    </r>
    <r>
      <rPr>
        <sz val="10"/>
        <color theme="1"/>
        <rFont val="Times New Roman"/>
        <charset val="134"/>
      </rPr>
      <t xml:space="preserve"> 
</t>
    </r>
    <r>
      <rPr>
        <sz val="10"/>
        <color theme="1"/>
        <rFont val="宋体"/>
        <charset val="134"/>
      </rPr>
      <t>攀爬绳</t>
    </r>
    <r>
      <rPr>
        <sz val="10"/>
        <color theme="1"/>
        <rFont val="Times New Roman"/>
        <charset val="134"/>
      </rPr>
      <t xml:space="preserve"> Rope of Climbing </t>
    </r>
    <r>
      <rPr>
        <sz val="10"/>
        <color theme="1"/>
        <rFont val="宋体"/>
        <charset val="134"/>
      </rPr>
      <t>否</t>
    </r>
    <r>
      <rPr>
        <sz val="10"/>
        <color theme="1"/>
        <rFont val="Times New Roman"/>
        <charset val="134"/>
      </rPr>
      <t xml:space="preserve"> 
</t>
    </r>
    <r>
      <rPr>
        <sz val="10"/>
        <color theme="1"/>
        <rFont val="宋体"/>
        <charset val="134"/>
      </rPr>
      <t>短讯石</t>
    </r>
    <r>
      <rPr>
        <sz val="10"/>
        <color theme="1"/>
        <rFont val="Times New Roman"/>
        <charset val="134"/>
      </rPr>
      <t xml:space="preserve"> Sending Stones </t>
    </r>
    <r>
      <rPr>
        <sz val="10"/>
        <color theme="1"/>
        <rFont val="宋体"/>
        <charset val="134"/>
      </rPr>
      <t>否</t>
    </r>
    <r>
      <rPr>
        <sz val="10"/>
        <color theme="1"/>
        <rFont val="Times New Roman"/>
        <charset val="134"/>
      </rPr>
      <t xml:space="preserve"> 
+1</t>
    </r>
    <r>
      <rPr>
        <sz val="10"/>
        <color theme="1"/>
        <rFont val="宋体"/>
        <charset val="134"/>
      </rPr>
      <t>盾牌</t>
    </r>
    <r>
      <rPr>
        <sz val="10"/>
        <color theme="1"/>
        <rFont val="Times New Roman"/>
        <charset val="134"/>
      </rPr>
      <t xml:space="preserve"> Shield+1 </t>
    </r>
    <r>
      <rPr>
        <sz val="10"/>
        <color theme="1"/>
        <rFont val="宋体"/>
        <charset val="134"/>
      </rPr>
      <t>否</t>
    </r>
    <r>
      <rPr>
        <sz val="10"/>
        <color theme="1"/>
        <rFont val="Times New Roman"/>
        <charset val="134"/>
      </rPr>
      <t xml:space="preserve"> 
</t>
    </r>
    <r>
      <rPr>
        <sz val="10"/>
        <color theme="1"/>
        <rFont val="宋体"/>
        <charset val="134"/>
      </rPr>
      <t>侦测魔法魔杖</t>
    </r>
    <r>
      <rPr>
        <sz val="10"/>
        <color theme="1"/>
        <rFont val="Times New Roman"/>
        <charset val="134"/>
      </rPr>
      <t xml:space="preserve"> Wand of Magic Detection </t>
    </r>
    <r>
      <rPr>
        <sz val="10"/>
        <color theme="1"/>
        <rFont val="宋体"/>
        <charset val="134"/>
      </rPr>
      <t>否</t>
    </r>
    <r>
      <rPr>
        <sz val="10"/>
        <color theme="1"/>
        <rFont val="Times New Roman"/>
        <charset val="134"/>
      </rPr>
      <t xml:space="preserve"> 
</t>
    </r>
    <r>
      <rPr>
        <sz val="10"/>
        <color theme="1"/>
        <rFont val="宋体"/>
        <charset val="134"/>
      </rPr>
      <t>探秘魔杖</t>
    </r>
    <r>
      <rPr>
        <sz val="10"/>
        <color theme="1"/>
        <rFont val="Times New Roman"/>
        <charset val="134"/>
      </rPr>
      <t xml:space="preserve"> Wand of Secrets </t>
    </r>
    <r>
      <rPr>
        <sz val="10"/>
        <color theme="1"/>
        <rFont val="宋体"/>
        <charset val="134"/>
      </rPr>
      <t>否</t>
    </r>
    <r>
      <rPr>
        <sz val="10"/>
        <color theme="1"/>
        <rFont val="Times New Roman"/>
        <charset val="134"/>
      </rPr>
      <t xml:space="preserve"> 
+1</t>
    </r>
    <r>
      <rPr>
        <sz val="10"/>
        <color theme="1"/>
        <rFont val="宋体"/>
        <charset val="134"/>
      </rPr>
      <t>战法师魔杖</t>
    </r>
    <r>
      <rPr>
        <sz val="10"/>
        <color theme="1"/>
        <rFont val="Times New Roman"/>
        <charset val="134"/>
      </rPr>
      <t xml:space="preserve"> Wand of the War Mage+1 </t>
    </r>
    <r>
      <rPr>
        <sz val="10"/>
        <color theme="1"/>
        <rFont val="宋体"/>
        <charset val="134"/>
      </rPr>
      <t>是</t>
    </r>
    <r>
      <rPr>
        <sz val="10"/>
        <color theme="1"/>
        <rFont val="Times New Roman"/>
        <charset val="134"/>
      </rPr>
      <t xml:space="preserve"> 
+1</t>
    </r>
    <r>
      <rPr>
        <sz val="10"/>
        <color theme="1"/>
        <rFont val="宋体"/>
        <charset val="134"/>
      </rPr>
      <t>武器</t>
    </r>
    <r>
      <rPr>
        <sz val="10"/>
        <color theme="1"/>
        <rFont val="Times New Roman"/>
        <charset val="134"/>
      </rPr>
      <t xml:space="preserve"> Weapon+1 </t>
    </r>
    <r>
      <rPr>
        <sz val="10"/>
        <color theme="1"/>
        <rFont val="宋体"/>
        <charset val="134"/>
      </rPr>
      <t>否</t>
    </r>
    <r>
      <rPr>
        <sz val="10"/>
        <color theme="1"/>
        <rFont val="Times New Roman"/>
        <charset val="134"/>
      </rPr>
      <t xml:space="preserve"> 
+1</t>
    </r>
    <r>
      <rPr>
        <sz val="10"/>
        <color theme="1"/>
        <rFont val="宋体"/>
        <charset val="134"/>
      </rPr>
      <t>神威绑带</t>
    </r>
    <r>
      <rPr>
        <sz val="10"/>
        <color theme="1"/>
        <rFont val="Times New Roman"/>
        <charset val="134"/>
      </rPr>
      <t xml:space="preserve"> Wraps of Unarmed Power+1 </t>
    </r>
    <r>
      <rPr>
        <sz val="10"/>
        <color theme="1"/>
        <rFont val="宋体"/>
        <charset val="134"/>
      </rPr>
      <t>否</t>
    </r>
  </si>
  <si>
    <r>
      <rPr>
        <sz val="10"/>
        <color theme="1"/>
        <rFont val="宋体"/>
        <charset val="134"/>
      </rPr>
      <t>灵能才赋</t>
    </r>
  </si>
  <si>
    <r>
      <rPr>
        <sz val="10"/>
        <color theme="1"/>
        <rFont val="宋体"/>
        <charset val="134"/>
      </rPr>
      <t>你学会了更多由你的灵能骰充能的灵能技巧。你获得两项由你选择的灵能才赋，比如延伸意识</t>
    </r>
    <r>
      <rPr>
        <sz val="10"/>
        <color theme="1"/>
        <rFont val="Times New Roman"/>
        <charset val="134"/>
      </rPr>
      <t>Expanded Awareness</t>
    </r>
    <r>
      <rPr>
        <sz val="10"/>
        <color theme="1"/>
        <rFont val="宋体"/>
        <charset val="134"/>
      </rPr>
      <t>与本我暗示</t>
    </r>
    <r>
      <rPr>
        <sz val="10"/>
        <color theme="1"/>
        <rFont val="Times New Roman"/>
        <charset val="134"/>
      </rPr>
      <t>Id Insinuation</t>
    </r>
    <r>
      <rPr>
        <sz val="10"/>
        <color theme="1"/>
        <rFont val="宋体"/>
        <charset val="134"/>
      </rPr>
      <t>。才赋详述于后“灵能才赋选项”部分。</t>
    </r>
    <r>
      <rPr>
        <sz val="10"/>
        <color theme="1"/>
        <rFont val="Times New Roman"/>
        <charset val="134"/>
      </rPr>
      <t xml:space="preserve"> 
</t>
    </r>
    <r>
      <rPr>
        <sz val="10"/>
        <color theme="1"/>
        <rFont val="宋体"/>
        <charset val="134"/>
      </rPr>
      <t>你在每一回合中只能使用一种才赋，且除非有其它描述，否则一回合中只能使用一道才赋。</t>
    </r>
    <r>
      <rPr>
        <sz val="10"/>
        <color theme="1"/>
        <rFont val="Times New Roman"/>
        <charset val="134"/>
      </rPr>
      <t xml:space="preserve"> 
</t>
    </r>
    <r>
      <rPr>
        <sz val="10"/>
        <color theme="1"/>
        <rFont val="宋体"/>
        <charset val="134"/>
      </rPr>
      <t>每当你获得灵能使等级时，你可以将一道灵能才赋替换为另一道你未知晓的灵能才赋。你在</t>
    </r>
    <r>
      <rPr>
        <sz val="10"/>
        <color theme="1"/>
        <rFont val="Times New Roman"/>
        <charset val="134"/>
      </rPr>
      <t>5</t>
    </r>
    <r>
      <rPr>
        <sz val="10"/>
        <color theme="1"/>
        <rFont val="宋体"/>
        <charset val="134"/>
      </rPr>
      <t>，</t>
    </r>
    <r>
      <rPr>
        <sz val="10"/>
        <color theme="1"/>
        <rFont val="Times New Roman"/>
        <charset val="134"/>
      </rPr>
      <t>10</t>
    </r>
    <r>
      <rPr>
        <sz val="10"/>
        <color theme="1"/>
        <rFont val="宋体"/>
        <charset val="134"/>
      </rPr>
      <t>，</t>
    </r>
    <r>
      <rPr>
        <sz val="10"/>
        <color theme="1"/>
        <rFont val="Times New Roman"/>
        <charset val="134"/>
      </rPr>
      <t>13</t>
    </r>
    <r>
      <rPr>
        <sz val="10"/>
        <color theme="1"/>
        <rFont val="宋体"/>
        <charset val="134"/>
      </rPr>
      <t>与</t>
    </r>
    <r>
      <rPr>
        <sz val="10"/>
        <color theme="1"/>
        <rFont val="Times New Roman"/>
        <charset val="134"/>
      </rPr>
      <t>17</t>
    </r>
    <r>
      <rPr>
        <sz val="10"/>
        <color theme="1"/>
        <rFont val="宋体"/>
        <charset val="134"/>
      </rPr>
      <t>级时分别得到一种额外才赋。</t>
    </r>
  </si>
  <si>
    <r>
      <rPr>
        <sz val="10"/>
        <color theme="1"/>
        <rFont val="宋体"/>
        <charset val="134"/>
      </rPr>
      <t>乱心血咒</t>
    </r>
  </si>
  <si>
    <r>
      <rPr>
        <sz val="10"/>
        <color theme="1"/>
        <rFont val="宋体"/>
        <charset val="134"/>
      </rPr>
      <t>以一个附赠动作，你诅咒距你</t>
    </r>
    <r>
      <rPr>
        <sz val="10"/>
        <color theme="1"/>
        <rFont val="Times New Roman"/>
        <charset val="134"/>
      </rPr>
      <t xml:space="preserve"> 30 </t>
    </r>
    <r>
      <rPr>
        <sz val="10"/>
        <color theme="1"/>
        <rFont val="宋体"/>
        <charset val="134"/>
      </rPr>
      <t>尺内一个你能看见、且正专注于一个法术的生物。该生物在你下回合结束前为维持专注而进行的下次体质豁免具有劣势。
增幅。诅咒生物在你下回合结束前为维持专注而进行的所有体质豁免检定具有劣势。</t>
    </r>
  </si>
  <si>
    <r>
      <rPr>
        <sz val="10"/>
        <color theme="1"/>
        <rFont val="宋体"/>
        <charset val="134"/>
      </rPr>
      <t>毒力强劲</t>
    </r>
  </si>
  <si>
    <r>
      <rPr>
        <sz val="10"/>
        <color theme="1"/>
        <rFont val="宋体"/>
        <charset val="134"/>
      </rPr>
      <t>当你为一个造成毒素伤害的药剂师法术掷骰伤害骰出</t>
    </r>
    <r>
      <rPr>
        <sz val="10"/>
        <color theme="1"/>
        <rFont val="Times New Roman"/>
        <charset val="134"/>
      </rPr>
      <t>1</t>
    </r>
    <r>
      <rPr>
        <sz val="10"/>
        <color theme="1"/>
        <rFont val="宋体"/>
        <charset val="134"/>
      </rPr>
      <t>时，你可以重新掷骰该伤害骰。你只能使用新结果，即使新掷骰结果也是</t>
    </r>
    <r>
      <rPr>
        <sz val="10"/>
        <color theme="1"/>
        <rFont val="Times New Roman"/>
        <charset val="134"/>
      </rPr>
      <t>1</t>
    </r>
    <r>
      <rPr>
        <sz val="10"/>
        <color theme="1"/>
        <rFont val="宋体"/>
        <charset val="134"/>
      </rPr>
      <t>。</t>
    </r>
  </si>
  <si>
    <t>牛仔精神</t>
  </si>
  <si>
    <t>当你在智力、感知或魅力属性检定或豁免检定中失败时，你可以消耗一枚风险骰并将其加入检定结果中，这可能使检定改为成功。每回合你仅可使用一次该战技。</t>
  </si>
  <si>
    <t>冥河寂寒</t>
  </si>
  <si>
    <t>当你焚灭受禁生物身上的缄印时，你能够以反应令目标被超常的寒意充满。目标无法执行反应，直至其下回合结束。</t>
  </si>
  <si>
    <t>额外攻击</t>
  </si>
  <si>
    <t>当你在自己的回合执行攻击动作时，你可以发动两次攻击而非一次。</t>
  </si>
  <si>
    <r>
      <rPr>
        <sz val="10"/>
        <color theme="1"/>
        <rFont val="宋体"/>
        <charset val="134"/>
      </rPr>
      <t>舞蹈学院</t>
    </r>
  </si>
  <si>
    <r>
      <rPr>
        <sz val="10"/>
        <color theme="1"/>
        <rFont val="宋体"/>
        <charset val="134"/>
      </rPr>
      <t>野性直觉</t>
    </r>
  </si>
  <si>
    <r>
      <rPr>
        <sz val="10"/>
        <color theme="1"/>
        <rFont val="宋体"/>
        <charset val="134"/>
      </rPr>
      <t>你的直觉变得格外敏锐。你的先攻检定具有优势。</t>
    </r>
  </si>
  <si>
    <r>
      <rPr>
        <sz val="10"/>
        <color theme="1"/>
        <rFont val="宋体"/>
        <charset val="134"/>
      </rPr>
      <t>吟游诗人子职</t>
    </r>
  </si>
  <si>
    <r>
      <rPr>
        <sz val="10"/>
        <color theme="1"/>
        <rFont val="宋体"/>
        <charset val="134"/>
      </rPr>
      <t>你选择获得一项吟游诗人子职：舞蹈学院，魅心学院，逸闻学院或勇气学院</t>
    </r>
    <r>
      <rPr>
        <sz val="10"/>
        <color theme="1"/>
        <rFont val="Times New Roman"/>
        <charset val="134"/>
      </rPr>
      <t xml:space="preserve"> </t>
    </r>
    <r>
      <rPr>
        <sz val="10"/>
        <color theme="1"/>
        <rFont val="宋体"/>
        <charset val="134"/>
      </rPr>
      <t>。子职的内容见后文。子职是一种特化，在特定的吟游诗人等级给予你对应的独特能力。此后你将获得你所选的子职所有能力</t>
    </r>
    <r>
      <rPr>
        <sz val="10"/>
        <color theme="1"/>
        <rFont val="Times New Roman"/>
        <charset val="134"/>
      </rPr>
      <t>——</t>
    </r>
    <r>
      <rPr>
        <sz val="10"/>
        <color theme="1"/>
        <rFont val="宋体"/>
        <charset val="134"/>
      </rPr>
      <t>只要其所需等级不超过你的吟游诗人等级。吟游诗人特性</t>
    </r>
    <r>
      <rPr>
        <sz val="10"/>
        <color theme="1"/>
        <rFont val="Times New Roman"/>
        <charset val="134"/>
      </rPr>
      <t xml:space="preserve"> </t>
    </r>
    <r>
      <rPr>
        <sz val="10"/>
        <color theme="1"/>
        <rFont val="宋体"/>
        <charset val="134"/>
      </rPr>
      <t>表列出了你从子职中获得新特性的吟游诗人等级。</t>
    </r>
    <r>
      <rPr>
        <sz val="10"/>
        <color theme="1"/>
        <rFont val="Times New Roman"/>
        <charset val="134"/>
      </rPr>
      <t xml:space="preserve"> 
</t>
    </r>
    <r>
      <rPr>
        <sz val="10"/>
        <color theme="1"/>
        <rFont val="宋体"/>
        <charset val="134"/>
      </rPr>
      <t>吟游诗人们会形成被称为</t>
    </r>
    <r>
      <rPr>
        <sz val="10"/>
        <color theme="1"/>
        <rFont val="Times New Roman"/>
        <charset val="134"/>
      </rPr>
      <t>“</t>
    </r>
    <r>
      <rPr>
        <sz val="10"/>
        <color theme="1"/>
        <rFont val="宋体"/>
        <charset val="134"/>
      </rPr>
      <t>学院</t>
    </r>
    <r>
      <rPr>
        <sz val="10"/>
        <color theme="1"/>
        <rFont val="Times New Roman"/>
        <charset val="134"/>
      </rPr>
      <t xml:space="preserve"> ”</t>
    </r>
    <r>
      <rPr>
        <sz val="10"/>
        <color theme="1"/>
        <rFont val="宋体"/>
        <charset val="134"/>
      </rPr>
      <t>的松散联系，用以维持他们的传承。</t>
    </r>
    <r>
      <rPr>
        <sz val="10"/>
        <color theme="1"/>
        <rFont val="Times New Roman"/>
        <charset val="134"/>
      </rPr>
      <t xml:space="preserve">  </t>
    </r>
  </si>
  <si>
    <r>
      <rPr>
        <sz val="10"/>
        <color theme="1"/>
        <rFont val="宋体"/>
        <charset val="134"/>
      </rPr>
      <t>驱散亡灵</t>
    </r>
  </si>
  <si>
    <r>
      <rPr>
        <sz val="10"/>
        <color theme="1"/>
        <rFont val="宋体"/>
        <charset val="134"/>
      </rPr>
      <t>以一个魔法动作，你展现圣徽，斥退诸亡灵生物。你</t>
    </r>
    <r>
      <rPr>
        <sz val="10"/>
        <color theme="1"/>
        <rFont val="Times New Roman"/>
        <charset val="134"/>
      </rPr>
      <t>30</t>
    </r>
    <r>
      <rPr>
        <sz val="10"/>
        <color theme="1"/>
        <rFont val="宋体"/>
        <charset val="134"/>
      </rPr>
      <t>尺内每个由你选择的亡灵都必须进行一次感知豁免，失败则陷入恐慌和失能状态，持续一分钟。在这段持续时间内，被驱散的生物会尽可能远离你。此效应在其受到伤害时提前结束，你陷入失能状态或是死亡也会结束此效应。</t>
    </r>
  </si>
  <si>
    <r>
      <rPr>
        <sz val="10"/>
        <color theme="1"/>
        <rFont val="宋体"/>
        <charset val="134"/>
      </rPr>
      <t>使用次数</t>
    </r>
  </si>
  <si>
    <r>
      <rPr>
        <sz val="10"/>
        <color theme="1"/>
        <rFont val="宋体"/>
        <charset val="134"/>
      </rPr>
      <t>你能够使用两次荒野变形。你在完成短休后重获一次已消耗的使用次数，当你完成一次长休时，你重获全部已消耗的使用次数。
你到达特定的德鲁伊等级时会获得额外的使用次数，如德鲁伊表格中荒野变形一栏所示。</t>
    </r>
  </si>
  <si>
    <r>
      <rPr>
        <sz val="10"/>
        <color theme="1"/>
        <rFont val="宋体"/>
        <charset val="134"/>
      </rPr>
      <t>战术主宰</t>
    </r>
  </si>
  <si>
    <r>
      <rPr>
        <sz val="10"/>
        <color theme="1"/>
        <rFont val="宋体"/>
        <charset val="134"/>
      </rPr>
      <t>每当你用武器发动攻击，且你可以使用此武器的精通词条时，你可以将此次攻击的精通属性改为推离，削弱或缓速</t>
    </r>
    <r>
      <rPr>
        <sz val="10"/>
        <color theme="1"/>
        <rFont val="Times New Roman"/>
        <charset val="134"/>
      </rPr>
      <t xml:space="preserve"> </t>
    </r>
    <r>
      <rPr>
        <sz val="10"/>
        <color theme="1"/>
        <rFont val="宋体"/>
        <charset val="134"/>
      </rPr>
      <t>中的一种。</t>
    </r>
  </si>
  <si>
    <r>
      <rPr>
        <sz val="10"/>
        <color theme="1"/>
        <rFont val="宋体"/>
        <charset val="134"/>
      </rPr>
      <t>震慑拳</t>
    </r>
  </si>
  <si>
    <r>
      <rPr>
        <sz val="10"/>
        <color theme="1"/>
        <rFont val="宋体"/>
        <charset val="134"/>
      </rPr>
      <t>每回合一次，当你使用徒手打击或武僧武器命中一个生物后，你可以消耗</t>
    </r>
    <r>
      <rPr>
        <sz val="10"/>
        <color theme="1"/>
        <rFont val="Times New Roman"/>
        <charset val="134"/>
      </rPr>
      <t>1</t>
    </r>
    <r>
      <rPr>
        <sz val="10"/>
        <color theme="1"/>
        <rFont val="宋体"/>
        <charset val="134"/>
      </rPr>
      <t>点功力尝试发动震慑拳。目标必须进行一次体质豁免，豁免失败则陷入震慑状态，直至你的下个回合开始。若豁免成功，则目标的速度减半，直至你的下个回合开始，并且下一次对该目标进行的攻击检定具有优势。</t>
    </r>
  </si>
  <si>
    <r>
      <rPr>
        <sz val="10"/>
        <color theme="1"/>
        <rFont val="宋体"/>
        <charset val="134"/>
      </rPr>
      <t>你获得直接从外层位面引导神圣能量的能力，并能用这些能量产生魔法效应。你起始时具有一种选项：神圣感知，其效果如下所示。其他的圣武士特性会给予更多引导神力选项。每当你使用你的引导神力时，你可以选择要创造哪种因此职业习得的效应。
你可以使用两次引导神力，你在完成一次短休后恢复</t>
    </r>
    <r>
      <rPr>
        <sz val="10"/>
        <color theme="1"/>
        <rFont val="Times New Roman"/>
        <charset val="134"/>
      </rPr>
      <t>1</t>
    </r>
    <r>
      <rPr>
        <sz val="10"/>
        <color theme="1"/>
        <rFont val="宋体"/>
        <charset val="134"/>
      </rPr>
      <t>次使用次数，完成长休后恢复所有已使用的次数。当你的圣武士等级到达</t>
    </r>
    <r>
      <rPr>
        <sz val="10"/>
        <color theme="1"/>
        <rFont val="Times New Roman"/>
        <charset val="134"/>
      </rPr>
      <t>11</t>
    </r>
    <r>
      <rPr>
        <sz val="10"/>
        <color theme="1"/>
        <rFont val="宋体"/>
        <charset val="134"/>
      </rPr>
      <t>级时，你会获得额外的引导神力次数。
如果一项引导神力效应需要进行豁免，其豁免</t>
    </r>
    <r>
      <rPr>
        <sz val="10"/>
        <color theme="1"/>
        <rFont val="Times New Roman"/>
        <charset val="134"/>
      </rPr>
      <t>DC</t>
    </r>
    <r>
      <rPr>
        <sz val="10"/>
        <color theme="1"/>
        <rFont val="宋体"/>
        <charset val="134"/>
      </rPr>
      <t>等同于你施法职业特性的法术豁免</t>
    </r>
    <r>
      <rPr>
        <sz val="10"/>
        <color theme="1"/>
        <rFont val="Times New Roman"/>
        <charset val="134"/>
      </rPr>
      <t>DC</t>
    </r>
    <r>
      <rPr>
        <sz val="10"/>
        <color theme="1"/>
        <rFont val="宋体"/>
        <charset val="134"/>
      </rPr>
      <t>。</t>
    </r>
  </si>
  <si>
    <r>
      <rPr>
        <sz val="10"/>
        <color theme="1"/>
        <rFont val="宋体"/>
        <charset val="134"/>
      </rPr>
      <t>游侠子职</t>
    </r>
  </si>
  <si>
    <r>
      <rPr>
        <sz val="10"/>
        <color theme="1"/>
        <rFont val="宋体"/>
        <charset val="134"/>
      </rPr>
      <t>你选择获得一项游侠子职：驯兽师，</t>
    </r>
    <r>
      <rPr>
        <sz val="10"/>
        <color theme="1"/>
        <rFont val="Times New Roman"/>
        <charset val="134"/>
      </rPr>
      <t xml:space="preserve"> </t>
    </r>
    <r>
      <rPr>
        <sz val="10"/>
        <color theme="1"/>
        <rFont val="宋体"/>
        <charset val="134"/>
      </rPr>
      <t>妖精漫游者，</t>
    </r>
    <r>
      <rPr>
        <sz val="10"/>
        <color theme="1"/>
        <rFont val="Times New Roman"/>
        <charset val="134"/>
      </rPr>
      <t xml:space="preserve"> </t>
    </r>
    <r>
      <rPr>
        <sz val="10"/>
        <color theme="1"/>
        <rFont val="宋体"/>
        <charset val="134"/>
      </rPr>
      <t>幽域追猎者或</t>
    </r>
    <r>
      <rPr>
        <sz val="10"/>
        <color theme="1"/>
        <rFont val="Times New Roman"/>
        <charset val="134"/>
      </rPr>
      <t xml:space="preserve"> </t>
    </r>
    <r>
      <rPr>
        <sz val="10"/>
        <color theme="1"/>
        <rFont val="宋体"/>
        <charset val="134"/>
      </rPr>
      <t>猎人。子职的内容见后文。子职是一种特化，在特定的游侠等级给予你对应的独特能力。此后你将获得你所选的子职所有能力</t>
    </r>
    <r>
      <rPr>
        <sz val="10"/>
        <color theme="1"/>
        <rFont val="Times New Roman"/>
        <charset val="134"/>
      </rPr>
      <t>——</t>
    </r>
    <r>
      <rPr>
        <sz val="10"/>
        <color theme="1"/>
        <rFont val="宋体"/>
        <charset val="134"/>
      </rPr>
      <t>只要其所需等级不超过你的游侠等级。游侠特性表列出了你从子职中获得新特性的游侠等级。</t>
    </r>
  </si>
  <si>
    <r>
      <rPr>
        <sz val="10"/>
        <color theme="1"/>
        <rFont val="宋体"/>
        <charset val="134"/>
      </rPr>
      <t>反射闪避</t>
    </r>
  </si>
  <si>
    <r>
      <rPr>
        <sz val="10"/>
        <color theme="1"/>
        <rFont val="宋体"/>
        <charset val="134"/>
      </rPr>
      <t>你可以灵敏地躲避特定的危险。当你受到一个允许你进行敏捷豁免来只承受一半伤害的效应影响时，你在豁免成功时不受伤害，豁免失败时只承受一半伤害。你无法在失能时使用此特性。</t>
    </r>
  </si>
  <si>
    <r>
      <rPr>
        <sz val="10"/>
        <color theme="1"/>
        <rFont val="宋体"/>
        <charset val="134"/>
      </rPr>
      <t>谨慎法术</t>
    </r>
  </si>
  <si>
    <r>
      <rPr>
        <sz val="10"/>
        <color theme="1"/>
        <rFont val="宋体"/>
        <charset val="134"/>
      </rPr>
      <t>消耗：</t>
    </r>
    <r>
      <rPr>
        <sz val="10"/>
        <color theme="1"/>
        <rFont val="Times New Roman"/>
        <charset val="134"/>
      </rPr>
      <t>1</t>
    </r>
    <r>
      <rPr>
        <sz val="10"/>
        <color theme="1"/>
        <rFont val="宋体"/>
        <charset val="134"/>
      </rPr>
      <t>术法点
当你施展一个强迫其他生物进行豁免的法术时，你可以保护某些生物免受法术的危害。你消耗</t>
    </r>
    <r>
      <rPr>
        <sz val="10"/>
        <color theme="1"/>
        <rFont val="Times New Roman"/>
        <charset val="134"/>
      </rPr>
      <t>1</t>
    </r>
    <r>
      <rPr>
        <sz val="10"/>
        <color theme="1"/>
        <rFont val="宋体"/>
        <charset val="134"/>
      </rPr>
      <t>术法点并选择最多等同于你魅力调整值数量的生物（至少</t>
    </r>
    <r>
      <rPr>
        <sz val="10"/>
        <color theme="1"/>
        <rFont val="Times New Roman"/>
        <charset val="134"/>
      </rPr>
      <t>1</t>
    </r>
    <r>
      <rPr>
        <sz val="10"/>
        <color theme="1"/>
        <rFont val="宋体"/>
        <charset val="134"/>
      </rPr>
      <t>个）。被选择的生物自动通过法术的豁免检定。如果法术在豁免成功后仍然造成半伤，这些生物不会承受任何伤害。</t>
    </r>
  </si>
  <si>
    <r>
      <rPr>
        <sz val="10"/>
        <color theme="1"/>
        <rFont val="宋体"/>
        <charset val="134"/>
      </rPr>
      <t>当该护符的佩戴者被一个位于你</t>
    </r>
    <r>
      <rPr>
        <sz val="10"/>
        <color theme="1"/>
        <rFont val="Times New Roman"/>
        <charset val="134"/>
      </rPr>
      <t>30</t>
    </r>
    <r>
      <rPr>
        <sz val="10"/>
        <color theme="1"/>
        <rFont val="宋体"/>
        <charset val="134"/>
      </rPr>
      <t>尺以内你可见的攻击者命中时，你可以使用你的反应来对该攻击者造成等同于你熟练加值的心灵伤害，并将其推离护符佩戴者至多</t>
    </r>
    <r>
      <rPr>
        <sz val="10"/>
        <color theme="1"/>
        <rFont val="Times New Roman"/>
        <charset val="134"/>
      </rPr>
      <t>10</t>
    </r>
    <r>
      <rPr>
        <sz val="10"/>
        <color theme="1"/>
        <rFont val="宋体"/>
        <charset val="134"/>
      </rPr>
      <t>尺距离。
先决条件：符之魔契</t>
    </r>
  </si>
  <si>
    <r>
      <rPr>
        <sz val="10"/>
        <color theme="1"/>
        <rFont val="宋体"/>
        <charset val="134"/>
      </rPr>
      <t>替换法术书</t>
    </r>
  </si>
  <si>
    <r>
      <rPr>
        <sz val="10"/>
        <color theme="1"/>
        <rFont val="宋体"/>
        <charset val="134"/>
      </rPr>
      <t>你可以将法术从你自己的法术书复制到另一本书中。这就像将新法术复制到你的法术书中一样，但更快也更简单，因为你已经知道如何施展这些法术。复制过程只需每个法术环阶花费</t>
    </r>
    <r>
      <rPr>
        <sz val="10"/>
        <color theme="1"/>
        <rFont val="Times New Roman"/>
        <charset val="134"/>
      </rPr>
      <t>1</t>
    </r>
    <r>
      <rPr>
        <sz val="10"/>
        <color theme="1"/>
        <rFont val="宋体"/>
        <charset val="134"/>
      </rPr>
      <t>小时和</t>
    </r>
    <r>
      <rPr>
        <sz val="10"/>
        <color theme="1"/>
        <rFont val="Times New Roman"/>
        <charset val="134"/>
      </rPr>
      <t>10GP</t>
    </r>
    <r>
      <rPr>
        <sz val="10"/>
        <color theme="1"/>
        <rFont val="宋体"/>
        <charset val="134"/>
      </rPr>
      <t>。
如果你失去了你的法术书，则你可以使用相同的过程将你已准备的法师法术转录到新的法术书中。你仍需要找到新的法术来填满新书的剩余部分。出于这个原因，许多法师都会保留一本备用法术书。</t>
    </r>
  </si>
  <si>
    <r>
      <rPr>
        <sz val="10"/>
        <color theme="1"/>
        <rFont val="宋体"/>
        <charset val="134"/>
      </rPr>
      <t>奇械师子职</t>
    </r>
  </si>
  <si>
    <r>
      <rPr>
        <sz val="10"/>
        <color theme="1"/>
        <rFont val="宋体"/>
        <charset val="134"/>
      </rPr>
      <t>你选择获得一项奇械师子职。炼金师</t>
    </r>
    <r>
      <rPr>
        <sz val="10"/>
        <color theme="1"/>
        <rFont val="Times New Roman"/>
        <charset val="134"/>
      </rPr>
      <t>Alchemist</t>
    </r>
    <r>
      <rPr>
        <sz val="10"/>
        <color theme="1"/>
        <rFont val="宋体"/>
        <charset val="134"/>
      </rPr>
      <t>，装甲师</t>
    </r>
    <r>
      <rPr>
        <sz val="10"/>
        <color theme="1"/>
        <rFont val="Times New Roman"/>
        <charset val="134"/>
      </rPr>
      <t>Armorer</t>
    </r>
    <r>
      <rPr>
        <sz val="10"/>
        <color theme="1"/>
        <rFont val="宋体"/>
        <charset val="134"/>
      </rPr>
      <t>，魔炮师</t>
    </r>
    <r>
      <rPr>
        <sz val="10"/>
        <color theme="1"/>
        <rFont val="Times New Roman"/>
        <charset val="134"/>
      </rPr>
      <t>Artillerist</t>
    </r>
    <r>
      <rPr>
        <sz val="10"/>
        <color theme="1"/>
        <rFont val="宋体"/>
        <charset val="134"/>
      </rPr>
      <t>，战地匠师</t>
    </r>
    <r>
      <rPr>
        <sz val="10"/>
        <color theme="1"/>
        <rFont val="Times New Roman"/>
        <charset val="134"/>
      </rPr>
      <t>Battle Smith</t>
    </r>
    <r>
      <rPr>
        <sz val="10"/>
        <color theme="1"/>
        <rFont val="宋体"/>
        <charset val="134"/>
      </rPr>
      <t>和制图师</t>
    </r>
    <r>
      <rPr>
        <sz val="10"/>
        <color theme="1"/>
        <rFont val="Times New Roman"/>
        <charset val="134"/>
      </rPr>
      <t>Cartographer</t>
    </r>
    <r>
      <rPr>
        <sz val="10"/>
        <color theme="1"/>
        <rFont val="宋体"/>
        <charset val="134"/>
      </rPr>
      <t>，子职业会在此职业之后详细描述。子职是一种特化，在特定的奇械师等级给予你对应的独特能力。此后你将获得每一个你所选的子职的能力，只要其所需等级等于或低于你的奇械师等级。</t>
    </r>
  </si>
  <si>
    <t>生物反馈</t>
  </si>
  <si>
    <r>
      <rPr>
        <sz val="10"/>
        <color theme="1"/>
        <rFont val="宋体"/>
        <charset val="134"/>
      </rPr>
      <t>当你施展了一道死灵或变化学派的灵能使法术时，你可以消耗至多智力调整值枚灵能骰。你获得等同于骰值外加你的智力调整值（最小值为</t>
    </r>
    <r>
      <rPr>
        <sz val="10"/>
        <color theme="1"/>
        <rFont val="Times New Roman"/>
        <charset val="134"/>
      </rPr>
      <t>1</t>
    </r>
    <r>
      <rPr>
        <sz val="10"/>
        <color theme="1"/>
        <rFont val="宋体"/>
        <charset val="134"/>
      </rPr>
      <t>）临时生命值。</t>
    </r>
  </si>
  <si>
    <r>
      <rPr>
        <sz val="10"/>
        <color theme="1"/>
        <rFont val="宋体"/>
        <charset val="134"/>
      </rPr>
      <t>你获得一项战斗风格专长，选择</t>
    </r>
    <r>
      <rPr>
        <sz val="10"/>
        <color theme="1"/>
        <rFont val="Times New Roman"/>
        <charset val="134"/>
      </rPr>
      <t>1</t>
    </r>
    <r>
      <rPr>
        <sz val="10"/>
        <color theme="1"/>
        <rFont val="宋体"/>
        <charset val="134"/>
      </rPr>
      <t>项：箭术、对决、巨武器战斗或双武器战斗。</t>
    </r>
  </si>
  <si>
    <r>
      <rPr>
        <sz val="10"/>
        <color theme="1"/>
        <rFont val="宋体"/>
        <charset val="134"/>
      </rPr>
      <t>生命体征</t>
    </r>
  </si>
  <si>
    <r>
      <rPr>
        <sz val="10"/>
        <color theme="1"/>
        <rFont val="宋体"/>
        <charset val="134"/>
      </rPr>
      <t>当</t>
    </r>
    <r>
      <rPr>
        <sz val="10"/>
        <color theme="1"/>
        <rFont val="Times New Roman"/>
        <charset val="134"/>
      </rPr>
      <t>30</t>
    </r>
    <r>
      <rPr>
        <sz val="10"/>
        <color theme="1"/>
        <rFont val="宋体"/>
        <charset val="134"/>
      </rPr>
      <t>尺范围内你可见的一个生物在一次豁免检定或死亡豁免中失败时，你可以使用你的反应将你的智力调整值加到该生物的掷骰结果中，此举有可能使该检定由失败转为成功。你不能对同一个生物再次使用该理论直到你完成一次短休。</t>
    </r>
  </si>
  <si>
    <t>千钧一发</t>
  </si>
  <si>
    <t>当你可见的生物以攻击检定命中你时，你能够以反应消耗一枚风险骰来躲避危害。掷骰并将结果加入对抗那次攻击的AC，这可能令那次攻击改为失手。</t>
  </si>
  <si>
    <t>极速惩戒（被动）</t>
  </si>
  <si>
    <t>当一名受禁生物引发你的借机攻击时，你能够不消耗反应的发动借机攻击，但你不能在无法执行反应时发动该攻击。该恩惠一经使用，直至你的下一回合开始你才能再如此做。</t>
  </si>
  <si>
    <t>万钧痛击</t>
  </si>
  <si>
    <r>
      <rPr>
        <sz val="10"/>
        <color theme="1"/>
        <rFont val="宋体"/>
        <charset val="134"/>
      </rPr>
      <t>当你以徒手打击或拳斗武器发动一次攻击时，你能消耗</t>
    </r>
    <r>
      <rPr>
        <sz val="10"/>
        <color theme="1"/>
        <rFont val="Times New Roman"/>
        <charset val="134"/>
      </rPr>
      <t>1</t>
    </r>
    <r>
      <rPr>
        <sz val="10"/>
        <color theme="1"/>
        <rFont val="宋体"/>
        <charset val="134"/>
      </rPr>
      <t>点锐气来毫无保留的攻击。若命中，你重获消耗的那点锐气，且你那次攻击造成最大伤害。</t>
    </r>
  </si>
  <si>
    <r>
      <rPr>
        <sz val="10"/>
        <color theme="1"/>
        <rFont val="宋体"/>
        <charset val="134"/>
      </rPr>
      <t>魅心学院</t>
    </r>
  </si>
  <si>
    <r>
      <rPr>
        <sz val="10"/>
        <color theme="1"/>
        <rFont val="宋体"/>
        <charset val="134"/>
      </rPr>
      <t>莽驰</t>
    </r>
  </si>
  <si>
    <r>
      <rPr>
        <sz val="10"/>
        <color theme="1"/>
        <rFont val="宋体"/>
        <charset val="134"/>
      </rPr>
      <t>作为你进入狂暴的附赠动作的一部分，你可以移动至多等于你速度一半的距离。</t>
    </r>
  </si>
  <si>
    <r>
      <rPr>
        <sz val="10"/>
        <color theme="1"/>
        <rFont val="宋体"/>
        <charset val="134"/>
      </rPr>
      <t>你获得属性值提升专长（见第五章）或其他你满足条件的专长。如吟游诗人特性表所示，你还会在第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级时再次获得本特性。</t>
    </r>
    <r>
      <rPr>
        <sz val="10"/>
        <color theme="1"/>
        <rFont val="Times New Roman"/>
        <charset val="134"/>
      </rPr>
      <t xml:space="preserve"> </t>
    </r>
  </si>
  <si>
    <r>
      <rPr>
        <sz val="10"/>
        <color theme="1"/>
        <rFont val="宋体"/>
        <charset val="134"/>
      </rPr>
      <t>牧师子职</t>
    </r>
  </si>
  <si>
    <r>
      <rPr>
        <sz val="10"/>
        <color theme="1"/>
        <rFont val="宋体"/>
        <charset val="134"/>
      </rPr>
      <t>你选择获得一项牧师子职：生命领域，光明领域，</t>
    </r>
    <r>
      <rPr>
        <sz val="10"/>
        <color theme="1"/>
        <rFont val="Times New Roman"/>
        <charset val="134"/>
      </rPr>
      <t xml:space="preserve"> </t>
    </r>
    <r>
      <rPr>
        <sz val="10"/>
        <color theme="1"/>
        <rFont val="宋体"/>
        <charset val="134"/>
      </rPr>
      <t>诡术领域</t>
    </r>
    <r>
      <rPr>
        <sz val="10"/>
        <color theme="1"/>
        <rFont val="Times New Roman"/>
        <charset val="134"/>
      </rPr>
      <t xml:space="preserve"> </t>
    </r>
    <r>
      <rPr>
        <sz val="10"/>
        <color theme="1"/>
        <rFont val="宋体"/>
        <charset val="134"/>
      </rPr>
      <t>或</t>
    </r>
    <r>
      <rPr>
        <sz val="10"/>
        <color theme="1"/>
        <rFont val="Times New Roman"/>
        <charset val="134"/>
      </rPr>
      <t xml:space="preserve"> </t>
    </r>
    <r>
      <rPr>
        <sz val="10"/>
        <color theme="1"/>
        <rFont val="宋体"/>
        <charset val="134"/>
      </rPr>
      <t>战争领域。子职的内容见后文。子职是一种特化，在特定的牧师等级给予你对应的独特能力。此后你将获得你所选的子职所有能力</t>
    </r>
    <r>
      <rPr>
        <sz val="10"/>
        <color theme="1"/>
        <rFont val="Times New Roman"/>
        <charset val="134"/>
      </rPr>
      <t>——</t>
    </r>
    <r>
      <rPr>
        <sz val="10"/>
        <color theme="1"/>
        <rFont val="宋体"/>
        <charset val="134"/>
      </rPr>
      <t>只要其所需等级不超过你的牧师等级。牧师特性表列出了你从子职中获得新特性的牧师等级。</t>
    </r>
    <r>
      <rPr>
        <sz val="10"/>
        <color theme="1"/>
        <rFont val="Times New Roman"/>
        <charset val="134"/>
      </rPr>
      <t xml:space="preserve"> 
</t>
    </r>
    <r>
      <rPr>
        <sz val="10"/>
        <color theme="1"/>
        <rFont val="宋体"/>
        <charset val="134"/>
      </rPr>
      <t>牧师的每个子职都以某神明、神殿或宗教青睐的</t>
    </r>
    <r>
      <rPr>
        <sz val="10"/>
        <color theme="1"/>
        <rFont val="Times New Roman"/>
        <charset val="134"/>
      </rPr>
      <t>“</t>
    </r>
    <r>
      <rPr>
        <sz val="10"/>
        <color theme="1"/>
        <rFont val="宋体"/>
        <charset val="134"/>
      </rPr>
      <t>领域</t>
    </r>
    <r>
      <rPr>
        <sz val="10"/>
        <color theme="1"/>
        <rFont val="Times New Roman"/>
        <charset val="134"/>
      </rPr>
      <t>”</t>
    </r>
    <r>
      <rPr>
        <sz val="10"/>
        <color theme="1"/>
        <rFont val="宋体"/>
        <charset val="134"/>
      </rPr>
      <t>命名。</t>
    </r>
    <r>
      <rPr>
        <sz val="10"/>
        <color theme="1"/>
        <rFont val="Times New Roman"/>
        <charset val="134"/>
      </rPr>
      <t xml:space="preserve"> </t>
    </r>
  </si>
  <si>
    <r>
      <rPr>
        <sz val="10"/>
        <color theme="1"/>
        <rFont val="宋体"/>
        <charset val="134"/>
      </rPr>
      <t>已知形态</t>
    </r>
  </si>
  <si>
    <r>
      <rPr>
        <sz val="10"/>
        <color theme="1"/>
        <rFont val="宋体"/>
        <charset val="134"/>
      </rPr>
      <t>你一开始掌握了该特性的四种形态，从最大挑战等级</t>
    </r>
    <r>
      <rPr>
        <sz val="10"/>
        <color theme="1"/>
        <rFont val="Times New Roman"/>
        <charset val="134"/>
      </rPr>
      <t>1/4</t>
    </r>
    <r>
      <rPr>
        <sz val="10"/>
        <color theme="1"/>
        <rFont val="宋体"/>
        <charset val="134"/>
      </rPr>
      <t>且没有飞行速度的野兽（见附录</t>
    </r>
    <r>
      <rPr>
        <sz val="10"/>
        <color theme="1"/>
        <rFont val="Times New Roman"/>
        <charset val="134"/>
      </rPr>
      <t>B</t>
    </r>
    <r>
      <rPr>
        <sz val="10"/>
        <color theme="1"/>
        <rFont val="宋体"/>
        <charset val="134"/>
      </rPr>
      <t>的生物数据卡）之中选取。推荐老鼠</t>
    </r>
    <r>
      <rPr>
        <sz val="10"/>
        <color theme="1"/>
        <rFont val="Times New Roman"/>
        <charset val="134"/>
      </rPr>
      <t>Rat</t>
    </r>
    <r>
      <rPr>
        <sz val="10"/>
        <color theme="1"/>
        <rFont val="宋体"/>
        <charset val="134"/>
      </rPr>
      <t>、骑乘用马</t>
    </r>
    <r>
      <rPr>
        <sz val="10"/>
        <color theme="1"/>
        <rFont val="Times New Roman"/>
        <charset val="134"/>
      </rPr>
      <t>Riding Horse</t>
    </r>
    <r>
      <rPr>
        <sz val="10"/>
        <color theme="1"/>
        <rFont val="宋体"/>
        <charset val="134"/>
      </rPr>
      <t>、蜘蛛</t>
    </r>
    <r>
      <rPr>
        <sz val="10"/>
        <color theme="1"/>
        <rFont val="Times New Roman"/>
        <charset val="134"/>
      </rPr>
      <t>Spider</t>
    </r>
    <r>
      <rPr>
        <sz val="10"/>
        <color theme="1"/>
        <rFont val="宋体"/>
        <charset val="134"/>
      </rPr>
      <t>和狼</t>
    </r>
    <r>
      <rPr>
        <sz val="10"/>
        <color theme="1"/>
        <rFont val="Times New Roman"/>
        <charset val="134"/>
      </rPr>
      <t>Wolf</t>
    </r>
    <r>
      <rPr>
        <sz val="10"/>
        <color theme="1"/>
        <rFont val="宋体"/>
        <charset val="134"/>
      </rPr>
      <t>四种形态。当你完成一次长休时，你可以将一种你掌握的形态换为另一种能够选用的形态。
当你到达特定的德鲁伊等级后，你可以掌握新的形态，形态的最大挑战等级也会随之提升，如野兽形态表所示。此外，在</t>
    </r>
    <r>
      <rPr>
        <sz val="10"/>
        <color theme="1"/>
        <rFont val="Times New Roman"/>
        <charset val="134"/>
      </rPr>
      <t>8</t>
    </r>
    <r>
      <rPr>
        <sz val="10"/>
        <color theme="1"/>
        <rFont val="宋体"/>
        <charset val="134"/>
      </rPr>
      <t>级时，你可以使用具有飞行速度的形态。
当选择已知形态时，如果地下城主允许，你可以查阅《怪物图鉴》或其他来源并从中选择。</t>
    </r>
  </si>
  <si>
    <r>
      <rPr>
        <sz val="10"/>
        <color theme="1"/>
        <rFont val="宋体"/>
        <charset val="134"/>
      </rPr>
      <t>额外攻击（二）</t>
    </r>
  </si>
  <si>
    <r>
      <rPr>
        <sz val="10"/>
        <color theme="1"/>
        <rFont val="宋体"/>
        <charset val="134"/>
      </rPr>
      <t>你在自己回合内执行攻击动作时，可以发动三次攻击而非一次。</t>
    </r>
  </si>
  <si>
    <r>
      <rPr>
        <sz val="10"/>
        <color theme="1"/>
        <rFont val="宋体"/>
        <charset val="134"/>
      </rPr>
      <t>真力注拳</t>
    </r>
  </si>
  <si>
    <r>
      <rPr>
        <sz val="10"/>
        <color theme="1"/>
        <rFont val="宋体"/>
        <charset val="134"/>
      </rPr>
      <t>当你使用徒手打击造成伤害时，你可以选择造成力场伤害或是其原本的伤害类型。</t>
    </r>
  </si>
  <si>
    <r>
      <rPr>
        <sz val="10"/>
        <color theme="1"/>
        <rFont val="宋体"/>
        <charset val="134"/>
      </rPr>
      <t>神圣感知</t>
    </r>
  </si>
  <si>
    <r>
      <rPr>
        <sz val="10"/>
        <color theme="1"/>
        <rFont val="宋体"/>
        <charset val="134"/>
      </rPr>
      <t>以一个附赠动作，你可以扩展你的意识侦测天界生物，邪魔以及不死生物。持续</t>
    </r>
    <r>
      <rPr>
        <sz val="10"/>
        <color theme="1"/>
        <rFont val="Times New Roman"/>
        <charset val="134"/>
      </rPr>
      <t>10</t>
    </r>
    <r>
      <rPr>
        <sz val="10"/>
        <color theme="1"/>
        <rFont val="宋体"/>
        <charset val="134"/>
      </rPr>
      <t>分钟内或直到你陷入失能状态为止，你能感知到自身周围</t>
    </r>
    <r>
      <rPr>
        <sz val="10"/>
        <color theme="1"/>
        <rFont val="Times New Roman"/>
        <charset val="134"/>
      </rPr>
      <t>60</t>
    </r>
    <r>
      <rPr>
        <sz val="10"/>
        <color theme="1"/>
        <rFont val="宋体"/>
        <charset val="134"/>
      </rPr>
      <t>尺内这些生物的位置，以及它们的生物类型。你也可以侦测任何受到圣居</t>
    </r>
    <r>
      <rPr>
        <sz val="10"/>
        <color theme="1"/>
        <rFont val="Times New Roman"/>
        <charset val="134"/>
      </rPr>
      <t>Hallow</t>
    </r>
    <r>
      <rPr>
        <sz val="10"/>
        <color theme="1"/>
        <rFont val="宋体"/>
        <charset val="134"/>
      </rPr>
      <t>一类的法术祝福或亵渎的地点或物件。</t>
    </r>
  </si>
  <si>
    <r>
      <rPr>
        <sz val="10"/>
        <color theme="1"/>
        <rFont val="宋体"/>
        <charset val="134"/>
      </rPr>
      <t>你获得属性值提升专长（见第五章）或其它你满足条件的专长。你还会在你的游侠等级达到第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和第</t>
    </r>
    <r>
      <rPr>
        <sz val="10"/>
        <color theme="1"/>
        <rFont val="Times New Roman"/>
        <charset val="134"/>
      </rPr>
      <t>16</t>
    </r>
    <r>
      <rPr>
        <sz val="10"/>
        <color theme="1"/>
        <rFont val="宋体"/>
        <charset val="134"/>
      </rPr>
      <t>级时再次获得本特性。</t>
    </r>
  </si>
  <si>
    <r>
      <rPr>
        <sz val="10"/>
        <color theme="1"/>
        <rFont val="宋体"/>
        <charset val="134"/>
      </rPr>
      <t>可靠才能</t>
    </r>
  </si>
  <si>
    <r>
      <rPr>
        <sz val="10"/>
        <color theme="1"/>
        <rFont val="宋体"/>
        <charset val="134"/>
      </rPr>
      <t>每当你进行属性检定，并且可以运用你的某项技能熟练项或工具熟练项时，你可以将</t>
    </r>
    <r>
      <rPr>
        <sz val="10"/>
        <color theme="1"/>
        <rFont val="Times New Roman"/>
        <charset val="134"/>
      </rPr>
      <t>D20</t>
    </r>
    <r>
      <rPr>
        <sz val="10"/>
        <color theme="1"/>
        <rFont val="宋体"/>
        <charset val="134"/>
      </rPr>
      <t>投出的</t>
    </r>
    <r>
      <rPr>
        <sz val="10"/>
        <color theme="1"/>
        <rFont val="Times New Roman"/>
        <charset val="134"/>
      </rPr>
      <t>9</t>
    </r>
    <r>
      <rPr>
        <sz val="10"/>
        <color theme="1"/>
        <rFont val="宋体"/>
        <charset val="134"/>
      </rPr>
      <t>及以下的结果视为</t>
    </r>
    <r>
      <rPr>
        <sz val="10"/>
        <color theme="1"/>
        <rFont val="Times New Roman"/>
        <charset val="134"/>
      </rPr>
      <t>10</t>
    </r>
    <r>
      <rPr>
        <sz val="10"/>
        <color theme="1"/>
        <rFont val="宋体"/>
        <charset val="134"/>
      </rPr>
      <t>。</t>
    </r>
  </si>
  <si>
    <r>
      <rPr>
        <sz val="10"/>
        <color theme="1"/>
        <rFont val="宋体"/>
        <charset val="134"/>
      </rPr>
      <t>远程法术</t>
    </r>
  </si>
  <si>
    <r>
      <rPr>
        <sz val="10"/>
        <color theme="1"/>
        <rFont val="宋体"/>
        <charset val="134"/>
      </rPr>
      <t>消耗：</t>
    </r>
    <r>
      <rPr>
        <sz val="10"/>
        <color theme="1"/>
        <rFont val="Times New Roman"/>
        <charset val="134"/>
      </rPr>
      <t>1</t>
    </r>
    <r>
      <rPr>
        <sz val="10"/>
        <color theme="1"/>
        <rFont val="宋体"/>
        <charset val="134"/>
      </rPr>
      <t>术法点
当你施展一个射程至少为</t>
    </r>
    <r>
      <rPr>
        <sz val="10"/>
        <color theme="1"/>
        <rFont val="Times New Roman"/>
        <charset val="134"/>
      </rPr>
      <t>5</t>
    </r>
    <r>
      <rPr>
        <sz val="10"/>
        <color theme="1"/>
        <rFont val="宋体"/>
        <charset val="134"/>
      </rPr>
      <t>尺的法术时，你可以消耗</t>
    </r>
    <r>
      <rPr>
        <sz val="10"/>
        <color theme="1"/>
        <rFont val="Times New Roman"/>
        <charset val="134"/>
      </rPr>
      <t>1</t>
    </r>
    <r>
      <rPr>
        <sz val="10"/>
        <color theme="1"/>
        <rFont val="宋体"/>
        <charset val="134"/>
      </rPr>
      <t>术法点来将法术的射程翻倍。
当你施展一个射程为触及的法术时，你可以消耗</t>
    </r>
    <r>
      <rPr>
        <sz val="10"/>
        <color theme="1"/>
        <rFont val="Times New Roman"/>
        <charset val="134"/>
      </rPr>
      <t>1</t>
    </r>
    <r>
      <rPr>
        <sz val="10"/>
        <color theme="1"/>
        <rFont val="宋体"/>
        <charset val="134"/>
      </rPr>
      <t>术法点来将法术的射程改为</t>
    </r>
    <r>
      <rPr>
        <sz val="10"/>
        <color theme="1"/>
        <rFont val="Times New Roman"/>
        <charset val="134"/>
      </rPr>
      <t>30</t>
    </r>
    <r>
      <rPr>
        <sz val="10"/>
        <color theme="1"/>
        <rFont val="宋体"/>
        <charset val="134"/>
      </rPr>
      <t>尺。</t>
    </r>
  </si>
  <si>
    <r>
      <rPr>
        <sz val="10"/>
        <color theme="1"/>
        <rFont val="宋体"/>
        <charset val="134"/>
      </rPr>
      <t>契约魔法</t>
    </r>
  </si>
  <si>
    <r>
      <rPr>
        <sz val="10"/>
        <color theme="1"/>
        <rFont val="宋体"/>
        <charset val="134"/>
      </rPr>
      <t>依靠玄秘的仪式，你与一位神秘存在缔结契约以获得魔法力量。这位存在隐于影中，仅闻其声，身份不明</t>
    </r>
    <r>
      <rPr>
        <sz val="10"/>
        <color theme="1"/>
        <rFont val="Times New Roman"/>
        <charset val="134"/>
      </rPr>
      <t>——</t>
    </r>
    <r>
      <rPr>
        <sz val="10"/>
        <color theme="1"/>
        <rFont val="宋体"/>
        <charset val="134"/>
      </rPr>
      <t>但其恩泽是切实的。施法规则见第七章。下文将详述如何将这些规则应用于魔契师法术，魔契师法术详见本章后文职业描述中的魔契师法术列表。</t>
    </r>
  </si>
  <si>
    <r>
      <rPr>
        <sz val="10"/>
        <color theme="1"/>
        <rFont val="宋体"/>
        <charset val="134"/>
      </rPr>
      <t>仪式学家</t>
    </r>
  </si>
  <si>
    <r>
      <rPr>
        <sz val="10"/>
        <color theme="1"/>
        <rFont val="宋体"/>
        <charset val="134"/>
      </rPr>
      <t>你能以仪式施展你法术书中任何带有仪式</t>
    </r>
    <r>
      <rPr>
        <sz val="10"/>
        <color theme="1"/>
        <rFont val="Times New Roman"/>
        <charset val="134"/>
      </rPr>
      <t>Ritual</t>
    </r>
    <r>
      <rPr>
        <sz val="10"/>
        <color theme="1"/>
        <rFont val="宋体"/>
        <charset val="134"/>
      </rPr>
      <t>标签的法术。你不需要准备这些法术，但你以此法施展法术时必须阅读这本书。</t>
    </r>
  </si>
  <si>
    <r>
      <rPr>
        <sz val="10"/>
        <color theme="1"/>
        <rFont val="宋体"/>
        <charset val="134"/>
      </rPr>
      <t>你获得属性值提升专长（见第五章）或其他你满足条件的专长。如奇械师特性表所示，你还会在第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级时再次获得本特性。</t>
    </r>
  </si>
  <si>
    <t>强化预知</t>
  </si>
  <si>
    <r>
      <rPr>
        <sz val="10"/>
        <color theme="1"/>
        <rFont val="宋体"/>
        <charset val="134"/>
      </rPr>
      <t>当你施展了一道防护或预言学派的灵能使法术时，你能够消耗一枚灵能骰。投掷其并选择一名</t>
    </r>
    <r>
      <rPr>
        <sz val="10"/>
        <color theme="1"/>
        <rFont val="Times New Roman"/>
        <charset val="134"/>
      </rPr>
      <t>60</t>
    </r>
    <r>
      <rPr>
        <sz val="10"/>
        <color theme="1"/>
        <rFont val="宋体"/>
        <charset val="134"/>
      </rPr>
      <t>尺内你可见的生物（可以是你自己）。直至你的下个回合结束，该生物的下次</t>
    </r>
    <r>
      <rPr>
        <sz val="10"/>
        <color theme="1"/>
        <rFont val="Times New Roman"/>
        <charset val="134"/>
      </rPr>
      <t>D20</t>
    </r>
    <r>
      <rPr>
        <sz val="10"/>
        <color theme="1"/>
        <rFont val="宋体"/>
        <charset val="134"/>
      </rPr>
      <t>检定获得等于灵能骰骰值的加值。</t>
    </r>
  </si>
  <si>
    <r>
      <rPr>
        <sz val="10"/>
        <color theme="1"/>
        <rFont val="宋体"/>
        <charset val="134"/>
      </rPr>
      <t>猩红仪式</t>
    </r>
  </si>
  <si>
    <r>
      <rPr>
        <sz val="10"/>
        <color theme="1"/>
        <rFont val="宋体"/>
        <charset val="134"/>
      </rPr>
      <t>你学会消耗你自身的活力来对你的武器释放猩红仪式。以一个附赠动作，你激活任何一种你已知的猩红仪式，为一把武器注入元素能量，效果持续到你完成下次短休或长休。当你激活一个血仪时，你失去一个鲜血秘法骰的生命值。这个伤害不能被任何方式减少。
当仪式生效时，你用该武器进行的攻击是魔法攻击，并且造成等用于你鲜血秘法骰的额外伤害，一把武器只能容纳一个激活的猩红仪式。其他生物无法从你的猩红仪式中获益。当你第一次获得此特性时，你从下列的猩红仪式中学会一种。你在第</t>
    </r>
    <r>
      <rPr>
        <sz val="10"/>
        <color theme="1"/>
        <rFont val="Times New Roman"/>
        <charset val="134"/>
      </rPr>
      <t xml:space="preserve"> 7 </t>
    </r>
    <r>
      <rPr>
        <sz val="10"/>
        <color theme="1"/>
        <rFont val="宋体"/>
        <charset val="134"/>
      </rPr>
      <t>级时学会一种额外的猩红仪式，并在</t>
    </r>
    <r>
      <rPr>
        <sz val="10"/>
        <color theme="1"/>
        <rFont val="Times New Roman"/>
        <charset val="134"/>
      </rPr>
      <t xml:space="preserve"> 14 </t>
    </r>
    <r>
      <rPr>
        <sz val="10"/>
        <color theme="1"/>
        <rFont val="宋体"/>
        <charset val="134"/>
      </rPr>
      <t>级时再额外学会一种猩红仪式。</t>
    </r>
  </si>
  <si>
    <r>
      <rPr>
        <sz val="10"/>
        <color theme="1"/>
        <rFont val="宋体"/>
        <charset val="134"/>
      </rPr>
      <t>精准解剖术</t>
    </r>
  </si>
  <si>
    <r>
      <rPr>
        <sz val="10"/>
        <color theme="1"/>
        <rFont val="宋体"/>
        <charset val="134"/>
      </rPr>
      <t>当你进行一次武器攻击时，你可以在攻击和伤害掷骰上使用你的智力调整值，而不是力量或敏捷属性。</t>
    </r>
  </si>
  <si>
    <t>铳士子职</t>
  </si>
  <si>
    <t>你选择获得一项铳士子职：死瞳客，豪赌客，密间客，魔弹客，花枪客或白帽客。子职的内容见后文。子职是一种特化，在特定的铳士等级给予你对应的独特能力。此后你将获得你所选的子职所有能力——只要其所需等级不超过你的铳士等级。</t>
  </si>
  <si>
    <t>极恶之契</t>
  </si>
  <si>
    <r>
      <rPr>
        <sz val="10"/>
        <color theme="1"/>
        <rFont val="宋体"/>
        <charset val="134"/>
      </rPr>
      <t>你与一位大魔鬼签下极恶之契，受邀加入墟寂教团。从筑灭师（阿斯蒙蒂斯</t>
    </r>
    <r>
      <rPr>
        <sz val="10"/>
        <color theme="1"/>
        <rFont val="Times New Roman"/>
        <charset val="134"/>
      </rPr>
      <t>Asmodeus</t>
    </r>
    <r>
      <rPr>
        <sz val="10"/>
        <color theme="1"/>
        <rFont val="宋体"/>
        <charset val="134"/>
      </rPr>
      <t>）、狱言家（摩洛克</t>
    </r>
    <r>
      <rPr>
        <sz val="10"/>
        <color theme="1"/>
        <rFont val="Times New Roman"/>
        <charset val="134"/>
      </rPr>
      <t>Moloch</t>
    </r>
    <r>
      <rPr>
        <sz val="10"/>
        <color theme="1"/>
        <rFont val="宋体"/>
        <charset val="134"/>
      </rPr>
      <t>）、恐惧屠戮者（迪斯帕特</t>
    </r>
    <r>
      <rPr>
        <sz val="10"/>
        <color theme="1"/>
        <rFont val="Times New Roman"/>
        <charset val="134"/>
      </rPr>
      <t>Dispater</t>
    </r>
    <r>
      <rPr>
        <sz val="10"/>
        <color theme="1"/>
        <rFont val="宋体"/>
        <charset val="134"/>
      </rPr>
      <t>）、猩红骑士（苏特赫</t>
    </r>
    <r>
      <rPr>
        <sz val="10"/>
        <color theme="1"/>
        <rFont val="Times New Roman"/>
        <charset val="134"/>
      </rPr>
      <t>Sutekh</t>
    </r>
    <r>
      <rPr>
        <sz val="10"/>
        <color theme="1"/>
        <rFont val="宋体"/>
        <charset val="134"/>
      </rPr>
      <t>）、影宗（贝利亚</t>
    </r>
    <r>
      <rPr>
        <sz val="10"/>
        <color theme="1"/>
        <rFont val="Times New Roman"/>
        <charset val="134"/>
      </rPr>
      <t>Belial</t>
    </r>
    <r>
      <rPr>
        <sz val="10"/>
        <color theme="1"/>
        <rFont val="宋体"/>
        <charset val="134"/>
      </rPr>
      <t>）中选择一名作为你的大魔鬼宗主。每个子职均在后文有所详述。</t>
    </r>
    <r>
      <rPr>
        <sz val="10"/>
        <color theme="1"/>
        <rFont val="Times New Roman"/>
        <charset val="134"/>
      </rPr>
      <t xml:space="preserve"> </t>
    </r>
    <r>
      <rPr>
        <sz val="10"/>
        <color theme="1"/>
        <rFont val="宋体"/>
        <charset val="134"/>
      </rPr>
      <t>你将获得你选择的子职的</t>
    </r>
    <r>
      <rPr>
        <sz val="10"/>
        <color theme="1"/>
        <rFont val="Times New Roman"/>
        <charset val="134"/>
      </rPr>
      <t>3</t>
    </r>
    <r>
      <rPr>
        <sz val="10"/>
        <color theme="1"/>
        <rFont val="宋体"/>
        <charset val="134"/>
      </rPr>
      <t>级特性，并在</t>
    </r>
    <r>
      <rPr>
        <sz val="10"/>
        <color theme="1"/>
        <rFont val="Times New Roman"/>
        <charset val="134"/>
      </rPr>
      <t>7</t>
    </r>
    <r>
      <rPr>
        <sz val="10"/>
        <color theme="1"/>
        <rFont val="宋体"/>
        <charset val="134"/>
      </rPr>
      <t>级，</t>
    </r>
    <r>
      <rPr>
        <sz val="10"/>
        <color theme="1"/>
        <rFont val="Times New Roman"/>
        <charset val="134"/>
      </rPr>
      <t>11</t>
    </r>
    <r>
      <rPr>
        <sz val="10"/>
        <color theme="1"/>
        <rFont val="宋体"/>
        <charset val="134"/>
      </rPr>
      <t>级和</t>
    </r>
    <r>
      <rPr>
        <sz val="10"/>
        <color theme="1"/>
        <rFont val="Times New Roman"/>
        <charset val="134"/>
      </rPr>
      <t>15</t>
    </r>
    <r>
      <rPr>
        <sz val="10"/>
        <color theme="1"/>
        <rFont val="宋体"/>
        <charset val="134"/>
      </rPr>
      <t>级再次获得你所选子职的相应特性。
那些行走于地狱之路者仅凭自身的虔诚便可能获得邪狱使之力。无需誓言也无需导师指导，一些邪狱使甚至不知道墟寂教团的存在。但真正成为墟寂行者意味着向特定的九狱统治者宣誓。这通常需要教团的高级成员主持复杂的仪式，但一些虔诚的邪狱使可能通过自己做出背叛的恶绩来吸引大魔鬼的注意。
在邪狱使的路途上，无论是通过仪式或是恶绩，他们终将直面七宗城的统治者之一。此时他们将以鲜血</t>
    </r>
    <r>
      <rPr>
        <sz val="10"/>
        <color theme="1"/>
        <rFont val="Times New Roman"/>
        <charset val="134"/>
      </rPr>
      <t>——</t>
    </r>
    <r>
      <rPr>
        <sz val="10"/>
        <color theme="1"/>
        <rFont val="宋体"/>
        <charset val="134"/>
      </rPr>
      <t>通常是邪狱使自己的</t>
    </r>
    <r>
      <rPr>
        <sz val="10"/>
        <color theme="1"/>
        <rFont val="Times New Roman"/>
        <charset val="134"/>
      </rPr>
      <t>——</t>
    </r>
    <r>
      <rPr>
        <sz val="10"/>
        <color theme="1"/>
        <rFont val="宋体"/>
        <charset val="134"/>
      </rPr>
      <t>签署契约。让这名流失在外的骑士与墟寂教团相联系，并将他们的名字加入到九狱名单之中。
虽然这种经历听起来令人生畏，但九狱的统治者通常是随和的主宰，极少向他们选召之人索取任何东西。七宗城的统治者们极其忙碌，甚少关注他们手下的日常生活</t>
    </r>
    <r>
      <rPr>
        <sz val="10"/>
        <color theme="1"/>
        <rFont val="Times New Roman"/>
        <charset val="134"/>
      </rPr>
      <t>——</t>
    </r>
    <r>
      <rPr>
        <sz val="10"/>
        <color theme="1"/>
        <rFont val="宋体"/>
        <charset val="134"/>
      </rPr>
      <t>甚至包括那些违反戒律的行为。只要这些骑士们还在散播龃龉、对抗天族大军，他们就能成功推进九狱的计划。</t>
    </r>
  </si>
  <si>
    <t>锐不可当</t>
  </si>
  <si>
    <t>当你以徒手打击或以临时武器发动的攻击造成伤害时，你可以选择造成力场伤害或是其原本的伤害类型。</t>
  </si>
  <si>
    <r>
      <rPr>
        <sz val="10"/>
        <color theme="1"/>
        <rFont val="宋体"/>
        <charset val="134"/>
      </rPr>
      <t>逸闻学院</t>
    </r>
  </si>
  <si>
    <r>
      <rPr>
        <sz val="10"/>
        <color theme="1"/>
        <rFont val="宋体"/>
        <charset val="134"/>
      </rPr>
      <t>凶蛮打击</t>
    </r>
  </si>
  <si>
    <r>
      <rPr>
        <sz val="10"/>
        <color theme="1"/>
        <rFont val="宋体"/>
        <charset val="134"/>
      </rPr>
      <t>如果你使用了鲁莽攻击，你可以放弃本回合你选择的一次基于力量的攻击检定具有的所有优势（不可选择具有劣势的攻击检定）。被选择的攻击检定命中时，目标将受到</t>
    </r>
    <r>
      <rPr>
        <sz val="10"/>
        <color theme="1"/>
        <rFont val="Times New Roman"/>
        <charset val="134"/>
      </rPr>
      <t>1d10</t>
    </r>
    <r>
      <rPr>
        <sz val="10"/>
        <color theme="1"/>
        <rFont val="宋体"/>
        <charset val="134"/>
      </rPr>
      <t>的额外伤害，伤害类型与此次攻击所使用的武器或徒手打击造成的伤害类型相同，并且你可以造成一种你所选的凶蛮打击效应。你具有以下效应选项：</t>
    </r>
    <r>
      <rPr>
        <sz val="10"/>
        <color theme="1"/>
        <rFont val="Times New Roman"/>
        <charset val="134"/>
      </rPr>
      <t xml:space="preserve"> 
</t>
    </r>
    <r>
      <rPr>
        <sz val="10"/>
        <color theme="1"/>
        <rFont val="宋体"/>
        <charset val="134"/>
      </rPr>
      <t>巨力猛击</t>
    </r>
    <r>
      <rPr>
        <sz val="10"/>
        <color theme="1"/>
        <rFont val="Times New Roman"/>
        <charset val="134"/>
      </rPr>
      <t xml:space="preserve">Forceful Blow </t>
    </r>
    <r>
      <rPr>
        <sz val="10"/>
        <color theme="1"/>
        <rFont val="宋体"/>
        <charset val="134"/>
      </rPr>
      <t>。目标被你直线推开</t>
    </r>
    <r>
      <rPr>
        <sz val="10"/>
        <color theme="1"/>
        <rFont val="Times New Roman"/>
        <charset val="134"/>
      </rPr>
      <t>15</t>
    </r>
    <r>
      <rPr>
        <sz val="10"/>
        <color theme="1"/>
        <rFont val="宋体"/>
        <charset val="134"/>
      </rPr>
      <t>尺距离。随后你可以立刻向该目标移动至多等于你速度一半的距离，并且不会引发借机攻击。</t>
    </r>
    <r>
      <rPr>
        <sz val="10"/>
        <color theme="1"/>
        <rFont val="Times New Roman"/>
        <charset val="134"/>
      </rPr>
      <t xml:space="preserve"> 
</t>
    </r>
    <r>
      <rPr>
        <sz val="10"/>
        <color theme="1"/>
        <rFont val="宋体"/>
        <charset val="134"/>
      </rPr>
      <t>断筋猛击</t>
    </r>
    <r>
      <rPr>
        <sz val="10"/>
        <color theme="1"/>
        <rFont val="Times New Roman"/>
        <charset val="134"/>
      </rPr>
      <t xml:space="preserve">Hamstring Blow </t>
    </r>
    <r>
      <rPr>
        <sz val="10"/>
        <color theme="1"/>
        <rFont val="宋体"/>
        <charset val="134"/>
      </rPr>
      <t>。直至你的下个回合开始，目标的速度降低</t>
    </r>
    <r>
      <rPr>
        <sz val="10"/>
        <color theme="1"/>
        <rFont val="Times New Roman"/>
        <charset val="134"/>
      </rPr>
      <t>15</t>
    </r>
    <r>
      <rPr>
        <sz val="10"/>
        <color theme="1"/>
        <rFont val="宋体"/>
        <charset val="134"/>
      </rPr>
      <t>尺。一个生物同一时间只会受到最近一次断筋猛击的影响。</t>
    </r>
  </si>
  <si>
    <r>
      <rPr>
        <sz val="10"/>
        <color theme="1"/>
        <rFont val="宋体"/>
        <charset val="134"/>
      </rPr>
      <t>激励之源</t>
    </r>
  </si>
  <si>
    <r>
      <rPr>
        <sz val="10"/>
        <color theme="1"/>
        <rFont val="宋体"/>
        <charset val="134"/>
      </rPr>
      <t>现在，当你完成一次短休或长休时，你重获所有已消耗的诗人激励使用次数。
此外，你可以消耗一个法术位（无需动作）来重获一次已消耗的诗人激励使用次数。</t>
    </r>
    <r>
      <rPr>
        <sz val="10"/>
        <color theme="1"/>
        <rFont val="Times New Roman"/>
        <charset val="134"/>
      </rPr>
      <t xml:space="preserve"> </t>
    </r>
  </si>
  <si>
    <r>
      <rPr>
        <sz val="10"/>
        <color theme="1"/>
        <rFont val="宋体"/>
        <charset val="134"/>
      </rPr>
      <t>你获得属性值提升专长（见第五章）或其它你满足条件的专长。如牧师特性表所示，你在第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级时会再次获得本特性。</t>
    </r>
  </si>
  <si>
    <r>
      <rPr>
        <sz val="10"/>
        <color theme="1"/>
        <rFont val="宋体"/>
        <charset val="134"/>
      </rPr>
      <t>野兽形态</t>
    </r>
  </si>
  <si>
    <r>
      <rPr>
        <sz val="10"/>
        <color theme="1"/>
        <rFont val="宋体"/>
        <charset val="134"/>
      </rPr>
      <t>德鲁伊等级</t>
    </r>
    <r>
      <rPr>
        <sz val="10"/>
        <color theme="1"/>
        <rFont val="Times New Roman"/>
        <charset val="134"/>
      </rPr>
      <t xml:space="preserve"> </t>
    </r>
    <r>
      <rPr>
        <sz val="10"/>
        <color theme="1"/>
        <rFont val="宋体"/>
        <charset val="134"/>
      </rPr>
      <t>已知形态</t>
    </r>
    <r>
      <rPr>
        <sz val="10"/>
        <color theme="1"/>
        <rFont val="Times New Roman"/>
        <charset val="134"/>
      </rPr>
      <t xml:space="preserve"> </t>
    </r>
    <r>
      <rPr>
        <sz val="10"/>
        <color theme="1"/>
        <rFont val="宋体"/>
        <charset val="134"/>
      </rPr>
      <t>最大挑战等级</t>
    </r>
    <r>
      <rPr>
        <sz val="10"/>
        <color theme="1"/>
        <rFont val="Times New Roman"/>
        <charset val="134"/>
      </rPr>
      <t xml:space="preserve"> </t>
    </r>
    <r>
      <rPr>
        <sz val="10"/>
        <color theme="1"/>
        <rFont val="宋体"/>
        <charset val="134"/>
      </rPr>
      <t>飞行速度
　　</t>
    </r>
    <r>
      <rPr>
        <sz val="10"/>
        <color theme="1"/>
        <rFont val="Times New Roman"/>
        <charset val="134"/>
      </rPr>
      <t>2</t>
    </r>
    <r>
      <rPr>
        <sz val="10"/>
        <color theme="1"/>
        <rFont val="宋体"/>
        <charset val="134"/>
      </rPr>
      <t>　　　　</t>
    </r>
    <r>
      <rPr>
        <sz val="10"/>
        <color theme="1"/>
        <rFont val="Times New Roman"/>
        <charset val="134"/>
      </rPr>
      <t>4</t>
    </r>
    <r>
      <rPr>
        <sz val="10"/>
        <color theme="1"/>
        <rFont val="宋体"/>
        <charset val="134"/>
      </rPr>
      <t>　　　　</t>
    </r>
    <r>
      <rPr>
        <sz val="10"/>
        <color theme="1"/>
        <rFont val="Times New Roman"/>
        <charset val="134"/>
      </rPr>
      <t>1/4</t>
    </r>
    <r>
      <rPr>
        <sz val="10"/>
        <color theme="1"/>
        <rFont val="宋体"/>
        <charset val="134"/>
      </rPr>
      <t>　　　　无
　　</t>
    </r>
    <r>
      <rPr>
        <sz val="10"/>
        <color theme="1"/>
        <rFont val="Times New Roman"/>
        <charset val="134"/>
      </rPr>
      <t>4</t>
    </r>
    <r>
      <rPr>
        <sz val="10"/>
        <color theme="1"/>
        <rFont val="宋体"/>
        <charset val="134"/>
      </rPr>
      <t>　　　　</t>
    </r>
    <r>
      <rPr>
        <sz val="10"/>
        <color theme="1"/>
        <rFont val="Times New Roman"/>
        <charset val="134"/>
      </rPr>
      <t>6</t>
    </r>
    <r>
      <rPr>
        <sz val="10"/>
        <color theme="1"/>
        <rFont val="宋体"/>
        <charset val="134"/>
      </rPr>
      <t>　　　　</t>
    </r>
    <r>
      <rPr>
        <sz val="10"/>
        <color theme="1"/>
        <rFont val="Times New Roman"/>
        <charset val="134"/>
      </rPr>
      <t>1/2</t>
    </r>
    <r>
      <rPr>
        <sz val="10"/>
        <color theme="1"/>
        <rFont val="宋体"/>
        <charset val="134"/>
      </rPr>
      <t>　　　　无
　　</t>
    </r>
    <r>
      <rPr>
        <sz val="10"/>
        <color theme="1"/>
        <rFont val="Times New Roman"/>
        <charset val="134"/>
      </rPr>
      <t>8</t>
    </r>
    <r>
      <rPr>
        <sz val="10"/>
        <color theme="1"/>
        <rFont val="宋体"/>
        <charset val="134"/>
      </rPr>
      <t>　　　　</t>
    </r>
    <r>
      <rPr>
        <sz val="10"/>
        <color theme="1"/>
        <rFont val="Times New Roman"/>
        <charset val="134"/>
      </rPr>
      <t>8</t>
    </r>
    <r>
      <rPr>
        <sz val="10"/>
        <color theme="1"/>
        <rFont val="宋体"/>
        <charset val="134"/>
      </rPr>
      <t>　　　　</t>
    </r>
    <r>
      <rPr>
        <sz val="10"/>
        <color theme="1"/>
        <rFont val="Times New Roman"/>
        <charset val="134"/>
      </rPr>
      <t>1</t>
    </r>
    <r>
      <rPr>
        <sz val="10"/>
        <color theme="1"/>
        <rFont val="宋体"/>
        <charset val="134"/>
      </rPr>
      <t>　　　　　有</t>
    </r>
  </si>
  <si>
    <r>
      <rPr>
        <sz val="10"/>
        <color theme="1"/>
        <rFont val="宋体"/>
        <charset val="134"/>
      </rPr>
      <t>究明攻击</t>
    </r>
  </si>
  <si>
    <r>
      <rPr>
        <sz val="10"/>
        <color theme="1"/>
        <rFont val="宋体"/>
        <charset val="134"/>
      </rPr>
      <t>你已深晓对手的一举一动，并且从每次攻击中吸取经验教训。如果你对一个生物进行攻击检定但失手，那么直到你的下个合结束前，你对其的下次攻击检定具有优势。</t>
    </r>
  </si>
  <si>
    <r>
      <rPr>
        <sz val="10"/>
        <color theme="1"/>
        <rFont val="宋体"/>
        <charset val="134"/>
      </rPr>
      <t>你在成为某一效应影响对象时，若该效应允许你通过成功的敏捷豁免来使伤害减半，则你在该豁免成功时不受伤害，而豁免失败时只受一半伤害。
如果你处于失能状态，则你无法从此特性中受益。</t>
    </r>
  </si>
  <si>
    <r>
      <rPr>
        <sz val="10"/>
        <color theme="1"/>
        <rFont val="宋体"/>
        <charset val="134"/>
      </rPr>
      <t>圣武士子职</t>
    </r>
  </si>
  <si>
    <r>
      <rPr>
        <sz val="10"/>
        <color theme="1"/>
        <rFont val="宋体"/>
        <charset val="134"/>
      </rPr>
      <t>你选择获得一项圣武士子职，从以下选择一项：奉献之誓、</t>
    </r>
    <r>
      <rPr>
        <sz val="10"/>
        <color theme="1"/>
        <rFont val="Times New Roman"/>
        <charset val="134"/>
      </rPr>
      <t xml:space="preserve"> </t>
    </r>
    <r>
      <rPr>
        <sz val="10"/>
        <color theme="1"/>
        <rFont val="宋体"/>
        <charset val="134"/>
      </rPr>
      <t>荣耀之誓、</t>
    </r>
    <r>
      <rPr>
        <sz val="10"/>
        <color theme="1"/>
        <rFont val="Times New Roman"/>
        <charset val="134"/>
      </rPr>
      <t xml:space="preserve"> </t>
    </r>
    <r>
      <rPr>
        <sz val="10"/>
        <color theme="1"/>
        <rFont val="宋体"/>
        <charset val="134"/>
      </rPr>
      <t>古贤之誓以及复仇之誓。这些子职会在此职业的描述后详细说明。子职是一种特化能力，会在特定的圣武士等级等级给予你对应的独特能力。此后你将获得你所选子职的所有能力</t>
    </r>
    <r>
      <rPr>
        <sz val="10"/>
        <color theme="1"/>
        <rFont val="Times New Roman"/>
        <charset val="134"/>
      </rPr>
      <t>——</t>
    </r>
    <r>
      <rPr>
        <sz val="10"/>
        <color theme="1"/>
        <rFont val="宋体"/>
        <charset val="134"/>
      </rPr>
      <t>只要其所需等级不超过你的圣武士等级。圣武士特性表列出了你从子职中获得新特性的圣武士等级。
圣武士的每个子职都代表了该圣武士成为圣武士时所需要遵守的誓言主体。其誓言的最终版本</t>
    </r>
    <r>
      <rPr>
        <sz val="10"/>
        <color theme="1"/>
        <rFont val="Times New Roman"/>
        <charset val="134"/>
      </rPr>
      <t>——</t>
    </r>
    <r>
      <rPr>
        <sz val="10"/>
        <color theme="1"/>
        <rFont val="宋体"/>
        <charset val="134"/>
      </rPr>
      <t>即圣武士在第</t>
    </r>
    <r>
      <rPr>
        <sz val="10"/>
        <color theme="1"/>
        <rFont val="Times New Roman"/>
        <charset val="134"/>
      </rPr>
      <t xml:space="preserve"> 3</t>
    </r>
    <r>
      <rPr>
        <sz val="10"/>
        <color theme="1"/>
        <rFont val="宋体"/>
        <charset val="134"/>
      </rPr>
      <t>级时所选择的神圣誓言</t>
    </r>
    <r>
      <rPr>
        <sz val="10"/>
        <color theme="1"/>
        <rFont val="Times New Roman"/>
        <charset val="134"/>
      </rPr>
      <t>——</t>
    </r>
    <r>
      <rPr>
        <sz val="10"/>
        <color theme="1"/>
        <rFont val="宋体"/>
        <charset val="134"/>
      </rPr>
      <t>乃是其此前所有圣武士训练的总结。某些拥有圣武士等级的角色认为，作为未达到第</t>
    </r>
    <r>
      <rPr>
        <sz val="10"/>
        <color theme="1"/>
        <rFont val="Times New Roman"/>
        <charset val="134"/>
      </rPr>
      <t>3</t>
    </r>
    <r>
      <rPr>
        <sz val="10"/>
        <color theme="1"/>
        <rFont val="宋体"/>
        <charset val="134"/>
      </rPr>
      <t>级并立下誓言的自己并不是真正的圣武士。而另一些圣武士则将立下誓言的行为视为对自己内心信仰的一种正式确认。</t>
    </r>
  </si>
  <si>
    <r>
      <rPr>
        <sz val="10"/>
        <color theme="1"/>
        <rFont val="宋体"/>
        <charset val="134"/>
      </rPr>
      <t>进阶诡诈打击</t>
    </r>
  </si>
  <si>
    <r>
      <rPr>
        <sz val="10"/>
        <color theme="1"/>
        <rFont val="宋体"/>
        <charset val="134"/>
      </rPr>
      <t>你在造成偷袭伤害时可以一次性选用两种诡诈打击效果，每种效果都需要独立扣除对应的偷袭伤害骰。</t>
    </r>
  </si>
  <si>
    <r>
      <rPr>
        <sz val="10"/>
        <color theme="1"/>
        <rFont val="宋体"/>
        <charset val="134"/>
      </rPr>
      <t>强效法术</t>
    </r>
  </si>
  <si>
    <r>
      <rPr>
        <sz val="10"/>
        <color theme="1"/>
        <rFont val="宋体"/>
        <charset val="134"/>
      </rPr>
      <t>消耗：</t>
    </r>
    <r>
      <rPr>
        <sz val="10"/>
        <color theme="1"/>
        <rFont val="Times New Roman"/>
        <charset val="134"/>
      </rPr>
      <t>1</t>
    </r>
    <r>
      <rPr>
        <sz val="10"/>
        <color theme="1"/>
        <rFont val="宋体"/>
        <charset val="134"/>
      </rPr>
      <t>术法点
当你为一个法术进行伤害掷骰时，你可以消耗</t>
    </r>
    <r>
      <rPr>
        <sz val="10"/>
        <color theme="1"/>
        <rFont val="Times New Roman"/>
        <charset val="134"/>
      </rPr>
      <t>1</t>
    </r>
    <r>
      <rPr>
        <sz val="10"/>
        <color theme="1"/>
        <rFont val="宋体"/>
        <charset val="134"/>
      </rPr>
      <t>术法点来重掷最多等同于你魅力调整值数量的伤害骰（至少一个），你必须使用新的结果。
即使你已经在一道法术上使用了其他超魔，你仍然可以使用强效法术。</t>
    </r>
  </si>
  <si>
    <r>
      <rPr>
        <sz val="10"/>
        <color theme="1"/>
        <rFont val="宋体"/>
        <charset val="134"/>
      </rPr>
      <t>你习得两个魔契师戏法。推荐选择魔能爆</t>
    </r>
    <r>
      <rPr>
        <sz val="10"/>
        <color theme="1"/>
        <rFont val="Times New Roman"/>
        <charset val="134"/>
      </rPr>
      <t>Eldritch Blast</t>
    </r>
    <r>
      <rPr>
        <sz val="10"/>
        <color theme="1"/>
        <rFont val="宋体"/>
        <charset val="134"/>
      </rPr>
      <t>和魔法伎俩</t>
    </r>
    <r>
      <rPr>
        <sz val="10"/>
        <color theme="1"/>
        <rFont val="Times New Roman"/>
        <charset val="134"/>
      </rPr>
      <t>Prestidigitation</t>
    </r>
    <r>
      <rPr>
        <sz val="10"/>
        <color theme="1"/>
        <rFont val="宋体"/>
        <charset val="134"/>
      </rPr>
      <t>。每当你获得一级魔契师等级，你便可以将一个已知戏法替换为另一个你所选的魔契师戏法。
当你在此职业上达到</t>
    </r>
    <r>
      <rPr>
        <sz val="10"/>
        <color theme="1"/>
        <rFont val="Times New Roman"/>
        <charset val="134"/>
      </rPr>
      <t>4</t>
    </r>
    <r>
      <rPr>
        <sz val="10"/>
        <color theme="1"/>
        <rFont val="宋体"/>
        <charset val="134"/>
      </rPr>
      <t>级和</t>
    </r>
    <r>
      <rPr>
        <sz val="10"/>
        <color theme="1"/>
        <rFont val="Times New Roman"/>
        <charset val="134"/>
      </rPr>
      <t>10</t>
    </r>
    <r>
      <rPr>
        <sz val="10"/>
        <color theme="1"/>
        <rFont val="宋体"/>
        <charset val="134"/>
      </rPr>
      <t>级时，你习得一个额外的魔契师戏法，如魔契师特性表中戏法数量一栏所示。</t>
    </r>
  </si>
  <si>
    <r>
      <rPr>
        <sz val="10"/>
        <color theme="1"/>
        <rFont val="宋体"/>
        <charset val="134"/>
      </rPr>
      <t>奥术回想</t>
    </r>
  </si>
  <si>
    <r>
      <rPr>
        <sz val="10"/>
        <color theme="1"/>
        <rFont val="宋体"/>
        <charset val="134"/>
      </rPr>
      <t>你学会了通过研读法术书来恢复魔法能量的办法。你完成一次短休后，可以选择恢复已消耗的法术位。所恢复的法术位环阶总和不得大于你法师等级的一半（向上取整），且任何一个法术位的环阶都必须小于六环。例如，作为一名</t>
    </r>
    <r>
      <rPr>
        <sz val="10"/>
        <color theme="1"/>
        <rFont val="Times New Roman"/>
        <charset val="134"/>
      </rPr>
      <t>4</t>
    </r>
    <r>
      <rPr>
        <sz val="10"/>
        <color theme="1"/>
        <rFont val="宋体"/>
        <charset val="134"/>
      </rPr>
      <t>级法师时，你可恢复环阶总数最多为二的法术位。你可以选择恢复一个二环法术位或两个一环法术位。
此特性一经使用，直至完成长休你都无法再次使用。</t>
    </r>
  </si>
  <si>
    <r>
      <rPr>
        <sz val="10"/>
        <color theme="1"/>
        <rFont val="宋体"/>
        <charset val="134"/>
      </rPr>
      <t>魔法物品工艺师</t>
    </r>
  </si>
  <si>
    <r>
      <rPr>
        <sz val="10"/>
        <color theme="1"/>
        <rFont val="宋体"/>
        <charset val="134"/>
      </rPr>
      <t>你的仿制魔法物品特性获得以下提升：</t>
    </r>
    <r>
      <rPr>
        <sz val="10"/>
        <color theme="1"/>
        <rFont val="Times New Roman"/>
        <charset val="134"/>
      </rPr>
      <t xml:space="preserve">
</t>
    </r>
    <r>
      <rPr>
        <sz val="10"/>
        <color theme="1"/>
        <rFont val="宋体"/>
        <charset val="134"/>
      </rPr>
      <t>充能魔法物品</t>
    </r>
    <r>
      <rPr>
        <sz val="10"/>
        <color theme="1"/>
        <rFont val="Times New Roman"/>
        <charset val="134"/>
      </rPr>
      <t>Charge Magic Item</t>
    </r>
    <r>
      <rPr>
        <sz val="10"/>
        <color theme="1"/>
        <rFont val="宋体"/>
        <charset val="134"/>
      </rPr>
      <t>。以一个附赠动作，你可以触碰</t>
    </r>
    <r>
      <rPr>
        <sz val="10"/>
        <color theme="1"/>
        <rFont val="Times New Roman"/>
        <charset val="134"/>
      </rPr>
      <t>5</t>
    </r>
    <r>
      <rPr>
        <sz val="10"/>
        <color theme="1"/>
        <rFont val="宋体"/>
        <charset val="134"/>
      </rPr>
      <t>尺内的一件你用仿制魔法物品创造的魔法物品，并使用充能。你充能这件物品并花费一个不低于一环的法术位。该物品获得的充能数量等于所花费的法术位环阶。</t>
    </r>
    <r>
      <rPr>
        <sz val="10"/>
        <color theme="1"/>
        <rFont val="Times New Roman"/>
        <charset val="134"/>
      </rPr>
      <t xml:space="preserve">
</t>
    </r>
    <r>
      <rPr>
        <sz val="10"/>
        <color theme="1"/>
        <rFont val="宋体"/>
        <charset val="134"/>
      </rPr>
      <t>汲取魔法物品</t>
    </r>
    <r>
      <rPr>
        <sz val="10"/>
        <color theme="1"/>
        <rFont val="Times New Roman"/>
        <charset val="134"/>
      </rPr>
      <t>Drain Magic Item</t>
    </r>
    <r>
      <rPr>
        <sz val="10"/>
        <color theme="1"/>
        <rFont val="宋体"/>
        <charset val="134"/>
      </rPr>
      <t>。以一个附赠动作，你可以触碰</t>
    </r>
    <r>
      <rPr>
        <sz val="10"/>
        <color theme="1"/>
        <rFont val="Times New Roman"/>
        <charset val="134"/>
      </rPr>
      <t>5</t>
    </r>
    <r>
      <rPr>
        <sz val="10"/>
        <color theme="1"/>
        <rFont val="宋体"/>
        <charset val="134"/>
      </rPr>
      <t>尺内的一件你用仿制魔法物品创造的魔法物品，并让这件物品消失，将其魔法能量转变为一个法术位。如果这件物品为普通，则法术位为一环，或如果这件物品为非普通或珍稀，则法术位为二环。一旦你使用了此特性，直到完成一次长休前，你无法再这么做。任何以此特性创造的法术位会在你完成长休时消失。</t>
    </r>
    <r>
      <rPr>
        <sz val="10"/>
        <color theme="1"/>
        <rFont val="Times New Roman"/>
        <charset val="134"/>
      </rPr>
      <t xml:space="preserve">
</t>
    </r>
    <r>
      <rPr>
        <sz val="10"/>
        <color theme="1"/>
        <rFont val="宋体"/>
        <charset val="134"/>
      </rPr>
      <t>转变魔法物品</t>
    </r>
    <r>
      <rPr>
        <sz val="10"/>
        <color theme="1"/>
        <rFont val="Times New Roman"/>
        <charset val="134"/>
      </rPr>
      <t>Transmute Magic Item</t>
    </r>
    <r>
      <rPr>
        <sz val="10"/>
        <color theme="1"/>
        <rFont val="宋体"/>
        <charset val="134"/>
      </rPr>
      <t>。</t>
    </r>
    <r>
      <rPr>
        <sz val="10"/>
        <color theme="1"/>
        <rFont val="Times New Roman"/>
        <charset val="134"/>
      </rPr>
      <t xml:space="preserve"> </t>
    </r>
    <r>
      <rPr>
        <sz val="10"/>
        <color theme="1"/>
        <rFont val="宋体"/>
        <charset val="134"/>
      </rPr>
      <t>以一个魔法动作，你可以触碰</t>
    </r>
    <r>
      <rPr>
        <sz val="10"/>
        <color theme="1"/>
        <rFont val="Times New Roman"/>
        <charset val="134"/>
      </rPr>
      <t>5</t>
    </r>
    <r>
      <rPr>
        <sz val="10"/>
        <color theme="1"/>
        <rFont val="宋体"/>
        <charset val="134"/>
      </rPr>
      <t>尺内的一件你用仿制魔法物品创造的魔法物品，并将其转变为一件不同的魔法物品。最终的物品必须基于你所知晓的魔法物品方案。此特性一经使用，直至完成长休你都无法再次使用。</t>
    </r>
  </si>
  <si>
    <t>破坏思维</t>
  </si>
  <si>
    <r>
      <rPr>
        <sz val="10"/>
        <color theme="1"/>
        <rFont val="宋体"/>
        <charset val="134"/>
      </rPr>
      <t>当你施展了一道咒法或塑能学派的灵能使法术，并迫使一名你可见的生物对抗法术进行豁免时，你能够消耗并投掷至多等于你智力调整值枚灵能骰。无论豁免结果如何，该生物受到等同于骰值外加你的智力调整值（最小值为</t>
    </r>
    <r>
      <rPr>
        <sz val="10"/>
        <color theme="1"/>
        <rFont val="Times New Roman"/>
        <charset val="134"/>
      </rPr>
      <t>1</t>
    </r>
    <r>
      <rPr>
        <sz val="10"/>
        <color theme="1"/>
        <rFont val="宋体"/>
        <charset val="134"/>
      </rPr>
      <t>）点心灵伤害。</t>
    </r>
  </si>
  <si>
    <r>
      <rPr>
        <sz val="10"/>
        <color theme="1"/>
        <rFont val="宋体"/>
        <charset val="134"/>
      </rPr>
      <t>烈焰血仪</t>
    </r>
  </si>
  <si>
    <r>
      <rPr>
        <sz val="10"/>
        <color theme="1"/>
        <rFont val="宋体"/>
        <charset val="134"/>
      </rPr>
      <t>猩红仪式造成的额外伤害是火焰伤害。</t>
    </r>
  </si>
  <si>
    <r>
      <rPr>
        <sz val="10"/>
        <color theme="1"/>
        <rFont val="宋体"/>
        <charset val="134"/>
      </rPr>
      <t>病榻话术</t>
    </r>
  </si>
  <si>
    <r>
      <rPr>
        <sz val="10"/>
        <color theme="1"/>
        <rFont val="宋体"/>
        <charset val="134"/>
      </rPr>
      <t>你获得洞悉和说服技能的熟练。你以这些技能进行任何属性检定时获得双倍的熟练加值。</t>
    </r>
  </si>
  <si>
    <t>你获得属性值提升专长（见第五章）或其他你满足条件的专长。如铳士特性表所示，你还会在第8，第12，第16级时再次获得本特性。</t>
  </si>
  <si>
    <t>招引狱力</t>
  </si>
  <si>
    <r>
      <rPr>
        <sz val="10"/>
        <color theme="1"/>
        <rFont val="宋体"/>
        <charset val="134"/>
      </rPr>
      <t>你能靠极恶契约引导炼狱能量来强化魔法效应。你选择的极恶之契赋予你两项招引狱力选项，并描述了如何使用每个选项。
当你使用招引狱力时，你可以选择使用哪个选项。你必须完成短休或长休才能再次使用招引狱力。
某些招引狱力效应需要豁免。当你使用此类效应时，</t>
    </r>
    <r>
      <rPr>
        <sz val="10"/>
        <color theme="1"/>
        <rFont val="Times New Roman"/>
        <charset val="134"/>
      </rPr>
      <t>DC</t>
    </r>
    <r>
      <rPr>
        <sz val="10"/>
        <color theme="1"/>
        <rFont val="宋体"/>
        <charset val="134"/>
      </rPr>
      <t>等于你的禁令豁免</t>
    </r>
    <r>
      <rPr>
        <sz val="10"/>
        <color theme="1"/>
        <rFont val="Times New Roman"/>
        <charset val="134"/>
      </rPr>
      <t>DC</t>
    </r>
    <r>
      <rPr>
        <sz val="10"/>
        <color theme="1"/>
        <rFont val="宋体"/>
        <charset val="134"/>
      </rPr>
      <t>。</t>
    </r>
  </si>
  <si>
    <t>一线胜机</t>
  </si>
  <si>
    <r>
      <rPr>
        <sz val="10"/>
        <color theme="1"/>
        <rFont val="宋体"/>
        <charset val="134"/>
      </rPr>
      <t>当你在浴血期间使用浴血奋战时，你能令你的徒手打击和拳斗武器发动的攻击造成的伤害获得加值，持续</t>
    </r>
    <r>
      <rPr>
        <sz val="10"/>
        <color theme="1"/>
        <rFont val="Times New Roman"/>
        <charset val="134"/>
      </rPr>
      <t>1</t>
    </r>
    <r>
      <rPr>
        <sz val="10"/>
        <color theme="1"/>
        <rFont val="宋体"/>
        <charset val="134"/>
      </rPr>
      <t>分钟。加值等于你的体质调整值加你的力竭等级。
此特性一经使用，直至完成长休你都无法再次使用。</t>
    </r>
  </si>
  <si>
    <r>
      <rPr>
        <sz val="10"/>
        <color theme="1"/>
        <rFont val="宋体"/>
        <charset val="134"/>
      </rPr>
      <t>勇气学院</t>
    </r>
  </si>
  <si>
    <r>
      <rPr>
        <sz val="10"/>
        <color theme="1"/>
        <rFont val="宋体"/>
        <charset val="134"/>
      </rPr>
      <t>坚韧狂暴</t>
    </r>
  </si>
  <si>
    <r>
      <rPr>
        <sz val="10"/>
        <color theme="1"/>
        <rFont val="宋体"/>
        <charset val="134"/>
      </rPr>
      <t>你狂暴的力量让你即使身受重伤也能持续战斗。狂暴激活期间，如果你的生命值降至</t>
    </r>
    <r>
      <rPr>
        <sz val="10"/>
        <color theme="1"/>
        <rFont val="Times New Roman"/>
        <charset val="134"/>
      </rPr>
      <t>0</t>
    </r>
    <r>
      <rPr>
        <sz val="10"/>
        <color theme="1"/>
        <rFont val="宋体"/>
        <charset val="134"/>
      </rPr>
      <t>且并未立即死亡，则你可以进行一次</t>
    </r>
    <r>
      <rPr>
        <sz val="10"/>
        <color theme="1"/>
        <rFont val="Times New Roman"/>
        <charset val="134"/>
      </rPr>
      <t>DC10</t>
    </r>
    <r>
      <rPr>
        <sz val="10"/>
        <color theme="1"/>
        <rFont val="宋体"/>
        <charset val="134"/>
      </rPr>
      <t>的体质豁免检定。成功则作为替代，你的生命值将变为你野蛮人等级的两倍。
第一次使用此特性后，每当你再次使用此特性时其体质豁免</t>
    </r>
    <r>
      <rPr>
        <sz val="10"/>
        <color theme="1"/>
        <rFont val="Times New Roman"/>
        <charset val="134"/>
      </rPr>
      <t>DC</t>
    </r>
    <r>
      <rPr>
        <sz val="10"/>
        <color theme="1"/>
        <rFont val="宋体"/>
        <charset val="134"/>
      </rPr>
      <t>提升</t>
    </r>
    <r>
      <rPr>
        <sz val="10"/>
        <color theme="1"/>
        <rFont val="Times New Roman"/>
        <charset val="134"/>
      </rPr>
      <t>5</t>
    </r>
    <r>
      <rPr>
        <sz val="10"/>
        <color theme="1"/>
        <rFont val="宋体"/>
        <charset val="134"/>
      </rPr>
      <t>。当你完成一次短休或长休后，其</t>
    </r>
    <r>
      <rPr>
        <sz val="10"/>
        <color theme="1"/>
        <rFont val="Times New Roman"/>
        <charset val="134"/>
      </rPr>
      <t>DC</t>
    </r>
    <r>
      <rPr>
        <sz val="10"/>
        <color theme="1"/>
        <rFont val="宋体"/>
        <charset val="134"/>
      </rPr>
      <t>重置为</t>
    </r>
    <r>
      <rPr>
        <sz val="10"/>
        <color theme="1"/>
        <rFont val="Times New Roman"/>
        <charset val="134"/>
      </rPr>
      <t>10</t>
    </r>
    <r>
      <rPr>
        <sz val="10"/>
        <color theme="1"/>
        <rFont val="宋体"/>
        <charset val="134"/>
      </rPr>
      <t>。</t>
    </r>
  </si>
  <si>
    <r>
      <rPr>
        <sz val="10"/>
        <color theme="1"/>
        <rFont val="宋体"/>
        <charset val="134"/>
      </rPr>
      <t>反迷惑</t>
    </r>
  </si>
  <si>
    <r>
      <rPr>
        <sz val="10"/>
        <color theme="1"/>
        <rFont val="宋体"/>
        <charset val="134"/>
      </rPr>
      <t>你可以用带有力量的音符或话语来干扰影响心灵的效应。若你或位于你</t>
    </r>
    <r>
      <rPr>
        <sz val="10"/>
        <color theme="1"/>
        <rFont val="Times New Roman"/>
        <charset val="134"/>
      </rPr>
      <t>30</t>
    </r>
    <r>
      <rPr>
        <sz val="10"/>
        <color theme="1"/>
        <rFont val="宋体"/>
        <charset val="134"/>
      </rPr>
      <t>尺内的一名生物在对抗施加魅惑或恐慌</t>
    </r>
    <r>
      <rPr>
        <sz val="10"/>
        <color theme="1"/>
        <rFont val="Times New Roman"/>
        <charset val="134"/>
      </rPr>
      <t xml:space="preserve"> </t>
    </r>
    <r>
      <rPr>
        <sz val="10"/>
        <color theme="1"/>
        <rFont val="宋体"/>
        <charset val="134"/>
      </rPr>
      <t>状态的效应的豁免检定中失败，你能够以反应令其重骰这次豁免，这次重骰具有优势。</t>
    </r>
    <r>
      <rPr>
        <sz val="10"/>
        <color theme="1"/>
        <rFont val="Times New Roman"/>
        <charset val="134"/>
      </rPr>
      <t xml:space="preserve"> </t>
    </r>
  </si>
  <si>
    <r>
      <rPr>
        <sz val="10"/>
        <color theme="1"/>
        <rFont val="宋体"/>
        <charset val="134"/>
      </rPr>
      <t>灼净亡灵</t>
    </r>
  </si>
  <si>
    <r>
      <rPr>
        <sz val="10"/>
        <color theme="1"/>
        <rFont val="宋体"/>
        <charset val="134"/>
      </rPr>
      <t>每当你使用驱散亡灵时，你都可以投掷等于你感知调整值枚</t>
    </r>
    <r>
      <rPr>
        <sz val="10"/>
        <color theme="1"/>
        <rFont val="Times New Roman"/>
        <charset val="134"/>
      </rPr>
      <t>d8</t>
    </r>
    <r>
      <rPr>
        <sz val="10"/>
        <color theme="1"/>
        <rFont val="宋体"/>
        <charset val="134"/>
      </rPr>
      <t>（最少</t>
    </r>
    <r>
      <rPr>
        <sz val="10"/>
        <color theme="1"/>
        <rFont val="Times New Roman"/>
        <charset val="134"/>
      </rPr>
      <t>1d8)</t>
    </r>
    <r>
      <rPr>
        <sz val="10"/>
        <color theme="1"/>
        <rFont val="宋体"/>
        <charset val="134"/>
      </rPr>
      <t>，而每个在对抗驱散亡灵的豁免中失败的亡灵都将受到等同于骰值之和的光耀伤害。此伤害不会终止驱散效应。</t>
    </r>
  </si>
  <si>
    <r>
      <rPr>
        <sz val="10"/>
        <color theme="1"/>
        <rFont val="宋体"/>
        <charset val="134"/>
      </rPr>
      <t>变形时的规则</t>
    </r>
  </si>
  <si>
    <r>
      <rPr>
        <sz val="10"/>
        <color theme="1"/>
        <rFont val="宋体"/>
        <charset val="134"/>
      </rPr>
      <t>当处于荒野变形下时，你保持你的人格、记忆和说话的能力，并遵循以下规则：
临时生命值</t>
    </r>
    <r>
      <rPr>
        <sz val="10"/>
        <color theme="1"/>
        <rFont val="Times New Roman"/>
        <charset val="134"/>
      </rPr>
      <t>Temporary Hit Points</t>
    </r>
    <r>
      <rPr>
        <sz val="10"/>
        <color theme="1"/>
        <rFont val="宋体"/>
        <charset val="134"/>
      </rPr>
      <t>。当你变为荒野变形时，你获得等于你德鲁伊等级的临时生命值。
游戏数据</t>
    </r>
    <r>
      <rPr>
        <sz val="10"/>
        <color theme="1"/>
        <rFont val="Times New Roman"/>
        <charset val="134"/>
      </rPr>
      <t>Game Statistics</t>
    </r>
    <r>
      <rPr>
        <sz val="10"/>
        <color theme="1"/>
        <rFont val="宋体"/>
        <charset val="134"/>
      </rPr>
      <t>。你的游戏数据被野兽的数据卡所替换，但你保留你的生物类型，生命值，生命骰，智力，感知和魅力值；职业特性；语言和专长。你同样保留你的技能和豁免熟练，并且在这些项目中使用你自己的熟练加值。如果变形的野兽在资料卡上的技能或豁免检定的调整值高于你的，使用资料卡的调整值。
不能施法</t>
    </r>
    <r>
      <rPr>
        <sz val="10"/>
        <color theme="1"/>
        <rFont val="Times New Roman"/>
        <charset val="134"/>
      </rPr>
      <t>No Spellcasting</t>
    </r>
    <r>
      <rPr>
        <sz val="10"/>
        <color theme="1"/>
        <rFont val="宋体"/>
        <charset val="134"/>
      </rPr>
      <t>。你无法施展法术，但变形不会打断你的专注，也不会打断你已经施展了的法术。
物件</t>
    </r>
    <r>
      <rPr>
        <sz val="10"/>
        <color theme="1"/>
        <rFont val="Times New Roman"/>
        <charset val="134"/>
      </rPr>
      <t>Object</t>
    </r>
    <r>
      <rPr>
        <sz val="10"/>
        <color theme="1"/>
        <rFont val="宋体"/>
        <charset val="134"/>
      </rPr>
      <t>。你持握物件的能力取决于形态下的肢体，而非你自己的。此外，你可以选择将你的装备丢在所处空间，或者将其融入新形态，又或者直接着装在身上。新形态直接着装的装备可以如常起作用，但</t>
    </r>
    <r>
      <rPr>
        <sz val="10"/>
        <color theme="1"/>
        <rFont val="Times New Roman"/>
        <charset val="134"/>
      </rPr>
      <t>DM</t>
    </r>
    <r>
      <rPr>
        <sz val="10"/>
        <color theme="1"/>
        <rFont val="宋体"/>
        <charset val="134"/>
      </rPr>
      <t>有权基于新形态的体型和身姿作出判断，并最终决定新形态使用该装备是否合理。你的装备不会改变尺寸或形状来搭配新的形态，新形态无法着装某装备时，该装备会掉落到你所处空间或融入新形态中。融入新形态的装备失去其效应。</t>
    </r>
  </si>
  <si>
    <r>
      <rPr>
        <sz val="10"/>
        <color theme="1"/>
        <rFont val="宋体"/>
        <charset val="134"/>
      </rPr>
      <t>传奇恩惠</t>
    </r>
  </si>
  <si>
    <r>
      <rPr>
        <sz val="10"/>
        <color theme="1"/>
        <rFont val="宋体"/>
        <charset val="134"/>
      </rPr>
      <t>你获得一项传奇恩惠专长（见第五章）或其他一项你选择的适用的专长。推荐选择</t>
    </r>
    <r>
      <rPr>
        <sz val="10"/>
        <color theme="1"/>
        <rFont val="Times New Roman"/>
        <charset val="134"/>
      </rPr>
      <t xml:space="preserve"> </t>
    </r>
    <r>
      <rPr>
        <sz val="10"/>
        <color theme="1"/>
        <rFont val="宋体"/>
        <charset val="134"/>
      </rPr>
      <t>英勇战斗之恩惠</t>
    </r>
    <r>
      <rPr>
        <sz val="10"/>
        <color theme="1"/>
        <rFont val="Times New Roman"/>
        <charset val="134"/>
      </rPr>
      <t xml:space="preserve"> </t>
    </r>
    <r>
      <rPr>
        <sz val="10"/>
        <color theme="1"/>
        <rFont val="宋体"/>
        <charset val="134"/>
      </rPr>
      <t>。</t>
    </r>
  </si>
  <si>
    <r>
      <rPr>
        <sz val="10"/>
        <color theme="1"/>
        <rFont val="宋体"/>
        <charset val="134"/>
      </rPr>
      <t>飞檐走壁</t>
    </r>
  </si>
  <si>
    <r>
      <rPr>
        <sz val="10"/>
        <color theme="1"/>
        <rFont val="宋体"/>
        <charset val="134"/>
      </rPr>
      <t>当未着装任何护甲也没持用盾牌时，你可以在你的回合中在垂直表面和液体表面上移动而不会坠落。</t>
    </r>
  </si>
  <si>
    <r>
      <rPr>
        <sz val="10"/>
        <color theme="1"/>
        <rFont val="宋体"/>
        <charset val="134"/>
      </rPr>
      <t>你获得属性值提升专长（见第五章）或其它你满足条件的专长。如圣武士特性表所示，你还会在第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级时再次获得本特性。</t>
    </r>
  </si>
  <si>
    <r>
      <rPr>
        <sz val="10"/>
        <color theme="1"/>
        <rFont val="宋体"/>
        <charset val="134"/>
      </rPr>
      <t>越野</t>
    </r>
  </si>
  <si>
    <r>
      <rPr>
        <sz val="10"/>
        <color theme="1"/>
        <rFont val="宋体"/>
        <charset val="134"/>
      </rPr>
      <t>只要你未着装重甲，你的速度提升</t>
    </r>
    <r>
      <rPr>
        <sz val="10"/>
        <color theme="1"/>
        <rFont val="Times New Roman"/>
        <charset val="134"/>
      </rPr>
      <t>10</t>
    </r>
    <r>
      <rPr>
        <sz val="10"/>
        <color theme="1"/>
        <rFont val="宋体"/>
        <charset val="134"/>
      </rPr>
      <t>尺。你也获得等于你速度的攀爬速度和游泳速度。</t>
    </r>
  </si>
  <si>
    <r>
      <rPr>
        <sz val="10"/>
        <color theme="1"/>
        <rFont val="宋体"/>
        <charset val="134"/>
      </rPr>
      <t>凶狡打击</t>
    </r>
  </si>
  <si>
    <r>
      <rPr>
        <sz val="10"/>
        <color theme="1"/>
        <rFont val="宋体"/>
        <charset val="134"/>
      </rPr>
      <t>你习得了新的偷袭方法，使你的偷袭变得更为凶狠卑劣。下列效果现在加入你的诡诈打击选项。
恍惚</t>
    </r>
    <r>
      <rPr>
        <sz val="10"/>
        <color theme="1"/>
        <rFont val="Times New Roman"/>
        <charset val="134"/>
      </rPr>
      <t>Daze</t>
    </r>
    <r>
      <rPr>
        <sz val="10"/>
        <color theme="1"/>
        <rFont val="宋体"/>
        <charset val="134"/>
      </rPr>
      <t>（花费：</t>
    </r>
    <r>
      <rPr>
        <sz val="10"/>
        <color theme="1"/>
        <rFont val="Times New Roman"/>
        <charset val="134"/>
      </rPr>
      <t>2d6</t>
    </r>
    <r>
      <rPr>
        <sz val="10"/>
        <color theme="1"/>
        <rFont val="宋体"/>
        <charset val="134"/>
      </rPr>
      <t>）。目标必须成功通过一次体质豁免，否则该目标的下一回合只能选择下列行为中的一项：移动、执行一个动作或执行一个附赠动作。
击昏</t>
    </r>
    <r>
      <rPr>
        <sz val="10"/>
        <color theme="1"/>
        <rFont val="Times New Roman"/>
        <charset val="134"/>
      </rPr>
      <t>Knock Out</t>
    </r>
    <r>
      <rPr>
        <sz val="10"/>
        <color theme="1"/>
        <rFont val="宋体"/>
        <charset val="134"/>
      </rPr>
      <t>（花费：</t>
    </r>
    <r>
      <rPr>
        <sz val="10"/>
        <color theme="1"/>
        <rFont val="Times New Roman"/>
        <charset val="134"/>
      </rPr>
      <t>6d6</t>
    </r>
    <r>
      <rPr>
        <sz val="10"/>
        <color theme="1"/>
        <rFont val="宋体"/>
        <charset val="134"/>
      </rPr>
      <t>）。目标必须成功通过一次体质豁免，否则将陷入昏迷状态，持续一分钟或受到任何伤害。昏迷的目标每在自己的回合结束时都可以重新进行豁免，若通过，则状态结束。
眩目</t>
    </r>
    <r>
      <rPr>
        <sz val="10"/>
        <color theme="1"/>
        <rFont val="Times New Roman"/>
        <charset val="134"/>
      </rPr>
      <t>Obscure(</t>
    </r>
    <r>
      <rPr>
        <sz val="10"/>
        <color theme="1"/>
        <rFont val="宋体"/>
        <charset val="134"/>
      </rPr>
      <t>花费：</t>
    </r>
    <r>
      <rPr>
        <sz val="10"/>
        <color theme="1"/>
        <rFont val="Times New Roman"/>
        <charset val="134"/>
      </rPr>
      <t>3d6)</t>
    </r>
    <r>
      <rPr>
        <sz val="10"/>
        <color theme="1"/>
        <rFont val="宋体"/>
        <charset val="134"/>
      </rPr>
      <t>。你对目标的眼睛发动袭击。目标必须成功通过一次敏捷豁免，否则将陷入目盲状态，直到其下个回合结束。</t>
    </r>
  </si>
  <si>
    <r>
      <rPr>
        <sz val="10"/>
        <color theme="1"/>
        <rFont val="宋体"/>
        <charset val="134"/>
      </rPr>
      <t>延效法术</t>
    </r>
  </si>
  <si>
    <r>
      <rPr>
        <sz val="10"/>
        <color theme="1"/>
        <rFont val="宋体"/>
        <charset val="134"/>
      </rPr>
      <t>消耗：</t>
    </r>
    <r>
      <rPr>
        <sz val="10"/>
        <color theme="1"/>
        <rFont val="Times New Roman"/>
        <charset val="134"/>
      </rPr>
      <t>1</t>
    </r>
    <r>
      <rPr>
        <sz val="10"/>
        <color theme="1"/>
        <rFont val="宋体"/>
        <charset val="134"/>
      </rPr>
      <t>术法点
当你施展一个持续时间为</t>
    </r>
    <r>
      <rPr>
        <sz val="10"/>
        <color theme="1"/>
        <rFont val="Times New Roman"/>
        <charset val="134"/>
      </rPr>
      <t>1</t>
    </r>
    <r>
      <rPr>
        <sz val="10"/>
        <color theme="1"/>
        <rFont val="宋体"/>
        <charset val="134"/>
      </rPr>
      <t>分钟或更长的法术时，你可以消耗</t>
    </r>
    <r>
      <rPr>
        <sz val="10"/>
        <color theme="1"/>
        <rFont val="Times New Roman"/>
        <charset val="134"/>
      </rPr>
      <t>1</t>
    </r>
    <r>
      <rPr>
        <sz val="10"/>
        <color theme="1"/>
        <rFont val="宋体"/>
        <charset val="134"/>
      </rPr>
      <t>术法点使其持续时间翻倍，最多变为</t>
    </r>
    <r>
      <rPr>
        <sz val="10"/>
        <color theme="1"/>
        <rFont val="Times New Roman"/>
        <charset val="134"/>
      </rPr>
      <t>24</t>
    </r>
    <r>
      <rPr>
        <sz val="10"/>
        <color theme="1"/>
        <rFont val="宋体"/>
        <charset val="134"/>
      </rPr>
      <t>小时。
如果被你延效的法术需要专注，你在为维持此法术专注所做的豁免上具有优势。</t>
    </r>
  </si>
  <si>
    <r>
      <rPr>
        <sz val="10"/>
        <color theme="1"/>
        <rFont val="宋体"/>
        <charset val="134"/>
      </rPr>
      <t>魔契师特性表中记录了你可用以施展魔契师法术的一环至五环法术位数量。表格中还记录了法术位对应的法术环阶，且你所有的法术位都属于同一环阶。已消耗的法术位可在完成短休或长休后恢复。
例如，</t>
    </r>
    <r>
      <rPr>
        <sz val="10"/>
        <color theme="1"/>
        <rFont val="Times New Roman"/>
        <charset val="134"/>
      </rPr>
      <t>5</t>
    </r>
    <r>
      <rPr>
        <sz val="10"/>
        <color theme="1"/>
        <rFont val="宋体"/>
        <charset val="134"/>
      </rPr>
      <t>级时，你总共具有两枚三环法术位。你施展一环法术巫术箭时，必须消耗这些法术位其中之一，并把它作为一个三环法术施放。</t>
    </r>
  </si>
  <si>
    <r>
      <rPr>
        <sz val="10"/>
        <color theme="1"/>
        <rFont val="宋体"/>
        <charset val="134"/>
      </rPr>
      <t>学者</t>
    </r>
  </si>
  <si>
    <r>
      <rPr>
        <sz val="10"/>
        <color theme="1"/>
        <rFont val="宋体"/>
        <charset val="134"/>
      </rPr>
      <t>在学习法术之余，你还对一门学术领域有过专门的研究。从下列技能中选择一项你具有熟练的技能：奥秘、历史、自然或宗教。你获得所选技能的专精。</t>
    </r>
  </si>
  <si>
    <r>
      <rPr>
        <sz val="10"/>
        <color theme="1"/>
        <rFont val="宋体"/>
        <charset val="134"/>
      </rPr>
      <t>魔法物品方案（奇械师等级</t>
    </r>
    <r>
      <rPr>
        <sz val="10"/>
        <color theme="1"/>
        <rFont val="Times New Roman"/>
        <charset val="134"/>
      </rPr>
      <t>6+</t>
    </r>
    <r>
      <rPr>
        <sz val="10"/>
        <color theme="1"/>
        <rFont val="宋体"/>
        <charset val="134"/>
      </rPr>
      <t>）</t>
    </r>
    <r>
      <rPr>
        <sz val="10"/>
        <color theme="1"/>
        <rFont val="Times New Roman"/>
        <charset val="134"/>
      </rPr>
      <t xml:space="preserve"> </t>
    </r>
  </si>
  <si>
    <r>
      <rPr>
        <sz val="10"/>
        <color theme="1"/>
        <rFont val="宋体"/>
        <charset val="134"/>
      </rPr>
      <t>魔法物品方案</t>
    </r>
    <r>
      <rPr>
        <sz val="10"/>
        <color theme="1"/>
        <rFont val="Times New Roman"/>
        <charset val="134"/>
      </rPr>
      <t xml:space="preserve"> </t>
    </r>
    <r>
      <rPr>
        <sz val="10"/>
        <color theme="1"/>
        <rFont val="宋体"/>
        <charset val="134"/>
      </rPr>
      <t>同调</t>
    </r>
    <r>
      <rPr>
        <sz val="10"/>
        <color theme="1"/>
        <rFont val="Times New Roman"/>
        <charset val="134"/>
      </rPr>
      <t xml:space="preserve"> 
+1</t>
    </r>
    <r>
      <rPr>
        <sz val="10"/>
        <color theme="1"/>
        <rFont val="宋体"/>
        <charset val="134"/>
      </rPr>
      <t>护甲</t>
    </r>
    <r>
      <rPr>
        <sz val="10"/>
        <color theme="1"/>
        <rFont val="Times New Roman"/>
        <charset val="134"/>
      </rPr>
      <t xml:space="preserve"> Armor+1 </t>
    </r>
    <r>
      <rPr>
        <sz val="10"/>
        <color theme="1"/>
        <rFont val="宋体"/>
        <charset val="134"/>
      </rPr>
      <t>否</t>
    </r>
    <r>
      <rPr>
        <sz val="10"/>
        <color theme="1"/>
        <rFont val="Times New Roman"/>
        <charset val="134"/>
      </rPr>
      <t xml:space="preserve"> 
</t>
    </r>
    <r>
      <rPr>
        <sz val="10"/>
        <color theme="1"/>
        <rFont val="宋体"/>
        <charset val="134"/>
      </rPr>
      <t>精灵靴</t>
    </r>
    <r>
      <rPr>
        <sz val="10"/>
        <color theme="1"/>
        <rFont val="Times New Roman"/>
        <charset val="134"/>
      </rPr>
      <t xml:space="preserve">Boots of Elvenkind </t>
    </r>
    <r>
      <rPr>
        <sz val="10"/>
        <color theme="1"/>
        <rFont val="宋体"/>
        <charset val="134"/>
      </rPr>
      <t>否</t>
    </r>
    <r>
      <rPr>
        <sz val="10"/>
        <color theme="1"/>
        <rFont val="Times New Roman"/>
        <charset val="134"/>
      </rPr>
      <t xml:space="preserve"> 
</t>
    </r>
    <r>
      <rPr>
        <sz val="10"/>
        <color theme="1"/>
        <rFont val="宋体"/>
        <charset val="134"/>
      </rPr>
      <t>折返之靴</t>
    </r>
    <r>
      <rPr>
        <sz val="10"/>
        <color theme="1"/>
        <rFont val="Times New Roman"/>
        <charset val="134"/>
      </rPr>
      <t xml:space="preserve">Boots of the Winding Path+ </t>
    </r>
    <r>
      <rPr>
        <sz val="10"/>
        <color theme="1"/>
        <rFont val="宋体"/>
        <charset val="134"/>
      </rPr>
      <t>否</t>
    </r>
    <r>
      <rPr>
        <sz val="10"/>
        <color theme="1"/>
        <rFont val="Times New Roman"/>
        <charset val="134"/>
      </rPr>
      <t xml:space="preserve"> 
</t>
    </r>
    <r>
      <rPr>
        <sz val="10"/>
        <color theme="1"/>
        <rFont val="宋体"/>
        <charset val="134"/>
      </rPr>
      <t>精灵斗篷</t>
    </r>
    <r>
      <rPr>
        <sz val="10"/>
        <color theme="1"/>
        <rFont val="Times New Roman"/>
        <charset val="134"/>
      </rPr>
      <t xml:space="preserve">Cloak of Elvenkind </t>
    </r>
    <r>
      <rPr>
        <sz val="10"/>
        <color theme="1"/>
        <rFont val="宋体"/>
        <charset val="134"/>
      </rPr>
      <t>是</t>
    </r>
    <r>
      <rPr>
        <sz val="10"/>
        <color theme="1"/>
        <rFont val="Times New Roman"/>
        <charset val="134"/>
      </rPr>
      <t xml:space="preserve"> 
</t>
    </r>
    <r>
      <rPr>
        <sz val="10"/>
        <color theme="1"/>
        <rFont val="宋体"/>
        <charset val="134"/>
      </rPr>
      <t>蝠鲼斗篷</t>
    </r>
    <r>
      <rPr>
        <sz val="10"/>
        <color theme="1"/>
        <rFont val="Times New Roman"/>
        <charset val="134"/>
      </rPr>
      <t xml:space="preserve">Cloak of the Manta Ray </t>
    </r>
    <r>
      <rPr>
        <sz val="10"/>
        <color theme="1"/>
        <rFont val="宋体"/>
        <charset val="134"/>
      </rPr>
      <t>否</t>
    </r>
    <r>
      <rPr>
        <sz val="10"/>
        <color theme="1"/>
        <rFont val="Times New Roman"/>
        <charset val="134"/>
      </rPr>
      <t xml:space="preserve"> 
</t>
    </r>
    <r>
      <rPr>
        <sz val="10"/>
        <color theme="1"/>
        <rFont val="宋体"/>
        <charset val="134"/>
      </rPr>
      <t>炫目武器</t>
    </r>
    <r>
      <rPr>
        <sz val="10"/>
        <color theme="1"/>
        <rFont val="Times New Roman"/>
        <charset val="134"/>
      </rPr>
      <t xml:space="preserve"> Dazzling Weapon+ </t>
    </r>
    <r>
      <rPr>
        <sz val="10"/>
        <color theme="1"/>
        <rFont val="宋体"/>
        <charset val="134"/>
      </rPr>
      <t>是</t>
    </r>
    <r>
      <rPr>
        <sz val="10"/>
        <color theme="1"/>
        <rFont val="Times New Roman"/>
        <charset val="134"/>
      </rPr>
      <t xml:space="preserve"> 
</t>
    </r>
    <r>
      <rPr>
        <sz val="10"/>
        <color theme="1"/>
        <rFont val="宋体"/>
        <charset val="134"/>
      </rPr>
      <t>魅惑镜片</t>
    </r>
    <r>
      <rPr>
        <sz val="10"/>
        <color theme="1"/>
        <rFont val="Times New Roman"/>
        <charset val="134"/>
      </rPr>
      <t xml:space="preserve">Eyes of Charming </t>
    </r>
    <r>
      <rPr>
        <sz val="10"/>
        <color theme="1"/>
        <rFont val="宋体"/>
        <charset val="134"/>
      </rPr>
      <t>是</t>
    </r>
    <r>
      <rPr>
        <sz val="10"/>
        <color theme="1"/>
        <rFont val="Times New Roman"/>
        <charset val="134"/>
      </rPr>
      <t xml:space="preserve"> 
</t>
    </r>
    <r>
      <rPr>
        <sz val="10"/>
        <color theme="1"/>
        <rFont val="宋体"/>
        <charset val="134"/>
      </rPr>
      <t>微视镜片</t>
    </r>
    <r>
      <rPr>
        <sz val="10"/>
        <color theme="1"/>
        <rFont val="Times New Roman"/>
        <charset val="134"/>
      </rPr>
      <t xml:space="preserve">Eyes of Minute Seeing </t>
    </r>
    <r>
      <rPr>
        <sz val="10"/>
        <color theme="1"/>
        <rFont val="宋体"/>
        <charset val="134"/>
      </rPr>
      <t>否</t>
    </r>
    <r>
      <rPr>
        <sz val="10"/>
        <color theme="1"/>
        <rFont val="Times New Roman"/>
        <charset val="134"/>
      </rPr>
      <t xml:space="preserve"> 
</t>
    </r>
    <r>
      <rPr>
        <sz val="10"/>
        <color theme="1"/>
        <rFont val="宋体"/>
        <charset val="134"/>
      </rPr>
      <t>窃贼手套</t>
    </r>
    <r>
      <rPr>
        <sz val="10"/>
        <color theme="1"/>
        <rFont val="Times New Roman"/>
        <charset val="134"/>
      </rPr>
      <t xml:space="preserve">Gloves of Thievery </t>
    </r>
    <r>
      <rPr>
        <sz val="10"/>
        <color theme="1"/>
        <rFont val="宋体"/>
        <charset val="134"/>
      </rPr>
      <t>否</t>
    </r>
    <r>
      <rPr>
        <sz val="10"/>
        <color theme="1"/>
        <rFont val="Times New Roman"/>
        <charset val="134"/>
      </rPr>
      <t xml:space="preserve"> 
</t>
    </r>
    <r>
      <rPr>
        <sz val="10"/>
        <color theme="1"/>
        <rFont val="宋体"/>
        <charset val="134"/>
      </rPr>
      <t>警觉之盔</t>
    </r>
    <r>
      <rPr>
        <sz val="10"/>
        <color theme="1"/>
        <rFont val="Times New Roman"/>
        <charset val="134"/>
      </rPr>
      <t xml:space="preserve">Helm of Awareness+ </t>
    </r>
    <r>
      <rPr>
        <sz val="10"/>
        <color theme="1"/>
        <rFont val="宋体"/>
        <charset val="134"/>
      </rPr>
      <t>否</t>
    </r>
    <r>
      <rPr>
        <sz val="10"/>
        <color theme="1"/>
        <rFont val="Times New Roman"/>
        <charset val="134"/>
      </rPr>
      <t xml:space="preserve"> 
</t>
    </r>
    <r>
      <rPr>
        <sz val="10"/>
        <color theme="1"/>
        <rFont val="宋体"/>
        <charset val="134"/>
      </rPr>
      <t>显像提灯</t>
    </r>
    <r>
      <rPr>
        <sz val="10"/>
        <color theme="1"/>
        <rFont val="Times New Roman"/>
        <charset val="134"/>
      </rPr>
      <t xml:space="preserve">Lantern of Revealing </t>
    </r>
    <r>
      <rPr>
        <sz val="10"/>
        <color theme="1"/>
        <rFont val="宋体"/>
        <charset val="134"/>
      </rPr>
      <t>否</t>
    </r>
    <r>
      <rPr>
        <sz val="10"/>
        <color theme="1"/>
        <rFont val="Times New Roman"/>
        <charset val="134"/>
      </rPr>
      <t xml:space="preserve"> 
</t>
    </r>
    <r>
      <rPr>
        <sz val="10"/>
        <color theme="1"/>
        <rFont val="宋体"/>
        <charset val="134"/>
      </rPr>
      <t>思维砥石</t>
    </r>
    <r>
      <rPr>
        <sz val="10"/>
        <color theme="1"/>
        <rFont val="Times New Roman"/>
        <charset val="134"/>
      </rPr>
      <t xml:space="preserve"> Mind Sharpener+ </t>
    </r>
    <r>
      <rPr>
        <sz val="10"/>
        <color theme="1"/>
        <rFont val="宋体"/>
        <charset val="134"/>
      </rPr>
      <t>否</t>
    </r>
    <r>
      <rPr>
        <sz val="10"/>
        <color theme="1"/>
        <rFont val="Times New Roman"/>
        <charset val="134"/>
      </rPr>
      <t xml:space="preserve"> 
</t>
    </r>
    <r>
      <rPr>
        <sz val="10"/>
        <color theme="1"/>
        <rFont val="宋体"/>
        <charset val="134"/>
      </rPr>
      <t>适应项链</t>
    </r>
    <r>
      <rPr>
        <sz val="10"/>
        <color theme="1"/>
        <rFont val="Times New Roman"/>
        <charset val="134"/>
      </rPr>
      <t xml:space="preserve">Necklace of Adaptation </t>
    </r>
    <r>
      <rPr>
        <sz val="10"/>
        <color theme="1"/>
        <rFont val="宋体"/>
        <charset val="134"/>
      </rPr>
      <t>是</t>
    </r>
    <r>
      <rPr>
        <sz val="10"/>
        <color theme="1"/>
        <rFont val="Times New Roman"/>
        <charset val="134"/>
      </rPr>
      <t xml:space="preserve"> 
</t>
    </r>
    <r>
      <rPr>
        <sz val="10"/>
        <color theme="1"/>
        <rFont val="宋体"/>
        <charset val="134"/>
      </rPr>
      <t>颤栗乐笙</t>
    </r>
    <r>
      <rPr>
        <sz val="10"/>
        <color theme="1"/>
        <rFont val="Times New Roman"/>
        <charset val="134"/>
      </rPr>
      <t xml:space="preserve">Pipes of Haunting </t>
    </r>
    <r>
      <rPr>
        <sz val="10"/>
        <color theme="1"/>
        <rFont val="宋体"/>
        <charset val="134"/>
      </rPr>
      <t>否</t>
    </r>
    <r>
      <rPr>
        <sz val="10"/>
        <color theme="1"/>
        <rFont val="Times New Roman"/>
        <charset val="134"/>
      </rPr>
      <t xml:space="preserve"> 
</t>
    </r>
    <r>
      <rPr>
        <sz val="10"/>
        <color theme="1"/>
        <rFont val="宋体"/>
        <charset val="134"/>
      </rPr>
      <t>斥力之盾</t>
    </r>
    <r>
      <rPr>
        <sz val="10"/>
        <color theme="1"/>
        <rFont val="Times New Roman"/>
        <charset val="134"/>
      </rPr>
      <t xml:space="preserve"> Repulsion Shield+ </t>
    </r>
    <r>
      <rPr>
        <sz val="10"/>
        <color theme="1"/>
        <rFont val="宋体"/>
        <charset val="134"/>
      </rPr>
      <t>否</t>
    </r>
    <r>
      <rPr>
        <sz val="10"/>
        <color theme="1"/>
        <rFont val="Times New Roman"/>
        <charset val="134"/>
      </rPr>
      <t xml:space="preserve"> 
</t>
    </r>
    <r>
      <rPr>
        <sz val="10"/>
        <color theme="1"/>
        <rFont val="宋体"/>
        <charset val="134"/>
      </rPr>
      <t>善泳戒指</t>
    </r>
    <r>
      <rPr>
        <sz val="10"/>
        <color theme="1"/>
        <rFont val="Times New Roman"/>
        <charset val="134"/>
      </rPr>
      <t xml:space="preserve">Ring of Swimming </t>
    </r>
    <r>
      <rPr>
        <sz val="10"/>
        <color theme="1"/>
        <rFont val="宋体"/>
        <charset val="134"/>
      </rPr>
      <t>否</t>
    </r>
    <r>
      <rPr>
        <sz val="10"/>
        <color theme="1"/>
        <rFont val="Times New Roman"/>
        <charset val="134"/>
      </rPr>
      <t xml:space="preserve"> 
</t>
    </r>
    <r>
      <rPr>
        <sz val="10"/>
        <color theme="1"/>
        <rFont val="宋体"/>
        <charset val="134"/>
      </rPr>
      <t>水上行走戒指</t>
    </r>
    <r>
      <rPr>
        <sz val="10"/>
        <color theme="1"/>
        <rFont val="Times New Roman"/>
        <charset val="134"/>
      </rPr>
      <t xml:space="preserve">Ring of Water Walking </t>
    </r>
    <r>
      <rPr>
        <sz val="10"/>
        <color theme="1"/>
        <rFont val="宋体"/>
        <charset val="134"/>
      </rPr>
      <t>否</t>
    </r>
    <r>
      <rPr>
        <sz val="10"/>
        <color theme="1"/>
        <rFont val="Times New Roman"/>
        <charset val="134"/>
      </rPr>
      <t xml:space="preserve"> 
</t>
    </r>
    <r>
      <rPr>
        <sz val="10"/>
        <color theme="1"/>
        <rFont val="宋体"/>
        <charset val="134"/>
      </rPr>
      <t>警戒之盾</t>
    </r>
    <r>
      <rPr>
        <sz val="10"/>
        <color theme="1"/>
        <rFont val="Times New Roman"/>
        <charset val="134"/>
      </rPr>
      <t xml:space="preserve">Sentinel Shield </t>
    </r>
    <r>
      <rPr>
        <sz val="10"/>
        <color theme="1"/>
        <rFont val="宋体"/>
        <charset val="134"/>
      </rPr>
      <t>否</t>
    </r>
    <r>
      <rPr>
        <sz val="10"/>
        <color theme="1"/>
        <rFont val="Times New Roman"/>
        <charset val="134"/>
      </rPr>
      <t xml:space="preserve"> 
</t>
    </r>
    <r>
      <rPr>
        <sz val="10"/>
        <color theme="1"/>
        <rFont val="宋体"/>
        <charset val="134"/>
      </rPr>
      <t>法力恢复戒指</t>
    </r>
    <r>
      <rPr>
        <sz val="10"/>
        <color theme="1"/>
        <rFont val="Times New Roman"/>
        <charset val="134"/>
      </rPr>
      <t xml:space="preserve"> Spell-Refueling Ring+ </t>
    </r>
    <r>
      <rPr>
        <sz val="10"/>
        <color theme="1"/>
        <rFont val="宋体"/>
        <charset val="134"/>
      </rPr>
      <t>是</t>
    </r>
    <r>
      <rPr>
        <sz val="10"/>
        <color theme="1"/>
        <rFont val="Times New Roman"/>
        <charset val="134"/>
      </rPr>
      <t xml:space="preserve"> 
</t>
    </r>
    <r>
      <rPr>
        <sz val="10"/>
        <color theme="1"/>
        <rFont val="宋体"/>
        <charset val="134"/>
      </rPr>
      <t>魔法飞弹魔杖</t>
    </r>
    <r>
      <rPr>
        <sz val="10"/>
        <color theme="1"/>
        <rFont val="Times New Roman"/>
        <charset val="134"/>
      </rPr>
      <t xml:space="preserve">Wand of Magic Missiles </t>
    </r>
    <r>
      <rPr>
        <sz val="10"/>
        <color theme="1"/>
        <rFont val="宋体"/>
        <charset val="134"/>
      </rPr>
      <t>否</t>
    </r>
    <r>
      <rPr>
        <sz val="10"/>
        <color theme="1"/>
        <rFont val="Times New Roman"/>
        <charset val="134"/>
      </rPr>
      <t xml:space="preserve"> 
</t>
    </r>
    <r>
      <rPr>
        <sz val="10"/>
        <color theme="1"/>
        <rFont val="宋体"/>
        <charset val="134"/>
      </rPr>
      <t>蛛网魔杖</t>
    </r>
    <r>
      <rPr>
        <sz val="10"/>
        <color theme="1"/>
        <rFont val="Times New Roman"/>
        <charset val="134"/>
      </rPr>
      <t xml:space="preserve">Wand of Web </t>
    </r>
    <r>
      <rPr>
        <sz val="10"/>
        <color theme="1"/>
        <rFont val="宋体"/>
        <charset val="134"/>
      </rPr>
      <t>是</t>
    </r>
    <r>
      <rPr>
        <sz val="10"/>
        <color theme="1"/>
        <rFont val="Times New Roman"/>
        <charset val="134"/>
      </rPr>
      <t xml:space="preserve"> 
</t>
    </r>
    <r>
      <rPr>
        <sz val="10"/>
        <color theme="1"/>
        <rFont val="宋体"/>
        <charset val="134"/>
      </rPr>
      <t>警戒武器</t>
    </r>
    <r>
      <rPr>
        <sz val="10"/>
        <color theme="1"/>
        <rFont val="Times New Roman"/>
        <charset val="134"/>
      </rPr>
      <t xml:space="preserve">Weapon of Warning </t>
    </r>
    <r>
      <rPr>
        <sz val="10"/>
        <color theme="1"/>
        <rFont val="宋体"/>
        <charset val="134"/>
      </rPr>
      <t>是</t>
    </r>
    <r>
      <rPr>
        <sz val="10"/>
        <color theme="1"/>
        <rFont val="Times New Roman"/>
        <charset val="134"/>
      </rPr>
      <t xml:space="preserve"> </t>
    </r>
  </si>
  <si>
    <t>巧舌如魔</t>
  </si>
  <si>
    <t>当你执行影响动作时，你可以花费并投掷一枚灵能骰，并将骰值加入到此属性检定中。若令此属性检定成功，灵能骰被消耗。</t>
  </si>
  <si>
    <r>
      <rPr>
        <sz val="10"/>
        <color theme="1"/>
        <rFont val="宋体"/>
        <charset val="134"/>
      </rPr>
      <t>冻结血仪</t>
    </r>
  </si>
  <si>
    <r>
      <rPr>
        <sz val="10"/>
        <color theme="1"/>
        <rFont val="宋体"/>
        <charset val="134"/>
      </rPr>
      <t>猩红仪式造成的额外伤害是寒冷伤害。</t>
    </r>
  </si>
  <si>
    <r>
      <rPr>
        <sz val="10"/>
        <color theme="1"/>
        <rFont val="宋体"/>
        <charset val="134"/>
      </rPr>
      <t>医护兵</t>
    </r>
  </si>
  <si>
    <r>
      <rPr>
        <sz val="10"/>
        <color theme="1"/>
        <rFont val="宋体"/>
        <charset val="134"/>
      </rPr>
      <t>你获得军用武器和盾牌的熟练。</t>
    </r>
  </si>
  <si>
    <r>
      <rPr>
        <sz val="10"/>
        <color theme="1"/>
        <rFont val="宋体"/>
        <charset val="134"/>
      </rPr>
      <t>当你达到</t>
    </r>
    <r>
      <rPr>
        <sz val="10"/>
        <color theme="1"/>
        <rFont val="Times New Roman"/>
        <charset val="134"/>
      </rPr>
      <t>4</t>
    </r>
    <r>
      <rPr>
        <sz val="10"/>
        <color theme="1"/>
        <rFont val="宋体"/>
        <charset val="134"/>
      </rPr>
      <t>级、</t>
    </r>
    <r>
      <rPr>
        <sz val="10"/>
        <color theme="1"/>
        <rFont val="Times New Roman"/>
        <charset val="134"/>
      </rPr>
      <t>8</t>
    </r>
    <r>
      <rPr>
        <sz val="10"/>
        <color theme="1"/>
        <rFont val="宋体"/>
        <charset val="134"/>
      </rPr>
      <t>级、</t>
    </r>
    <r>
      <rPr>
        <sz val="10"/>
        <color theme="1"/>
        <rFont val="Times New Roman"/>
        <charset val="134"/>
      </rPr>
      <t>12</t>
    </r>
    <r>
      <rPr>
        <sz val="10"/>
        <color theme="1"/>
        <rFont val="宋体"/>
        <charset val="134"/>
      </rPr>
      <t>级、</t>
    </r>
    <r>
      <rPr>
        <sz val="10"/>
        <color theme="1"/>
        <rFont val="Times New Roman"/>
        <charset val="134"/>
      </rPr>
      <t>16</t>
    </r>
    <r>
      <rPr>
        <sz val="10"/>
        <color theme="1"/>
        <rFont val="宋体"/>
        <charset val="134"/>
      </rPr>
      <t>级、</t>
    </r>
    <r>
      <rPr>
        <sz val="10"/>
        <color theme="1"/>
        <rFont val="Times New Roman"/>
        <charset val="134"/>
      </rPr>
      <t>19</t>
    </r>
    <r>
      <rPr>
        <sz val="10"/>
        <color theme="1"/>
        <rFont val="宋体"/>
        <charset val="134"/>
      </rPr>
      <t>级时，你可以选择一项属性值提升</t>
    </r>
    <r>
      <rPr>
        <sz val="10"/>
        <color theme="1"/>
        <rFont val="Times New Roman"/>
        <charset val="134"/>
      </rPr>
      <t>2</t>
    </r>
    <r>
      <rPr>
        <sz val="10"/>
        <color theme="1"/>
        <rFont val="宋体"/>
        <charset val="134"/>
      </rPr>
      <t>点，或选择两项属性各提升</t>
    </r>
    <r>
      <rPr>
        <sz val="10"/>
        <color theme="1"/>
        <rFont val="Times New Roman"/>
        <charset val="134"/>
      </rPr>
      <t>1</t>
    </r>
    <r>
      <rPr>
        <sz val="10"/>
        <color theme="1"/>
        <rFont val="宋体"/>
        <charset val="134"/>
      </rPr>
      <t>点。不过你不能通过该特性让属性超过</t>
    </r>
    <r>
      <rPr>
        <sz val="10"/>
        <color theme="1"/>
        <rFont val="Times New Roman"/>
        <charset val="134"/>
      </rPr>
      <t>20</t>
    </r>
    <r>
      <rPr>
        <sz val="10"/>
        <color theme="1"/>
        <rFont val="宋体"/>
        <charset val="134"/>
      </rPr>
      <t>。
使用专长规则时，你可以放弃该特性，改为获得一个你选择的专长。</t>
    </r>
  </si>
  <si>
    <t>披荆斩棘</t>
  </si>
  <si>
    <r>
      <rPr>
        <sz val="10"/>
        <color theme="1"/>
        <rFont val="宋体"/>
        <charset val="134"/>
      </rPr>
      <t>每回合一次，当你以徒手打击或以拳斗武器发动的攻击命中时，你能额外造成</t>
    </r>
    <r>
      <rPr>
        <sz val="10"/>
        <color theme="1"/>
        <rFont val="Times New Roman"/>
        <charset val="134"/>
      </rPr>
      <t>1d12</t>
    </r>
    <r>
      <rPr>
        <sz val="10"/>
        <color theme="1"/>
        <rFont val="宋体"/>
        <charset val="134"/>
      </rPr>
      <t>伤害。伤害类型与该武器或徒手打击造成的伤害类型相同。你能放弃此额外伤害转而应用以下效应之一：
害恶</t>
    </r>
    <r>
      <rPr>
        <sz val="10"/>
        <color theme="1"/>
        <rFont val="Times New Roman"/>
        <charset val="134"/>
      </rPr>
      <t>Endanger</t>
    </r>
    <r>
      <rPr>
        <sz val="10"/>
        <color theme="1"/>
        <rFont val="宋体"/>
        <charset val="134"/>
      </rPr>
      <t>。该生物下次被攻击命中时，那次攻击造成伤害骰能造成的最大伤害而不进行掷骰。
挑衅</t>
    </r>
    <r>
      <rPr>
        <sz val="10"/>
        <color theme="1"/>
        <rFont val="Times New Roman"/>
        <charset val="134"/>
      </rPr>
      <t>Provoke</t>
    </r>
    <r>
      <rPr>
        <sz val="10"/>
        <color theme="1"/>
        <rFont val="宋体"/>
        <charset val="134"/>
      </rPr>
      <t>。该生物对你以外的生物进行的攻击检定具有劣势，持续至你的下个回合结束。</t>
    </r>
  </si>
  <si>
    <r>
      <rPr>
        <sz val="10"/>
        <color theme="1"/>
        <rFont val="宋体"/>
        <charset val="134"/>
      </rPr>
      <t>剑舞学院</t>
    </r>
  </si>
  <si>
    <r>
      <rPr>
        <sz val="10"/>
        <color theme="1"/>
        <rFont val="宋体"/>
        <charset val="134"/>
      </rPr>
      <t>强化凶蛮打击</t>
    </r>
  </si>
  <si>
    <r>
      <rPr>
        <sz val="10"/>
        <color theme="1"/>
        <rFont val="宋体"/>
        <charset val="134"/>
      </rPr>
      <t>你训练出了更多种残暴的攻击方式。将以下效应加入到你的凶蛮打击选项中：</t>
    </r>
    <r>
      <rPr>
        <sz val="10"/>
        <color theme="1"/>
        <rFont val="Times New Roman"/>
        <charset val="134"/>
      </rPr>
      <t xml:space="preserve"> 
</t>
    </r>
    <r>
      <rPr>
        <sz val="10"/>
        <color theme="1"/>
        <rFont val="宋体"/>
        <charset val="134"/>
      </rPr>
      <t>震撼猛击</t>
    </r>
    <r>
      <rPr>
        <sz val="10"/>
        <color theme="1"/>
        <rFont val="Times New Roman"/>
        <charset val="134"/>
      </rPr>
      <t xml:space="preserve">Staggering Blow </t>
    </r>
    <r>
      <rPr>
        <sz val="10"/>
        <color theme="1"/>
        <rFont val="宋体"/>
        <charset val="134"/>
      </rPr>
      <t>。目标进行的下一次豁免检定具有劣势，并且目标直至你的下个回合开始都不能发动借机攻击。</t>
    </r>
    <r>
      <rPr>
        <sz val="10"/>
        <color theme="1"/>
        <rFont val="Times New Roman"/>
        <charset val="134"/>
      </rPr>
      <t xml:space="preserve"> 
</t>
    </r>
    <r>
      <rPr>
        <sz val="10"/>
        <color theme="1"/>
        <rFont val="宋体"/>
        <charset val="134"/>
      </rPr>
      <t>破势猛击</t>
    </r>
    <r>
      <rPr>
        <sz val="10"/>
        <color theme="1"/>
        <rFont val="Times New Roman"/>
        <charset val="134"/>
      </rPr>
      <t xml:space="preserve">Sundering Blow </t>
    </r>
    <r>
      <rPr>
        <sz val="10"/>
        <color theme="1"/>
        <rFont val="宋体"/>
        <charset val="134"/>
      </rPr>
      <t>。直至你的下个回合开始，下一次由其他生物对目标进行的攻击检定获得</t>
    </r>
    <r>
      <rPr>
        <sz val="10"/>
        <color theme="1"/>
        <rFont val="Times New Roman"/>
        <charset val="134"/>
      </rPr>
      <t>+5</t>
    </r>
    <r>
      <rPr>
        <sz val="10"/>
        <color theme="1"/>
        <rFont val="宋体"/>
        <charset val="134"/>
      </rPr>
      <t>加值。一次攻击检定只能从一次破势猛击中获得加值。</t>
    </r>
  </si>
  <si>
    <r>
      <rPr>
        <sz val="10"/>
        <color theme="1"/>
        <rFont val="宋体"/>
        <charset val="134"/>
      </rPr>
      <t>魔法奥秘</t>
    </r>
  </si>
  <si>
    <r>
      <rPr>
        <sz val="10"/>
        <color theme="1"/>
        <rFont val="宋体"/>
        <charset val="134"/>
      </rPr>
      <t>你自各种魔法传说中习得了他们的奥秘。每当你到达一个吟游诗人特性表中准备法术数量有所增加的吟游诗人等级时（包括此等级），你可以从吟游诗人、牧师、德鲁伊和法师的法术列表中选择法术准备（这些职业的法术列表见其职业章节），这些法术对你而言都视作吟游诗人法术。此外，每当你替换本职业的准备法术时，你也可以从这些法术列表中选择替换。</t>
    </r>
    <r>
      <rPr>
        <sz val="10"/>
        <color theme="1"/>
        <rFont val="Times New Roman"/>
        <charset val="134"/>
      </rPr>
      <t xml:space="preserve"> </t>
    </r>
  </si>
  <si>
    <r>
      <rPr>
        <sz val="10"/>
        <color theme="1"/>
        <rFont val="宋体"/>
        <charset val="134"/>
      </rPr>
      <t>受祝击</t>
    </r>
  </si>
  <si>
    <r>
      <rPr>
        <sz val="10"/>
        <color theme="1"/>
        <rFont val="宋体"/>
        <charset val="134"/>
      </rPr>
      <t>神圣的力量在战斗中注入你。你从以下特性中选择其一获得（如果你因旧书中的牧师子职而再次获得了下列选项之一，则你也只能使用你在此特性中所选的那个选项）。
神圣打击</t>
    </r>
    <r>
      <rPr>
        <sz val="10"/>
        <color theme="1"/>
        <rFont val="Times New Roman"/>
        <charset val="134"/>
      </rPr>
      <t>Divine Strike</t>
    </r>
    <r>
      <rPr>
        <sz val="10"/>
        <color theme="1"/>
        <rFont val="宋体"/>
        <charset val="134"/>
      </rPr>
      <t>。每个你的回合一次，当你以一次使用武器的攻击命中了一个生物时，你对其造成额外</t>
    </r>
    <r>
      <rPr>
        <sz val="10"/>
        <color theme="1"/>
        <rFont val="Times New Roman"/>
        <charset val="134"/>
      </rPr>
      <t>1d8</t>
    </r>
    <r>
      <rPr>
        <sz val="10"/>
        <color theme="1"/>
        <rFont val="宋体"/>
        <charset val="134"/>
      </rPr>
      <t>光耀或黯蚀伤害（由你选择）。
强力施法</t>
    </r>
    <r>
      <rPr>
        <sz val="10"/>
        <color theme="1"/>
        <rFont val="Times New Roman"/>
        <charset val="134"/>
      </rPr>
      <t>Potent Spellcasting</t>
    </r>
    <r>
      <rPr>
        <sz val="10"/>
        <color theme="1"/>
        <rFont val="宋体"/>
        <charset val="134"/>
      </rPr>
      <t>。你将你的感知调整值加到你用任何牧师戏法造成的伤害上。</t>
    </r>
  </si>
  <si>
    <r>
      <rPr>
        <sz val="10"/>
        <color theme="1"/>
        <rFont val="宋体"/>
        <charset val="134"/>
      </rPr>
      <t>荒野伙伴</t>
    </r>
  </si>
  <si>
    <r>
      <rPr>
        <sz val="10"/>
        <color theme="1"/>
        <rFont val="宋体"/>
        <charset val="134"/>
      </rPr>
      <t>你可以召唤出一个动物外形的自然精魂来帮助自己。以一个魔法动作，你可以消耗一个法术位或一次荒野变形次数来施展寻获魔宠</t>
    </r>
    <r>
      <rPr>
        <sz val="10"/>
        <color theme="1"/>
        <rFont val="Times New Roman"/>
        <charset val="134"/>
      </rPr>
      <t>Find Familiar</t>
    </r>
    <r>
      <rPr>
        <sz val="10"/>
        <color theme="1"/>
        <rFont val="宋体"/>
        <charset val="134"/>
      </rPr>
      <t>法术，无需任何材料成分。
当你以这种方式施展这一法术时，获得的魔宠为妖精，并且它会在你完成一次长休时消失。</t>
    </r>
  </si>
  <si>
    <r>
      <rPr>
        <sz val="10"/>
        <color theme="1"/>
        <rFont val="宋体"/>
        <charset val="134"/>
      </rPr>
      <t>额外攻击（三）</t>
    </r>
  </si>
  <si>
    <r>
      <rPr>
        <sz val="10"/>
        <color theme="1"/>
        <rFont val="宋体"/>
        <charset val="134"/>
      </rPr>
      <t>你在自己回合内执行攻击动作时，可以发动四次攻击而非一次。</t>
    </r>
  </si>
  <si>
    <r>
      <rPr>
        <sz val="10"/>
        <color theme="1"/>
        <rFont val="宋体"/>
        <charset val="134"/>
      </rPr>
      <t>出神入化</t>
    </r>
  </si>
  <si>
    <r>
      <rPr>
        <sz val="10"/>
        <color theme="1"/>
        <rFont val="宋体"/>
        <charset val="134"/>
      </rPr>
      <t>你的疾风连击，坚强防御和疾步如风获得以下增益：
疾风连击</t>
    </r>
    <r>
      <rPr>
        <sz val="10"/>
        <color theme="1"/>
        <rFont val="Times New Roman"/>
        <charset val="134"/>
      </rPr>
      <t>Flurry of Blows</t>
    </r>
    <r>
      <rPr>
        <sz val="10"/>
        <color theme="1"/>
        <rFont val="宋体"/>
        <charset val="134"/>
      </rPr>
      <t>。你消耗</t>
    </r>
    <r>
      <rPr>
        <sz val="10"/>
        <color theme="1"/>
        <rFont val="Times New Roman"/>
        <charset val="134"/>
      </rPr>
      <t>1</t>
    </r>
    <r>
      <rPr>
        <sz val="10"/>
        <color theme="1"/>
        <rFont val="宋体"/>
        <charset val="134"/>
      </rPr>
      <t>点功力施展疾风连击时可以进行三次徒手打击而非两次。
坚强防御</t>
    </r>
    <r>
      <rPr>
        <sz val="10"/>
        <color theme="1"/>
        <rFont val="Times New Roman"/>
        <charset val="134"/>
      </rPr>
      <t>Patient Defense</t>
    </r>
    <r>
      <rPr>
        <sz val="10"/>
        <color theme="1"/>
        <rFont val="宋体"/>
        <charset val="134"/>
      </rPr>
      <t>。当你消耗功力使用坚强防御时，你获得相当于你两个武艺骰的临时生命值。
疾步如风</t>
    </r>
    <r>
      <rPr>
        <sz val="10"/>
        <color theme="1"/>
        <rFont val="Times New Roman"/>
        <charset val="134"/>
      </rPr>
      <t>Step of the Wind</t>
    </r>
    <r>
      <rPr>
        <sz val="10"/>
        <color theme="1"/>
        <rFont val="宋体"/>
        <charset val="134"/>
      </rPr>
      <t>。当你消耗功力使用疾步如风时，你可以选择你周围</t>
    </r>
    <r>
      <rPr>
        <sz val="10"/>
        <color theme="1"/>
        <rFont val="Times New Roman"/>
        <charset val="134"/>
      </rPr>
      <t>5</t>
    </r>
    <r>
      <rPr>
        <sz val="10"/>
        <color theme="1"/>
        <rFont val="宋体"/>
        <charset val="134"/>
      </rPr>
      <t>尺内一个体型为大型或更小的自愿生物。直至你的回合结束，该生物将一直随你移动。该生物如此移动不会引发借机攻击。</t>
    </r>
  </si>
  <si>
    <r>
      <rPr>
        <sz val="10"/>
        <color theme="1"/>
        <rFont val="宋体"/>
        <charset val="134"/>
      </rPr>
      <t>当你在你的回合中进行攻击动作时，你可以发动两次而非一次攻击。</t>
    </r>
  </si>
  <si>
    <r>
      <rPr>
        <sz val="10"/>
        <color theme="1"/>
        <rFont val="宋体"/>
        <charset val="134"/>
      </rPr>
      <t>选择两项你熟练但不具备专精的技能，你获得这些技能的专精。</t>
    </r>
  </si>
  <si>
    <r>
      <rPr>
        <sz val="10"/>
        <color theme="1"/>
        <rFont val="宋体"/>
        <charset val="134"/>
      </rPr>
      <t>圆滑心智</t>
    </r>
  </si>
  <si>
    <r>
      <rPr>
        <sz val="10"/>
        <color theme="1"/>
        <rFont val="宋体"/>
        <charset val="134"/>
      </rPr>
      <t>你狡猾的头脑很难被人控制。你获得感知豁免与魅力豁免的熟练项。</t>
    </r>
  </si>
  <si>
    <r>
      <rPr>
        <sz val="10"/>
        <color theme="1"/>
        <rFont val="宋体"/>
        <charset val="134"/>
      </rPr>
      <t>升阶法术</t>
    </r>
  </si>
  <si>
    <r>
      <rPr>
        <sz val="10"/>
        <color theme="1"/>
        <rFont val="宋体"/>
        <charset val="134"/>
      </rPr>
      <t>消耗：</t>
    </r>
    <r>
      <rPr>
        <sz val="10"/>
        <color theme="1"/>
        <rFont val="Times New Roman"/>
        <charset val="134"/>
      </rPr>
      <t>2</t>
    </r>
    <r>
      <rPr>
        <sz val="10"/>
        <color theme="1"/>
        <rFont val="宋体"/>
        <charset val="134"/>
      </rPr>
      <t>术法点
当你施展一道迫使生物进行豁免的法术时，你可以消耗</t>
    </r>
    <r>
      <rPr>
        <sz val="10"/>
        <color theme="1"/>
        <rFont val="Times New Roman"/>
        <charset val="134"/>
      </rPr>
      <t>2</t>
    </r>
    <r>
      <rPr>
        <sz val="10"/>
        <color theme="1"/>
        <rFont val="宋体"/>
        <charset val="134"/>
      </rPr>
      <t>术法点来使法术影响的某一名生物对此法术的豁免具有劣势。</t>
    </r>
  </si>
  <si>
    <r>
      <rPr>
        <sz val="10"/>
        <color theme="1"/>
        <rFont val="宋体"/>
        <charset val="134"/>
      </rPr>
      <t>你从能够通过此特性施展的法术中选择数个一环及以上的法术进行准备。起始时，你从魔契师法术列表中选择并准备两个一环法术。推荐选择魅惑类人</t>
    </r>
    <r>
      <rPr>
        <sz val="10"/>
        <color theme="1"/>
        <rFont val="Times New Roman"/>
        <charset val="134"/>
      </rPr>
      <t>Charm Person</t>
    </r>
    <r>
      <rPr>
        <sz val="10"/>
        <color theme="1"/>
        <rFont val="宋体"/>
        <charset val="134"/>
      </rPr>
      <t>和脆弱诅咒</t>
    </r>
    <r>
      <rPr>
        <sz val="10"/>
        <color theme="1"/>
        <rFont val="Times New Roman"/>
        <charset val="134"/>
      </rPr>
      <t>Hex</t>
    </r>
    <r>
      <rPr>
        <sz val="10"/>
        <color theme="1"/>
        <rFont val="宋体"/>
        <charset val="134"/>
      </rPr>
      <t>。
魔契师特性表中准备法术一栏记录了你能准备更多法术时的相应等级。每当你能准备的法术数量增长时，你都需要选择并准备额外的法术，直到你法术列表中的法术数量与准备法术一栏中的对应数量相等。每个新准备的法术的法术环阶都必须不高于特性表中法术位环阶一栏中所写的上限。比如，当你到达第</t>
    </r>
    <r>
      <rPr>
        <sz val="10"/>
        <color theme="1"/>
        <rFont val="Times New Roman"/>
        <charset val="134"/>
      </rPr>
      <t>6</t>
    </r>
    <r>
      <rPr>
        <sz val="10"/>
        <color theme="1"/>
        <rFont val="宋体"/>
        <charset val="134"/>
      </rPr>
      <t>级时，你可以新习得一个</t>
    </r>
    <r>
      <rPr>
        <sz val="10"/>
        <color theme="1"/>
        <rFont val="Times New Roman"/>
        <charset val="134"/>
      </rPr>
      <t>1-</t>
    </r>
    <r>
      <rPr>
        <sz val="10"/>
        <color theme="1"/>
        <rFont val="宋体"/>
        <charset val="134"/>
      </rPr>
      <t>三环的魔契师法术。
如果其他魔契师职业特性给予你总是准备了的法术，这些法术不计入你的准备法术数量，但遵循此特性的其他施法规则，且那些法术对你而言是魔契师法术。</t>
    </r>
  </si>
  <si>
    <r>
      <rPr>
        <sz val="10"/>
        <color theme="1"/>
        <rFont val="宋体"/>
        <charset val="134"/>
      </rPr>
      <t>法师子职</t>
    </r>
  </si>
  <si>
    <r>
      <rPr>
        <sz val="10"/>
        <color theme="1"/>
        <rFont val="宋体"/>
        <charset val="134"/>
      </rPr>
      <t>你选择获得一项法师子职。防护师，预言师，</t>
    </r>
    <r>
      <rPr>
        <sz val="10"/>
        <color theme="1"/>
        <rFont val="Times New Roman"/>
        <charset val="134"/>
      </rPr>
      <t xml:space="preserve"> </t>
    </r>
    <r>
      <rPr>
        <sz val="10"/>
        <color theme="1"/>
        <rFont val="宋体"/>
        <charset val="134"/>
      </rPr>
      <t>塑能师</t>
    </r>
    <r>
      <rPr>
        <sz val="10"/>
        <color theme="1"/>
        <rFont val="Times New Roman"/>
        <charset val="134"/>
      </rPr>
      <t xml:space="preserve"> </t>
    </r>
    <r>
      <rPr>
        <sz val="10"/>
        <color theme="1"/>
        <rFont val="宋体"/>
        <charset val="134"/>
      </rPr>
      <t>以及</t>
    </r>
    <r>
      <rPr>
        <sz val="10"/>
        <color theme="1"/>
        <rFont val="Times New Roman"/>
        <charset val="134"/>
      </rPr>
      <t xml:space="preserve"> </t>
    </r>
    <r>
      <rPr>
        <sz val="10"/>
        <color theme="1"/>
        <rFont val="宋体"/>
        <charset val="134"/>
      </rPr>
      <t>幻术师。子职的内容见后文。子职是一种特化，在特定的法师等级给予你对应的独特能力。此后你将获得你所选的子职所有能力</t>
    </r>
    <r>
      <rPr>
        <sz val="10"/>
        <color theme="1"/>
        <rFont val="Times New Roman"/>
        <charset val="134"/>
      </rPr>
      <t>——</t>
    </r>
    <r>
      <rPr>
        <sz val="10"/>
        <color theme="1"/>
        <rFont val="宋体"/>
        <charset val="134"/>
      </rPr>
      <t>只要其所需等级不超过你的法师等级。法师职业特性表列出了你从子职中获得新特性的法师等级。</t>
    </r>
  </si>
  <si>
    <r>
      <rPr>
        <sz val="10"/>
        <color theme="1"/>
        <rFont val="宋体"/>
        <charset val="134"/>
      </rPr>
      <t>灵光一闪</t>
    </r>
  </si>
  <si>
    <r>
      <rPr>
        <sz val="10"/>
        <color theme="1"/>
        <rFont val="宋体"/>
        <charset val="134"/>
      </rPr>
      <t>当你或你</t>
    </r>
    <r>
      <rPr>
        <sz val="10"/>
        <color theme="1"/>
        <rFont val="Times New Roman"/>
        <charset val="134"/>
      </rPr>
      <t>30</t>
    </r>
    <r>
      <rPr>
        <sz val="10"/>
        <color theme="1"/>
        <rFont val="宋体"/>
        <charset val="134"/>
      </rPr>
      <t>尺内能看见的一个生物在一次属性检定或豁免检定中失败时，你可以执行反应，在检定结果中加入加值，这可能将失败变为成功。加值等于你的智力调整值。</t>
    </r>
    <r>
      <rPr>
        <sz val="10"/>
        <color theme="1"/>
        <rFont val="Times New Roman"/>
        <charset val="134"/>
      </rPr>
      <t xml:space="preserve">
</t>
    </r>
    <r>
      <rPr>
        <sz val="10"/>
        <color theme="1"/>
        <rFont val="宋体"/>
        <charset val="134"/>
      </rPr>
      <t>你可以执行该反应的次数等于你的智力调整值（最小为</t>
    </r>
    <r>
      <rPr>
        <sz val="10"/>
        <color theme="1"/>
        <rFont val="Times New Roman"/>
        <charset val="134"/>
      </rPr>
      <t>1</t>
    </r>
    <r>
      <rPr>
        <sz val="10"/>
        <color theme="1"/>
        <rFont val="宋体"/>
        <charset val="134"/>
      </rPr>
      <t>次）。你在完成长休时重获所有消耗的使用次数。</t>
    </r>
  </si>
  <si>
    <t>延伸意识</t>
  </si>
  <si>
    <t>当你执行搜索动作时，你可以花费并投掷一枚灵能骰，并将骰值加入到此属性检定中。若令此属性检定成功，灵能骰被消耗。</t>
  </si>
  <si>
    <r>
      <rPr>
        <sz val="10"/>
        <color theme="1"/>
        <rFont val="宋体"/>
        <charset val="134"/>
      </rPr>
      <t>风暴血仪</t>
    </r>
  </si>
  <si>
    <r>
      <rPr>
        <sz val="10"/>
        <color theme="1"/>
        <rFont val="宋体"/>
        <charset val="134"/>
      </rPr>
      <t>猩红仪式造成的额外伤害是闪电伤害。</t>
    </r>
  </si>
  <si>
    <r>
      <rPr>
        <sz val="10"/>
        <color theme="1"/>
        <rFont val="宋体"/>
        <charset val="134"/>
      </rPr>
      <t>整容手术</t>
    </r>
  </si>
  <si>
    <r>
      <rPr>
        <sz val="10"/>
        <color theme="1"/>
        <rFont val="宋体"/>
        <charset val="134"/>
      </rPr>
      <t>你可以消耗八个小时对一个自愿的生物展开一次神秘的外科手术，永久地改变其外貌。你可以决定该生物的长相，包括面部特征，他说话的声音，毛发长度，各种自然色彩，以及其他显著特征，但是他的游戏数据完全不会改变。你不能改变该生物的体型大小，并且他的基本外形保持不变。由此产生变化是非魔法的，但是一个强大的恢复法术或其他类似的魔法效果可以把他变回原来的样子。</t>
    </r>
  </si>
  <si>
    <t>破脏弹</t>
  </si>
  <si>
    <t>每当你使用武器的远程攻击对一名不超过大型的生物造成重击时，枪弹将嵌入目标的体内。目标的速度减半，且其攻击检定具有劣势，持续1分钟或在其以剥离枪弹替换其的其中一次攻击时提前结束。</t>
  </si>
  <si>
    <t>你在自己回合内执行攻击动作时，可以发动两次攻击而非一次。</t>
  </si>
  <si>
    <t>海格力斯</t>
  </si>
  <si>
    <r>
      <rPr>
        <sz val="10"/>
        <color theme="1"/>
        <rFont val="宋体"/>
        <charset val="134"/>
      </rPr>
      <t>你获得以下增益。
承重者</t>
    </r>
    <r>
      <rPr>
        <sz val="10"/>
        <color theme="1"/>
        <rFont val="Times New Roman"/>
        <charset val="134"/>
      </rPr>
      <t>Heavy Lifter</t>
    </r>
    <r>
      <rPr>
        <sz val="10"/>
        <color theme="1"/>
        <rFont val="宋体"/>
        <charset val="134"/>
      </rPr>
      <t>。计算载重时，你的力量翻倍。
破柱者</t>
    </r>
    <r>
      <rPr>
        <sz val="10"/>
        <color theme="1"/>
        <rFont val="Times New Roman"/>
        <charset val="134"/>
      </rPr>
      <t>Pillar Breaker</t>
    </r>
    <r>
      <rPr>
        <sz val="10"/>
        <color theme="1"/>
        <rFont val="宋体"/>
        <charset val="134"/>
      </rPr>
      <t>。当你以徒手打击命中一个物件时，此次命中变为重击命中。
绝伦健将</t>
    </r>
    <r>
      <rPr>
        <sz val="10"/>
        <color theme="1"/>
        <rFont val="Times New Roman"/>
        <charset val="134"/>
      </rPr>
      <t>Unmatched Athlete</t>
    </r>
    <r>
      <rPr>
        <sz val="10"/>
        <color theme="1"/>
        <rFont val="宋体"/>
        <charset val="134"/>
      </rPr>
      <t>。你的跳跃距离翻倍。</t>
    </r>
  </si>
  <si>
    <r>
      <rPr>
        <sz val="10"/>
        <color theme="1"/>
        <rFont val="宋体"/>
        <charset val="134"/>
      </rPr>
      <t>低语学院</t>
    </r>
  </si>
  <si>
    <r>
      <rPr>
        <sz val="10"/>
        <color theme="1"/>
        <rFont val="宋体"/>
        <charset val="134"/>
      </rPr>
      <t>持久狂暴</t>
    </r>
  </si>
  <si>
    <r>
      <rPr>
        <sz val="10"/>
        <color theme="1"/>
        <rFont val="宋体"/>
        <charset val="134"/>
      </rPr>
      <t>当你投掷先攻时，你可以重获所有已消耗的狂暴使用次数。你以此法重获狂暴使用次数后，直至你完成一次长休，你都不能再这么做。
此外，你的狂暴是如此凶悍，现在你的狂暴总是能持续</t>
    </r>
    <r>
      <rPr>
        <sz val="10"/>
        <color theme="1"/>
        <rFont val="Times New Roman"/>
        <charset val="134"/>
      </rPr>
      <t>10</t>
    </r>
    <r>
      <rPr>
        <sz val="10"/>
        <color theme="1"/>
        <rFont val="宋体"/>
        <charset val="134"/>
      </rPr>
      <t>分钟，无需你做任何事来延长一轮狂暴。你陷入昏迷状态（而不再是陷入失能状态）或穿戴重甲时，你的狂暴提前结束。</t>
    </r>
  </si>
  <si>
    <r>
      <rPr>
        <sz val="10"/>
        <color theme="1"/>
        <rFont val="宋体"/>
        <charset val="134"/>
      </rPr>
      <t>先发激励</t>
    </r>
  </si>
  <si>
    <r>
      <rPr>
        <sz val="10"/>
        <color theme="1"/>
        <rFont val="宋体"/>
        <charset val="134"/>
      </rPr>
      <t>当你投掷先攻时，若你的诗人激励使用次数不足两次，你重获已消耗的诗人激励使用次数到两次为止。</t>
    </r>
  </si>
  <si>
    <r>
      <rPr>
        <sz val="10"/>
        <color theme="1"/>
        <rFont val="宋体"/>
        <charset val="134"/>
      </rPr>
      <t>神圣干预</t>
    </r>
  </si>
  <si>
    <r>
      <rPr>
        <sz val="10"/>
        <color theme="1"/>
        <rFont val="宋体"/>
        <charset val="134"/>
      </rPr>
      <t>你能呼唤你所信奉的神祇或神系来代你降下干预。以一个魔法动作，你选择一道五环或更低的牧师法术（施法时间不能为</t>
    </r>
    <r>
      <rPr>
        <sz val="10"/>
        <color theme="1"/>
        <rFont val="Times New Roman"/>
        <charset val="134"/>
      </rPr>
      <t>1</t>
    </r>
    <r>
      <rPr>
        <sz val="10"/>
        <color theme="1"/>
        <rFont val="宋体"/>
        <charset val="134"/>
      </rPr>
      <t>反应），并将该法术作为执行此动作的一部分施展，无需消耗法术位也无需对应的施法材料。直到你完成一次长休前，你都无法再次使用此特性。</t>
    </r>
  </si>
  <si>
    <r>
      <rPr>
        <sz val="10"/>
        <color theme="1"/>
        <rFont val="宋体"/>
        <charset val="134"/>
      </rPr>
      <t>德鲁伊子职</t>
    </r>
  </si>
  <si>
    <r>
      <rPr>
        <sz val="10"/>
        <color theme="1"/>
        <rFont val="宋体"/>
        <charset val="134"/>
      </rPr>
      <t>你选择获得一项德鲁伊子职：大地结社、月亮结社、海洋结社或星辰结社。子职的内容见后文。子职是一种特化，在特定的德鲁伊等级给予你对应的独特能力。此后你将获得每一个你所选的子职的能力，只要其所需等级等于或低于你的德鲁伊等级。
德鲁伊们会形成松散的联系，他们称之为</t>
    </r>
    <r>
      <rPr>
        <sz val="10"/>
        <color theme="1"/>
        <rFont val="Times New Roman"/>
        <charset val="134"/>
      </rPr>
      <t>“</t>
    </r>
    <r>
      <rPr>
        <sz val="10"/>
        <color theme="1"/>
        <rFont val="宋体"/>
        <charset val="134"/>
      </rPr>
      <t>结社</t>
    </r>
    <r>
      <rPr>
        <sz val="10"/>
        <color theme="1"/>
        <rFont val="Times New Roman"/>
        <charset val="134"/>
      </rPr>
      <t>”</t>
    </r>
    <r>
      <rPr>
        <sz val="10"/>
        <color theme="1"/>
        <rFont val="宋体"/>
        <charset val="134"/>
      </rPr>
      <t>。</t>
    </r>
  </si>
  <si>
    <r>
      <rPr>
        <sz val="10"/>
        <color theme="1"/>
        <rFont val="宋体"/>
        <charset val="134"/>
      </rPr>
      <t>卓越战技</t>
    </r>
  </si>
  <si>
    <r>
      <rPr>
        <sz val="10"/>
        <color theme="1"/>
        <rFont val="宋体"/>
        <charset val="134"/>
      </rPr>
      <t>你的战斗技巧在战场上接受了磨砺，你习得战技并获得一种名为卓越骰的特殊骰。
战技</t>
    </r>
    <r>
      <rPr>
        <sz val="10"/>
        <color theme="1"/>
        <rFont val="Times New Roman"/>
        <charset val="134"/>
      </rPr>
      <t>Maneuvers</t>
    </r>
    <r>
      <rPr>
        <sz val="10"/>
        <color theme="1"/>
        <rFont val="宋体"/>
        <charset val="134"/>
      </rPr>
      <t>。你从</t>
    </r>
    <r>
      <rPr>
        <sz val="10"/>
        <color theme="1"/>
        <rFont val="Times New Roman"/>
        <charset val="134"/>
      </rPr>
      <t>“</t>
    </r>
    <r>
      <rPr>
        <sz val="10"/>
        <color theme="1"/>
        <rFont val="宋体"/>
        <charset val="134"/>
      </rPr>
      <t>战技项</t>
    </r>
    <r>
      <rPr>
        <sz val="10"/>
        <color theme="1"/>
        <rFont val="Times New Roman"/>
        <charset val="134"/>
      </rPr>
      <t>”</t>
    </r>
    <r>
      <rPr>
        <sz val="10"/>
        <color theme="1"/>
        <rFont val="宋体"/>
        <charset val="134"/>
      </rPr>
      <t>中习得三种自选战技（详见后文）。许多战技能够以某种方式增幅你的攻击，而你在每次攻击时只能应用一次战技。
你在第</t>
    </r>
    <r>
      <rPr>
        <sz val="10"/>
        <color theme="1"/>
        <rFont val="Times New Roman"/>
        <charset val="134"/>
      </rPr>
      <t>7</t>
    </r>
    <r>
      <rPr>
        <sz val="10"/>
        <color theme="1"/>
        <rFont val="宋体"/>
        <charset val="134"/>
      </rPr>
      <t>、第</t>
    </r>
    <r>
      <rPr>
        <sz val="10"/>
        <color theme="1"/>
        <rFont val="Times New Roman"/>
        <charset val="134"/>
      </rPr>
      <t>10</t>
    </r>
    <r>
      <rPr>
        <sz val="10"/>
        <color theme="1"/>
        <rFont val="宋体"/>
        <charset val="134"/>
      </rPr>
      <t>和第</t>
    </r>
    <r>
      <rPr>
        <sz val="10"/>
        <color theme="1"/>
        <rFont val="Times New Roman"/>
        <charset val="134"/>
      </rPr>
      <t>15</t>
    </r>
    <r>
      <rPr>
        <sz val="10"/>
        <color theme="1"/>
        <rFont val="宋体"/>
        <charset val="134"/>
      </rPr>
      <t>级时均习得两种自选的新战技。习得新战技时，你还可以额外替换一个已经习得的战技。
卓越骰</t>
    </r>
    <r>
      <rPr>
        <sz val="10"/>
        <color theme="1"/>
        <rFont val="Times New Roman"/>
        <charset val="134"/>
      </rPr>
      <t>Superiority Dice</t>
    </r>
    <r>
      <rPr>
        <sz val="10"/>
        <color theme="1"/>
        <rFont val="宋体"/>
        <charset val="134"/>
      </rPr>
      <t>。你拥有四个</t>
    </r>
    <r>
      <rPr>
        <sz val="10"/>
        <color theme="1"/>
        <rFont val="Times New Roman"/>
        <charset val="134"/>
      </rPr>
      <t>d8</t>
    </r>
    <r>
      <rPr>
        <sz val="10"/>
        <color theme="1"/>
        <rFont val="宋体"/>
        <charset val="134"/>
      </rPr>
      <t>卓越骰。卓越骰一经使用即消耗，完成短休或长休后恢复。
你的卓越骰在第</t>
    </r>
    <r>
      <rPr>
        <sz val="10"/>
        <color theme="1"/>
        <rFont val="Times New Roman"/>
        <charset val="134"/>
      </rPr>
      <t>7</t>
    </r>
    <r>
      <rPr>
        <sz val="10"/>
        <color theme="1"/>
        <rFont val="宋体"/>
        <charset val="134"/>
      </rPr>
      <t>（共</t>
    </r>
    <r>
      <rPr>
        <sz val="10"/>
        <color theme="1"/>
        <rFont val="Times New Roman"/>
        <charset val="134"/>
      </rPr>
      <t>5</t>
    </r>
    <r>
      <rPr>
        <sz val="10"/>
        <color theme="1"/>
        <rFont val="宋体"/>
        <charset val="134"/>
      </rPr>
      <t>枚）和第</t>
    </r>
    <r>
      <rPr>
        <sz val="10"/>
        <color theme="1"/>
        <rFont val="Times New Roman"/>
        <charset val="134"/>
      </rPr>
      <t>15</t>
    </r>
    <r>
      <rPr>
        <sz val="10"/>
        <color theme="1"/>
        <rFont val="宋体"/>
        <charset val="134"/>
      </rPr>
      <t>级（共</t>
    </r>
    <r>
      <rPr>
        <sz val="10"/>
        <color theme="1"/>
        <rFont val="Times New Roman"/>
        <charset val="134"/>
      </rPr>
      <t>6</t>
    </r>
    <r>
      <rPr>
        <sz val="10"/>
        <color theme="1"/>
        <rFont val="宋体"/>
        <charset val="134"/>
      </rPr>
      <t>枚）时各增加一枚。
豁免</t>
    </r>
    <r>
      <rPr>
        <sz val="10"/>
        <color theme="1"/>
        <rFont val="Times New Roman"/>
        <charset val="134"/>
      </rPr>
      <t>Saving Throws</t>
    </r>
    <r>
      <rPr>
        <sz val="10"/>
        <color theme="1"/>
        <rFont val="宋体"/>
        <charset val="134"/>
      </rPr>
      <t>。若一个战技需要进行一次豁免检定，则该战技的豁免</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你的力量或敏捷调整值（由你选择）</t>
    </r>
    <r>
      <rPr>
        <sz val="10"/>
        <color theme="1"/>
        <rFont val="Times New Roman"/>
        <charset val="134"/>
      </rPr>
      <t>+</t>
    </r>
    <r>
      <rPr>
        <sz val="10"/>
        <color theme="1"/>
        <rFont val="宋体"/>
        <charset val="134"/>
      </rPr>
      <t>你的熟练加值。</t>
    </r>
  </si>
  <si>
    <r>
      <rPr>
        <sz val="10"/>
        <color theme="1"/>
        <rFont val="宋体"/>
        <charset val="134"/>
      </rPr>
      <t>返本还元</t>
    </r>
  </si>
  <si>
    <r>
      <rPr>
        <sz val="10"/>
        <color theme="1"/>
        <rFont val="宋体"/>
        <charset val="134"/>
      </rPr>
      <t>凭借纯粹的意志，你能够在每次自己的回合结束时移除你身上的下列状态之一：魅惑，恐慌或中毒。
此外，不吃不喝不再会使你提升力竭等级。</t>
    </r>
  </si>
  <si>
    <r>
      <rPr>
        <sz val="10"/>
        <color theme="1"/>
        <rFont val="宋体"/>
        <charset val="134"/>
      </rPr>
      <t>信实坐骑</t>
    </r>
  </si>
  <si>
    <r>
      <rPr>
        <sz val="10"/>
        <color theme="1"/>
        <rFont val="宋体"/>
        <charset val="134"/>
      </rPr>
      <t>你能唤来异界坐骑的协助。你始终准备了法术寻获坐骑</t>
    </r>
    <r>
      <rPr>
        <sz val="10"/>
        <color theme="1"/>
        <rFont val="Times New Roman"/>
        <charset val="134"/>
      </rPr>
      <t>Find Steed</t>
    </r>
    <r>
      <rPr>
        <sz val="10"/>
        <color theme="1"/>
        <rFont val="宋体"/>
        <charset val="134"/>
      </rPr>
      <t>。此外，你可以不消耗法术位地施展该法术一次，而后你必须完成一次长休才能再次这么做。</t>
    </r>
  </si>
  <si>
    <r>
      <rPr>
        <sz val="10"/>
        <color theme="1"/>
        <rFont val="宋体"/>
        <charset val="134"/>
      </rPr>
      <t>不知疲倦</t>
    </r>
  </si>
  <si>
    <r>
      <rPr>
        <sz val="10"/>
        <color theme="1"/>
        <rFont val="宋体"/>
        <charset val="134"/>
      </rPr>
      <t>原初的力量现在会帮你重整旗鼓，重新踏上旅途。你因它获得以下增益：
临时生命值</t>
    </r>
    <r>
      <rPr>
        <sz val="10"/>
        <color theme="1"/>
        <rFont val="Times New Roman"/>
        <charset val="134"/>
      </rPr>
      <t>Temporary Hit Points</t>
    </r>
    <r>
      <rPr>
        <sz val="10"/>
        <color theme="1"/>
        <rFont val="宋体"/>
        <charset val="134"/>
      </rPr>
      <t>。以一个魔法动作，你能够给予自己</t>
    </r>
    <r>
      <rPr>
        <sz val="10"/>
        <color theme="1"/>
        <rFont val="Times New Roman"/>
        <charset val="134"/>
      </rPr>
      <t xml:space="preserve"> 1d8+</t>
    </r>
    <r>
      <rPr>
        <sz val="10"/>
        <color theme="1"/>
        <rFont val="宋体"/>
        <charset val="134"/>
      </rPr>
      <t>你的感知调整值（最低为</t>
    </r>
    <r>
      <rPr>
        <sz val="10"/>
        <color theme="1"/>
        <rFont val="Times New Roman"/>
        <charset val="134"/>
      </rPr>
      <t>1</t>
    </r>
    <r>
      <rPr>
        <sz val="10"/>
        <color theme="1"/>
        <rFont val="宋体"/>
        <charset val="134"/>
      </rPr>
      <t>）</t>
    </r>
    <r>
      <rPr>
        <sz val="10"/>
        <color theme="1"/>
        <rFont val="Times New Roman"/>
        <charset val="134"/>
      </rPr>
      <t xml:space="preserve"> </t>
    </r>
    <r>
      <rPr>
        <sz val="10"/>
        <color theme="1"/>
        <rFont val="宋体"/>
        <charset val="134"/>
      </rPr>
      <t>的临时生命值。你能够使用此特性的次数等于你的感知调整值次（最低一次），当你完成一次长休时，你重获全部已消耗的使用次数。
减少力竭</t>
    </r>
    <r>
      <rPr>
        <sz val="10"/>
        <color theme="1"/>
        <rFont val="Times New Roman"/>
        <charset val="134"/>
      </rPr>
      <t>Decrease Exhaustion</t>
    </r>
    <r>
      <rPr>
        <sz val="10"/>
        <color theme="1"/>
        <rFont val="宋体"/>
        <charset val="134"/>
      </rPr>
      <t>。当你完成一次短休时，你的力竭等级减少</t>
    </r>
    <r>
      <rPr>
        <sz val="10"/>
        <color theme="1"/>
        <rFont val="Times New Roman"/>
        <charset val="134"/>
      </rPr>
      <t>1</t>
    </r>
    <r>
      <rPr>
        <sz val="10"/>
        <color theme="1"/>
        <rFont val="宋体"/>
        <charset val="134"/>
      </rPr>
      <t>级（若有）。</t>
    </r>
  </si>
  <si>
    <r>
      <rPr>
        <sz val="10"/>
        <color theme="1"/>
        <rFont val="宋体"/>
        <charset val="134"/>
      </rPr>
      <t>飘忽不定</t>
    </r>
  </si>
  <si>
    <r>
      <rPr>
        <sz val="10"/>
        <color theme="1"/>
        <rFont val="宋体"/>
        <charset val="134"/>
      </rPr>
      <t>你飘忽不定的身形让敌人攻击时无从下手。只要你并未失能，以你为目标的攻击检定无法具有优势。</t>
    </r>
  </si>
  <si>
    <r>
      <rPr>
        <sz val="10"/>
        <color theme="1"/>
        <rFont val="宋体"/>
        <charset val="134"/>
      </rPr>
      <t>瞬发法术</t>
    </r>
  </si>
  <si>
    <r>
      <rPr>
        <sz val="10"/>
        <color theme="1"/>
        <rFont val="宋体"/>
        <charset val="134"/>
      </rPr>
      <t>消耗：</t>
    </r>
    <r>
      <rPr>
        <sz val="10"/>
        <color theme="1"/>
        <rFont val="Times New Roman"/>
        <charset val="134"/>
      </rPr>
      <t>2</t>
    </r>
    <r>
      <rPr>
        <sz val="10"/>
        <color theme="1"/>
        <rFont val="宋体"/>
        <charset val="134"/>
      </rPr>
      <t>术法点
当你施展一个施法时间为动作的法术时，你可以消耗</t>
    </r>
    <r>
      <rPr>
        <sz val="10"/>
        <color theme="1"/>
        <rFont val="Times New Roman"/>
        <charset val="134"/>
      </rPr>
      <t>2</t>
    </r>
    <r>
      <rPr>
        <sz val="10"/>
        <color theme="1"/>
        <rFont val="宋体"/>
        <charset val="134"/>
      </rPr>
      <t>术法点来将其施法时间改为附赠动作。如果你已经在同一回合内施展了一个一环或更高环的法术，你不能进行瞬发法术，并且你在使用瞬发法术后也不能在同一回合内施展一环或更高环的法术。</t>
    </r>
  </si>
  <si>
    <r>
      <rPr>
        <sz val="10"/>
        <color theme="1"/>
        <rFont val="宋体"/>
        <charset val="134"/>
      </rPr>
      <t>每当你获得一级魔契师等级，你可以将你的准备法术表中的一个法术换成另一个你所选的魔契师法术。你必须拥有新法术对应的法术位。</t>
    </r>
  </si>
  <si>
    <r>
      <rPr>
        <sz val="10"/>
        <color theme="1"/>
        <rFont val="宋体"/>
        <charset val="134"/>
      </rPr>
      <t>你获得属性值提升专长（见第五章）或其他你满足条件的专长。如法师特性表所示，你还会在第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级时再次获得本特性。</t>
    </r>
  </si>
  <si>
    <t>魔法物品巧匠</t>
  </si>
  <si>
    <t>现在你可以同时与至多四件魔法物品同调。</t>
  </si>
  <si>
    <t>本我暗示</t>
  </si>
  <si>
    <t>当你施展了一道惑控或幻术学派的灵能使法术，并且迫使一个生物进行一次豁免检定时，你能够消耗并投掷一枚灵能骰。你能看见的一个该法术的目标在对抗此法术的豁免检定中减去骰值的一半（向下取整）。</t>
  </si>
  <si>
    <r>
      <rPr>
        <sz val="10"/>
        <color theme="1"/>
        <rFont val="宋体"/>
        <charset val="134"/>
      </rPr>
      <t>血猎手圣约</t>
    </r>
  </si>
  <si>
    <r>
      <rPr>
        <sz val="10"/>
        <color theme="1"/>
        <rFont val="宋体"/>
        <charset val="134"/>
      </rPr>
      <t>你投身于一个鲜血猎人圣约，其纲领将引导你的生活：弑灵圣约、渎魂圣约、突变圣约或是化狼圣约。你的选择在第</t>
    </r>
    <r>
      <rPr>
        <sz val="10"/>
        <color theme="1"/>
        <rFont val="Times New Roman"/>
        <charset val="134"/>
      </rPr>
      <t xml:space="preserve"> 3</t>
    </r>
    <r>
      <rPr>
        <sz val="10"/>
        <color theme="1"/>
        <rFont val="宋体"/>
        <charset val="134"/>
      </rPr>
      <t>、</t>
    </r>
    <r>
      <rPr>
        <sz val="10"/>
        <color theme="1"/>
        <rFont val="Times New Roman"/>
        <charset val="134"/>
      </rPr>
      <t>7</t>
    </r>
    <r>
      <rPr>
        <sz val="10"/>
        <color theme="1"/>
        <rFont val="宋体"/>
        <charset val="134"/>
      </rPr>
      <t>、</t>
    </r>
    <r>
      <rPr>
        <sz val="10"/>
        <color theme="1"/>
        <rFont val="Times New Roman"/>
        <charset val="134"/>
      </rPr>
      <t>11</t>
    </r>
    <r>
      <rPr>
        <sz val="10"/>
        <color theme="1"/>
        <rFont val="宋体"/>
        <charset val="134"/>
      </rPr>
      <t>、</t>
    </r>
    <r>
      <rPr>
        <sz val="10"/>
        <color theme="1"/>
        <rFont val="Times New Roman"/>
        <charset val="134"/>
      </rPr>
      <t xml:space="preserve">15 </t>
    </r>
    <r>
      <rPr>
        <sz val="10"/>
        <color theme="1"/>
        <rFont val="宋体"/>
        <charset val="134"/>
      </rPr>
      <t>和</t>
    </r>
    <r>
      <rPr>
        <sz val="10"/>
        <color theme="1"/>
        <rFont val="Times New Roman"/>
        <charset val="134"/>
      </rPr>
      <t xml:space="preserve"> 18 </t>
    </r>
    <r>
      <rPr>
        <sz val="10"/>
        <color theme="1"/>
        <rFont val="宋体"/>
        <charset val="134"/>
      </rPr>
      <t>级时给予你一些特性。
一些秘密组织塑造，定义了血猎手的知识，他们的成员守卫着神秘的技术和独特的仪式。角色必须找到这些圣约之一，才能获得开始每个血猎人旅程的猎人之苦仪式。但是，只有当一名血猎手证明了他们的奉献精神和自我价值后，组织最强大的秘密才会揭晓。</t>
    </r>
  </si>
  <si>
    <r>
      <rPr>
        <sz val="10"/>
        <color theme="1"/>
        <rFont val="宋体"/>
        <charset val="134"/>
      </rPr>
      <t>诊病断灶</t>
    </r>
  </si>
  <si>
    <r>
      <rPr>
        <sz val="10"/>
        <color theme="1"/>
        <rFont val="宋体"/>
        <charset val="134"/>
      </rPr>
      <t>在你的回合内，你可以以一个附赠动作执行协助动作。</t>
    </r>
  </si>
  <si>
    <t>反射闪避</t>
  </si>
  <si>
    <t>当你受到一个允许你进行敏捷豁免来只承受一半伤害的效应影响时，你在豁免成功时不受伤害，豁免失败时只承受一半伤害。
如果你处于失能状态，则你无法从此特性中受益。</t>
  </si>
  <si>
    <t>炼狱交移</t>
  </si>
  <si>
    <r>
      <rPr>
        <sz val="10"/>
        <color theme="1"/>
        <rFont val="宋体"/>
        <charset val="134"/>
      </rPr>
      <t>你可以牺牲自已以强化盟友，或是消耗敌人的生命力为自身加持。你具有炼狱交移骰池，骰池中有数个</t>
    </r>
    <r>
      <rPr>
        <sz val="10"/>
        <color theme="1"/>
        <rFont val="Times New Roman"/>
        <charset val="134"/>
      </rPr>
      <t>d10</t>
    </r>
    <r>
      <rPr>
        <sz val="10"/>
        <color theme="1"/>
        <rFont val="宋体"/>
        <charset val="134"/>
      </rPr>
      <t>。随着你邪狱使等级的提升，骰池中的炼狱交移骰数也会增加，如邪狱使表中</t>
    </r>
    <r>
      <rPr>
        <sz val="10"/>
        <color theme="1"/>
        <rFont val="Times New Roman"/>
        <charset val="134"/>
      </rPr>
      <t>“</t>
    </r>
    <r>
      <rPr>
        <sz val="10"/>
        <color theme="1"/>
        <rFont val="宋体"/>
        <charset val="134"/>
      </rPr>
      <t>炼狱交移骰数</t>
    </r>
    <r>
      <rPr>
        <sz val="10"/>
        <color theme="1"/>
        <rFont val="Times New Roman"/>
        <charset val="134"/>
      </rPr>
      <t>”</t>
    </r>
    <r>
      <rPr>
        <sz val="10"/>
        <color theme="1"/>
        <rFont val="宋体"/>
        <charset val="134"/>
      </rPr>
      <t>一栏所示。
以一个动作，你可以触碰另一名生物并消耗至少一枚炼狱交移骰。目标必须进行一次体质豁免。生物可以自愿失败于此豁免。投掷被消耗的骰子并选择以下效应中的一种：
振奋</t>
    </r>
    <r>
      <rPr>
        <sz val="10"/>
        <color theme="1"/>
        <rFont val="Times New Roman"/>
        <charset val="134"/>
      </rPr>
      <t>Invigorate</t>
    </r>
    <r>
      <rPr>
        <sz val="10"/>
        <color theme="1"/>
        <rFont val="宋体"/>
        <charset val="134"/>
      </rPr>
      <t>。豁免失败则目标恢复等于骰值总值的生命值，而你受到等于骰值总值的暗蚀伤害。豁免成功则目标恢复等于骰值总值一半的生命值，而你受到等于骰值总值一半的暗蚀伤害。无论豁免是否成功，该暗蚀伤害无法因任何方式减少，若该伤害令你的生命值降至</t>
    </r>
    <r>
      <rPr>
        <sz val="10"/>
        <color theme="1"/>
        <rFont val="Times New Roman"/>
        <charset val="134"/>
      </rPr>
      <t>0</t>
    </r>
    <r>
      <rPr>
        <sz val="10"/>
        <color theme="1"/>
        <rFont val="宋体"/>
        <charset val="134"/>
      </rPr>
      <t>，</t>
    </r>
    <r>
      <rPr>
        <sz val="10"/>
        <color theme="1"/>
        <rFont val="Times New Roman"/>
        <charset val="134"/>
      </rPr>
      <t xml:space="preserve"> </t>
    </r>
    <r>
      <rPr>
        <sz val="10"/>
        <color theme="1"/>
        <rFont val="宋体"/>
        <charset val="134"/>
      </rPr>
      <t>你陷入昏迷并伤势稳定。
吞噬</t>
    </r>
    <r>
      <rPr>
        <sz val="10"/>
        <color theme="1"/>
        <rFont val="Times New Roman"/>
        <charset val="134"/>
      </rPr>
      <t>Devour</t>
    </r>
    <r>
      <rPr>
        <sz val="10"/>
        <color theme="1"/>
        <rFont val="宋体"/>
        <charset val="134"/>
      </rPr>
      <t>。豁免失败则目标受到等于骰值总值的暗蚀伤害，而你恢复等于骰值总值的生命值。豁免成功则目标受到等于骰值总值一半的暗蚀伤害，而你恢复等于所造成伤害的生命值。无论豁免检定是否成功或目标自愿失败于此豁免，该暗蚀伤害无法因任何方式减少。当你的邪狱使等级到达</t>
    </r>
    <r>
      <rPr>
        <sz val="10"/>
        <color theme="1"/>
        <rFont val="Times New Roman"/>
        <charset val="134"/>
      </rPr>
      <t>11</t>
    </r>
    <r>
      <rPr>
        <sz val="10"/>
        <color theme="1"/>
        <rFont val="宋体"/>
        <charset val="134"/>
      </rPr>
      <t>级时，目标豁免失败时还会获得</t>
    </r>
    <r>
      <rPr>
        <sz val="10"/>
        <color theme="1"/>
        <rFont val="Times New Roman"/>
        <charset val="134"/>
      </rPr>
      <t>1</t>
    </r>
    <r>
      <rPr>
        <sz val="10"/>
        <color theme="1"/>
        <rFont val="宋体"/>
        <charset val="134"/>
      </rPr>
      <t>级力竭。该力竭等级能够以正常方式减少，一名生物因邪狱使的炼狱交移特性获得的力竭等级不会超过三层。</t>
    </r>
    <r>
      <rPr>
        <sz val="10"/>
        <color theme="1"/>
        <rFont val="Times New Roman"/>
        <charset val="134"/>
      </rPr>
      <t xml:space="preserve"> 
</t>
    </r>
    <r>
      <rPr>
        <sz val="10"/>
        <color theme="1"/>
        <rFont val="宋体"/>
        <charset val="134"/>
      </rPr>
      <t>当你完成长休时，你重获所有已消耗的炼狱交移骰。</t>
    </r>
  </si>
  <si>
    <t>甩脱重担</t>
  </si>
  <si>
    <r>
      <rPr>
        <sz val="10"/>
        <color theme="1"/>
        <rFont val="宋体"/>
        <charset val="134"/>
      </rPr>
      <t>在你的每个回合开始时（无需动作），你能够移除你身上的</t>
    </r>
    <r>
      <rPr>
        <sz val="10"/>
        <color theme="1"/>
        <rFont val="Times New Roman"/>
        <charset val="134"/>
      </rPr>
      <t>1</t>
    </r>
    <r>
      <rPr>
        <sz val="10"/>
        <color theme="1"/>
        <rFont val="宋体"/>
        <charset val="134"/>
      </rPr>
      <t>级力竭或结束你身上的以下一种状态：目盲，魅惑，耳聋，恐慌，麻痹，中毒，束缚或震慑。
此特性一经使用，直至完成长休你都无法再次使用，除非你获得</t>
    </r>
    <r>
      <rPr>
        <sz val="10"/>
        <color theme="1"/>
        <rFont val="Times New Roman"/>
        <charset val="134"/>
      </rPr>
      <t>1</t>
    </r>
    <r>
      <rPr>
        <sz val="10"/>
        <color theme="1"/>
        <rFont val="宋体"/>
        <charset val="134"/>
      </rPr>
      <t>级力竭（无需动作）来重置该特性的使用权。</t>
    </r>
  </si>
  <si>
    <r>
      <rPr>
        <sz val="10"/>
        <color theme="1"/>
        <rFont val="宋体"/>
        <charset val="134"/>
      </rPr>
      <t>创造学院</t>
    </r>
  </si>
  <si>
    <r>
      <rPr>
        <sz val="10"/>
        <color theme="1"/>
        <rFont val="宋体"/>
        <charset val="134"/>
      </rPr>
      <t>你凶蛮打击的额外伤害提升至</t>
    </r>
    <r>
      <rPr>
        <sz val="10"/>
        <color theme="1"/>
        <rFont val="Times New Roman"/>
        <charset val="134"/>
      </rPr>
      <t>2d10</t>
    </r>
    <r>
      <rPr>
        <sz val="10"/>
        <color theme="1"/>
        <rFont val="宋体"/>
        <charset val="134"/>
      </rPr>
      <t>。此外，每当你使用凶蛮打击特性时，你可以同时使用两种不同的凶蛮打击效应。</t>
    </r>
  </si>
  <si>
    <r>
      <rPr>
        <sz val="10"/>
        <color theme="1"/>
        <rFont val="宋体"/>
        <charset val="134"/>
      </rPr>
      <t>你获得一项传奇恩惠专长（见第五章）或其他一项你选择的适用的专长。推荐选择法术溯回之恩惠</t>
    </r>
    <r>
      <rPr>
        <sz val="10"/>
        <color theme="1"/>
        <rFont val="Times New Roman"/>
        <charset val="134"/>
      </rPr>
      <t xml:space="preserve"> </t>
    </r>
    <r>
      <rPr>
        <sz val="10"/>
        <color theme="1"/>
        <rFont val="宋体"/>
        <charset val="134"/>
      </rPr>
      <t>。</t>
    </r>
  </si>
  <si>
    <r>
      <rPr>
        <sz val="10"/>
        <color theme="1"/>
        <rFont val="宋体"/>
        <charset val="134"/>
      </rPr>
      <t>精通受祝击</t>
    </r>
  </si>
  <si>
    <r>
      <rPr>
        <sz val="10"/>
        <color theme="1"/>
        <rFont val="宋体"/>
        <charset val="134"/>
      </rPr>
      <t>你所选择的受祝击变得更加强大。
神圣打击</t>
    </r>
    <r>
      <rPr>
        <sz val="10"/>
        <color theme="1"/>
        <rFont val="Times New Roman"/>
        <charset val="134"/>
      </rPr>
      <t>Divine Strike</t>
    </r>
    <r>
      <rPr>
        <sz val="10"/>
        <color theme="1"/>
        <rFont val="宋体"/>
        <charset val="134"/>
      </rPr>
      <t>。神圣打击的额外伤害提升至</t>
    </r>
    <r>
      <rPr>
        <sz val="10"/>
        <color theme="1"/>
        <rFont val="Times New Roman"/>
        <charset val="134"/>
      </rPr>
      <t xml:space="preserve">2d8
</t>
    </r>
    <r>
      <rPr>
        <sz val="10"/>
        <color theme="1"/>
        <rFont val="宋体"/>
        <charset val="134"/>
      </rPr>
      <t>强力施法</t>
    </r>
    <r>
      <rPr>
        <sz val="10"/>
        <color theme="1"/>
        <rFont val="Times New Roman"/>
        <charset val="134"/>
      </rPr>
      <t>Potent Spellcasting</t>
    </r>
    <r>
      <rPr>
        <sz val="10"/>
        <color theme="1"/>
        <rFont val="宋体"/>
        <charset val="134"/>
      </rPr>
      <t>。当你施展一道牧师戏法并用它对一个生物造成伤害时，你可以为你自己或你</t>
    </r>
    <r>
      <rPr>
        <sz val="10"/>
        <color theme="1"/>
        <rFont val="Times New Roman"/>
        <charset val="134"/>
      </rPr>
      <t>60</t>
    </r>
    <r>
      <rPr>
        <sz val="10"/>
        <color theme="1"/>
        <rFont val="宋体"/>
        <charset val="134"/>
      </rPr>
      <t>尺内的另一个生物注入活力，使其获得等同于你感知调整值两倍的临时生命值。</t>
    </r>
  </si>
  <si>
    <r>
      <rPr>
        <sz val="10"/>
        <color theme="1"/>
        <rFont val="宋体"/>
        <charset val="134"/>
      </rPr>
      <t>你获得属性值提升专长（见第五章）或其它你满足条件的专长。如德鲁伊特性表所示，你还会在第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级时再次获得本特性。</t>
    </r>
    <r>
      <rPr>
        <sz val="10"/>
        <color theme="1"/>
        <rFont val="Times New Roman"/>
        <charset val="134"/>
      </rPr>
      <t xml:space="preserve"> </t>
    </r>
  </si>
  <si>
    <r>
      <rPr>
        <sz val="10"/>
        <color theme="1"/>
        <rFont val="宋体"/>
        <charset val="134"/>
      </rPr>
      <t>突袭</t>
    </r>
  </si>
  <si>
    <r>
      <rPr>
        <sz val="10"/>
        <color theme="1"/>
        <rFont val="宋体"/>
        <charset val="134"/>
      </rPr>
      <t>若你不处于失能状态，当你进行一次敏捷（隐匿）检定或先攻检定时，你能够消耗一枚卓越骰，并将消耗的卓越骰加入检定中。</t>
    </r>
  </si>
  <si>
    <r>
      <rPr>
        <sz val="10"/>
        <color theme="1"/>
        <rFont val="宋体"/>
        <charset val="134"/>
      </rPr>
      <t>拨挡能量</t>
    </r>
  </si>
  <si>
    <r>
      <rPr>
        <sz val="10"/>
        <color theme="1"/>
        <rFont val="宋体"/>
        <charset val="134"/>
      </rPr>
      <t>你现在可以使用你的拨挡攻击特性对抗造成任何伤害类型的攻击，而不仅限于钝击，穿刺或挥砍。</t>
    </r>
  </si>
  <si>
    <r>
      <rPr>
        <sz val="10"/>
        <color theme="1"/>
        <rFont val="宋体"/>
        <charset val="134"/>
      </rPr>
      <t>守护灵光</t>
    </r>
  </si>
  <si>
    <r>
      <rPr>
        <sz val="10"/>
        <color theme="1"/>
        <rFont val="宋体"/>
        <charset val="134"/>
      </rPr>
      <t>你散发出无形的保护性的灵光</t>
    </r>
    <r>
      <rPr>
        <sz val="10"/>
        <color theme="1"/>
        <rFont val="Times New Roman"/>
        <charset val="134"/>
      </rPr>
      <t xml:space="preserve"> </t>
    </r>
    <r>
      <rPr>
        <sz val="10"/>
        <color theme="1"/>
        <rFont val="宋体"/>
        <charset val="134"/>
      </rPr>
      <t>，覆盖以你为源点的</t>
    </r>
    <r>
      <rPr>
        <sz val="10"/>
        <color theme="1"/>
        <rFont val="Times New Roman"/>
        <charset val="134"/>
      </rPr>
      <t>10</t>
    </r>
    <r>
      <rPr>
        <sz val="10"/>
        <color theme="1"/>
        <rFont val="宋体"/>
        <charset val="134"/>
      </rPr>
      <t>尺光环区域。只要你未陷入失能状态，此灵光就持续生效。
你与灵光内盟友的豁免结果获得相当于你魅力调整值的加值（最少为</t>
    </r>
    <r>
      <rPr>
        <sz val="10"/>
        <color theme="1"/>
        <rFont val="Times New Roman"/>
        <charset val="134"/>
      </rPr>
      <t>+1</t>
    </r>
    <r>
      <rPr>
        <sz val="10"/>
        <color theme="1"/>
        <rFont val="宋体"/>
        <charset val="134"/>
      </rPr>
      <t>）。
如果同时存在有其他圣武士，一个生物同时也只能从一个守护灵光中获得增益。这个生物自己选择享受谁的灵光。</t>
    </r>
  </si>
  <si>
    <r>
      <rPr>
        <sz val="10"/>
        <color theme="1"/>
        <rFont val="宋体"/>
        <charset val="134"/>
      </rPr>
      <t>永恒追猎</t>
    </r>
  </si>
  <si>
    <r>
      <rPr>
        <sz val="10"/>
        <color theme="1"/>
        <rFont val="宋体"/>
        <charset val="134"/>
      </rPr>
      <t>受到伤害不会打断你对猎人印记</t>
    </r>
    <r>
      <rPr>
        <sz val="10"/>
        <color theme="1"/>
        <rFont val="Times New Roman"/>
        <charset val="134"/>
      </rPr>
      <t xml:space="preserve">Hunter’s Mark </t>
    </r>
    <r>
      <rPr>
        <sz val="10"/>
        <color theme="1"/>
        <rFont val="宋体"/>
        <charset val="134"/>
      </rPr>
      <t>的专注。</t>
    </r>
  </si>
  <si>
    <r>
      <rPr>
        <sz val="10"/>
        <color theme="1"/>
        <rFont val="宋体"/>
        <charset val="134"/>
      </rPr>
      <t>你获得一项传奇恩惠专长（见第五章）或其他一项你选择的适用的专长。推荐选择暗夜精魂之恩惠</t>
    </r>
    <r>
      <rPr>
        <sz val="10"/>
        <color theme="1"/>
        <rFont val="Times New Roman"/>
        <charset val="134"/>
      </rPr>
      <t xml:space="preserve"> </t>
    </r>
    <r>
      <rPr>
        <sz val="10"/>
        <color theme="1"/>
        <rFont val="宋体"/>
        <charset val="134"/>
      </rPr>
      <t>。</t>
    </r>
  </si>
  <si>
    <r>
      <rPr>
        <sz val="10"/>
        <color theme="1"/>
        <rFont val="宋体"/>
        <charset val="134"/>
      </rPr>
      <t>追踪法术</t>
    </r>
  </si>
  <si>
    <r>
      <rPr>
        <sz val="10"/>
        <color theme="1"/>
        <rFont val="宋体"/>
        <charset val="134"/>
      </rPr>
      <t>消耗：</t>
    </r>
    <r>
      <rPr>
        <sz val="10"/>
        <color theme="1"/>
        <rFont val="Times New Roman"/>
        <charset val="134"/>
      </rPr>
      <t>1</t>
    </r>
    <r>
      <rPr>
        <sz val="10"/>
        <color theme="1"/>
        <rFont val="宋体"/>
        <charset val="134"/>
      </rPr>
      <t>术法点
当你为一道法术进行一次攻击检定并未命中时，你可以使用</t>
    </r>
    <r>
      <rPr>
        <sz val="10"/>
        <color theme="1"/>
        <rFont val="Times New Roman"/>
        <charset val="134"/>
      </rPr>
      <t>1</t>
    </r>
    <r>
      <rPr>
        <sz val="10"/>
        <color theme="1"/>
        <rFont val="宋体"/>
        <charset val="134"/>
      </rPr>
      <t>术法点重投那个</t>
    </r>
    <r>
      <rPr>
        <sz val="10"/>
        <color theme="1"/>
        <rFont val="Times New Roman"/>
        <charset val="134"/>
      </rPr>
      <t>d20</t>
    </r>
    <r>
      <rPr>
        <sz val="10"/>
        <color theme="1"/>
        <rFont val="宋体"/>
        <charset val="134"/>
      </rPr>
      <t>。你必须使用重投的结果。
即使你已经在一道法术上使用了其他超魔，你仍然可以使用追踪法术。</t>
    </r>
  </si>
  <si>
    <r>
      <rPr>
        <sz val="10"/>
        <color theme="1"/>
        <rFont val="宋体"/>
        <charset val="134"/>
      </rPr>
      <t>魅力是你的魔契师法术的施法属性。</t>
    </r>
  </si>
  <si>
    <r>
      <rPr>
        <sz val="10"/>
        <color theme="1"/>
        <rFont val="宋体"/>
        <charset val="134"/>
      </rPr>
      <t>记忆法术</t>
    </r>
  </si>
  <si>
    <r>
      <rPr>
        <sz val="10"/>
        <color theme="1"/>
        <rFont val="宋体"/>
        <charset val="134"/>
      </rPr>
      <t>每当你完成一次短休时，你可以研究你的法术书并且将其中一道你以施法特性准备的一环及以上的法术替换为你法术书中的另一道一环及以上的法术。</t>
    </r>
    <r>
      <rPr>
        <sz val="10"/>
        <color theme="1"/>
        <rFont val="Times New Roman"/>
        <charset val="134"/>
      </rPr>
      <t xml:space="preserve"> </t>
    </r>
  </si>
  <si>
    <r>
      <rPr>
        <sz val="10"/>
        <color theme="1"/>
        <rFont val="宋体"/>
        <charset val="134"/>
      </rPr>
      <t>魔法物品方案（奇械师等级</t>
    </r>
    <r>
      <rPr>
        <sz val="10"/>
        <color theme="1"/>
        <rFont val="Times New Roman"/>
        <charset val="134"/>
      </rPr>
      <t>10+</t>
    </r>
    <r>
      <rPr>
        <sz val="10"/>
        <color theme="1"/>
        <rFont val="宋体"/>
        <charset val="134"/>
      </rPr>
      <t>）</t>
    </r>
    <r>
      <rPr>
        <sz val="10"/>
        <color theme="1"/>
        <rFont val="Times New Roman"/>
        <charset val="134"/>
      </rPr>
      <t xml:space="preserve"> </t>
    </r>
  </si>
  <si>
    <r>
      <rPr>
        <sz val="10"/>
        <color theme="1"/>
        <rFont val="宋体"/>
        <charset val="134"/>
      </rPr>
      <t>魔法物品方案</t>
    </r>
    <r>
      <rPr>
        <sz val="10"/>
        <color theme="1"/>
        <rFont val="Times New Roman"/>
        <charset val="134"/>
      </rPr>
      <t xml:space="preserve"> </t>
    </r>
    <r>
      <rPr>
        <sz val="10"/>
        <color theme="1"/>
        <rFont val="宋体"/>
        <charset val="134"/>
      </rPr>
      <t>同调</t>
    </r>
    <r>
      <rPr>
        <sz val="10"/>
        <color theme="1"/>
        <rFont val="Times New Roman"/>
        <charset val="134"/>
      </rPr>
      <t xml:space="preserve">
</t>
    </r>
    <r>
      <rPr>
        <sz val="10"/>
        <color theme="1"/>
        <rFont val="宋体"/>
        <charset val="134"/>
      </rPr>
      <t>抗性护甲</t>
    </r>
    <r>
      <rPr>
        <sz val="10"/>
        <color theme="1"/>
        <rFont val="Times New Roman"/>
        <charset val="134"/>
      </rPr>
      <t xml:space="preserve"> Armor of Resistance </t>
    </r>
    <r>
      <rPr>
        <sz val="10"/>
        <color theme="1"/>
        <rFont val="宋体"/>
        <charset val="134"/>
      </rPr>
      <t>是</t>
    </r>
    <r>
      <rPr>
        <sz val="10"/>
        <color theme="1"/>
        <rFont val="Times New Roman"/>
        <charset val="134"/>
      </rPr>
      <t xml:space="preserve"> 
</t>
    </r>
    <r>
      <rPr>
        <sz val="10"/>
        <color theme="1"/>
        <rFont val="宋体"/>
        <charset val="134"/>
      </rPr>
      <t>淬毒匕首</t>
    </r>
    <r>
      <rPr>
        <sz val="10"/>
        <color theme="1"/>
        <rFont val="Times New Roman"/>
        <charset val="134"/>
      </rPr>
      <t xml:space="preserve"> Dagger of Venom </t>
    </r>
    <r>
      <rPr>
        <sz val="10"/>
        <color theme="1"/>
        <rFont val="宋体"/>
        <charset val="134"/>
      </rPr>
      <t>否</t>
    </r>
    <r>
      <rPr>
        <sz val="10"/>
        <color theme="1"/>
        <rFont val="Times New Roman"/>
        <charset val="134"/>
      </rPr>
      <t xml:space="preserve"> 
</t>
    </r>
    <r>
      <rPr>
        <sz val="10"/>
        <color theme="1"/>
        <rFont val="宋体"/>
        <charset val="134"/>
      </rPr>
      <t>精灵链甲</t>
    </r>
    <r>
      <rPr>
        <sz val="10"/>
        <color theme="1"/>
        <rFont val="Times New Roman"/>
        <charset val="134"/>
      </rPr>
      <t xml:space="preserve"> Elven Chain </t>
    </r>
    <r>
      <rPr>
        <sz val="10"/>
        <color theme="1"/>
        <rFont val="宋体"/>
        <charset val="134"/>
      </rPr>
      <t>否</t>
    </r>
    <r>
      <rPr>
        <sz val="10"/>
        <color theme="1"/>
        <rFont val="Times New Roman"/>
        <charset val="134"/>
      </rPr>
      <t xml:space="preserve"> 
</t>
    </r>
    <r>
      <rPr>
        <sz val="10"/>
        <color theme="1"/>
        <rFont val="宋体"/>
        <charset val="134"/>
      </rPr>
      <t>羽落戒指</t>
    </r>
    <r>
      <rPr>
        <sz val="10"/>
        <color theme="1"/>
        <rFont val="Times New Roman"/>
        <charset val="134"/>
      </rPr>
      <t xml:space="preserve"> Ring of Feather Fall </t>
    </r>
    <r>
      <rPr>
        <sz val="10"/>
        <color theme="1"/>
        <rFont val="宋体"/>
        <charset val="134"/>
      </rPr>
      <t>是</t>
    </r>
    <r>
      <rPr>
        <sz val="10"/>
        <color theme="1"/>
        <rFont val="Times New Roman"/>
        <charset val="134"/>
      </rPr>
      <t xml:space="preserve"> 
</t>
    </r>
    <r>
      <rPr>
        <sz val="10"/>
        <color theme="1"/>
        <rFont val="宋体"/>
        <charset val="134"/>
      </rPr>
      <t>跳跃戒指</t>
    </r>
    <r>
      <rPr>
        <sz val="10"/>
        <color theme="1"/>
        <rFont val="Times New Roman"/>
        <charset val="134"/>
      </rPr>
      <t xml:space="preserve"> Ring of Jumping </t>
    </r>
    <r>
      <rPr>
        <sz val="10"/>
        <color theme="1"/>
        <rFont val="宋体"/>
        <charset val="134"/>
      </rPr>
      <t>是</t>
    </r>
    <r>
      <rPr>
        <sz val="10"/>
        <color theme="1"/>
        <rFont val="Times New Roman"/>
        <charset val="134"/>
      </rPr>
      <t xml:space="preserve"> 
</t>
    </r>
    <r>
      <rPr>
        <sz val="10"/>
        <color theme="1"/>
        <rFont val="宋体"/>
        <charset val="134"/>
      </rPr>
      <t>心灵护盾戒指</t>
    </r>
    <r>
      <rPr>
        <sz val="10"/>
        <color theme="1"/>
        <rFont val="Times New Roman"/>
        <charset val="134"/>
      </rPr>
      <t xml:space="preserve"> Ring of Mind Shielding </t>
    </r>
    <r>
      <rPr>
        <sz val="10"/>
        <color theme="1"/>
        <rFont val="宋体"/>
        <charset val="134"/>
      </rPr>
      <t>是</t>
    </r>
    <r>
      <rPr>
        <sz val="10"/>
        <color theme="1"/>
        <rFont val="Times New Roman"/>
        <charset val="134"/>
      </rPr>
      <t xml:space="preserve"> 
+2</t>
    </r>
    <r>
      <rPr>
        <sz val="10"/>
        <color theme="1"/>
        <rFont val="宋体"/>
        <charset val="134"/>
      </rPr>
      <t>盾牌</t>
    </r>
    <r>
      <rPr>
        <sz val="10"/>
        <color theme="1"/>
        <rFont val="Times New Roman"/>
        <charset val="134"/>
      </rPr>
      <t xml:space="preserve"> Shield+2 </t>
    </r>
    <r>
      <rPr>
        <sz val="10"/>
        <color theme="1"/>
        <rFont val="宋体"/>
        <charset val="134"/>
      </rPr>
      <t>否</t>
    </r>
    <r>
      <rPr>
        <sz val="10"/>
        <color theme="1"/>
        <rFont val="Times New Roman"/>
        <charset val="134"/>
      </rPr>
      <t xml:space="preserve"> 
</t>
    </r>
    <r>
      <rPr>
        <sz val="10"/>
        <color theme="1"/>
        <rFont val="宋体"/>
        <charset val="134"/>
      </rPr>
      <t>无诅咒的非普通奇物</t>
    </r>
    <r>
      <rPr>
        <sz val="10"/>
        <color theme="1"/>
        <rFont val="Times New Roman"/>
        <charset val="134"/>
      </rPr>
      <t xml:space="preserve">* </t>
    </r>
    <r>
      <rPr>
        <sz val="10"/>
        <color theme="1"/>
        <rFont val="宋体"/>
        <charset val="134"/>
      </rPr>
      <t>多种</t>
    </r>
    <r>
      <rPr>
        <sz val="10"/>
        <color theme="1"/>
        <rFont val="Times New Roman"/>
        <charset val="134"/>
      </rPr>
      <t xml:space="preserve"> 
+2</t>
    </r>
    <r>
      <rPr>
        <sz val="10"/>
        <color theme="1"/>
        <rFont val="宋体"/>
        <charset val="134"/>
      </rPr>
      <t>战法师魔杖</t>
    </r>
    <r>
      <rPr>
        <sz val="10"/>
        <color theme="1"/>
        <rFont val="Times New Roman"/>
        <charset val="134"/>
      </rPr>
      <t xml:space="preserve"> Wand of the War Mage+2 </t>
    </r>
    <r>
      <rPr>
        <sz val="10"/>
        <color theme="1"/>
        <rFont val="宋体"/>
        <charset val="134"/>
      </rPr>
      <t>是</t>
    </r>
    <r>
      <rPr>
        <sz val="10"/>
        <color theme="1"/>
        <rFont val="Times New Roman"/>
        <charset val="134"/>
      </rPr>
      <t xml:space="preserve"> 
+2</t>
    </r>
    <r>
      <rPr>
        <sz val="10"/>
        <color theme="1"/>
        <rFont val="宋体"/>
        <charset val="134"/>
      </rPr>
      <t>武器</t>
    </r>
    <r>
      <rPr>
        <sz val="10"/>
        <color theme="1"/>
        <rFont val="Times New Roman"/>
        <charset val="134"/>
      </rPr>
      <t xml:space="preserve"> Weapon+2 </t>
    </r>
    <r>
      <rPr>
        <sz val="10"/>
        <color theme="1"/>
        <rFont val="宋体"/>
        <charset val="134"/>
      </rPr>
      <t>否</t>
    </r>
    <r>
      <rPr>
        <sz val="10"/>
        <color theme="1"/>
        <rFont val="Times New Roman"/>
        <charset val="134"/>
      </rPr>
      <t xml:space="preserve"> 
+2</t>
    </r>
    <r>
      <rPr>
        <sz val="10"/>
        <color theme="1"/>
        <rFont val="宋体"/>
        <charset val="134"/>
      </rPr>
      <t>神威绑带</t>
    </r>
    <r>
      <rPr>
        <sz val="10"/>
        <color theme="1"/>
        <rFont val="Times New Roman"/>
        <charset val="134"/>
      </rPr>
      <t xml:space="preserve"> Wraps of Unarmed Power+2 </t>
    </r>
    <r>
      <rPr>
        <sz val="10"/>
        <color theme="1"/>
        <rFont val="宋体"/>
        <charset val="134"/>
      </rPr>
      <t>否</t>
    </r>
    <r>
      <rPr>
        <sz val="10"/>
        <color theme="1"/>
        <rFont val="Times New Roman"/>
        <charset val="134"/>
      </rPr>
      <t xml:space="preserve"> </t>
    </r>
  </si>
  <si>
    <t>弹无虚发</t>
  </si>
  <si>
    <t>当你对一个生物进行攻击检定失手时，你可以投掷一枚灵能骰并在攻击检定中加入骰值，这可能会让本次失手变为命中。该骰只有使本次攻击命中时花费。</t>
  </si>
  <si>
    <r>
      <rPr>
        <sz val="10"/>
        <color theme="1"/>
        <rFont val="宋体"/>
        <charset val="134"/>
      </rPr>
      <t>你获得属性值提升专长（见第五章）或其它你满足条件的专长。你在第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级时会再次获得本特性。</t>
    </r>
  </si>
  <si>
    <r>
      <rPr>
        <sz val="10"/>
        <color theme="1"/>
        <rFont val="宋体"/>
        <charset val="134"/>
      </rPr>
      <t>课外研究</t>
    </r>
  </si>
  <si>
    <r>
      <rPr>
        <sz val="10"/>
        <color theme="1"/>
        <rFont val="宋体"/>
        <charset val="134"/>
      </rPr>
      <t>你从任意职业的法术列表中选择两个戏法并额外地习得它们。这些戏法成为你的药剂师戏法。</t>
    </r>
  </si>
  <si>
    <t>赶尽杀绝</t>
  </si>
  <si>
    <t>当你使用远程武器造成伤害，且掷骰中未加入你的属性调整值时，你将你的属性调整值加入伤害掷骰。若你已将属性调整值加入伤害掷骰，目标额外受到1d8伤害，伤害类型为武器的伤害类型。
请注意，具有枪械词条的武器不会将你的属性调整值加入伤害检定。</t>
  </si>
  <si>
    <t>修罗之链</t>
  </si>
  <si>
    <t>当你使用附赠动作施加或转移缄印给一名体型不超过大型的生物时，你可以激活此恩惠（无需动作）。你咒唤炼狱的锁链抓住目标，你迫使目标进行一次力量豁免，豁免失败则你可以将其拉近10尺或令其陷入受擒直至你的下个回合结束（逃脱DC等于你的禁令豁免DC）。</t>
  </si>
  <si>
    <t>求己入圣</t>
  </si>
  <si>
    <r>
      <rPr>
        <sz val="10"/>
        <color theme="1"/>
        <rFont val="宋体"/>
        <charset val="134"/>
      </rPr>
      <t>你能以附赠动作求己入圣。你获得反求诸己的所有增益并能够每回合使用你的披荆斩棘两次而非一次。
此特性一经使用，直至完成长休你都无法再次使用。</t>
    </r>
    <r>
      <rPr>
        <sz val="10"/>
        <color theme="1"/>
        <rFont val="Times New Roman"/>
        <charset val="134"/>
      </rPr>
      <t>20</t>
    </r>
    <r>
      <rPr>
        <sz val="10"/>
        <color theme="1"/>
        <rFont val="宋体"/>
        <charset val="134"/>
      </rPr>
      <t>级起，你在长休前能使用该特性两次。</t>
    </r>
  </si>
  <si>
    <r>
      <rPr>
        <sz val="10"/>
        <color theme="1"/>
        <rFont val="宋体"/>
        <charset val="134"/>
      </rPr>
      <t>雄辩学院</t>
    </r>
  </si>
  <si>
    <r>
      <rPr>
        <sz val="10"/>
        <color theme="1"/>
        <rFont val="宋体"/>
        <charset val="134"/>
      </rPr>
      <t>不屈勇武</t>
    </r>
  </si>
  <si>
    <r>
      <rPr>
        <sz val="10"/>
        <color theme="1"/>
        <rFont val="宋体"/>
        <charset val="134"/>
      </rPr>
      <t>如果你进行的力量检定或力量豁免检定的总值低于你的力量值，你可以使用你的力量值替代检定总值。</t>
    </r>
  </si>
  <si>
    <r>
      <rPr>
        <sz val="10"/>
        <color theme="1"/>
        <rFont val="宋体"/>
        <charset val="134"/>
      </rPr>
      <t>创生圣言</t>
    </r>
  </si>
  <si>
    <r>
      <rPr>
        <sz val="10"/>
        <color theme="1"/>
        <rFont val="宋体"/>
        <charset val="134"/>
      </rPr>
      <t>你掌握了创生圣言的其中两字：</t>
    </r>
    <r>
      <rPr>
        <sz val="10"/>
        <color theme="1"/>
        <rFont val="Times New Roman"/>
        <charset val="134"/>
      </rPr>
      <t>“</t>
    </r>
    <r>
      <rPr>
        <sz val="10"/>
        <color theme="1"/>
        <rFont val="宋体"/>
        <charset val="134"/>
      </rPr>
      <t>生</t>
    </r>
    <r>
      <rPr>
        <sz val="10"/>
        <color theme="1"/>
        <rFont val="Times New Roman"/>
        <charset val="134"/>
      </rPr>
      <t>”</t>
    </r>
    <r>
      <rPr>
        <sz val="10"/>
        <color theme="1"/>
        <rFont val="宋体"/>
        <charset val="134"/>
      </rPr>
      <t>与</t>
    </r>
    <r>
      <rPr>
        <sz val="10"/>
        <color theme="1"/>
        <rFont val="Times New Roman"/>
        <charset val="134"/>
      </rPr>
      <t>“</t>
    </r>
    <r>
      <rPr>
        <sz val="10"/>
        <color theme="1"/>
        <rFont val="宋体"/>
        <charset val="134"/>
      </rPr>
      <t>死</t>
    </r>
    <r>
      <rPr>
        <sz val="10"/>
        <color theme="1"/>
        <rFont val="Times New Roman"/>
        <charset val="134"/>
      </rPr>
      <t>”</t>
    </r>
    <r>
      <rPr>
        <sz val="10"/>
        <color theme="1"/>
        <rFont val="宋体"/>
        <charset val="134"/>
      </rPr>
      <t>。因此，你总是准备了法术律令医疗</t>
    </r>
    <r>
      <rPr>
        <sz val="10"/>
        <color theme="1"/>
        <rFont val="Times New Roman"/>
        <charset val="134"/>
      </rPr>
      <t>Power Word Heal</t>
    </r>
    <r>
      <rPr>
        <sz val="10"/>
        <color theme="1"/>
        <rFont val="宋体"/>
        <charset val="134"/>
      </rPr>
      <t>和律令死亡</t>
    </r>
    <r>
      <rPr>
        <sz val="10"/>
        <color theme="1"/>
        <rFont val="Times New Roman"/>
        <charset val="134"/>
      </rPr>
      <t>Power Word Kill</t>
    </r>
    <r>
      <rPr>
        <sz val="10"/>
        <color theme="1"/>
        <rFont val="宋体"/>
        <charset val="134"/>
      </rPr>
      <t>。当你施展这两道法术时，你可以选择第二个生物作为目标，那名生物必须位于第一个目标</t>
    </r>
    <r>
      <rPr>
        <sz val="10"/>
        <color theme="1"/>
        <rFont val="Times New Roman"/>
        <charset val="134"/>
      </rPr>
      <t>10</t>
    </r>
    <r>
      <rPr>
        <sz val="10"/>
        <color theme="1"/>
        <rFont val="宋体"/>
        <charset val="134"/>
      </rPr>
      <t>尺内。</t>
    </r>
  </si>
  <si>
    <r>
      <rPr>
        <sz val="10"/>
        <color theme="1"/>
        <rFont val="宋体"/>
        <charset val="134"/>
      </rPr>
      <t>你获得一项</t>
    </r>
    <r>
      <rPr>
        <sz val="10"/>
        <color theme="1"/>
        <rFont val="Times New Roman"/>
        <charset val="134"/>
      </rPr>
      <t xml:space="preserve"> </t>
    </r>
    <r>
      <rPr>
        <sz val="10"/>
        <color theme="1"/>
        <rFont val="宋体"/>
        <charset val="134"/>
      </rPr>
      <t>传奇恩惠专长（见第五章）或其他一项你选择的适用的专长。推荐选择扭曲命运之恩惠</t>
    </r>
    <r>
      <rPr>
        <sz val="10"/>
        <color theme="1"/>
        <rFont val="Times New Roman"/>
        <charset val="134"/>
      </rPr>
      <t xml:space="preserve"> </t>
    </r>
    <r>
      <rPr>
        <sz val="10"/>
        <color theme="1"/>
        <rFont val="宋体"/>
        <charset val="134"/>
      </rPr>
      <t>。</t>
    </r>
  </si>
  <si>
    <r>
      <rPr>
        <sz val="10"/>
        <color theme="1"/>
        <rFont val="宋体"/>
        <charset val="134"/>
      </rPr>
      <t>荒野复苏</t>
    </r>
  </si>
  <si>
    <r>
      <rPr>
        <sz val="10"/>
        <color theme="1"/>
        <rFont val="宋体"/>
        <charset val="134"/>
      </rPr>
      <t>每个你的回合内一次，如果你没有荒野变形使用次数，你可以消耗一个法术位（无需动作）让自己获得一次荒野变形次数。
此外，你可以消耗一次荒野变形使用次数（无需动作）来令自己获得一个一环法术位，然后直至完成长休你都无法再如此做。</t>
    </r>
  </si>
  <si>
    <r>
      <rPr>
        <sz val="10"/>
        <color theme="1"/>
        <rFont val="宋体"/>
        <charset val="134"/>
      </rPr>
      <t>换位诈术</t>
    </r>
  </si>
  <si>
    <r>
      <rPr>
        <sz val="10"/>
        <color theme="1"/>
        <rFont val="宋体"/>
        <charset val="134"/>
      </rPr>
      <t>你的回合中，若你处于某个生物</t>
    </r>
    <r>
      <rPr>
        <sz val="10"/>
        <color theme="1"/>
        <rFont val="Times New Roman"/>
        <charset val="134"/>
      </rPr>
      <t>5</t>
    </r>
    <r>
      <rPr>
        <sz val="10"/>
        <color theme="1"/>
        <rFont val="宋体"/>
        <charset val="134"/>
      </rPr>
      <t>尺范围内，你可够消耗一枚卓越骰和至少</t>
    </r>
    <r>
      <rPr>
        <sz val="10"/>
        <color theme="1"/>
        <rFont val="Times New Roman"/>
        <charset val="134"/>
      </rPr>
      <t>5</t>
    </r>
    <r>
      <rPr>
        <sz val="10"/>
        <color theme="1"/>
        <rFont val="宋体"/>
        <charset val="134"/>
      </rPr>
      <t>尺的移动力，来与那个生物互换位置。该生物需要自愿且不处于失能状态。这次移动不会引发借机攻击。
投掷那枚被消耗的卓越骰。直到你的下个回合开始前，你或被互换位置的另一生物（由你选择）的</t>
    </r>
    <r>
      <rPr>
        <sz val="10"/>
        <color theme="1"/>
        <rFont val="Times New Roman"/>
        <charset val="134"/>
      </rPr>
      <t>AC</t>
    </r>
    <r>
      <rPr>
        <sz val="10"/>
        <color theme="1"/>
        <rFont val="宋体"/>
        <charset val="134"/>
      </rPr>
      <t>获得等于该卓越骰结果的加值。</t>
    </r>
  </si>
  <si>
    <r>
      <rPr>
        <sz val="10"/>
        <color theme="1"/>
        <rFont val="宋体"/>
        <charset val="134"/>
      </rPr>
      <t>圆融自在</t>
    </r>
  </si>
  <si>
    <r>
      <rPr>
        <sz val="10"/>
        <color theme="1"/>
        <rFont val="宋体"/>
        <charset val="134"/>
      </rPr>
      <t>你的身心修行已然有所成就，你获得所有豁免的熟练。
此外，当你豁免失败时，你可以消耗</t>
    </r>
    <r>
      <rPr>
        <sz val="10"/>
        <color theme="1"/>
        <rFont val="Times New Roman"/>
        <charset val="134"/>
      </rPr>
      <t>1</t>
    </r>
    <r>
      <rPr>
        <sz val="10"/>
        <color theme="1"/>
        <rFont val="宋体"/>
        <charset val="134"/>
      </rPr>
      <t>点功力重掷豁免，但必须使用重掷的结果。</t>
    </r>
  </si>
  <si>
    <r>
      <rPr>
        <sz val="10"/>
        <color theme="1"/>
        <rFont val="宋体"/>
        <charset val="134"/>
      </rPr>
      <t>弃绝众敌</t>
    </r>
  </si>
  <si>
    <r>
      <rPr>
        <sz val="10"/>
        <color theme="1"/>
        <rFont val="宋体"/>
        <charset val="134"/>
      </rPr>
      <t>以一个魔法动作，你消耗一次引导神力使用次数让敌人被恐惧吞没。你高举圣徽或武器，选择位于你</t>
    </r>
    <r>
      <rPr>
        <sz val="10"/>
        <color theme="1"/>
        <rFont val="Times New Roman"/>
        <charset val="134"/>
      </rPr>
      <t>60</t>
    </r>
    <r>
      <rPr>
        <sz val="10"/>
        <color theme="1"/>
        <rFont val="宋体"/>
        <charset val="134"/>
      </rPr>
      <t>尺内，数量至多等同于你魅力调整值（最少为</t>
    </r>
    <r>
      <rPr>
        <sz val="10"/>
        <color theme="1"/>
        <rFont val="Times New Roman"/>
        <charset val="134"/>
      </rPr>
      <t>1</t>
    </r>
    <r>
      <rPr>
        <sz val="10"/>
        <color theme="1"/>
        <rFont val="宋体"/>
        <charset val="134"/>
      </rPr>
      <t>）的可见生物作为目标。每个目标必须成功通过一次感知豁免，否则陷入恐慌状态，持续</t>
    </r>
    <r>
      <rPr>
        <sz val="10"/>
        <color theme="1"/>
        <rFont val="Times New Roman"/>
        <charset val="134"/>
      </rPr>
      <t>1</t>
    </r>
    <r>
      <rPr>
        <sz val="10"/>
        <color theme="1"/>
        <rFont val="宋体"/>
        <charset val="134"/>
      </rPr>
      <t>分钟或直到其受到任何伤害为止。因此陷入恐慌的生物每回合只能执行下列选项之一：移动、执行一个动作或执行一个附赠动作。</t>
    </r>
  </si>
  <si>
    <r>
      <rPr>
        <sz val="10"/>
        <color theme="1"/>
        <rFont val="宋体"/>
        <charset val="134"/>
      </rPr>
      <t>自然面纱</t>
    </r>
  </si>
  <si>
    <r>
      <rPr>
        <sz val="10"/>
        <color theme="1"/>
        <rFont val="宋体"/>
        <charset val="134"/>
      </rPr>
      <t>你祈唤自然精魂，魔法性地将身形遮蔽隐蔽。以一个附赠动作，你可以让自己进入</t>
    </r>
    <r>
      <rPr>
        <sz val="10"/>
        <color theme="1"/>
        <rFont val="Times New Roman"/>
        <charset val="134"/>
      </rPr>
      <t xml:space="preserve"> </t>
    </r>
    <r>
      <rPr>
        <sz val="10"/>
        <color theme="1"/>
        <rFont val="宋体"/>
        <charset val="134"/>
      </rPr>
      <t>隐形状态，持续到你的下一回合结束。
你可以使用该特性的次数同等于你的感知调整值次（最少</t>
    </r>
    <r>
      <rPr>
        <sz val="10"/>
        <color theme="1"/>
        <rFont val="Times New Roman"/>
        <charset val="134"/>
      </rPr>
      <t>1</t>
    </r>
    <r>
      <rPr>
        <sz val="10"/>
        <color theme="1"/>
        <rFont val="宋体"/>
        <charset val="134"/>
      </rPr>
      <t>次），完成一次长休时，你重获全部已消耗的使用次数。</t>
    </r>
  </si>
  <si>
    <r>
      <rPr>
        <sz val="10"/>
        <color theme="1"/>
        <rFont val="宋体"/>
        <charset val="134"/>
      </rPr>
      <t>幸运一击</t>
    </r>
  </si>
  <si>
    <r>
      <rPr>
        <sz val="10"/>
        <color theme="1"/>
        <rFont val="宋体"/>
        <charset val="134"/>
      </rPr>
      <t>你留了一手非凡技巧，让你可以随时把握自己的成功之际。当你在一次</t>
    </r>
    <r>
      <rPr>
        <sz val="10"/>
        <color theme="1"/>
        <rFont val="Times New Roman"/>
        <charset val="134"/>
      </rPr>
      <t>D20</t>
    </r>
    <r>
      <rPr>
        <sz val="10"/>
        <color theme="1"/>
        <rFont val="宋体"/>
        <charset val="134"/>
      </rPr>
      <t>检定中失败时，你可以将结果改为</t>
    </r>
    <r>
      <rPr>
        <sz val="10"/>
        <color theme="1"/>
        <rFont val="Times New Roman"/>
        <charset val="134"/>
      </rPr>
      <t>20</t>
    </r>
    <r>
      <rPr>
        <sz val="10"/>
        <color theme="1"/>
        <rFont val="宋体"/>
        <charset val="134"/>
      </rPr>
      <t>。
此特性一经使用，直至完成短休或长休你都无法再次使用。</t>
    </r>
  </si>
  <si>
    <r>
      <rPr>
        <sz val="10"/>
        <color theme="1"/>
        <rFont val="宋体"/>
        <charset val="134"/>
      </rPr>
      <t>精妙法术</t>
    </r>
  </si>
  <si>
    <r>
      <rPr>
        <sz val="10"/>
        <color theme="1"/>
        <rFont val="宋体"/>
        <charset val="134"/>
      </rPr>
      <t>消耗：</t>
    </r>
    <r>
      <rPr>
        <sz val="10"/>
        <color theme="1"/>
        <rFont val="Times New Roman"/>
        <charset val="134"/>
      </rPr>
      <t>1</t>
    </r>
    <r>
      <rPr>
        <sz val="10"/>
        <color theme="1"/>
        <rFont val="宋体"/>
        <charset val="134"/>
      </rPr>
      <t>术法点
当你施展一道法术时，你可以消耗</t>
    </r>
    <r>
      <rPr>
        <sz val="10"/>
        <color theme="1"/>
        <rFont val="Times New Roman"/>
        <charset val="134"/>
      </rPr>
      <t>1</t>
    </r>
    <r>
      <rPr>
        <sz val="10"/>
        <color theme="1"/>
        <rFont val="宋体"/>
        <charset val="134"/>
      </rPr>
      <t>术法点来忽视法术所需的言语、姿势和材料成分，但不能忽视那些会被消耗或在法术描述中写明了具体价值的材料成分。</t>
    </r>
  </si>
  <si>
    <r>
      <rPr>
        <sz val="10"/>
        <color theme="1"/>
        <rFont val="宋体"/>
        <charset val="134"/>
      </rPr>
      <t>你可以使用奥术法器作为你魔契师法术的施法法器。</t>
    </r>
  </si>
  <si>
    <r>
      <rPr>
        <sz val="10"/>
        <color theme="1"/>
        <rFont val="宋体"/>
        <charset val="134"/>
      </rPr>
      <t>法术精通</t>
    </r>
  </si>
  <si>
    <r>
      <rPr>
        <sz val="10"/>
        <color theme="1"/>
        <rFont val="宋体"/>
        <charset val="134"/>
      </rPr>
      <t>你对特定的法术精熟于心，以至于你可以将其随意施展。选择你法术书中的一道施法时间为动作的一环法术和一个二环法术，你总是准备这些法术，且能不消耗法术位地以最低环施展它们。如果你想升环施展这些法术，则你必须像平时一样消耗一个法术位。
每当你完成一次长休时，你可以研究你的法术书并将其中一道法术更换为另一个符合条件的同环阶法术。</t>
    </r>
    <r>
      <rPr>
        <sz val="10"/>
        <color theme="1"/>
        <rFont val="Times New Roman"/>
        <charset val="134"/>
      </rPr>
      <t xml:space="preserve"> </t>
    </r>
  </si>
  <si>
    <r>
      <rPr>
        <sz val="10"/>
        <color theme="1"/>
        <rFont val="宋体"/>
        <charset val="134"/>
      </rPr>
      <t>储法物品</t>
    </r>
  </si>
  <si>
    <r>
      <rPr>
        <sz val="10"/>
        <color theme="1"/>
        <rFont val="宋体"/>
        <charset val="134"/>
      </rPr>
      <t>每当你完成一次长休时，你可以触碰一件简易或军用武器，或一件你能将其作为施法法器的物品，并往里存储一道法术，选择一道一环、二环或三环的，施法时间为动作的奇械师法术储存到里面（你不必准备该法术）。</t>
    </r>
    <r>
      <rPr>
        <sz val="10"/>
        <color theme="1"/>
        <rFont val="Times New Roman"/>
        <charset val="134"/>
      </rPr>
      <t xml:space="preserve">
</t>
    </r>
    <r>
      <rPr>
        <sz val="10"/>
        <color theme="1"/>
        <rFont val="宋体"/>
        <charset val="134"/>
      </rPr>
      <t>在持握物品期间，一个生物可以使用一个动作以从中造成这个法术的效应，使用你的施法属性调整值。如果这个法术需要专注，则该生物必须为之维持专注。一旦一名生物已经使用该物品造成此法术的效应，则直到该生物的下个回合开始，此物品无法再以此法使用。</t>
    </r>
    <r>
      <rPr>
        <sz val="10"/>
        <color theme="1"/>
        <rFont val="Times New Roman"/>
        <charset val="134"/>
      </rPr>
      <t xml:space="preserve">
</t>
    </r>
    <r>
      <rPr>
        <sz val="10"/>
        <color theme="1"/>
        <rFont val="宋体"/>
        <charset val="134"/>
      </rPr>
      <t>该法术将留存在物品中，直到使用次数用完（最大使用次数等于你智力调整值的两倍（至少两次））或直到你再次使用该特性储存一道法术到一件物品中。</t>
    </r>
  </si>
  <si>
    <t>观察思维</t>
  </si>
  <si>
    <r>
      <rPr>
        <sz val="10"/>
        <color theme="1"/>
        <rFont val="宋体"/>
        <charset val="134"/>
      </rPr>
      <t>当你执行研究动作时，你能够投掷一枚灵能骰，并将骰值加入到此属性检定中。若令此属性检定成功，灵能骰被消耗。</t>
    </r>
    <r>
      <rPr>
        <sz val="10"/>
        <color theme="1"/>
        <rFont val="Times New Roman"/>
        <charset val="134"/>
      </rPr>
      <t xml:space="preserve"> </t>
    </r>
  </si>
  <si>
    <r>
      <rPr>
        <sz val="10"/>
        <color theme="1"/>
        <rFont val="宋体"/>
        <charset val="134"/>
      </rPr>
      <t>变质接种</t>
    </r>
  </si>
  <si>
    <r>
      <rPr>
        <sz val="10"/>
        <color theme="1"/>
        <rFont val="宋体"/>
        <charset val="134"/>
      </rPr>
      <t>你获得黯蚀伤害的抗性，并且你的生命值上限无法被减少。除此之外，你免疫疾病。</t>
    </r>
  </si>
  <si>
    <t>死亡欺诈</t>
  </si>
  <si>
    <t>当你的生命值降至0且未立即死亡时，你可以改为降至1生命值，并恢复等于你铳士等级的生命值。
此特性一经使用，直至完成短休或长休你都无法再次使用。</t>
  </si>
  <si>
    <t>焱燃通道</t>
  </si>
  <si>
    <t>你能够以附赠动作消耗一枚缄印，传送至多60尺的距离，到一处你可见的未占据空间中。</t>
  </si>
  <si>
    <t>坚不可摧</t>
  </si>
  <si>
    <r>
      <rPr>
        <sz val="10"/>
        <color theme="1"/>
        <rFont val="宋体"/>
        <charset val="134"/>
      </rPr>
      <t>你的力量、敏捷和体质豁免具有优势。
此外，每当你进行豁免检定失败时，你能消耗</t>
    </r>
    <r>
      <rPr>
        <sz val="10"/>
        <color theme="1"/>
        <rFont val="Times New Roman"/>
        <charset val="134"/>
      </rPr>
      <t>1</t>
    </r>
    <r>
      <rPr>
        <sz val="10"/>
        <color theme="1"/>
        <rFont val="宋体"/>
        <charset val="134"/>
      </rPr>
      <t>点锐气重骰之，你必须使用新的结果。</t>
    </r>
  </si>
  <si>
    <r>
      <rPr>
        <sz val="10"/>
        <color theme="1"/>
        <rFont val="宋体"/>
        <charset val="134"/>
      </rPr>
      <t>精魂学院</t>
    </r>
  </si>
  <si>
    <r>
      <rPr>
        <sz val="10"/>
        <color theme="1"/>
        <rFont val="宋体"/>
        <charset val="134"/>
      </rPr>
      <t>你获得一项传奇恩惠专长（见第五章）或其他一项你选择的适用的专长。推荐选择无敌攻势之恩惠。</t>
    </r>
  </si>
  <si>
    <r>
      <rPr>
        <sz val="10"/>
        <color theme="1"/>
        <rFont val="宋体"/>
        <charset val="134"/>
      </rPr>
      <t>炫目舞步</t>
    </r>
  </si>
  <si>
    <r>
      <rPr>
        <sz val="10"/>
        <color theme="1"/>
        <rFont val="宋体"/>
        <charset val="134"/>
      </rPr>
      <t>未着装护甲且未持用盾牌期间，你获得以下增益：
大舞蹈家</t>
    </r>
    <r>
      <rPr>
        <sz val="10"/>
        <color theme="1"/>
        <rFont val="Times New Roman"/>
        <charset val="134"/>
      </rPr>
      <t>Dance Virtuoso</t>
    </r>
    <r>
      <rPr>
        <sz val="10"/>
        <color theme="1"/>
        <rFont val="宋体"/>
        <charset val="134"/>
      </rPr>
      <t>。你进行的任何有关舞蹈的魅力（表演）检定均具有优势。
无甲防御</t>
    </r>
    <r>
      <rPr>
        <sz val="10"/>
        <color theme="1"/>
        <rFont val="Times New Roman"/>
        <charset val="134"/>
      </rPr>
      <t>Unarmored Defense</t>
    </r>
    <r>
      <rPr>
        <sz val="10"/>
        <color theme="1"/>
        <rFont val="宋体"/>
        <charset val="134"/>
      </rPr>
      <t>。你的基础护甲等级等于</t>
    </r>
    <r>
      <rPr>
        <sz val="10"/>
        <color theme="1"/>
        <rFont val="Times New Roman"/>
        <charset val="134"/>
      </rPr>
      <t>10</t>
    </r>
    <r>
      <rPr>
        <sz val="10"/>
        <color theme="1"/>
        <rFont val="宋体"/>
        <charset val="134"/>
      </rPr>
      <t>＋你的敏捷调整值＋你的魅力调整值。
灵巧打击</t>
    </r>
    <r>
      <rPr>
        <sz val="10"/>
        <color theme="1"/>
        <rFont val="Times New Roman"/>
        <charset val="134"/>
      </rPr>
      <t>Agile Strikes</t>
    </r>
    <r>
      <rPr>
        <sz val="10"/>
        <color theme="1"/>
        <rFont val="宋体"/>
        <charset val="134"/>
      </rPr>
      <t>。当你在一次动作、附赠动作或反应中消耗了诗人激励使用次数时，作为该动作、附赠动作或反应的一部分，你可以发动一次徒手打击。
诗人痛击</t>
    </r>
    <r>
      <rPr>
        <sz val="10"/>
        <color theme="1"/>
        <rFont val="Times New Roman"/>
        <charset val="134"/>
      </rPr>
      <t>Bardic Damage</t>
    </r>
    <r>
      <rPr>
        <sz val="10"/>
        <color theme="1"/>
        <rFont val="宋体"/>
        <charset val="134"/>
      </rPr>
      <t>。你可以用敏捷代替力量进行徒手打击的攻击检定。当你以一次徒手打击造成伤害时，你可以造成等于诗人激励骰</t>
    </r>
    <r>
      <rPr>
        <sz val="10"/>
        <color theme="1"/>
        <rFont val="Times New Roman"/>
        <charset val="134"/>
      </rPr>
      <t>+</t>
    </r>
    <r>
      <rPr>
        <sz val="10"/>
        <color theme="1"/>
        <rFont val="宋体"/>
        <charset val="134"/>
      </rPr>
      <t>敏捷调整值的钝击伤害，而非徒手打击原本的伤害。此效果并不会消耗你的诗人激励使用次数。</t>
    </r>
  </si>
  <si>
    <r>
      <rPr>
        <sz val="10"/>
        <color theme="1"/>
        <rFont val="宋体"/>
        <charset val="134"/>
      </rPr>
      <t>进阶神圣干预</t>
    </r>
  </si>
  <si>
    <r>
      <rPr>
        <sz val="10"/>
        <color theme="1"/>
        <rFont val="宋体"/>
        <charset val="134"/>
      </rPr>
      <t>你能够呼唤更加强大的神圣干预。当你使用神圣干预时，你可以在选择法术时选择祈愿术</t>
    </r>
    <r>
      <rPr>
        <sz val="10"/>
        <color theme="1"/>
        <rFont val="Times New Roman"/>
        <charset val="134"/>
      </rPr>
      <t xml:space="preserve">wish </t>
    </r>
    <r>
      <rPr>
        <sz val="10"/>
        <color theme="1"/>
        <rFont val="宋体"/>
        <charset val="134"/>
      </rPr>
      <t>。如果你这样做，你只有在完成</t>
    </r>
    <r>
      <rPr>
        <sz val="10"/>
        <color theme="1"/>
        <rFont val="Times New Roman"/>
        <charset val="134"/>
      </rPr>
      <t>2d4</t>
    </r>
    <r>
      <rPr>
        <sz val="10"/>
        <color theme="1"/>
        <rFont val="宋体"/>
        <charset val="134"/>
      </rPr>
      <t>次长休后才能再次使用神圣干预。</t>
    </r>
  </si>
  <si>
    <r>
      <rPr>
        <sz val="10"/>
        <color theme="1"/>
        <rFont val="宋体"/>
        <charset val="134"/>
      </rPr>
      <t>元素之怒</t>
    </r>
  </si>
  <si>
    <r>
      <rPr>
        <sz val="10"/>
        <color theme="1"/>
        <rFont val="宋体"/>
        <charset val="134"/>
      </rPr>
      <t>元素之力在你的身体里流淌。你获得以下一个你选择的特性：
强力施法</t>
    </r>
    <r>
      <rPr>
        <sz val="10"/>
        <color theme="1"/>
        <rFont val="Times New Roman"/>
        <charset val="134"/>
      </rPr>
      <t>Potent Spellcasting</t>
    </r>
    <r>
      <rPr>
        <sz val="10"/>
        <color theme="1"/>
        <rFont val="宋体"/>
        <charset val="134"/>
      </rPr>
      <t>。你将你的感知调整值加在你的以德鲁伊戏法造成的伤害上。
原力蛮击</t>
    </r>
    <r>
      <rPr>
        <sz val="10"/>
        <color theme="1"/>
        <rFont val="Times New Roman"/>
        <charset val="134"/>
      </rPr>
      <t>Primal Strike</t>
    </r>
    <r>
      <rPr>
        <sz val="10"/>
        <color theme="1"/>
        <rFont val="宋体"/>
        <charset val="134"/>
      </rPr>
      <t>。每个你的回合内一次，当你以一次武器攻击或荒野变形中野兽形态的攻击命中一名生物时，你可以对目标额外造成</t>
    </r>
    <r>
      <rPr>
        <sz val="10"/>
        <color theme="1"/>
        <rFont val="Times New Roman"/>
        <charset val="134"/>
      </rPr>
      <t>1d8</t>
    </r>
    <r>
      <rPr>
        <sz val="10"/>
        <color theme="1"/>
        <rFont val="宋体"/>
        <charset val="134"/>
      </rPr>
      <t>寒冷、火焰、闪电或雷鸣伤害（由你命中时选择）。</t>
    </r>
  </si>
  <si>
    <r>
      <rPr>
        <sz val="10"/>
        <color theme="1"/>
        <rFont val="宋体"/>
        <charset val="134"/>
      </rPr>
      <t>指挥官奇袭</t>
    </r>
  </si>
  <si>
    <r>
      <rPr>
        <sz val="10"/>
        <color theme="1"/>
        <rFont val="宋体"/>
        <charset val="134"/>
      </rPr>
      <t>你在自己回合内执行攻击动作时，你可以替换掉一次你的攻击变为指挥一名伙伴发动奇袭。使用此战技时，你消耗一枚卓越骰，并指定一名能看见你或能听到你声音的伙伴。所选生物可以立即使用其反应发动一次武器攻击或徒手打击，若命中，将消耗的卓越骰加在此次攻击的伤害掷骰中。</t>
    </r>
  </si>
  <si>
    <r>
      <rPr>
        <sz val="10"/>
        <color theme="1"/>
        <rFont val="宋体"/>
        <charset val="134"/>
      </rPr>
      <t>明镜止水</t>
    </r>
  </si>
  <si>
    <r>
      <rPr>
        <sz val="10"/>
        <color theme="1"/>
        <rFont val="宋体"/>
        <charset val="134"/>
      </rPr>
      <t>若你在投掷先攻，且选择不使用运转周天时，你的功力为</t>
    </r>
    <r>
      <rPr>
        <sz val="10"/>
        <color theme="1"/>
        <rFont val="Times New Roman"/>
        <charset val="134"/>
      </rPr>
      <t>3</t>
    </r>
    <r>
      <rPr>
        <sz val="10"/>
        <color theme="1"/>
        <rFont val="宋体"/>
        <charset val="134"/>
      </rPr>
      <t>点或更少，则你的功力恢复至</t>
    </r>
    <r>
      <rPr>
        <sz val="10"/>
        <color theme="1"/>
        <rFont val="Times New Roman"/>
        <charset val="134"/>
      </rPr>
      <t>4</t>
    </r>
    <r>
      <rPr>
        <sz val="10"/>
        <color theme="1"/>
        <rFont val="宋体"/>
        <charset val="134"/>
      </rPr>
      <t>点。</t>
    </r>
  </si>
  <si>
    <r>
      <rPr>
        <sz val="10"/>
        <color theme="1"/>
        <rFont val="宋体"/>
        <charset val="134"/>
      </rPr>
      <t>勇气灵光</t>
    </r>
  </si>
  <si>
    <r>
      <rPr>
        <sz val="10"/>
        <color theme="1"/>
        <rFont val="宋体"/>
        <charset val="134"/>
      </rPr>
      <t>你与守护灵光内盟友获得对恐慌状态的免疫。陷入恐慌的盟友进入灵光时，该状态在灵光内会暂时无效。</t>
    </r>
  </si>
  <si>
    <r>
      <rPr>
        <sz val="10"/>
        <color theme="1"/>
        <rFont val="宋体"/>
        <charset val="134"/>
      </rPr>
      <t>致命猎杀</t>
    </r>
  </si>
  <si>
    <r>
      <rPr>
        <sz val="10"/>
        <color theme="1"/>
        <rFont val="宋体"/>
        <charset val="134"/>
      </rPr>
      <t>你在对你的猎人印记</t>
    </r>
    <r>
      <rPr>
        <sz val="10"/>
        <color theme="1"/>
        <rFont val="Times New Roman"/>
        <charset val="134"/>
      </rPr>
      <t xml:space="preserve">Hunter’s Mark </t>
    </r>
    <r>
      <rPr>
        <sz val="10"/>
        <color theme="1"/>
        <rFont val="宋体"/>
        <charset val="134"/>
      </rPr>
      <t>当前指定的目标的攻击检定中具有优势。</t>
    </r>
  </si>
  <si>
    <r>
      <rPr>
        <sz val="10"/>
        <color theme="1"/>
        <rFont val="宋体"/>
        <charset val="134"/>
      </rPr>
      <t>你学会了如何施展法术。施法规则见第七章。下文将详述如何将这些规则应用于诡术师。</t>
    </r>
  </si>
  <si>
    <r>
      <rPr>
        <sz val="10"/>
        <color theme="1"/>
        <rFont val="宋体"/>
        <charset val="134"/>
      </rPr>
      <t>转化法术</t>
    </r>
  </si>
  <si>
    <r>
      <rPr>
        <sz val="10"/>
        <color theme="1"/>
        <rFont val="宋体"/>
        <charset val="134"/>
      </rPr>
      <t>消耗：</t>
    </r>
    <r>
      <rPr>
        <sz val="10"/>
        <color theme="1"/>
        <rFont val="Times New Roman"/>
        <charset val="134"/>
      </rPr>
      <t>1</t>
    </r>
    <r>
      <rPr>
        <sz val="10"/>
        <color theme="1"/>
        <rFont val="宋体"/>
        <charset val="134"/>
      </rPr>
      <t>术法点
当你施展一道造成以下伤害类型的法术时，你可以消耗</t>
    </r>
    <r>
      <rPr>
        <sz val="10"/>
        <color theme="1"/>
        <rFont val="Times New Roman"/>
        <charset val="134"/>
      </rPr>
      <t>1</t>
    </r>
    <r>
      <rPr>
        <sz val="10"/>
        <color theme="1"/>
        <rFont val="宋体"/>
        <charset val="134"/>
      </rPr>
      <t>术法点将其伤害类型变成以下伤害类型中的另一种：强酸，寒冷，火焰，闪电，毒素，雷鸣。</t>
    </r>
  </si>
  <si>
    <r>
      <rPr>
        <sz val="10"/>
        <color theme="1"/>
        <rFont val="宋体"/>
        <charset val="134"/>
      </rPr>
      <t>秘法回流</t>
    </r>
  </si>
  <si>
    <r>
      <rPr>
        <sz val="10"/>
        <color theme="1"/>
        <rFont val="宋体"/>
        <charset val="134"/>
      </rPr>
      <t>你可以举行一道耗时</t>
    </r>
    <r>
      <rPr>
        <sz val="10"/>
        <color theme="1"/>
        <rFont val="Times New Roman"/>
        <charset val="134"/>
      </rPr>
      <t>1</t>
    </r>
    <r>
      <rPr>
        <sz val="10"/>
        <color theme="1"/>
        <rFont val="宋体"/>
        <charset val="134"/>
      </rPr>
      <t>分钟的秘传仪式，并在仪式结束后恢复一半的已消耗的魔契师法术位（向上取整）。一旦你使用此特性，你都不能再这么做，直到你完成了一次长休。</t>
    </r>
  </si>
  <si>
    <r>
      <rPr>
        <sz val="10"/>
        <color theme="1"/>
        <rFont val="宋体"/>
        <charset val="134"/>
      </rPr>
      <t>你获得一项传奇恩惠专长（见第五章）或其他一项你选择的适用的专长。推荐选择法术召返之恩惠</t>
    </r>
    <r>
      <rPr>
        <sz val="10"/>
        <color theme="1"/>
        <rFont val="Times New Roman"/>
        <charset val="134"/>
      </rPr>
      <t xml:space="preserve">Boon of Spell Recall </t>
    </r>
    <r>
      <rPr>
        <sz val="10"/>
        <color theme="1"/>
        <rFont val="宋体"/>
        <charset val="134"/>
      </rPr>
      <t>。</t>
    </r>
  </si>
  <si>
    <t>进阶奇械术</t>
  </si>
  <si>
    <r>
      <rPr>
        <sz val="10"/>
        <color theme="1"/>
        <rFont val="宋体"/>
        <charset val="134"/>
      </rPr>
      <t>你获得以下增益：</t>
    </r>
    <r>
      <rPr>
        <sz val="10"/>
        <color theme="1"/>
        <rFont val="Times New Roman"/>
        <charset val="134"/>
      </rPr>
      <t xml:space="preserve">
</t>
    </r>
    <r>
      <rPr>
        <sz val="10"/>
        <color theme="1"/>
        <rFont val="宋体"/>
        <charset val="134"/>
      </rPr>
      <t>魔法物品专家</t>
    </r>
    <r>
      <rPr>
        <sz val="10"/>
        <color theme="1"/>
        <rFont val="Times New Roman"/>
        <charset val="134"/>
      </rPr>
      <t>Magic Item Savant</t>
    </r>
    <r>
      <rPr>
        <sz val="10"/>
        <color theme="1"/>
        <rFont val="宋体"/>
        <charset val="134"/>
      </rPr>
      <t>。现在你可以同时与至多五件魔法物品同调。</t>
    </r>
    <r>
      <rPr>
        <sz val="10"/>
        <color theme="1"/>
        <rFont val="Times New Roman"/>
        <charset val="134"/>
      </rPr>
      <t xml:space="preserve">
</t>
    </r>
    <r>
      <rPr>
        <sz val="10"/>
        <color theme="1"/>
        <rFont val="宋体"/>
        <charset val="134"/>
      </rPr>
      <t>重获灵感</t>
    </r>
    <r>
      <rPr>
        <sz val="10"/>
        <color theme="1"/>
        <rFont val="Times New Roman"/>
        <charset val="134"/>
      </rPr>
      <t>Refreshed Genius</t>
    </r>
    <r>
      <rPr>
        <sz val="10"/>
        <color theme="1"/>
        <rFont val="宋体"/>
        <charset val="134"/>
      </rPr>
      <t>。当你完成短休时，你的灵光一闪重获一次已消耗的使用次数。</t>
    </r>
  </si>
  <si>
    <t>灵能反射</t>
  </si>
  <si>
    <r>
      <rPr>
        <sz val="10"/>
        <color theme="1"/>
        <rFont val="宋体"/>
        <charset val="134"/>
      </rPr>
      <t>你能看见的一个生物以一次攻击检定命中你时，你可以立即执行一个反应消耗并投掷一枚灵能骰，并从伤害总值中减去骰值加你的智力调整值的和（至少为</t>
    </r>
    <r>
      <rPr>
        <sz val="10"/>
        <color theme="1"/>
        <rFont val="Times New Roman"/>
        <charset val="134"/>
      </rPr>
      <t>2</t>
    </r>
    <r>
      <rPr>
        <sz val="10"/>
        <color theme="1"/>
        <rFont val="宋体"/>
        <charset val="134"/>
      </rPr>
      <t>）。此外，你可以迫使攻击者进行一次感知豁免检定。豁免失败时，目标受到等同于两枚灵能骰总骰值的心灵伤害。</t>
    </r>
  </si>
  <si>
    <r>
      <rPr>
        <sz val="10"/>
        <color theme="1"/>
        <rFont val="宋体"/>
        <charset val="134"/>
      </rPr>
      <t>惩戒烙印</t>
    </r>
  </si>
  <si>
    <r>
      <rPr>
        <sz val="10"/>
        <color theme="1"/>
        <rFont val="宋体"/>
        <charset val="134"/>
      </rPr>
      <t>当你以猩红仪式特性伤害一个生物时，你可以引导鲜血秘法，将奥术烙印在那个生物上（无需动作）。你始终知道烙印生物相对于你的方向。并且，每次烙印生物对你或距你</t>
    </r>
    <r>
      <rPr>
        <sz val="10"/>
        <color theme="1"/>
        <rFont val="Times New Roman"/>
        <charset val="134"/>
      </rPr>
      <t xml:space="preserve"> 5 </t>
    </r>
    <r>
      <rPr>
        <sz val="10"/>
        <color theme="1"/>
        <rFont val="宋体"/>
        <charset val="134"/>
      </rPr>
      <t>尺内你能看见的生物造成伤害时，烙印生物受到你的智力调整值点心灵伤害（至少</t>
    </r>
    <r>
      <rPr>
        <sz val="10"/>
        <color theme="1"/>
        <rFont val="Times New Roman"/>
        <charset val="134"/>
      </rPr>
      <t xml:space="preserve">1 </t>
    </r>
    <r>
      <rPr>
        <sz val="10"/>
        <color theme="1"/>
        <rFont val="宋体"/>
        <charset val="134"/>
      </rPr>
      <t>点）。
你的烙印持续至你解除它，或者直到你对另一个生物打上烙印。你的烙印对解除魔法而言是一个法术，并具有等同于你鲜血猎人等级一半的环位（至多</t>
    </r>
    <r>
      <rPr>
        <sz val="10"/>
        <color theme="1"/>
        <rFont val="Times New Roman"/>
        <charset val="134"/>
      </rPr>
      <t xml:space="preserve"> 9 </t>
    </r>
    <r>
      <rPr>
        <sz val="10"/>
        <color theme="1"/>
        <rFont val="宋体"/>
        <charset val="134"/>
      </rPr>
      <t>环）。
使用此特性后，你必须完成一次短休或长休才能再次使用。</t>
    </r>
  </si>
  <si>
    <r>
      <rPr>
        <sz val="10"/>
        <color theme="1"/>
        <rFont val="宋体"/>
        <charset val="134"/>
      </rPr>
      <t>实验室助理</t>
    </r>
  </si>
  <si>
    <r>
      <rPr>
        <sz val="10"/>
        <color theme="1"/>
        <rFont val="宋体"/>
        <charset val="134"/>
      </rPr>
      <t>你习得法术寻获魔宠</t>
    </r>
    <r>
      <rPr>
        <sz val="10"/>
        <color theme="1"/>
        <rFont val="Times New Roman"/>
        <charset val="134"/>
      </rPr>
      <t>Finding Familiar</t>
    </r>
    <r>
      <rPr>
        <sz val="10"/>
        <color theme="1"/>
        <rFont val="宋体"/>
        <charset val="134"/>
      </rPr>
      <t>，并视为始终准备它。它不计入你的药剂师准备法术数量中。</t>
    </r>
  </si>
  <si>
    <t>极险决策</t>
  </si>
  <si>
    <t>每当你投掷先攻或造成重击时，你重获一枚风险骰。</t>
  </si>
  <si>
    <t>门之瞳</t>
  </si>
  <si>
    <t>以一个附赠动作，你可以消耗一枚或更多缄印，尝试将意识绑定到位于你60尺内的你可见的生物身上。目标必须进行一次感知豁免，其可以自愿失败于此豁免。豁免失败则你的意识与其绑定一段时间，持续时间等于你消耗的缄印数个小时，或在你对另一名生物使用此恩惠时提前结束。持续时间内，在目标位于你300尺内期间，你可以使用动作来通过目标的感官看或听，并获得目标所拥有的任何特殊感官的增益，你可以持续如此做直至你使用动作恢复你正常的感官。通过目标的感官感知期间，对你自己的感官而言，你既盲又聋。
此外，在持续时间内，你可以施加、焚灭缄印并使用禁令恩惠，如同你处在该生物所在的空间，但这会让该生物意识到你们的联系。意识到联系的生物可以使用其动作重新进行该豁免，成功则该恩惠的效应提前结束。</t>
  </si>
  <si>
    <t>好勇斗狠</t>
  </si>
  <si>
    <r>
      <rPr>
        <sz val="10"/>
        <color theme="1"/>
        <rFont val="宋体"/>
        <charset val="134"/>
      </rPr>
      <t>当你投掷先攻时，你能移除你身上的</t>
    </r>
    <r>
      <rPr>
        <sz val="10"/>
        <color theme="1"/>
        <rFont val="Times New Roman"/>
        <charset val="134"/>
      </rPr>
      <t>1</t>
    </r>
    <r>
      <rPr>
        <sz val="10"/>
        <color theme="1"/>
        <rFont val="宋体"/>
        <charset val="134"/>
      </rPr>
      <t>级力竭并重置你一线胜机、反求诸己和甩脱重担的使用权</t>
    </r>
  </si>
  <si>
    <r>
      <rPr>
        <sz val="10"/>
        <color theme="1"/>
        <rFont val="宋体"/>
        <charset val="134"/>
      </rPr>
      <t>戏剧学院</t>
    </r>
  </si>
  <si>
    <r>
      <rPr>
        <sz val="10"/>
        <color theme="1"/>
        <rFont val="宋体"/>
        <charset val="134"/>
      </rPr>
      <t>原初斗士</t>
    </r>
  </si>
  <si>
    <r>
      <rPr>
        <sz val="10"/>
        <color theme="1"/>
        <rFont val="宋体"/>
        <charset val="134"/>
      </rPr>
      <t>你本身便是原初之力的象征。你的力量和体质各提升</t>
    </r>
    <r>
      <rPr>
        <sz val="10"/>
        <color theme="1"/>
        <rFont val="Times New Roman"/>
        <charset val="134"/>
      </rPr>
      <t>4</t>
    </r>
    <r>
      <rPr>
        <sz val="10"/>
        <color theme="1"/>
        <rFont val="宋体"/>
        <charset val="134"/>
      </rPr>
      <t>，你这两项属性的上限变为</t>
    </r>
    <r>
      <rPr>
        <sz val="10"/>
        <color theme="1"/>
        <rFont val="Times New Roman"/>
        <charset val="134"/>
      </rPr>
      <t>25</t>
    </r>
    <r>
      <rPr>
        <sz val="10"/>
        <color theme="1"/>
        <rFont val="宋体"/>
        <charset val="134"/>
      </rPr>
      <t>。</t>
    </r>
  </si>
  <si>
    <r>
      <rPr>
        <sz val="10"/>
        <color theme="1"/>
        <rFont val="宋体"/>
        <charset val="134"/>
      </rPr>
      <t>鼓舞之移</t>
    </r>
  </si>
  <si>
    <r>
      <rPr>
        <sz val="10"/>
        <color theme="1"/>
        <rFont val="宋体"/>
        <charset val="134"/>
      </rPr>
      <t>当一名你可见的敌人位于你</t>
    </r>
    <r>
      <rPr>
        <sz val="10"/>
        <color theme="1"/>
        <rFont val="Times New Roman"/>
        <charset val="134"/>
      </rPr>
      <t>5</t>
    </r>
    <r>
      <rPr>
        <sz val="10"/>
        <color theme="1"/>
        <rFont val="宋体"/>
        <charset val="134"/>
      </rPr>
      <t>尺内结束它的回合时，你能够以反应消耗一次诗人激励使用次数，移动至多等于你速度一半的距离。此时，位于你</t>
    </r>
    <r>
      <rPr>
        <sz val="10"/>
        <color theme="1"/>
        <rFont val="Times New Roman"/>
        <charset val="134"/>
      </rPr>
      <t>30</t>
    </r>
    <r>
      <rPr>
        <sz val="10"/>
        <color theme="1"/>
        <rFont val="宋体"/>
        <charset val="134"/>
      </rPr>
      <t>尺内的一名盟友（由你选择）也可以使用他的反应来移动至多等于他速度一半的距离。
此特性进行的移动不会引发借机攻击</t>
    </r>
    <r>
      <rPr>
        <sz val="10"/>
        <color theme="1"/>
        <rFont val="Times New Roman"/>
        <charset val="134"/>
      </rPr>
      <t xml:space="preserve"> </t>
    </r>
    <r>
      <rPr>
        <sz val="10"/>
        <color theme="1"/>
        <rFont val="宋体"/>
        <charset val="134"/>
      </rPr>
      <t>。</t>
    </r>
  </si>
  <si>
    <r>
      <rPr>
        <sz val="10"/>
        <color theme="1"/>
        <rFont val="宋体"/>
        <charset val="134"/>
      </rPr>
      <t>生命门徒</t>
    </r>
  </si>
  <si>
    <r>
      <rPr>
        <sz val="10"/>
        <color theme="1"/>
        <rFont val="宋体"/>
        <charset val="134"/>
      </rPr>
      <t>你消耗法术位施展法术的回合中，当该法术恢复生物的生命值时，额外恢复</t>
    </r>
    <r>
      <rPr>
        <sz val="10"/>
        <color theme="1"/>
        <rFont val="Times New Roman"/>
        <charset val="134"/>
      </rPr>
      <t>2+</t>
    </r>
    <r>
      <rPr>
        <sz val="10"/>
        <color theme="1"/>
        <rFont val="宋体"/>
        <charset val="134"/>
      </rPr>
      <t>消耗法术位环阶生命值。</t>
    </r>
  </si>
  <si>
    <r>
      <rPr>
        <sz val="10"/>
        <color theme="1"/>
        <rFont val="宋体"/>
        <charset val="134"/>
      </rPr>
      <t>元素神威</t>
    </r>
  </si>
  <si>
    <r>
      <rPr>
        <sz val="10"/>
        <color theme="1"/>
        <rFont val="宋体"/>
        <charset val="134"/>
      </rPr>
      <t>你选择的元素之怒特性变得愈发强大：
强力施法</t>
    </r>
    <r>
      <rPr>
        <sz val="10"/>
        <color theme="1"/>
        <rFont val="Times New Roman"/>
        <charset val="134"/>
      </rPr>
      <t>Potent Spellcasting</t>
    </r>
    <r>
      <rPr>
        <sz val="10"/>
        <color theme="1"/>
        <rFont val="宋体"/>
        <charset val="134"/>
      </rPr>
      <t>。当你施展一个施法距离为</t>
    </r>
    <r>
      <rPr>
        <sz val="10"/>
        <color theme="1"/>
        <rFont val="Times New Roman"/>
        <charset val="134"/>
      </rPr>
      <t>10</t>
    </r>
    <r>
      <rPr>
        <sz val="10"/>
        <color theme="1"/>
        <rFont val="宋体"/>
        <charset val="134"/>
      </rPr>
      <t>尺及以上的德鲁伊戏法时，法术施法距离提升</t>
    </r>
    <r>
      <rPr>
        <sz val="10"/>
        <color theme="1"/>
        <rFont val="Times New Roman"/>
        <charset val="134"/>
      </rPr>
      <t>300</t>
    </r>
    <r>
      <rPr>
        <sz val="10"/>
        <color theme="1"/>
        <rFont val="宋体"/>
        <charset val="134"/>
      </rPr>
      <t>尺。
原力蛮击</t>
    </r>
    <r>
      <rPr>
        <sz val="10"/>
        <color theme="1"/>
        <rFont val="Times New Roman"/>
        <charset val="134"/>
      </rPr>
      <t>Primal Strike</t>
    </r>
    <r>
      <rPr>
        <sz val="10"/>
        <color theme="1"/>
        <rFont val="宋体"/>
        <charset val="134"/>
      </rPr>
      <t>。</t>
    </r>
    <r>
      <rPr>
        <sz val="10"/>
        <color theme="1"/>
        <rFont val="Times New Roman"/>
        <charset val="134"/>
      </rPr>
      <t xml:space="preserve"> </t>
    </r>
    <r>
      <rPr>
        <sz val="10"/>
        <color theme="1"/>
        <rFont val="宋体"/>
        <charset val="134"/>
      </rPr>
      <t>原力蛮击的额外伤害提升至</t>
    </r>
    <r>
      <rPr>
        <sz val="10"/>
        <color theme="1"/>
        <rFont val="Times New Roman"/>
        <charset val="134"/>
      </rPr>
      <t>2d8</t>
    </r>
    <r>
      <rPr>
        <sz val="10"/>
        <color theme="1"/>
        <rFont val="宋体"/>
        <charset val="134"/>
      </rPr>
      <t>。</t>
    </r>
  </si>
  <si>
    <r>
      <rPr>
        <sz val="10"/>
        <color theme="1"/>
        <rFont val="宋体"/>
        <charset val="134"/>
      </rPr>
      <t>领导风范</t>
    </r>
  </si>
  <si>
    <r>
      <rPr>
        <sz val="10"/>
        <color theme="1"/>
        <rFont val="宋体"/>
        <charset val="134"/>
      </rPr>
      <t>当你进行一次魅力（威吓、表演或游说）检定时，你能够消耗一枚卓越骰，将消耗的卓越骰加入此次属性检定中。</t>
    </r>
  </si>
  <si>
    <r>
      <rPr>
        <sz val="10"/>
        <color theme="1"/>
        <rFont val="宋体"/>
        <charset val="134"/>
      </rPr>
      <t>无懈可击</t>
    </r>
  </si>
  <si>
    <r>
      <rPr>
        <sz val="10"/>
        <color theme="1"/>
        <rFont val="宋体"/>
        <charset val="134"/>
      </rPr>
      <t>在你的回合开始时，你可以消耗</t>
    </r>
    <r>
      <rPr>
        <sz val="10"/>
        <color theme="1"/>
        <rFont val="Times New Roman"/>
        <charset val="134"/>
      </rPr>
      <t>3</t>
    </r>
    <r>
      <rPr>
        <sz val="10"/>
        <color theme="1"/>
        <rFont val="宋体"/>
        <charset val="134"/>
      </rPr>
      <t>点功力提高自己抵挡伤害的能力，持续</t>
    </r>
    <r>
      <rPr>
        <sz val="10"/>
        <color theme="1"/>
        <rFont val="Times New Roman"/>
        <charset val="134"/>
      </rPr>
      <t>1</t>
    </r>
    <r>
      <rPr>
        <sz val="10"/>
        <color theme="1"/>
        <rFont val="宋体"/>
        <charset val="134"/>
      </rPr>
      <t>分钟或直至你陷入失能状态。
持续时间内，你对力场伤害之外的所有伤害都具有抗性。</t>
    </r>
  </si>
  <si>
    <r>
      <rPr>
        <sz val="10"/>
        <color theme="1"/>
        <rFont val="宋体"/>
        <charset val="134"/>
      </rPr>
      <t>光耀打击</t>
    </r>
  </si>
  <si>
    <r>
      <rPr>
        <sz val="10"/>
        <color theme="1"/>
        <rFont val="宋体"/>
        <charset val="134"/>
      </rPr>
      <t>神圣之力充盈你身，连带你的武器也承载着超自然力量。当你使用近战武器或徒手打击进行攻击检定并命中目标时，目标额外受到</t>
    </r>
    <r>
      <rPr>
        <sz val="10"/>
        <color theme="1"/>
        <rFont val="Times New Roman"/>
        <charset val="134"/>
      </rPr>
      <t>1d8</t>
    </r>
    <r>
      <rPr>
        <sz val="10"/>
        <color theme="1"/>
        <rFont val="宋体"/>
        <charset val="134"/>
      </rPr>
      <t>点光耀伤害。</t>
    </r>
  </si>
  <si>
    <r>
      <rPr>
        <sz val="10"/>
        <color theme="1"/>
        <rFont val="宋体"/>
        <charset val="134"/>
      </rPr>
      <t>野性感官</t>
    </r>
  </si>
  <si>
    <r>
      <rPr>
        <sz val="10"/>
        <color theme="1"/>
        <rFont val="宋体"/>
        <charset val="134"/>
      </rPr>
      <t>你与自然的链接给予了你</t>
    </r>
    <r>
      <rPr>
        <sz val="10"/>
        <color theme="1"/>
        <rFont val="Times New Roman"/>
        <charset val="134"/>
      </rPr>
      <t>30</t>
    </r>
    <r>
      <rPr>
        <sz val="10"/>
        <color theme="1"/>
        <rFont val="宋体"/>
        <charset val="134"/>
      </rPr>
      <t>尺盲视</t>
    </r>
    <r>
      <rPr>
        <sz val="10"/>
        <color theme="1"/>
        <rFont val="Times New Roman"/>
        <charset val="134"/>
      </rPr>
      <t xml:space="preserve"> </t>
    </r>
    <r>
      <rPr>
        <sz val="10"/>
        <color theme="1"/>
        <rFont val="宋体"/>
        <charset val="134"/>
      </rPr>
      <t>。</t>
    </r>
  </si>
  <si>
    <r>
      <rPr>
        <sz val="10"/>
        <color theme="1"/>
        <rFont val="宋体"/>
        <charset val="134"/>
      </rPr>
      <t>你习得三道法师戏法。法师之手</t>
    </r>
    <r>
      <rPr>
        <sz val="10"/>
        <color theme="1"/>
        <rFont val="Times New Roman"/>
        <charset val="134"/>
      </rPr>
      <t xml:space="preserve">Mage Hand </t>
    </r>
    <r>
      <rPr>
        <sz val="10"/>
        <color theme="1"/>
        <rFont val="宋体"/>
        <charset val="134"/>
      </rPr>
      <t>以及法师法术列表中你选择的两道戏法（法师法术列表见法师职业部分）。推荐选择心灵之楔</t>
    </r>
    <r>
      <rPr>
        <sz val="10"/>
        <color theme="1"/>
        <rFont val="Times New Roman"/>
        <charset val="134"/>
      </rPr>
      <t>Mind Sliver</t>
    </r>
    <r>
      <rPr>
        <sz val="10"/>
        <color theme="1"/>
        <rFont val="宋体"/>
        <charset val="134"/>
      </rPr>
      <t>和次级幻象</t>
    </r>
    <r>
      <rPr>
        <sz val="10"/>
        <color theme="1"/>
        <rFont val="Times New Roman"/>
        <charset val="134"/>
      </rPr>
      <t xml:space="preserve">Minor Illusion </t>
    </r>
    <r>
      <rPr>
        <sz val="10"/>
        <color theme="1"/>
        <rFont val="宋体"/>
        <charset val="134"/>
      </rPr>
      <t>。
每当你获得一个游荡者等级时，你都能从你的非法师之手</t>
    </r>
    <r>
      <rPr>
        <sz val="10"/>
        <color theme="1"/>
        <rFont val="Times New Roman"/>
        <charset val="134"/>
      </rPr>
      <t>Mage Hand</t>
    </r>
    <r>
      <rPr>
        <sz val="10"/>
        <color theme="1"/>
        <rFont val="宋体"/>
        <charset val="134"/>
      </rPr>
      <t>的戏法中选择其一替换为另一道你所选择的法师戏法。</t>
    </r>
  </si>
  <si>
    <r>
      <rPr>
        <sz val="10"/>
        <color theme="1"/>
        <rFont val="宋体"/>
        <charset val="134"/>
      </rPr>
      <t>孪生法术</t>
    </r>
  </si>
  <si>
    <r>
      <rPr>
        <sz val="10"/>
        <color theme="1"/>
        <rFont val="宋体"/>
        <charset val="134"/>
      </rPr>
      <t>消耗：</t>
    </r>
    <r>
      <rPr>
        <sz val="10"/>
        <color theme="1"/>
        <rFont val="Times New Roman"/>
        <charset val="134"/>
      </rPr>
      <t>1</t>
    </r>
    <r>
      <rPr>
        <sz val="10"/>
        <color theme="1"/>
        <rFont val="宋体"/>
        <charset val="134"/>
      </rPr>
      <t>术法点
当你施展一个可以通过升环施法来提升法术目标数的法术，如魅惑类人</t>
    </r>
    <r>
      <rPr>
        <sz val="10"/>
        <color theme="1"/>
        <rFont val="Times New Roman"/>
        <charset val="134"/>
      </rPr>
      <t>Charm Person</t>
    </r>
    <r>
      <rPr>
        <sz val="10"/>
        <color theme="1"/>
        <rFont val="宋体"/>
        <charset val="134"/>
      </rPr>
      <t>时，你可以消耗</t>
    </r>
    <r>
      <rPr>
        <sz val="10"/>
        <color theme="1"/>
        <rFont val="Times New Roman"/>
        <charset val="134"/>
      </rPr>
      <t>1</t>
    </r>
    <r>
      <rPr>
        <sz val="10"/>
        <color theme="1"/>
        <rFont val="宋体"/>
        <charset val="134"/>
      </rPr>
      <t>术法点来将该法术的有效环级提升一环。</t>
    </r>
  </si>
  <si>
    <t>2+</t>
  </si>
  <si>
    <r>
      <rPr>
        <sz val="10"/>
        <color theme="1"/>
        <rFont val="宋体"/>
        <charset val="134"/>
      </rPr>
      <t>魔鬼视界</t>
    </r>
  </si>
  <si>
    <r>
      <rPr>
        <sz val="10"/>
        <color theme="1"/>
        <rFont val="宋体"/>
        <charset val="134"/>
      </rPr>
      <t>先决：魔契师等级</t>
    </r>
    <r>
      <rPr>
        <sz val="10"/>
        <color theme="1"/>
        <rFont val="Times New Roman"/>
        <charset val="134"/>
      </rPr>
      <t xml:space="preserve">2+
</t>
    </r>
    <r>
      <rPr>
        <sz val="10"/>
        <color theme="1"/>
        <rFont val="宋体"/>
        <charset val="134"/>
      </rPr>
      <t>你在黑暗和微光光照中拥有</t>
    </r>
    <r>
      <rPr>
        <sz val="10"/>
        <color theme="1"/>
        <rFont val="Times New Roman"/>
        <charset val="134"/>
      </rPr>
      <t>120</t>
    </r>
    <r>
      <rPr>
        <sz val="10"/>
        <color theme="1"/>
        <rFont val="宋体"/>
        <charset val="134"/>
      </rPr>
      <t>尺的可视距离，而无论其属于魔法性的还是非魔法性的。</t>
    </r>
    <r>
      <rPr>
        <sz val="10"/>
        <color theme="1"/>
        <rFont val="Times New Roman"/>
        <charset val="134"/>
      </rPr>
      <t xml:space="preserve"> </t>
    </r>
  </si>
  <si>
    <r>
      <rPr>
        <sz val="10"/>
        <color theme="1"/>
        <rFont val="宋体"/>
        <charset val="134"/>
      </rPr>
      <t>招牌法术</t>
    </r>
  </si>
  <si>
    <r>
      <rPr>
        <sz val="10"/>
        <color theme="1"/>
        <rFont val="宋体"/>
        <charset val="134"/>
      </rPr>
      <t>从你的法术书中选择两道三环法术作为你的招牌法术。你总是准备这些法术，且能不消耗法术位地以三环施展每道法术各一次。此特性一经使用，直到完成一次短休或长休都不能再次以此法施展这两道法术。如果你想升环施展这些法术，则你必须像平时一样消耗一个法术位。</t>
    </r>
    <r>
      <rPr>
        <sz val="10"/>
        <color theme="1"/>
        <rFont val="Times New Roman"/>
        <charset val="134"/>
      </rPr>
      <t xml:space="preserve"> </t>
    </r>
  </si>
  <si>
    <r>
      <rPr>
        <sz val="10"/>
        <color theme="1"/>
        <rFont val="宋体"/>
        <charset val="134"/>
      </rPr>
      <t>魔法物品方案（奇械师等级</t>
    </r>
    <r>
      <rPr>
        <sz val="10"/>
        <color theme="1"/>
        <rFont val="Times New Roman"/>
        <charset val="134"/>
      </rPr>
      <t>14+</t>
    </r>
    <r>
      <rPr>
        <sz val="10"/>
        <color theme="1"/>
        <rFont val="宋体"/>
        <charset val="134"/>
      </rPr>
      <t>）</t>
    </r>
  </si>
  <si>
    <r>
      <rPr>
        <sz val="10"/>
        <color theme="1"/>
        <rFont val="宋体"/>
        <charset val="134"/>
      </rPr>
      <t>魔法物品方案</t>
    </r>
    <r>
      <rPr>
        <sz val="10"/>
        <color theme="1"/>
        <rFont val="Times New Roman"/>
        <charset val="134"/>
      </rPr>
      <t xml:space="preserve"> </t>
    </r>
    <r>
      <rPr>
        <sz val="10"/>
        <color theme="1"/>
        <rFont val="宋体"/>
        <charset val="134"/>
      </rPr>
      <t>同调</t>
    </r>
    <r>
      <rPr>
        <sz val="10"/>
        <color theme="1"/>
        <rFont val="Times New Roman"/>
        <charset val="134"/>
      </rPr>
      <t xml:space="preserve">
+2</t>
    </r>
    <r>
      <rPr>
        <sz val="10"/>
        <color theme="1"/>
        <rFont val="宋体"/>
        <charset val="134"/>
      </rPr>
      <t>护甲</t>
    </r>
    <r>
      <rPr>
        <sz val="10"/>
        <color theme="1"/>
        <rFont val="Times New Roman"/>
        <charset val="134"/>
      </rPr>
      <t xml:space="preserve"> Armor+2 </t>
    </r>
    <r>
      <rPr>
        <sz val="10"/>
        <color theme="1"/>
        <rFont val="宋体"/>
        <charset val="134"/>
      </rPr>
      <t>否</t>
    </r>
    <r>
      <rPr>
        <sz val="10"/>
        <color theme="1"/>
        <rFont val="Times New Roman"/>
        <charset val="134"/>
      </rPr>
      <t xml:space="preserve"> 
</t>
    </r>
    <r>
      <rPr>
        <sz val="10"/>
        <color theme="1"/>
        <rFont val="宋体"/>
        <charset val="134"/>
      </rPr>
      <t>吸矢盾</t>
    </r>
    <r>
      <rPr>
        <sz val="10"/>
        <color theme="1"/>
        <rFont val="Times New Roman"/>
        <charset val="134"/>
      </rPr>
      <t xml:space="preserve"> Arrow-Catching Shield </t>
    </r>
    <r>
      <rPr>
        <sz val="10"/>
        <color theme="1"/>
        <rFont val="宋体"/>
        <charset val="134"/>
      </rPr>
      <t>是</t>
    </r>
    <r>
      <rPr>
        <sz val="10"/>
        <color theme="1"/>
        <rFont val="Times New Roman"/>
        <charset val="134"/>
      </rPr>
      <t xml:space="preserve"> 
</t>
    </r>
    <r>
      <rPr>
        <sz val="10"/>
        <color theme="1"/>
        <rFont val="宋体"/>
        <charset val="134"/>
      </rPr>
      <t>焰舌</t>
    </r>
    <r>
      <rPr>
        <sz val="10"/>
        <color theme="1"/>
        <rFont val="Times New Roman"/>
        <charset val="134"/>
      </rPr>
      <t xml:space="preserve"> Flame Tongue </t>
    </r>
    <r>
      <rPr>
        <sz val="10"/>
        <color theme="1"/>
        <rFont val="宋体"/>
        <charset val="134"/>
      </rPr>
      <t>是</t>
    </r>
    <r>
      <rPr>
        <sz val="10"/>
        <color theme="1"/>
        <rFont val="Times New Roman"/>
        <charset val="134"/>
      </rPr>
      <t xml:space="preserve"> 
</t>
    </r>
    <r>
      <rPr>
        <sz val="10"/>
        <color theme="1"/>
        <rFont val="宋体"/>
        <charset val="134"/>
      </rPr>
      <t>无诅咒的珍稀奇物</t>
    </r>
    <r>
      <rPr>
        <sz val="10"/>
        <color theme="1"/>
        <rFont val="Times New Roman"/>
        <charset val="134"/>
      </rPr>
      <t xml:space="preserve">* </t>
    </r>
    <r>
      <rPr>
        <sz val="10"/>
        <color theme="1"/>
        <rFont val="宋体"/>
        <charset val="134"/>
      </rPr>
      <t>多种</t>
    </r>
    <r>
      <rPr>
        <sz val="10"/>
        <color theme="1"/>
        <rFont val="Times New Roman"/>
        <charset val="134"/>
      </rPr>
      <t xml:space="preserve"> 
</t>
    </r>
    <r>
      <rPr>
        <sz val="10"/>
        <color theme="1"/>
        <rFont val="宋体"/>
        <charset val="134"/>
      </rPr>
      <t>自由行动戒指</t>
    </r>
    <r>
      <rPr>
        <sz val="10"/>
        <color theme="1"/>
        <rFont val="Times New Roman"/>
        <charset val="134"/>
      </rPr>
      <t xml:space="preserve"> Ring of Free Action </t>
    </r>
    <r>
      <rPr>
        <sz val="10"/>
        <color theme="1"/>
        <rFont val="宋体"/>
        <charset val="134"/>
      </rPr>
      <t>是</t>
    </r>
    <r>
      <rPr>
        <sz val="10"/>
        <color theme="1"/>
        <rFont val="Times New Roman"/>
        <charset val="134"/>
      </rPr>
      <t xml:space="preserve"> 
</t>
    </r>
    <r>
      <rPr>
        <sz val="10"/>
        <color theme="1"/>
        <rFont val="宋体"/>
        <charset val="134"/>
      </rPr>
      <t>防护戒指</t>
    </r>
    <r>
      <rPr>
        <sz val="10"/>
        <color theme="1"/>
        <rFont val="Times New Roman"/>
        <charset val="134"/>
      </rPr>
      <t xml:space="preserve"> Ring of Protection </t>
    </r>
    <r>
      <rPr>
        <sz val="10"/>
        <color theme="1"/>
        <rFont val="宋体"/>
        <charset val="134"/>
      </rPr>
      <t>是</t>
    </r>
    <r>
      <rPr>
        <sz val="10"/>
        <color theme="1"/>
        <rFont val="Times New Roman"/>
        <charset val="134"/>
      </rPr>
      <t xml:space="preserve"> 
</t>
    </r>
    <r>
      <rPr>
        <sz val="10"/>
        <color theme="1"/>
        <rFont val="宋体"/>
        <charset val="134"/>
      </rPr>
      <t>公羊戒指</t>
    </r>
    <r>
      <rPr>
        <sz val="10"/>
        <color theme="1"/>
        <rFont val="Times New Roman"/>
        <charset val="134"/>
      </rPr>
      <t xml:space="preserve"> Ring of the Ram </t>
    </r>
    <r>
      <rPr>
        <sz val="10"/>
        <color theme="1"/>
        <rFont val="宋体"/>
        <charset val="134"/>
      </rPr>
      <t>是</t>
    </r>
    <r>
      <rPr>
        <sz val="10"/>
        <color theme="1"/>
        <rFont val="Times New Roman"/>
        <charset val="134"/>
      </rPr>
      <t xml:space="preserve"> </t>
    </r>
  </si>
  <si>
    <t>灵能护卫</t>
  </si>
  <si>
    <r>
      <rPr>
        <sz val="10"/>
        <color theme="1"/>
        <rFont val="宋体"/>
        <charset val="134"/>
      </rPr>
      <t>在你的回合开始时，你可以花费一枚灵能骰。直到你的下一个回合开始，你免疫魅惑和恐慌状态，并在智力豁免中具有优势。如果你使用此才赋时已处于魅惑或恐慌，此状态终止。</t>
    </r>
    <r>
      <rPr>
        <sz val="10"/>
        <color theme="1"/>
        <rFont val="Times New Roman"/>
        <charset val="134"/>
      </rPr>
      <t xml:space="preserve"> 
</t>
    </r>
    <r>
      <rPr>
        <sz val="10"/>
        <color theme="1"/>
        <rFont val="宋体"/>
        <charset val="134"/>
      </rPr>
      <t>当你使用心灵护卫时，你也可以在本回合使用不同的灵能才赋。</t>
    </r>
  </si>
  <si>
    <r>
      <rPr>
        <sz val="10"/>
        <color theme="1"/>
        <rFont val="宋体"/>
        <charset val="134"/>
      </rPr>
      <t>阴暗灵卜</t>
    </r>
  </si>
  <si>
    <r>
      <rPr>
        <sz val="10"/>
        <color theme="1"/>
        <rFont val="宋体"/>
        <charset val="134"/>
      </rPr>
      <t>你得到一种超自然能力，可以从被邪恶触碰的神秘物体或地点上察觉到它们的秘密。当你在触摸物件或处在某地时，回顾他们的阴暗过去和悲惨历史所进行的智力（历史）检定具有优势。在你</t>
    </r>
    <r>
      <rPr>
        <sz val="10"/>
        <color theme="1"/>
        <rFont val="Times New Roman"/>
        <charset val="134"/>
      </rPr>
      <t xml:space="preserve"> DM </t>
    </r>
    <r>
      <rPr>
        <sz val="10"/>
        <color theme="1"/>
        <rFont val="宋体"/>
        <charset val="134"/>
      </rPr>
      <t>的考虑下，足够高的骰值时可能会传达事物或地点过去的幻象。</t>
    </r>
  </si>
  <si>
    <r>
      <rPr>
        <sz val="10"/>
        <color theme="1"/>
        <rFont val="宋体"/>
        <charset val="134"/>
      </rPr>
      <t>妙手回春</t>
    </r>
  </si>
  <si>
    <r>
      <rPr>
        <sz val="10"/>
        <color theme="1"/>
        <rFont val="宋体"/>
        <charset val="134"/>
      </rPr>
      <t>你获得医药和自然技能的熟练。你以这些技能进行任何属性检定时获得双倍的熟练加值。</t>
    </r>
  </si>
  <si>
    <t>灵巧战技</t>
  </si>
  <si>
    <t>每个你的回合一次，你可以执行一个特殊的额外附赠动作，该附赠动作仅用于使用战技。</t>
  </si>
  <si>
    <t>陌影之笼</t>
  </si>
  <si>
    <t>你能够以附赠动作消耗一枚缄印，在你或你触碰的生物身周编织一层半固态的阴影。目标AC获得+2加值，持续1分钟。</t>
  </si>
  <si>
    <t>斗战之魂</t>
  </si>
  <si>
    <r>
      <rPr>
        <sz val="10"/>
        <color theme="1"/>
        <rFont val="宋体"/>
        <charset val="134"/>
      </rPr>
      <t>当你的生命值降至</t>
    </r>
    <r>
      <rPr>
        <sz val="10"/>
        <color theme="1"/>
        <rFont val="Times New Roman"/>
        <charset val="134"/>
      </rPr>
      <t>0</t>
    </r>
    <r>
      <rPr>
        <sz val="10"/>
        <color theme="1"/>
        <rFont val="宋体"/>
        <charset val="134"/>
      </rPr>
      <t>但没有被立即杀死时，你能改为降至</t>
    </r>
    <r>
      <rPr>
        <sz val="10"/>
        <color theme="1"/>
        <rFont val="Times New Roman"/>
        <charset val="134"/>
      </rPr>
      <t>1</t>
    </r>
    <r>
      <rPr>
        <sz val="10"/>
        <color theme="1"/>
        <rFont val="宋体"/>
        <charset val="134"/>
      </rPr>
      <t>生命值。若你如此做，你获得等于你生命值上限一半的临时生命值，重获所有已消耗的锐气。且你具有除力场伤害外所有伤害的抗性，持续</t>
    </r>
    <r>
      <rPr>
        <sz val="10"/>
        <color theme="1"/>
        <rFont val="Times New Roman"/>
        <charset val="134"/>
      </rPr>
      <t>1</t>
    </r>
    <r>
      <rPr>
        <sz val="10"/>
        <color theme="1"/>
        <rFont val="宋体"/>
        <charset val="134"/>
      </rPr>
      <t>分钟。
此特性一经使用，直至完成长休你都无法再次使用。</t>
    </r>
  </si>
  <si>
    <t>末谕学院</t>
  </si>
  <si>
    <r>
      <rPr>
        <sz val="10"/>
        <color theme="1"/>
        <rFont val="宋体"/>
        <charset val="134"/>
      </rPr>
      <t>狂怒</t>
    </r>
  </si>
  <si>
    <r>
      <rPr>
        <sz val="10"/>
        <color theme="1"/>
        <rFont val="宋体"/>
        <charset val="134"/>
      </rPr>
      <t>狂暴激活期间，在你使用鲁莽攻击的回合中，你基于力量的攻击首次命中时，对目标造成额外伤害。投掷等于你狂暴伤害加值数量的</t>
    </r>
    <r>
      <rPr>
        <sz val="10"/>
        <color theme="1"/>
        <rFont val="Times New Roman"/>
        <charset val="134"/>
      </rPr>
      <t>d6</t>
    </r>
    <r>
      <rPr>
        <sz val="10"/>
        <color theme="1"/>
        <rFont val="宋体"/>
        <charset val="134"/>
      </rPr>
      <t>，将它们相加，即是你造成的额外伤害。额外伤害类型与此次攻击所使用的武器或徒手打击造成的伤害类型相同。</t>
    </r>
    <r>
      <rPr>
        <sz val="10"/>
        <color theme="1"/>
        <rFont val="Times New Roman"/>
        <charset val="134"/>
      </rPr>
      <t xml:space="preserve"> </t>
    </r>
  </si>
  <si>
    <r>
      <rPr>
        <sz val="10"/>
        <color theme="1"/>
        <rFont val="宋体"/>
        <charset val="134"/>
      </rPr>
      <t>协同舞步</t>
    </r>
  </si>
  <si>
    <r>
      <rPr>
        <sz val="10"/>
        <color theme="1"/>
        <rFont val="宋体"/>
        <charset val="134"/>
      </rPr>
      <t>当你投掷先攻时，若你未陷入失能状态，你可以消耗一次诗人激励使用次数，投掷诗人激励骰，令你与位于你</t>
    </r>
    <r>
      <rPr>
        <sz val="10"/>
        <color theme="1"/>
        <rFont val="Times New Roman"/>
        <charset val="134"/>
      </rPr>
      <t>30</t>
    </r>
    <r>
      <rPr>
        <sz val="10"/>
        <color theme="1"/>
        <rFont val="宋体"/>
        <charset val="134"/>
      </rPr>
      <t>尺内的每个能听见或看见你的盟友进行的先攻检定获得等于该骰值的加值。</t>
    </r>
  </si>
  <si>
    <r>
      <rPr>
        <sz val="10"/>
        <color theme="1"/>
        <rFont val="宋体"/>
        <charset val="134"/>
      </rPr>
      <t>生命领域法术</t>
    </r>
  </si>
  <si>
    <r>
      <rPr>
        <sz val="10"/>
        <color theme="1"/>
        <rFont val="宋体"/>
        <charset val="134"/>
      </rPr>
      <t>你与此神圣领域的链接使你始终准备了特定的法术。当你到达生命领域法术表中特定的牧师等级时，你就始终准备了表中对应的法术。
生命领域法术</t>
    </r>
    <r>
      <rPr>
        <sz val="10"/>
        <color theme="1"/>
        <rFont val="Times New Roman"/>
        <charset val="134"/>
      </rPr>
      <t xml:space="preserve">Life Domain Spells
</t>
    </r>
    <r>
      <rPr>
        <sz val="10"/>
        <color theme="1"/>
        <rFont val="宋体"/>
        <charset val="134"/>
      </rPr>
      <t>牧师等级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援助术</t>
    </r>
    <r>
      <rPr>
        <sz val="10"/>
        <color theme="1"/>
        <rFont val="Times New Roman"/>
        <charset val="134"/>
      </rPr>
      <t>Aid</t>
    </r>
    <r>
      <rPr>
        <sz val="10"/>
        <color theme="1"/>
        <rFont val="宋体"/>
        <charset val="134"/>
      </rPr>
      <t>，祝福术</t>
    </r>
    <r>
      <rPr>
        <sz val="10"/>
        <color theme="1"/>
        <rFont val="Times New Roman"/>
        <charset val="134"/>
      </rPr>
      <t xml:space="preserve">Bless </t>
    </r>
    <r>
      <rPr>
        <sz val="10"/>
        <color theme="1"/>
        <rFont val="宋体"/>
        <charset val="134"/>
      </rPr>
      <t>疗伤术</t>
    </r>
    <r>
      <rPr>
        <sz val="10"/>
        <color theme="1"/>
        <rFont val="Times New Roman"/>
        <charset val="134"/>
      </rPr>
      <t>Cure wounds</t>
    </r>
    <r>
      <rPr>
        <sz val="10"/>
        <color theme="1"/>
        <rFont val="宋体"/>
        <charset val="134"/>
      </rPr>
      <t>，次等复原术</t>
    </r>
    <r>
      <rPr>
        <sz val="10"/>
        <color theme="1"/>
        <rFont val="Times New Roman"/>
        <charset val="134"/>
      </rPr>
      <t xml:space="preserve">Lesser Restoration  
5 </t>
    </r>
    <r>
      <rPr>
        <sz val="10"/>
        <color theme="1"/>
        <rFont val="宋体"/>
        <charset val="134"/>
      </rPr>
      <t>群体治愈真言</t>
    </r>
    <r>
      <rPr>
        <sz val="10"/>
        <color theme="1"/>
        <rFont val="Times New Roman"/>
        <charset val="134"/>
      </rPr>
      <t>Mass Healing Word</t>
    </r>
    <r>
      <rPr>
        <sz val="10"/>
        <color theme="1"/>
        <rFont val="宋体"/>
        <charset val="134"/>
      </rPr>
      <t>，回生术</t>
    </r>
    <r>
      <rPr>
        <sz val="10"/>
        <color theme="1"/>
        <rFont val="Times New Roman"/>
        <charset val="134"/>
      </rPr>
      <t xml:space="preserve">Revivify  
7 </t>
    </r>
    <r>
      <rPr>
        <sz val="10"/>
        <color theme="1"/>
        <rFont val="宋体"/>
        <charset val="134"/>
      </rPr>
      <t>生命灵光</t>
    </r>
    <r>
      <rPr>
        <sz val="10"/>
        <color theme="1"/>
        <rFont val="Times New Roman"/>
        <charset val="134"/>
      </rPr>
      <t>Aura of Life</t>
    </r>
    <r>
      <rPr>
        <sz val="10"/>
        <color theme="1"/>
        <rFont val="宋体"/>
        <charset val="134"/>
      </rPr>
      <t>，防死结界</t>
    </r>
    <r>
      <rPr>
        <sz val="10"/>
        <color theme="1"/>
        <rFont val="Times New Roman"/>
        <charset val="134"/>
      </rPr>
      <t xml:space="preserve">Death Ward  
9 </t>
    </r>
    <r>
      <rPr>
        <sz val="10"/>
        <color theme="1"/>
        <rFont val="宋体"/>
        <charset val="134"/>
      </rPr>
      <t>高等复原术</t>
    </r>
    <r>
      <rPr>
        <sz val="10"/>
        <color theme="1"/>
        <rFont val="Times New Roman"/>
        <charset val="134"/>
      </rPr>
      <t>Greater Restoration</t>
    </r>
    <r>
      <rPr>
        <sz val="10"/>
        <color theme="1"/>
        <rFont val="宋体"/>
        <charset val="134"/>
      </rPr>
      <t>，群体疗伤术</t>
    </r>
    <r>
      <rPr>
        <sz val="10"/>
        <color theme="1"/>
        <rFont val="Times New Roman"/>
        <charset val="134"/>
      </rPr>
      <t xml:space="preserve">Mass Cure Wounds  </t>
    </r>
  </si>
  <si>
    <r>
      <rPr>
        <sz val="10"/>
        <color theme="1"/>
        <rFont val="宋体"/>
        <charset val="134"/>
      </rPr>
      <t>兽形施法</t>
    </r>
  </si>
  <si>
    <r>
      <rPr>
        <sz val="10"/>
        <color theme="1"/>
        <rFont val="宋体"/>
        <charset val="134"/>
      </rPr>
      <t>你可以在任何荒野变形下施法。当一个法术需要标有价值的材料成分或需要消耗材料成分时，你无法在荒野变形下施展。</t>
    </r>
  </si>
  <si>
    <r>
      <rPr>
        <sz val="10"/>
        <color theme="1"/>
        <rFont val="宋体"/>
        <charset val="134"/>
      </rPr>
      <t>缴械攻击</t>
    </r>
  </si>
  <si>
    <r>
      <rPr>
        <sz val="10"/>
        <color theme="1"/>
        <rFont val="宋体"/>
        <charset val="134"/>
      </rPr>
      <t>你以攻击检定命中一个生物时，可消耗一枚卓越骰以尝试缴械目标。将消耗的卓越骰加在此次攻击的伤害掷骰中。目标必须通过一次力量豁免，豁免失败则其丢弃手中持握的一件物品（由你选择）。被丢弃的物品将掉落在该生物处于的空间中。</t>
    </r>
  </si>
  <si>
    <r>
      <rPr>
        <sz val="10"/>
        <color theme="1"/>
        <rFont val="宋体"/>
        <charset val="134"/>
      </rPr>
      <t>你获得一项传奇恩惠专长（见第五章）或其他一项你选择的适用的专长。推荐选择</t>
    </r>
    <r>
      <rPr>
        <sz val="10"/>
        <color theme="1"/>
        <rFont val="Times New Roman"/>
        <charset val="134"/>
      </rPr>
      <t xml:space="preserve"> </t>
    </r>
    <r>
      <rPr>
        <sz val="10"/>
        <color theme="1"/>
        <rFont val="宋体"/>
        <charset val="134"/>
      </rPr>
      <t>无敌攻势之恩惠</t>
    </r>
    <r>
      <rPr>
        <sz val="10"/>
        <color theme="1"/>
        <rFont val="Times New Roman"/>
        <charset val="134"/>
      </rPr>
      <t xml:space="preserve"> </t>
    </r>
    <r>
      <rPr>
        <sz val="10"/>
        <color theme="1"/>
        <rFont val="宋体"/>
        <charset val="134"/>
      </rPr>
      <t>。</t>
    </r>
  </si>
  <si>
    <r>
      <rPr>
        <sz val="10"/>
        <color theme="1"/>
        <rFont val="宋体"/>
        <charset val="134"/>
      </rPr>
      <t>复原之触</t>
    </r>
  </si>
  <si>
    <r>
      <rPr>
        <sz val="10"/>
        <color theme="1"/>
        <rFont val="宋体"/>
        <charset val="134"/>
      </rPr>
      <t>当你对一个生物使用圣疗时，你可以终止该生物身上以下一种或更多种类的效应：目盲、魅惑、耳聋、恐慌、麻痹或震慑。你每终止一个效应，都需要花费圣疗的</t>
    </r>
    <r>
      <rPr>
        <sz val="10"/>
        <color theme="1"/>
        <rFont val="Times New Roman"/>
        <charset val="134"/>
      </rPr>
      <t>5</t>
    </r>
    <r>
      <rPr>
        <sz val="10"/>
        <color theme="1"/>
        <rFont val="宋体"/>
        <charset val="134"/>
      </rPr>
      <t>点治疗能量；这些治疗能量不会恢复该生物的生命值。</t>
    </r>
  </si>
  <si>
    <r>
      <rPr>
        <sz val="10"/>
        <color theme="1"/>
        <rFont val="宋体"/>
        <charset val="134"/>
      </rPr>
      <t>你获得一项传奇恩惠专长（见第五章）或其他一项你选择的适用的专长。推荐选择</t>
    </r>
    <r>
      <rPr>
        <sz val="10"/>
        <color theme="1"/>
        <rFont val="Times New Roman"/>
        <charset val="134"/>
      </rPr>
      <t xml:space="preserve"> </t>
    </r>
    <r>
      <rPr>
        <sz val="10"/>
        <color theme="1"/>
        <rFont val="宋体"/>
        <charset val="134"/>
      </rPr>
      <t>次元旅行之恩惠</t>
    </r>
    <r>
      <rPr>
        <sz val="10"/>
        <color theme="1"/>
        <rFont val="Times New Roman"/>
        <charset val="134"/>
      </rPr>
      <t xml:space="preserve"> </t>
    </r>
    <r>
      <rPr>
        <sz val="10"/>
        <color theme="1"/>
        <rFont val="宋体"/>
        <charset val="134"/>
      </rPr>
      <t>。</t>
    </r>
  </si>
  <si>
    <r>
      <rPr>
        <sz val="10"/>
        <color theme="1"/>
        <rFont val="宋体"/>
        <charset val="134"/>
      </rPr>
      <t>诡术师施法表显示了你可用于施展一环及以上法术的法术位数量。当你完成长休时，你重获所有已消耗的法术位。</t>
    </r>
  </si>
  <si>
    <r>
      <rPr>
        <sz val="10"/>
        <color theme="1"/>
        <rFont val="宋体"/>
        <charset val="134"/>
      </rPr>
      <t>术士子职</t>
    </r>
  </si>
  <si>
    <r>
      <rPr>
        <sz val="10"/>
        <color theme="1"/>
        <rFont val="宋体"/>
        <charset val="134"/>
      </rPr>
      <t>你选择获得一项术士子职。畸变术法、时械术法、龙族术法和狂野术法。子职的内容见后文。子职是一种特化，在特定的术士等级给予你对应的独特能力。此后你将获得你所选的子职所有能力</t>
    </r>
    <r>
      <rPr>
        <sz val="10"/>
        <color theme="1"/>
        <rFont val="Times New Roman"/>
        <charset val="134"/>
      </rPr>
      <t>——</t>
    </r>
    <r>
      <rPr>
        <sz val="10"/>
        <color theme="1"/>
        <rFont val="宋体"/>
        <charset val="134"/>
      </rPr>
      <t>只要其所需等级不超过你的术士等级。术士特性表列出了你从子职中获得新特性的术士等级。</t>
    </r>
  </si>
  <si>
    <r>
      <rPr>
        <sz val="10"/>
        <color theme="1"/>
        <rFont val="宋体"/>
        <charset val="134"/>
      </rPr>
      <t>魔能长枪</t>
    </r>
  </si>
  <si>
    <r>
      <rPr>
        <sz val="10"/>
        <color theme="1"/>
        <rFont val="宋体"/>
        <charset val="134"/>
      </rPr>
      <t>先决：魔契师等级</t>
    </r>
    <r>
      <rPr>
        <sz val="10"/>
        <color theme="1"/>
        <rFont val="Times New Roman"/>
        <charset val="134"/>
      </rPr>
      <t>2+</t>
    </r>
    <r>
      <rPr>
        <sz val="10"/>
        <color theme="1"/>
        <rFont val="宋体"/>
        <charset val="134"/>
      </rPr>
      <t>，已知一道造成伤害的魔契师戏法</t>
    </r>
    <r>
      <rPr>
        <sz val="10"/>
        <color theme="1"/>
        <rFont val="Times New Roman"/>
        <charset val="134"/>
      </rPr>
      <t xml:space="preserve"> 
</t>
    </r>
    <r>
      <rPr>
        <sz val="10"/>
        <color theme="1"/>
        <rFont val="宋体"/>
        <charset val="134"/>
      </rPr>
      <t>选择一道你已知的造成伤害且射程至少为</t>
    </r>
    <r>
      <rPr>
        <sz val="10"/>
        <color theme="1"/>
        <rFont val="Times New Roman"/>
        <charset val="134"/>
      </rPr>
      <t>10</t>
    </r>
    <r>
      <rPr>
        <sz val="10"/>
        <color theme="1"/>
        <rFont val="宋体"/>
        <charset val="134"/>
      </rPr>
      <t>尺的魔契师戏法。当你施展此法术时，其射程增加等于你魔契师等级</t>
    </r>
    <r>
      <rPr>
        <sz val="10"/>
        <color theme="1"/>
        <rFont val="Times New Roman"/>
        <charset val="134"/>
      </rPr>
      <t>30</t>
    </r>
    <r>
      <rPr>
        <sz val="10"/>
        <color theme="1"/>
        <rFont val="宋体"/>
        <charset val="134"/>
      </rPr>
      <t>倍的尺数。
复选</t>
    </r>
    <r>
      <rPr>
        <sz val="10"/>
        <color theme="1"/>
        <rFont val="Times New Roman"/>
        <charset val="134"/>
      </rPr>
      <t>Repeatable</t>
    </r>
    <r>
      <rPr>
        <sz val="10"/>
        <color theme="1"/>
        <rFont val="宋体"/>
        <charset val="134"/>
      </rPr>
      <t>。你可以多次选择本祈唤。每次这么做时，你都必须选择不同的满足先决的戏法。</t>
    </r>
    <r>
      <rPr>
        <sz val="10"/>
        <color theme="1"/>
        <rFont val="Times New Roman"/>
        <charset val="134"/>
      </rPr>
      <t xml:space="preserve"> </t>
    </r>
  </si>
  <si>
    <r>
      <rPr>
        <sz val="10"/>
        <color theme="1"/>
        <rFont val="宋体"/>
        <charset val="134"/>
      </rPr>
      <t>防护学者</t>
    </r>
  </si>
  <si>
    <r>
      <rPr>
        <sz val="10"/>
        <color theme="1"/>
        <rFont val="宋体"/>
        <charset val="134"/>
      </rPr>
      <t>从法师法术列表中选择两道不高于二环的防护学派法术，并将其免费加入你的法术书中。
此外，每当你在本职业中获得一个新环阶的法术位时，你都能免费将一道法师法术列表中的防护学派法术加入你的法术书中。你所选的法术都必须是你当前拥有法术位的环阶。</t>
    </r>
  </si>
  <si>
    <t>魔法物品大师</t>
  </si>
  <si>
    <t>现在你可以与至多六件魔法物品同调。</t>
  </si>
  <si>
    <t>明晰思维</t>
  </si>
  <si>
    <r>
      <rPr>
        <sz val="10"/>
        <color theme="1"/>
        <rFont val="宋体"/>
        <charset val="134"/>
      </rPr>
      <t>在你的回合开始时，你能够消耗一枚灵能骰来磨炼你的破坏性灵能力量。掷骰并记录骰值。你获得以下增益，持续一分钟或在你陷入失能时提前结束。</t>
    </r>
    <r>
      <rPr>
        <sz val="10"/>
        <color theme="1"/>
        <rFont val="Times New Roman"/>
        <charset val="134"/>
      </rPr>
      <t xml:space="preserve"> 
</t>
    </r>
    <r>
      <rPr>
        <sz val="10"/>
        <color theme="1"/>
        <rFont val="宋体"/>
        <charset val="134"/>
      </rPr>
      <t>迂心绕灵</t>
    </r>
    <r>
      <rPr>
        <sz val="10"/>
        <color theme="1"/>
        <rFont val="Times New Roman"/>
        <charset val="134"/>
      </rPr>
      <t>Bypassing Psionics</t>
    </r>
    <r>
      <rPr>
        <sz val="10"/>
        <color theme="1"/>
        <rFont val="宋体"/>
        <charset val="134"/>
      </rPr>
      <t>。</t>
    </r>
    <r>
      <rPr>
        <sz val="10"/>
        <color theme="1"/>
        <rFont val="Times New Roman"/>
        <charset val="134"/>
      </rPr>
      <t xml:space="preserve"> </t>
    </r>
    <r>
      <rPr>
        <sz val="10"/>
        <color theme="1"/>
        <rFont val="宋体"/>
        <charset val="134"/>
      </rPr>
      <t>你的武器攻击、灵能使法术和灵能使特性造成的伤害忽视心灵伤害抗性。</t>
    </r>
    <r>
      <rPr>
        <sz val="10"/>
        <color theme="1"/>
        <rFont val="Times New Roman"/>
        <charset val="134"/>
      </rPr>
      <t xml:space="preserve"> 
</t>
    </r>
    <r>
      <rPr>
        <sz val="10"/>
        <color theme="1"/>
        <rFont val="宋体"/>
        <charset val="134"/>
      </rPr>
      <t>攻击模式</t>
    </r>
    <r>
      <rPr>
        <sz val="10"/>
        <color theme="1"/>
        <rFont val="Times New Roman"/>
        <charset val="134"/>
      </rPr>
      <t>Attack Mode</t>
    </r>
    <r>
      <rPr>
        <sz val="10"/>
        <color theme="1"/>
        <rFont val="宋体"/>
        <charset val="134"/>
      </rPr>
      <t>。</t>
    </r>
    <r>
      <rPr>
        <sz val="10"/>
        <color theme="1"/>
        <rFont val="Times New Roman"/>
        <charset val="134"/>
      </rPr>
      <t xml:space="preserve"> </t>
    </r>
    <r>
      <rPr>
        <sz val="10"/>
        <color theme="1"/>
        <rFont val="宋体"/>
        <charset val="134"/>
      </rPr>
      <t>每回合一次，当你对一名或更多生物造成心灵伤害时，你能够将其中一枚伤害骰的骰值替换为激活此才赋时记录的骰值。</t>
    </r>
    <r>
      <rPr>
        <sz val="10"/>
        <color theme="1"/>
        <rFont val="Times New Roman"/>
        <charset val="134"/>
      </rPr>
      <t xml:space="preserve"> 
</t>
    </r>
    <r>
      <rPr>
        <sz val="10"/>
        <color theme="1"/>
        <rFont val="宋体"/>
        <charset val="134"/>
      </rPr>
      <t>当你使用明晰思维时，你在本回合还能使用一种不同的灵能才赋。</t>
    </r>
  </si>
  <si>
    <r>
      <rPr>
        <sz val="10"/>
        <color theme="1"/>
        <rFont val="宋体"/>
        <charset val="134"/>
      </rPr>
      <t>黑暗增幅</t>
    </r>
  </si>
  <si>
    <r>
      <rPr>
        <sz val="10"/>
        <color theme="1"/>
        <rFont val="宋体"/>
        <charset val="134"/>
      </rPr>
      <t>鲜血秘法的奥秘充盈着你的身体，使你的适应力永久增强。你的基础移动速度提升</t>
    </r>
    <r>
      <rPr>
        <sz val="10"/>
        <color theme="1"/>
        <rFont val="Times New Roman"/>
        <charset val="134"/>
      </rPr>
      <t xml:space="preserve"> 5 </t>
    </r>
    <r>
      <rPr>
        <sz val="10"/>
        <color theme="1"/>
        <rFont val="宋体"/>
        <charset val="134"/>
      </rPr>
      <t>尺，且当你进行一次力量、敏捷或体质豁免时，你得到等同你鲜血秘法调整值的加值（至少为</t>
    </r>
    <r>
      <rPr>
        <sz val="10"/>
        <color theme="1"/>
        <rFont val="Times New Roman"/>
        <charset val="134"/>
      </rPr>
      <t xml:space="preserve"> 1</t>
    </r>
    <r>
      <rPr>
        <sz val="10"/>
        <color theme="1"/>
        <rFont val="宋体"/>
        <charset val="134"/>
      </rPr>
      <t>）。</t>
    </r>
  </si>
  <si>
    <r>
      <rPr>
        <sz val="10"/>
        <color theme="1"/>
        <rFont val="宋体"/>
        <charset val="134"/>
      </rPr>
      <t>医学词典</t>
    </r>
  </si>
  <si>
    <r>
      <rPr>
        <sz val="10"/>
        <color theme="1"/>
        <rFont val="宋体"/>
        <charset val="134"/>
      </rPr>
      <t>你习得自选的六种语言。你可以随意施展法术侦测毒性和疾病</t>
    </r>
    <r>
      <rPr>
        <sz val="10"/>
        <color theme="1"/>
        <rFont val="Times New Roman"/>
        <charset val="134"/>
      </rPr>
      <t>Detect Poison and Disease</t>
    </r>
    <r>
      <rPr>
        <sz val="10"/>
        <color theme="1"/>
        <rFont val="宋体"/>
        <charset val="134"/>
      </rPr>
      <t>。</t>
    </r>
  </si>
  <si>
    <t>传奇恩惠</t>
  </si>
  <si>
    <t>你获得一项传奇恩惠专长（见第五章）或其他一项你选择的适用的专长。推荐选择无敌攻势之恩惠。</t>
  </si>
  <si>
    <t>狱势待发</t>
  </si>
  <si>
    <t>当你焚灭受禁生物身上的一枚或更多缄印时，你能够以反应在它身周释放地狱能量引发爆炸。每个位于目标5尺内你选择的生物必须进行一次敏捷豁免。豁免失败则受到与受禁生物等额且类型相同的伤害。豁免成功则只受一半伤害。</t>
  </si>
  <si>
    <r>
      <rPr>
        <sz val="10"/>
        <color theme="1"/>
        <rFont val="宋体"/>
        <charset val="134"/>
      </rPr>
      <t>你获得一项传奇恩惠专长或其他一项你选择的适用的专长。推荐选择英勇战斗之恩惠</t>
    </r>
    <r>
      <rPr>
        <sz val="10"/>
        <color theme="1"/>
        <rFont val="Times New Roman"/>
        <charset val="134"/>
      </rPr>
      <t xml:space="preserve"> </t>
    </r>
    <r>
      <rPr>
        <sz val="10"/>
        <color theme="1"/>
        <rFont val="宋体"/>
        <charset val="134"/>
      </rPr>
      <t>。</t>
    </r>
  </si>
  <si>
    <t>悲剧学院</t>
  </si>
  <si>
    <r>
      <rPr>
        <sz val="10"/>
        <color theme="1"/>
        <rFont val="宋体"/>
        <charset val="134"/>
      </rPr>
      <t>无我狂暴</t>
    </r>
  </si>
  <si>
    <r>
      <rPr>
        <sz val="10"/>
        <color theme="1"/>
        <rFont val="宋体"/>
        <charset val="134"/>
      </rPr>
      <t>狂暴激活期间，你具有魅惑与恐慌状态的免疫。当你进入狂暴时，若你已陷入魅惑或恐慌，你陷入的这些状态立即结束。</t>
    </r>
  </si>
  <si>
    <r>
      <rPr>
        <sz val="10"/>
        <color theme="1"/>
        <rFont val="宋体"/>
        <charset val="134"/>
      </rPr>
      <t>引导闪避</t>
    </r>
  </si>
  <si>
    <r>
      <rPr>
        <sz val="10"/>
        <color theme="1"/>
        <rFont val="宋体"/>
        <charset val="134"/>
      </rPr>
      <t>当你受到一个允许你进行敏捷豁免来只承受一半伤害的效应影响时，你在豁免成功时不受伤害，豁免失败时只承受一半伤害。若位于你</t>
    </r>
    <r>
      <rPr>
        <sz val="10"/>
        <color theme="1"/>
        <rFont val="Times New Roman"/>
        <charset val="134"/>
      </rPr>
      <t>5</t>
    </r>
    <r>
      <rPr>
        <sz val="10"/>
        <color theme="1"/>
        <rFont val="宋体"/>
        <charset val="134"/>
      </rPr>
      <t>尺内的其他生物同样需要进行这次敏捷豁免，你可以令他们也享受到此特性的增益。
若你陷入失能状态，你无法使用此特性。</t>
    </r>
  </si>
  <si>
    <r>
      <rPr>
        <sz val="10"/>
        <color theme="1"/>
        <rFont val="宋体"/>
        <charset val="134"/>
      </rPr>
      <t>维持生命</t>
    </r>
  </si>
  <si>
    <r>
      <rPr>
        <sz val="10"/>
        <color theme="1"/>
        <rFont val="宋体"/>
        <charset val="134"/>
      </rPr>
      <t>以一个魔法动作，你展示圣徽并消耗一次引导神力来引导治疗能量恢复等于你牧师等级五倍的生命值。你选择身边</t>
    </r>
    <r>
      <rPr>
        <sz val="10"/>
        <color theme="1"/>
        <rFont val="Times New Roman"/>
        <charset val="134"/>
      </rPr>
      <t>30</t>
    </r>
    <r>
      <rPr>
        <sz val="10"/>
        <color theme="1"/>
        <rFont val="宋体"/>
        <charset val="134"/>
      </rPr>
      <t>尺内处于浴血状态的生物作为此特性的目标（可以包括你），再为其分配从中获得的治疗能量。该特性至多将目标的生命值恢复至其上限的一半。</t>
    </r>
  </si>
  <si>
    <r>
      <rPr>
        <sz val="10"/>
        <color theme="1"/>
        <rFont val="宋体"/>
        <charset val="134"/>
      </rPr>
      <t>你获得一项传奇恩惠专长（见第五章）或其他一项你选择的适用的专长。推荐选择次元旅行之恩惠</t>
    </r>
    <r>
      <rPr>
        <sz val="10"/>
        <color theme="1"/>
        <rFont val="Times New Roman"/>
        <charset val="134"/>
      </rPr>
      <t xml:space="preserve"> </t>
    </r>
    <r>
      <rPr>
        <sz val="10"/>
        <color theme="1"/>
        <rFont val="宋体"/>
        <charset val="134"/>
      </rPr>
      <t>。</t>
    </r>
  </si>
  <si>
    <r>
      <rPr>
        <sz val="10"/>
        <color theme="1"/>
        <rFont val="宋体"/>
        <charset val="134"/>
      </rPr>
      <t>扰乱打击</t>
    </r>
  </si>
  <si>
    <r>
      <rPr>
        <sz val="10"/>
        <color theme="1"/>
        <rFont val="宋体"/>
        <charset val="134"/>
      </rPr>
      <t>你以攻击检定命中一个生物时，可以消耗一枚卓越骰以扰乱该目标，让你的盟友有机可乘。将消耗的卓越骰加在此次攻击的伤害掷骰中。此后直到你下个回合开始前，下一次由除你之外的生物对目标进行的攻击检定具有优势。</t>
    </r>
  </si>
  <si>
    <r>
      <rPr>
        <sz val="10"/>
        <color theme="1"/>
        <rFont val="宋体"/>
        <charset val="134"/>
      </rPr>
      <t>天人合一</t>
    </r>
  </si>
  <si>
    <r>
      <rPr>
        <sz val="10"/>
        <color theme="1"/>
        <rFont val="宋体"/>
        <charset val="134"/>
      </rPr>
      <t>你行满功成，身心性命皆已突破超然境界。你的敏捷和感知各提升</t>
    </r>
    <r>
      <rPr>
        <sz val="10"/>
        <color theme="1"/>
        <rFont val="Times New Roman"/>
        <charset val="134"/>
      </rPr>
      <t>4</t>
    </r>
    <r>
      <rPr>
        <sz val="10"/>
        <color theme="1"/>
        <rFont val="宋体"/>
        <charset val="134"/>
      </rPr>
      <t>。现在你这些属性的上限为</t>
    </r>
    <r>
      <rPr>
        <sz val="10"/>
        <color theme="1"/>
        <rFont val="Times New Roman"/>
        <charset val="134"/>
      </rPr>
      <t>25</t>
    </r>
    <r>
      <rPr>
        <sz val="10"/>
        <color theme="1"/>
        <rFont val="宋体"/>
        <charset val="134"/>
      </rPr>
      <t>。</t>
    </r>
  </si>
  <si>
    <r>
      <rPr>
        <sz val="10"/>
        <color theme="1"/>
        <rFont val="宋体"/>
        <charset val="134"/>
      </rPr>
      <t>灵光增效</t>
    </r>
  </si>
  <si>
    <r>
      <rPr>
        <sz val="10"/>
        <color theme="1"/>
        <rFont val="宋体"/>
        <charset val="134"/>
      </rPr>
      <t>你的守护灵光的光环</t>
    </r>
    <r>
      <rPr>
        <sz val="10"/>
        <color theme="1"/>
        <rFont val="Times New Roman"/>
        <charset val="134"/>
      </rPr>
      <t xml:space="preserve"> </t>
    </r>
    <r>
      <rPr>
        <sz val="10"/>
        <color theme="1"/>
        <rFont val="宋体"/>
        <charset val="134"/>
      </rPr>
      <t>现在延展到</t>
    </r>
    <r>
      <rPr>
        <sz val="10"/>
        <color theme="1"/>
        <rFont val="Times New Roman"/>
        <charset val="134"/>
      </rPr>
      <t>30</t>
    </r>
    <r>
      <rPr>
        <sz val="10"/>
        <color theme="1"/>
        <rFont val="宋体"/>
        <charset val="134"/>
      </rPr>
      <t>尺。</t>
    </r>
  </si>
  <si>
    <r>
      <rPr>
        <sz val="10"/>
        <color theme="1"/>
        <rFont val="宋体"/>
        <charset val="134"/>
      </rPr>
      <t>屠灭众敌</t>
    </r>
  </si>
  <si>
    <r>
      <rPr>
        <sz val="10"/>
        <color theme="1"/>
        <rFont val="宋体"/>
        <charset val="134"/>
      </rPr>
      <t>你的猎人印记</t>
    </r>
    <r>
      <rPr>
        <sz val="10"/>
        <color theme="1"/>
        <rFont val="Times New Roman"/>
        <charset val="134"/>
      </rPr>
      <t xml:space="preserve">Hunter’s Mark </t>
    </r>
    <r>
      <rPr>
        <sz val="10"/>
        <color theme="1"/>
        <rFont val="宋体"/>
        <charset val="134"/>
      </rPr>
      <t>的额外伤害骰从</t>
    </r>
    <r>
      <rPr>
        <sz val="10"/>
        <color theme="1"/>
        <rFont val="Times New Roman"/>
        <charset val="134"/>
      </rPr>
      <t>d6</t>
    </r>
    <r>
      <rPr>
        <sz val="10"/>
        <color theme="1"/>
        <rFont val="宋体"/>
        <charset val="134"/>
      </rPr>
      <t>变为</t>
    </r>
    <r>
      <rPr>
        <sz val="10"/>
        <color theme="1"/>
        <rFont val="Times New Roman"/>
        <charset val="134"/>
      </rPr>
      <t>d10</t>
    </r>
    <r>
      <rPr>
        <sz val="10"/>
        <color theme="1"/>
        <rFont val="宋体"/>
        <charset val="134"/>
      </rPr>
      <t>。</t>
    </r>
  </si>
  <si>
    <r>
      <rPr>
        <sz val="10"/>
        <color theme="1"/>
        <rFont val="宋体"/>
        <charset val="134"/>
      </rPr>
      <t>你准备可供你以此特性施展的一环及更高环阶的法术列表。最初，选择三道法师法术。推荐选择魅惑类人</t>
    </r>
    <r>
      <rPr>
        <sz val="10"/>
        <color theme="1"/>
        <rFont val="Times New Roman"/>
        <charset val="134"/>
      </rPr>
      <t>Charm Person</t>
    </r>
    <r>
      <rPr>
        <sz val="10"/>
        <color theme="1"/>
        <rFont val="宋体"/>
        <charset val="134"/>
      </rPr>
      <t>、易容术</t>
    </r>
    <r>
      <rPr>
        <sz val="10"/>
        <color theme="1"/>
        <rFont val="Times New Roman"/>
        <charset val="134"/>
      </rPr>
      <t>Disguise Self</t>
    </r>
    <r>
      <rPr>
        <sz val="10"/>
        <color theme="1"/>
        <rFont val="宋体"/>
        <charset val="134"/>
      </rPr>
      <t>和云雾术</t>
    </r>
    <r>
      <rPr>
        <sz val="10"/>
        <color theme="1"/>
        <rFont val="Times New Roman"/>
        <charset val="134"/>
      </rPr>
      <t>Fog Cloud</t>
    </r>
    <r>
      <rPr>
        <sz val="10"/>
        <color theme="1"/>
        <rFont val="宋体"/>
        <charset val="134"/>
      </rPr>
      <t>。
已准备法术数量会随你游荡者等级的提升而增加，如诡术师施法表中的准备法术一列所示。每当这一列的数字增加时，从法师法术列表中选择额外法术准备，直至已准备法术的数量与表格中的数字一致。你所选择法术的环阶必须是你所拥有法术位对应的环阶。例如，如果你是一名</t>
    </r>
    <r>
      <rPr>
        <sz val="10"/>
        <color theme="1"/>
        <rFont val="Times New Roman"/>
        <charset val="134"/>
      </rPr>
      <t>7</t>
    </r>
    <r>
      <rPr>
        <sz val="10"/>
        <color theme="1"/>
        <rFont val="宋体"/>
        <charset val="134"/>
      </rPr>
      <t>级游荡者，则你的准备法术列表能包括五道一环或二环的游荡者法术，随意组合。</t>
    </r>
  </si>
  <si>
    <r>
      <rPr>
        <sz val="10"/>
        <color theme="1"/>
        <rFont val="宋体"/>
        <charset val="134"/>
      </rPr>
      <t>你获得属性值提升专长（见第</t>
    </r>
    <r>
      <rPr>
        <sz val="10"/>
        <color theme="1"/>
        <rFont val="Times New Roman"/>
        <charset val="134"/>
      </rPr>
      <t>5</t>
    </r>
    <r>
      <rPr>
        <sz val="10"/>
        <color theme="1"/>
        <rFont val="宋体"/>
        <charset val="134"/>
      </rPr>
      <t>章）或其它你满足条件的专长。如牧师特性表所示。你在第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级时会再次获得本特性。</t>
    </r>
    <r>
      <rPr>
        <sz val="10"/>
        <color theme="1"/>
        <rFont val="Times New Roman"/>
        <charset val="134"/>
      </rPr>
      <t xml:space="preserve"> </t>
    </r>
  </si>
  <si>
    <r>
      <rPr>
        <sz val="10"/>
        <color theme="1"/>
        <rFont val="宋体"/>
        <charset val="134"/>
      </rPr>
      <t>邪魔活力</t>
    </r>
  </si>
  <si>
    <r>
      <rPr>
        <sz val="10"/>
        <color theme="1"/>
        <rFont val="宋体"/>
        <charset val="134"/>
      </rPr>
      <t>先决：魔契师等级</t>
    </r>
    <r>
      <rPr>
        <sz val="10"/>
        <color theme="1"/>
        <rFont val="Times New Roman"/>
        <charset val="134"/>
      </rPr>
      <t xml:space="preserve">2+
</t>
    </r>
    <r>
      <rPr>
        <sz val="10"/>
        <color theme="1"/>
        <rFont val="宋体"/>
        <charset val="134"/>
      </rPr>
      <t>你可以施展虚假生命</t>
    </r>
    <r>
      <rPr>
        <sz val="10"/>
        <color theme="1"/>
        <rFont val="Times New Roman"/>
        <charset val="134"/>
      </rPr>
      <t xml:space="preserve">False Life </t>
    </r>
    <r>
      <rPr>
        <sz val="10"/>
        <color theme="1"/>
        <rFont val="宋体"/>
        <charset val="134"/>
      </rPr>
      <t>且无需消耗法术位。当你以此特性施展该法术时，你不需要掷骰来决定临时生命数值，你自动在此骰子上获得最大值。</t>
    </r>
    <r>
      <rPr>
        <sz val="10"/>
        <color theme="1"/>
        <rFont val="Times New Roman"/>
        <charset val="134"/>
      </rPr>
      <t xml:space="preserve"> </t>
    </r>
  </si>
  <si>
    <r>
      <rPr>
        <sz val="10"/>
        <color theme="1"/>
        <rFont val="宋体"/>
        <charset val="134"/>
      </rPr>
      <t>奥术守御</t>
    </r>
  </si>
  <si>
    <r>
      <rPr>
        <sz val="10"/>
        <color theme="1"/>
        <rFont val="宋体"/>
        <charset val="134"/>
      </rPr>
      <t>你可以在自己周围编织魔法来保护自己。当你消耗法术位施展一道防护学派法术时，你能同时使用该法术的一缕魔力为自己创建一个魔法结界，该结界会持续至你完成一次长休。该结界的生命值上限等同于你法师等级的两倍加上你的智力调整值。每当你受到伤害时，结界就会代替你承受伤害，如果你有任何抗性或易伤，则应在计算结界承伤之前先结算抗性和易伤。如果该伤害会使结界的生命值降为</t>
    </r>
    <r>
      <rPr>
        <sz val="10"/>
        <color theme="1"/>
        <rFont val="Times New Roman"/>
        <charset val="134"/>
      </rPr>
      <t>0</t>
    </r>
    <r>
      <rPr>
        <sz val="10"/>
        <color theme="1"/>
        <rFont val="宋体"/>
        <charset val="134"/>
      </rPr>
      <t>，则你将承受所有剩余伤害。当结界的生命值为</t>
    </r>
    <r>
      <rPr>
        <sz val="10"/>
        <color theme="1"/>
        <rFont val="Times New Roman"/>
        <charset val="134"/>
      </rPr>
      <t>0</t>
    </r>
    <r>
      <rPr>
        <sz val="10"/>
        <color theme="1"/>
        <rFont val="宋体"/>
        <charset val="134"/>
      </rPr>
      <t>时，它无法吸收伤害，但其魔力仍然存在。
每当你消耗法术位施展一道防护学派法术时，结界就会恢复等同于该法术位环阶两倍的生命值。此外，你也能够以一个附赠动作，消耗一个法术位使结界恢复等同于所消耗法术位环阶两倍的生命值。结界一经创建，直至你完成一次长休都无法再次被创建。</t>
    </r>
  </si>
  <si>
    <r>
      <rPr>
        <sz val="10"/>
        <color theme="1"/>
        <rFont val="宋体"/>
        <charset val="134"/>
      </rPr>
      <t>你获得一项传奇恩惠专长（见第五章）或其他一项你选择的适用的专长。推荐选择能量抗性之恩惠</t>
    </r>
    <r>
      <rPr>
        <sz val="10"/>
        <color theme="1"/>
        <rFont val="Times New Roman"/>
        <charset val="134"/>
      </rPr>
      <t>Boon of Energy Resistance</t>
    </r>
    <r>
      <rPr>
        <sz val="10"/>
        <color theme="1"/>
        <rFont val="宋体"/>
        <charset val="134"/>
      </rPr>
      <t>。</t>
    </r>
  </si>
  <si>
    <r>
      <rPr>
        <sz val="10"/>
        <color theme="1"/>
        <rFont val="宋体"/>
        <charset val="134"/>
      </rPr>
      <t>灵能使子职业</t>
    </r>
  </si>
  <si>
    <r>
      <rPr>
        <sz val="10"/>
        <color theme="1"/>
        <rFont val="宋体"/>
        <charset val="134"/>
      </rPr>
      <t>你获得一项你选择的灵能使子职业——蜕变使</t>
    </r>
    <r>
      <rPr>
        <sz val="10"/>
        <color theme="1"/>
        <rFont val="Times New Roman"/>
        <charset val="134"/>
      </rPr>
      <t>Metamorph</t>
    </r>
    <r>
      <rPr>
        <sz val="10"/>
        <color theme="1"/>
        <rFont val="宋体"/>
        <charset val="134"/>
      </rPr>
      <t>，念动使</t>
    </r>
    <r>
      <rPr>
        <sz val="10"/>
        <color theme="1"/>
        <rFont val="Times New Roman"/>
        <charset val="134"/>
      </rPr>
      <t>Psykinetic</t>
    </r>
    <r>
      <rPr>
        <sz val="10"/>
        <color theme="1"/>
        <rFont val="宋体"/>
        <charset val="134"/>
      </rPr>
      <t>，传心使</t>
    </r>
    <r>
      <rPr>
        <sz val="10"/>
        <color theme="1"/>
        <rFont val="Times New Roman"/>
        <charset val="134"/>
      </rPr>
      <t>Telepath</t>
    </r>
    <r>
      <rPr>
        <sz val="10"/>
        <color theme="1"/>
        <rFont val="宋体"/>
        <charset val="134"/>
      </rPr>
      <t>。这些子职业详述于本职描述后。子职业代表了能在特定灵能使等级给予你特性的专精方向。在你的剩余冒险生涯中，你获得等于、低于你灵能使等级的所有子职业特性。</t>
    </r>
  </si>
  <si>
    <r>
      <rPr>
        <sz val="10"/>
        <color theme="1"/>
        <rFont val="宋体"/>
        <charset val="134"/>
      </rPr>
      <t>束缚烙印</t>
    </r>
  </si>
  <si>
    <r>
      <rPr>
        <sz val="10"/>
        <color theme="1"/>
        <rFont val="宋体"/>
        <charset val="134"/>
      </rPr>
      <t>你的惩戒烙印特性所造成的心灵伤害提升至你智力调整值的双倍（至少为</t>
    </r>
    <r>
      <rPr>
        <sz val="10"/>
        <color theme="1"/>
        <rFont val="Times New Roman"/>
        <charset val="134"/>
      </rPr>
      <t>2</t>
    </r>
    <r>
      <rPr>
        <sz val="10"/>
        <color theme="1"/>
        <rFont val="宋体"/>
        <charset val="134"/>
      </rPr>
      <t>）。此外，烙印生物无法执行疾走动作。如果烙印生物以任何方式尝试离开当前位面或进行传送时，其受到</t>
    </r>
    <r>
      <rPr>
        <sz val="10"/>
        <color theme="1"/>
        <rFont val="Times New Roman"/>
        <charset val="134"/>
      </rPr>
      <t xml:space="preserve"> 4d6 </t>
    </r>
    <r>
      <rPr>
        <sz val="10"/>
        <color theme="1"/>
        <rFont val="宋体"/>
        <charset val="134"/>
      </rPr>
      <t>点心灵伤害且必须进行一次感知豁免。豁免失败时，该次传送或位面转移的尝试失败。</t>
    </r>
  </si>
  <si>
    <r>
      <rPr>
        <sz val="10"/>
        <color theme="1"/>
        <rFont val="宋体"/>
        <charset val="134"/>
      </rPr>
      <t>药理学</t>
    </r>
  </si>
  <si>
    <r>
      <rPr>
        <sz val="10"/>
        <color theme="1"/>
        <rFont val="宋体"/>
        <charset val="134"/>
      </rPr>
      <t>当你以药剂师法术位或大公式特性施展一个法术，为一个生物恢复生命值时，该生物额外恢复等同于你智力调整值的生命值。</t>
    </r>
  </si>
  <si>
    <t>爆头</t>
  </si>
  <si>
    <t>当你使用远程武器对一名生物造成重击时，你可以选择将其爆头。若该生物的生命值不高于100，其死亡。否则其额外受到10d10伤害，伤害类型为武器的伤害类型。
此特性一经使用，直至完成短休或长休你都无法再次使用。你也可以消耗三枚风险骰（无需动作）来重置此特性的使用权。</t>
  </si>
  <si>
    <t>怨仇射击</t>
  </si>
  <si>
    <t>当一名生物对你或位于你30尺内你可见的盟友发动远程攻击时，你能够以反应消耗一枚缄印，对攻击者发动一次远程武器攻击。攻击命中则额外造成等于你邪狱使等级一半的伤害（向下取整）。</t>
  </si>
  <si>
    <t>巅峰状态</t>
  </si>
  <si>
    <r>
      <rPr>
        <sz val="10"/>
        <color theme="1"/>
        <rFont val="宋体"/>
        <charset val="134"/>
      </rPr>
      <t>你的力量和韧性堪称传奇。你获得以下增益。
老当益壮</t>
    </r>
    <r>
      <rPr>
        <sz val="10"/>
        <color theme="1"/>
        <rFont val="Times New Roman"/>
        <charset val="134"/>
      </rPr>
      <t>Hale and Hearty</t>
    </r>
    <r>
      <rPr>
        <sz val="10"/>
        <color theme="1"/>
        <rFont val="宋体"/>
        <charset val="134"/>
      </rPr>
      <t>。</t>
    </r>
    <r>
      <rPr>
        <sz val="10"/>
        <color theme="1"/>
        <rFont val="Times New Roman"/>
        <charset val="134"/>
      </rPr>
      <t xml:space="preserve"> </t>
    </r>
    <r>
      <rPr>
        <sz val="10"/>
        <color theme="1"/>
        <rFont val="宋体"/>
        <charset val="134"/>
      </rPr>
      <t>你的力量和体质值提升</t>
    </r>
    <r>
      <rPr>
        <sz val="10"/>
        <color theme="1"/>
        <rFont val="Times New Roman"/>
        <charset val="134"/>
      </rPr>
      <t>2</t>
    </r>
    <r>
      <rPr>
        <sz val="10"/>
        <color theme="1"/>
        <rFont val="宋体"/>
        <charset val="134"/>
      </rPr>
      <t>，至多提升至</t>
    </r>
    <r>
      <rPr>
        <sz val="10"/>
        <color theme="1"/>
        <rFont val="Times New Roman"/>
        <charset val="134"/>
      </rPr>
      <t>23</t>
    </r>
    <r>
      <rPr>
        <sz val="10"/>
        <color theme="1"/>
        <rFont val="宋体"/>
        <charset val="134"/>
      </rPr>
      <t>。
一觉解千愁</t>
    </r>
    <r>
      <rPr>
        <sz val="10"/>
        <color theme="1"/>
        <rFont val="Times New Roman"/>
        <charset val="134"/>
      </rPr>
      <t>Sleep It Off</t>
    </r>
    <r>
      <rPr>
        <sz val="10"/>
        <color theme="1"/>
        <rFont val="宋体"/>
        <charset val="134"/>
      </rPr>
      <t>。</t>
    </r>
    <r>
      <rPr>
        <sz val="10"/>
        <color theme="1"/>
        <rFont val="Times New Roman"/>
        <charset val="134"/>
      </rPr>
      <t xml:space="preserve"> </t>
    </r>
    <r>
      <rPr>
        <sz val="10"/>
        <color theme="1"/>
        <rFont val="宋体"/>
        <charset val="134"/>
      </rPr>
      <t>当你完成长休时，若你已陷入力竭状态，你失去所有力竭等级。
活力四溢</t>
    </r>
    <r>
      <rPr>
        <sz val="10"/>
        <color theme="1"/>
        <rFont val="Times New Roman"/>
        <charset val="134"/>
      </rPr>
      <t>Vim and Vigor</t>
    </r>
    <r>
      <rPr>
        <sz val="10"/>
        <color theme="1"/>
        <rFont val="宋体"/>
        <charset val="134"/>
      </rPr>
      <t>。</t>
    </r>
    <r>
      <rPr>
        <sz val="10"/>
        <color theme="1"/>
        <rFont val="Times New Roman"/>
        <charset val="134"/>
      </rPr>
      <t xml:space="preserve"> </t>
    </r>
    <r>
      <rPr>
        <sz val="10"/>
        <color theme="1"/>
        <rFont val="宋体"/>
        <charset val="134"/>
      </rPr>
      <t>当你完成短休时，你恢复等于你拳斗士等级两倍的生命值。</t>
    </r>
  </si>
  <si>
    <t>面具学院</t>
  </si>
  <si>
    <r>
      <rPr>
        <sz val="10"/>
        <color theme="1"/>
        <rFont val="宋体"/>
        <charset val="134"/>
      </rPr>
      <t>报偿</t>
    </r>
  </si>
  <si>
    <r>
      <rPr>
        <sz val="10"/>
        <color theme="1"/>
        <rFont val="宋体"/>
        <charset val="134"/>
      </rPr>
      <t>当一名位于你</t>
    </r>
    <r>
      <rPr>
        <sz val="10"/>
        <color theme="1"/>
        <rFont val="Times New Roman"/>
        <charset val="134"/>
      </rPr>
      <t>5</t>
    </r>
    <r>
      <rPr>
        <sz val="10"/>
        <color theme="1"/>
        <rFont val="宋体"/>
        <charset val="134"/>
      </rPr>
      <t>尺内的生物对你造成伤害时，你能够以反应使用武器或徒手打击对其发动一次近战攻击。</t>
    </r>
  </si>
  <si>
    <r>
      <rPr>
        <sz val="10"/>
        <color theme="1"/>
        <rFont val="宋体"/>
        <charset val="134"/>
      </rPr>
      <t>惑心魔法</t>
    </r>
  </si>
  <si>
    <r>
      <rPr>
        <sz val="10"/>
        <color theme="1"/>
        <rFont val="宋体"/>
        <charset val="134"/>
      </rPr>
      <t>你始终准备了法术魅惑类人</t>
    </r>
    <r>
      <rPr>
        <sz val="10"/>
        <color theme="1"/>
        <rFont val="Times New Roman"/>
        <charset val="134"/>
      </rPr>
      <t>Charm Person</t>
    </r>
    <r>
      <rPr>
        <sz val="10"/>
        <color theme="1"/>
        <rFont val="宋体"/>
        <charset val="134"/>
      </rPr>
      <t>和镜影术</t>
    </r>
    <r>
      <rPr>
        <sz val="10"/>
        <color theme="1"/>
        <rFont val="Times New Roman"/>
        <charset val="134"/>
      </rPr>
      <t>Mirror Image</t>
    </r>
    <r>
      <rPr>
        <sz val="10"/>
        <color theme="1"/>
        <rFont val="宋体"/>
        <charset val="134"/>
      </rPr>
      <t>。
此外，在你使用法术位施展一道惑控或幻术学派的法术后，你可以立即使一名位于你</t>
    </r>
    <r>
      <rPr>
        <sz val="10"/>
        <color theme="1"/>
        <rFont val="Times New Roman"/>
        <charset val="134"/>
      </rPr>
      <t>60</t>
    </r>
    <r>
      <rPr>
        <sz val="10"/>
        <color theme="1"/>
        <rFont val="宋体"/>
        <charset val="134"/>
      </rPr>
      <t>尺内的你可见的生物进行一次感知豁免检定，对抗你的施法</t>
    </r>
    <r>
      <rPr>
        <sz val="10"/>
        <color theme="1"/>
        <rFont val="Times New Roman"/>
        <charset val="134"/>
      </rPr>
      <t>DC</t>
    </r>
    <r>
      <rPr>
        <sz val="10"/>
        <color theme="1"/>
        <rFont val="宋体"/>
        <charset val="134"/>
      </rPr>
      <t>。豁免失败则目标陷入魅惑或恐慌状态（由你选择），持续</t>
    </r>
    <r>
      <rPr>
        <sz val="10"/>
        <color theme="1"/>
        <rFont val="Times New Roman"/>
        <charset val="134"/>
      </rPr>
      <t>1</t>
    </r>
    <r>
      <rPr>
        <sz val="10"/>
        <color theme="1"/>
        <rFont val="宋体"/>
        <charset val="134"/>
      </rPr>
      <t>分钟。目标在其每个回合结束时，可以重新进行该豁免，成功则其身上的效应提前结束。
该增益一经使用，直至完成长休你都无法再次使用。你也可以消耗一次诗人激励使用次数（无需动作）重置该增益的使用权。</t>
    </r>
    <r>
      <rPr>
        <sz val="10"/>
        <color theme="1"/>
        <rFont val="Times New Roman"/>
        <charset val="134"/>
      </rPr>
      <t xml:space="preserve"> </t>
    </r>
  </si>
  <si>
    <r>
      <rPr>
        <sz val="10"/>
        <color theme="1"/>
        <rFont val="宋体"/>
        <charset val="134"/>
      </rPr>
      <t>神祝医者</t>
    </r>
  </si>
  <si>
    <r>
      <rPr>
        <sz val="10"/>
        <color theme="1"/>
        <rFont val="宋体"/>
        <charset val="134"/>
      </rPr>
      <t>你为其他人施展的治疗性法术也能治疗你自己。当你用法术位施展一道为除了你自己以外的一个或更多生物恢复生命值的法术后，你立刻恢复</t>
    </r>
    <r>
      <rPr>
        <sz val="10"/>
        <color theme="1"/>
        <rFont val="Times New Roman"/>
        <charset val="134"/>
      </rPr>
      <t>2+</t>
    </r>
    <r>
      <rPr>
        <sz val="10"/>
        <color theme="1"/>
        <rFont val="宋体"/>
        <charset val="134"/>
      </rPr>
      <t>法术环阶的生命值。</t>
    </r>
  </si>
  <si>
    <r>
      <rPr>
        <sz val="10"/>
        <color theme="1"/>
        <rFont val="宋体"/>
        <charset val="134"/>
      </rPr>
      <t>大德鲁伊</t>
    </r>
  </si>
  <si>
    <r>
      <rPr>
        <sz val="10"/>
        <color theme="1"/>
        <rFont val="宋体"/>
        <charset val="134"/>
      </rPr>
      <t>自然的活力在你的身上永不凋零，令你获得以下增益：
不凋化形</t>
    </r>
    <r>
      <rPr>
        <sz val="10"/>
        <color theme="1"/>
        <rFont val="Times New Roman"/>
        <charset val="134"/>
      </rPr>
      <t>Evergreen Wild Shape</t>
    </r>
    <r>
      <rPr>
        <sz val="10"/>
        <color theme="1"/>
        <rFont val="宋体"/>
        <charset val="134"/>
      </rPr>
      <t>。当你投掷先攻时，若你没有荒野变形的使用次数，你获得一次荒野变形使用次数。
自然术使</t>
    </r>
    <r>
      <rPr>
        <sz val="10"/>
        <color theme="1"/>
        <rFont val="Times New Roman"/>
        <charset val="134"/>
      </rPr>
      <t>Nature Magician</t>
    </r>
    <r>
      <rPr>
        <sz val="10"/>
        <color theme="1"/>
        <rFont val="宋体"/>
        <charset val="134"/>
      </rPr>
      <t>。你可以将荒野变形使用次数转化为法术位（无需任何动作）。选择一定数量的你未使用的荒野变形使用次数，将它们转化为一个法术位，每个使用次数可以转为</t>
    </r>
    <r>
      <rPr>
        <sz val="10"/>
        <color theme="1"/>
        <rFont val="Times New Roman"/>
        <charset val="134"/>
      </rPr>
      <t>2</t>
    </r>
    <r>
      <rPr>
        <sz val="10"/>
        <color theme="1"/>
        <rFont val="宋体"/>
        <charset val="134"/>
      </rPr>
      <t>个法术环阶。比如说，如果你转化两个荒野变形使用次数，你就可以创造出一个四环法术位。此增益一经使用，直至完成长休你都无法再次使用。
青春永驻</t>
    </r>
    <r>
      <rPr>
        <sz val="10"/>
        <color theme="1"/>
        <rFont val="Times New Roman"/>
        <charset val="134"/>
      </rPr>
      <t>Longevity</t>
    </r>
    <r>
      <rPr>
        <sz val="10"/>
        <color theme="1"/>
        <rFont val="宋体"/>
        <charset val="134"/>
      </rPr>
      <t>。你行使的原力魔法让你的衰老速度减缓。每经过</t>
    </r>
    <r>
      <rPr>
        <sz val="10"/>
        <color theme="1"/>
        <rFont val="Times New Roman"/>
        <charset val="134"/>
      </rPr>
      <t>10</t>
    </r>
    <r>
      <rPr>
        <sz val="10"/>
        <color theme="1"/>
        <rFont val="宋体"/>
        <charset val="134"/>
      </rPr>
      <t>年的岁月，你的身体就仿佛只过了</t>
    </r>
    <r>
      <rPr>
        <sz val="10"/>
        <color theme="1"/>
        <rFont val="Times New Roman"/>
        <charset val="134"/>
      </rPr>
      <t>1</t>
    </r>
    <r>
      <rPr>
        <sz val="10"/>
        <color theme="1"/>
        <rFont val="宋体"/>
        <charset val="134"/>
      </rPr>
      <t>年。</t>
    </r>
  </si>
  <si>
    <r>
      <rPr>
        <sz val="10"/>
        <color theme="1"/>
        <rFont val="宋体"/>
        <charset val="134"/>
      </rPr>
      <t>灵巧步法</t>
    </r>
  </si>
  <si>
    <r>
      <rPr>
        <sz val="10"/>
        <color theme="1"/>
        <rFont val="宋体"/>
        <charset val="134"/>
      </rPr>
      <t>以一个附赠动作，你可以消耗一枚卓越骰并执行撤离动作，并将卓越骰结果加入你的</t>
    </r>
    <r>
      <rPr>
        <sz val="10"/>
        <color theme="1"/>
        <rFont val="Times New Roman"/>
        <charset val="134"/>
      </rPr>
      <t>AC</t>
    </r>
    <r>
      <rPr>
        <sz val="10"/>
        <color theme="1"/>
        <rFont val="宋体"/>
        <charset val="134"/>
      </rPr>
      <t>中，直到你下回合开始为止。</t>
    </r>
  </si>
  <si>
    <r>
      <rPr>
        <sz val="10"/>
        <color theme="1"/>
        <rFont val="宋体"/>
        <charset val="134"/>
      </rPr>
      <t>夺命之手</t>
    </r>
  </si>
  <si>
    <r>
      <rPr>
        <sz val="10"/>
        <color theme="1"/>
        <rFont val="宋体"/>
        <charset val="134"/>
      </rPr>
      <t>每回合一次，当你用徒手打击命中一个生物并造成伤害时，你可以消耗</t>
    </r>
    <r>
      <rPr>
        <sz val="10"/>
        <color theme="1"/>
        <rFont val="Times New Roman"/>
        <charset val="134"/>
      </rPr>
      <t>1</t>
    </r>
    <r>
      <rPr>
        <sz val="10"/>
        <color theme="1"/>
        <rFont val="宋体"/>
        <charset val="134"/>
      </rPr>
      <t>点功力来额外造成等于一枚你的武艺骰</t>
    </r>
    <r>
      <rPr>
        <sz val="10"/>
        <color theme="1"/>
        <rFont val="Times New Roman"/>
        <charset val="134"/>
      </rPr>
      <t>+</t>
    </r>
    <r>
      <rPr>
        <sz val="10"/>
        <color theme="1"/>
        <rFont val="宋体"/>
        <charset val="134"/>
      </rPr>
      <t>你的感知调整值的暗蚀伤害。</t>
    </r>
    <r>
      <rPr>
        <sz val="10"/>
        <color theme="1"/>
        <rFont val="Times New Roman"/>
        <charset val="134"/>
      </rPr>
      <t xml:space="preserve"> </t>
    </r>
  </si>
  <si>
    <r>
      <rPr>
        <sz val="10"/>
        <color theme="1"/>
        <rFont val="宋体"/>
        <charset val="134"/>
      </rPr>
      <t>你获得一项传奇恩惠专长（见第五章）或其他一项你选择的适用的专长。推荐选择真实视觉之恩惠</t>
    </r>
    <r>
      <rPr>
        <sz val="10"/>
        <color theme="1"/>
        <rFont val="Times New Roman"/>
        <charset val="134"/>
      </rPr>
      <t xml:space="preserve"> </t>
    </r>
    <r>
      <rPr>
        <sz val="10"/>
        <color theme="1"/>
        <rFont val="宋体"/>
        <charset val="134"/>
      </rPr>
      <t>。</t>
    </r>
  </si>
  <si>
    <r>
      <rPr>
        <sz val="10"/>
        <color theme="1"/>
        <rFont val="宋体"/>
        <charset val="134"/>
      </rPr>
      <t>原初行侣</t>
    </r>
  </si>
  <si>
    <r>
      <rPr>
        <sz val="10"/>
        <color theme="1"/>
        <rFont val="宋体"/>
        <charset val="134"/>
      </rPr>
      <t>你魔法性的召唤出一只原初野兽，其力量来自于与你与自然的联系。你从大地野兽、海洋野兽和天空野兽中选择其一项作为它的数据卡。你决定原初野兽是何种动物，选择适合其数据卡的外形。无论你选择什么样的动物，这只野兽都带有原初之力的印痕，暗示着其超凡起源。
这只野兽对你和你的伙伴态度友善，并会听从你的命令。野兽会在你死亡时消失。
战斗中的野兽</t>
    </r>
    <r>
      <rPr>
        <sz val="10"/>
        <color theme="1"/>
        <rFont val="Times New Roman"/>
        <charset val="134"/>
      </rPr>
      <t>The Beast in Combat</t>
    </r>
    <r>
      <rPr>
        <sz val="10"/>
        <color theme="1"/>
        <rFont val="宋体"/>
        <charset val="134"/>
      </rPr>
      <t>。战斗中，原初野兽会在你的回合中行动。它能自主地移动或使用反应，但除非你在你的回合中以一个附赠动作命令它执行其他动作，它只会执行回避动作。命令的动作可以是其数据卡中列出的动作或是之外的其他动作。作为另一种命令方式，你也能在使用自己的攻击动作时，牺牲一次自己的攻击来命令野兽执行野兽打击动作。如果你陷入失能，野兽将会自主行动，而非仅使用回避动作。
复活或替换野兽</t>
    </r>
    <r>
      <rPr>
        <sz val="10"/>
        <color theme="1"/>
        <rFont val="Times New Roman"/>
        <charset val="134"/>
      </rPr>
      <t>Restoring or Replacing the Beast</t>
    </r>
    <r>
      <rPr>
        <sz val="10"/>
        <color theme="1"/>
        <rFont val="宋体"/>
        <charset val="134"/>
      </rPr>
      <t>。如果野兽死亡不超过一小时，你能以一个魔法动作，并消耗一个法术位使它复活。它会在一分钟后死而复生并获得所有生命值。
当你结束一次长休后，你能够召唤一只不同的原初野兽。这只新的野兽出现在位于你</t>
    </r>
    <r>
      <rPr>
        <sz val="10"/>
        <color theme="1"/>
        <rFont val="Times New Roman"/>
        <charset val="134"/>
      </rPr>
      <t>5</t>
    </r>
    <r>
      <rPr>
        <sz val="10"/>
        <color theme="1"/>
        <rFont val="宋体"/>
        <charset val="134"/>
      </rPr>
      <t>尺内的一处未被占据的空间内，并由你选择其数据卡和外表。如果你已经通过此特性获得了一只原初野兽，它会在新的原初野兽出现时消失。</t>
    </r>
  </si>
  <si>
    <r>
      <rPr>
        <sz val="10"/>
        <color theme="1"/>
        <rFont val="宋体"/>
        <charset val="134"/>
      </rPr>
      <t>每当你获得一个游荡者等级时，你就可以将你准备列表上的一道法术替换为另一道法师法术，你必须拥有替换后法术对应环阶的法术位才可以替换。</t>
    </r>
  </si>
  <si>
    <r>
      <rPr>
        <sz val="10"/>
        <color theme="1"/>
        <rFont val="宋体"/>
        <charset val="134"/>
      </rPr>
      <t>术法复苏</t>
    </r>
  </si>
  <si>
    <r>
      <rPr>
        <sz val="10"/>
        <color theme="1"/>
        <rFont val="宋体"/>
        <charset val="134"/>
      </rPr>
      <t>当你完成一次短休时，你可以恢复不大于你术士等级一半（向下取整）的已消耗术法点。
此特性一经使用，直到你完成一次长休为止不能再次使用。</t>
    </r>
  </si>
  <si>
    <r>
      <rPr>
        <sz val="10"/>
        <color theme="1"/>
        <rFont val="宋体"/>
        <charset val="134"/>
      </rPr>
      <t>原初之一的教习</t>
    </r>
  </si>
  <si>
    <r>
      <rPr>
        <sz val="10"/>
        <color theme="1"/>
        <rFont val="宋体"/>
        <charset val="134"/>
      </rPr>
      <t>先决：魔契师等级</t>
    </r>
    <r>
      <rPr>
        <sz val="10"/>
        <color theme="1"/>
        <rFont val="Times New Roman"/>
        <charset val="134"/>
      </rPr>
      <t xml:space="preserve">2+
</t>
    </r>
    <r>
      <rPr>
        <sz val="10"/>
        <color theme="1"/>
        <rFont val="宋体"/>
        <charset val="134"/>
      </rPr>
      <t>你从多元宇宙中的一位亘古存在那里收获了知识，令你习得一项由你选择的起源专长（见第</t>
    </r>
    <r>
      <rPr>
        <sz val="10"/>
        <color theme="1"/>
        <rFont val="Times New Roman"/>
        <charset val="134"/>
      </rPr>
      <t>5</t>
    </r>
    <r>
      <rPr>
        <sz val="10"/>
        <color theme="1"/>
        <rFont val="宋体"/>
        <charset val="134"/>
      </rPr>
      <t>章）。
复选</t>
    </r>
    <r>
      <rPr>
        <sz val="10"/>
        <color theme="1"/>
        <rFont val="Times New Roman"/>
        <charset val="134"/>
      </rPr>
      <t>Repeatable</t>
    </r>
    <r>
      <rPr>
        <sz val="10"/>
        <color theme="1"/>
        <rFont val="宋体"/>
        <charset val="134"/>
      </rPr>
      <t>。你可以多次选择本祈唤。每次这么做时，你都必须选择不同的起源专长。</t>
    </r>
  </si>
  <si>
    <r>
      <rPr>
        <sz val="10"/>
        <color theme="1"/>
        <rFont val="宋体"/>
        <charset val="134"/>
      </rPr>
      <t>投射守御</t>
    </r>
  </si>
  <si>
    <r>
      <rPr>
        <sz val="10"/>
        <color theme="1"/>
        <rFont val="宋体"/>
        <charset val="134"/>
      </rPr>
      <t>当</t>
    </r>
    <r>
      <rPr>
        <sz val="10"/>
        <color theme="1"/>
        <rFont val="Times New Roman"/>
        <charset val="134"/>
      </rPr>
      <t>30</t>
    </r>
    <r>
      <rPr>
        <sz val="10"/>
        <color theme="1"/>
        <rFont val="宋体"/>
        <charset val="134"/>
      </rPr>
      <t>尺内一个你可见的生物受到伤害时，你可以用你的反应让你的奥术守御吸收此次伤害。如果该伤害使结界的生命值降为</t>
    </r>
    <r>
      <rPr>
        <sz val="10"/>
        <color theme="1"/>
        <rFont val="Times New Roman"/>
        <charset val="134"/>
      </rPr>
      <t>0</t>
    </r>
    <r>
      <rPr>
        <sz val="10"/>
        <color theme="1"/>
        <rFont val="宋体"/>
        <charset val="134"/>
      </rPr>
      <t>，则被保护的生物将承受所有剩余伤害。如果被保护的生物有任何抗性或易伤，则应在计算结界承伤之前先结算抗性和易伤。</t>
    </r>
  </si>
  <si>
    <r>
      <rPr>
        <sz val="10"/>
        <color theme="1"/>
        <rFont val="宋体"/>
        <charset val="134"/>
      </rPr>
      <t>奇械之魂</t>
    </r>
  </si>
  <si>
    <r>
      <rPr>
        <sz val="10"/>
        <color theme="1"/>
        <rFont val="宋体"/>
        <charset val="134"/>
      </rPr>
      <t>你与你的魔法物品建立了一种神秘的联系，你可以利用它来产生协助效果。你获得以下增益：</t>
    </r>
    <r>
      <rPr>
        <sz val="10"/>
        <color theme="1"/>
        <rFont val="Times New Roman"/>
        <charset val="134"/>
      </rPr>
      <t xml:space="preserve">
</t>
    </r>
    <r>
      <rPr>
        <sz val="10"/>
        <color theme="1"/>
        <rFont val="宋体"/>
        <charset val="134"/>
      </rPr>
      <t>幸免于难</t>
    </r>
    <r>
      <rPr>
        <sz val="10"/>
        <color theme="1"/>
        <rFont val="Times New Roman"/>
        <charset val="134"/>
      </rPr>
      <t>Cheat Death</t>
    </r>
    <r>
      <rPr>
        <sz val="10"/>
        <color theme="1"/>
        <rFont val="宋体"/>
        <charset val="134"/>
      </rPr>
      <t>。当你的生命值降至</t>
    </r>
    <r>
      <rPr>
        <sz val="10"/>
        <color theme="1"/>
        <rFont val="Times New Roman"/>
        <charset val="134"/>
      </rPr>
      <t>0</t>
    </r>
    <r>
      <rPr>
        <sz val="10"/>
        <color theme="1"/>
        <rFont val="宋体"/>
        <charset val="134"/>
      </rPr>
      <t>，但没有立即被杀死时，你可以解消任意件你仿制魔法物品特性创造的，稀有度为非普通或珍稀的魔法物品，并将你的生命值改为魔法物品解离数量的</t>
    </r>
    <r>
      <rPr>
        <sz val="10"/>
        <color theme="1"/>
        <rFont val="Times New Roman"/>
        <charset val="134"/>
      </rPr>
      <t>20</t>
    </r>
    <r>
      <rPr>
        <sz val="10"/>
        <color theme="1"/>
        <rFont val="宋体"/>
        <charset val="134"/>
      </rPr>
      <t>倍。</t>
    </r>
    <r>
      <rPr>
        <sz val="10"/>
        <color theme="1"/>
        <rFont val="Times New Roman"/>
        <charset val="134"/>
      </rPr>
      <t xml:space="preserve">
</t>
    </r>
    <r>
      <rPr>
        <sz val="10"/>
        <color theme="1"/>
        <rFont val="宋体"/>
        <charset val="134"/>
      </rPr>
      <t>魔法指引</t>
    </r>
    <r>
      <rPr>
        <sz val="10"/>
        <color theme="1"/>
        <rFont val="Times New Roman"/>
        <charset val="134"/>
      </rPr>
      <t>Magical Guidance</t>
    </r>
    <r>
      <rPr>
        <sz val="10"/>
        <color theme="1"/>
        <rFont val="宋体"/>
        <charset val="134"/>
      </rPr>
      <t>。当你完成短休时，如果你同调着至少一件魔法物品，你的灵光一闪重获所有已消耗的使用次数。</t>
    </r>
  </si>
  <si>
    <r>
      <rPr>
        <sz val="10"/>
        <color theme="1"/>
        <rFont val="宋体"/>
        <charset val="134"/>
      </rPr>
      <t>你获得属性值提升专长或其他你满足条件的专长。如灵能使特性表所示，你在第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级时会再次获得本特性。</t>
    </r>
  </si>
  <si>
    <r>
      <rPr>
        <sz val="10"/>
        <color theme="1"/>
        <rFont val="宋体"/>
        <charset val="134"/>
      </rPr>
      <t>刚毅灵魂</t>
    </r>
  </si>
  <si>
    <r>
      <rPr>
        <sz val="10"/>
        <color theme="1"/>
        <rFont val="宋体"/>
        <charset val="134"/>
      </rPr>
      <t>你在对抗魅惑或恐惧的豁免检定中具有优势。</t>
    </r>
  </si>
  <si>
    <r>
      <rPr>
        <sz val="10"/>
        <color theme="1"/>
        <rFont val="宋体"/>
        <charset val="134"/>
      </rPr>
      <t>生理学分析</t>
    </r>
  </si>
  <si>
    <r>
      <rPr>
        <sz val="10"/>
        <color theme="1"/>
        <rFont val="宋体"/>
        <charset val="134"/>
      </rPr>
      <t xml:space="preserve">如果你在战斗外花费至少一分钟来观察或与另一个生物互动，你可以掌握它在生理学上的一些特定信息。游戏主持人会提供给你你所选择的以下两个特征：
</t>
    </r>
    <r>
      <rPr>
        <sz val="10"/>
        <color theme="1"/>
        <rFont val="Times New Roman"/>
        <charset val="134"/>
      </rPr>
      <t xml:space="preserve">• </t>
    </r>
    <r>
      <rPr>
        <sz val="10"/>
        <color theme="1"/>
        <rFont val="宋体"/>
        <charset val="134"/>
      </rPr>
      <t xml:space="preserve">任意一项属性值
</t>
    </r>
    <r>
      <rPr>
        <sz val="10"/>
        <color theme="1"/>
        <rFont val="Times New Roman"/>
        <charset val="134"/>
      </rPr>
      <t xml:space="preserve">• AC
• </t>
    </r>
    <r>
      <rPr>
        <sz val="10"/>
        <color theme="1"/>
        <rFont val="宋体"/>
        <charset val="134"/>
      </rPr>
      <t xml:space="preserve">它当前的生命值
</t>
    </r>
    <r>
      <rPr>
        <sz val="10"/>
        <color theme="1"/>
        <rFont val="Times New Roman"/>
        <charset val="134"/>
      </rPr>
      <t xml:space="preserve">• </t>
    </r>
    <r>
      <rPr>
        <sz val="10"/>
        <color theme="1"/>
        <rFont val="宋体"/>
        <charset val="134"/>
      </rPr>
      <t xml:space="preserve">伤害抗性（如果有的话）
</t>
    </r>
    <r>
      <rPr>
        <sz val="10"/>
        <color theme="1"/>
        <rFont val="Times New Roman"/>
        <charset val="134"/>
      </rPr>
      <t xml:space="preserve">• </t>
    </r>
    <r>
      <rPr>
        <sz val="10"/>
        <color theme="1"/>
        <rFont val="宋体"/>
        <charset val="134"/>
      </rPr>
      <t xml:space="preserve">伤害免疫（如果有的话）
</t>
    </r>
    <r>
      <rPr>
        <sz val="10"/>
        <color theme="1"/>
        <rFont val="Times New Roman"/>
        <charset val="134"/>
      </rPr>
      <t xml:space="preserve">• </t>
    </r>
    <r>
      <rPr>
        <sz val="10"/>
        <color theme="1"/>
        <rFont val="宋体"/>
        <charset val="134"/>
      </rPr>
      <t>伤害易伤（如果有的话）
或者，你可以花费一分钟观察一具尸体。一分钟后，你得知他的死因。</t>
    </r>
  </si>
  <si>
    <t>鹰眼【战技】</t>
  </si>
  <si>
    <t>每回合一次，当你的远程攻击检定失手时，你可以消耗一枚风险骰并将其加入攻击检定，这可能令本次攻击改为命中。</t>
  </si>
  <si>
    <t>血之代价</t>
  </si>
  <si>
    <t>你能够以牺牲生命力为代价，强化你的防御力。每当你豁免失败时，你可以消耗一枚生命骰，掷骰并将结果加入你的豁免检定中。</t>
  </si>
  <si>
    <t>拳手最好的朋友</t>
  </si>
  <si>
    <r>
      <rPr>
        <sz val="10"/>
        <color theme="1"/>
        <rFont val="宋体"/>
        <charset val="134"/>
      </rPr>
      <t>你召唤一只野狗或流浪狗，并与之建立连接，其使用猎犬</t>
    </r>
    <r>
      <rPr>
        <sz val="10"/>
        <color theme="1"/>
        <rFont val="Times New Roman"/>
        <charset val="134"/>
      </rPr>
      <t>Hound</t>
    </r>
    <r>
      <rPr>
        <sz val="10"/>
        <color theme="1"/>
        <rFont val="宋体"/>
        <charset val="134"/>
      </rPr>
      <t>数据卡并能从你无尽的韧性中汲取力量。</t>
    </r>
    <r>
      <rPr>
        <sz val="10"/>
        <color theme="1"/>
        <rFont val="Times New Roman"/>
        <charset val="134"/>
      </rPr>
      <t xml:space="preserve">
</t>
    </r>
    <r>
      <rPr>
        <sz val="10"/>
        <color theme="1"/>
        <rFont val="宋体"/>
        <charset val="134"/>
      </rPr>
      <t>猎犬对你和你的盟友友好并服从你命令。若你死亡，猎犬会逃走。</t>
    </r>
    <r>
      <rPr>
        <sz val="10"/>
        <color theme="1"/>
        <rFont val="Times New Roman"/>
        <charset val="134"/>
      </rPr>
      <t xml:space="preserve">
</t>
    </r>
    <r>
      <rPr>
        <sz val="10"/>
        <color theme="1"/>
        <rFont val="宋体"/>
        <charset val="134"/>
      </rPr>
      <t>战斗中的猎犬</t>
    </r>
    <r>
      <rPr>
        <sz val="10"/>
        <color theme="1"/>
        <rFont val="Times New Roman"/>
        <charset val="134"/>
      </rPr>
      <t>The Hound in Combat</t>
    </r>
    <r>
      <rPr>
        <sz val="10"/>
        <color theme="1"/>
        <rFont val="宋体"/>
        <charset val="134"/>
      </rPr>
      <t>。战斗中，猎犬在你的回合内行动。其可以自主移动并使用反应，但其能执行的动作仅有回避动作，除非你以附赠动作命令其执行其数据卡中的动作或其他动作。当你执行攻击动作时，你还能放弃你的其中一次攻击来命令猎犬执行啃咬动作。若你陷入失能状态，猎犬能自主行动而非仅执行回避动作。</t>
    </r>
    <r>
      <rPr>
        <sz val="10"/>
        <color theme="1"/>
        <rFont val="Times New Roman"/>
        <charset val="134"/>
      </rPr>
      <t xml:space="preserve">
</t>
    </r>
    <r>
      <rPr>
        <sz val="10"/>
        <color theme="1"/>
        <rFont val="宋体"/>
        <charset val="134"/>
      </rPr>
      <t>恢复或更换猎犬</t>
    </r>
    <r>
      <rPr>
        <sz val="10"/>
        <color theme="1"/>
        <rFont val="Times New Roman"/>
        <charset val="134"/>
      </rPr>
      <t>Restoring or Replacing the Hound</t>
    </r>
    <r>
      <rPr>
        <sz val="10"/>
        <color theme="1"/>
        <rFont val="宋体"/>
        <charset val="134"/>
      </rPr>
      <t>。若猎犬在</t>
    </r>
    <r>
      <rPr>
        <sz val="10"/>
        <color theme="1"/>
        <rFont val="Times New Roman"/>
        <charset val="134"/>
      </rPr>
      <t>1</t>
    </r>
    <r>
      <rPr>
        <sz val="10"/>
        <color theme="1"/>
        <rFont val="宋体"/>
        <charset val="134"/>
      </rPr>
      <t>小时内死亡，你能以魔法动作触碰其并消耗</t>
    </r>
    <r>
      <rPr>
        <sz val="10"/>
        <color theme="1"/>
        <rFont val="Times New Roman"/>
        <charset val="134"/>
      </rPr>
      <t>2</t>
    </r>
    <r>
      <rPr>
        <sz val="10"/>
        <color theme="1"/>
        <rFont val="宋体"/>
        <charset val="134"/>
      </rPr>
      <t>点锐气来使猎犬在</t>
    </r>
    <r>
      <rPr>
        <sz val="10"/>
        <color theme="1"/>
        <rFont val="Times New Roman"/>
        <charset val="134"/>
      </rPr>
      <t>1</t>
    </r>
    <r>
      <rPr>
        <sz val="10"/>
        <color theme="1"/>
        <rFont val="宋体"/>
        <charset val="134"/>
      </rPr>
      <t>分钟后以满生命值重获生命。</t>
    </r>
    <r>
      <rPr>
        <sz val="10"/>
        <color theme="1"/>
        <rFont val="Times New Roman"/>
        <charset val="134"/>
      </rPr>
      <t xml:space="preserve">
</t>
    </r>
    <r>
      <rPr>
        <sz val="10"/>
        <color theme="1"/>
        <rFont val="宋体"/>
        <charset val="134"/>
      </rPr>
      <t>每当你完成长休时，你能召唤一只新狗并与其建立连接，新的狗会出现在位于你</t>
    </r>
    <r>
      <rPr>
        <sz val="10"/>
        <color theme="1"/>
        <rFont val="Times New Roman"/>
        <charset val="134"/>
      </rPr>
      <t>5</t>
    </r>
    <r>
      <rPr>
        <sz val="10"/>
        <color theme="1"/>
        <rFont val="宋体"/>
        <charset val="134"/>
      </rPr>
      <t>尺内的未占据空间。若你已经因此特性拥有一只猎犬，旧的那只会在新狗出现时消失。</t>
    </r>
    <r>
      <rPr>
        <sz val="10"/>
        <color theme="1"/>
        <rFont val="Times New Roman"/>
        <charset val="134"/>
      </rPr>
      <t xml:space="preserve">
</t>
    </r>
    <r>
      <rPr>
        <sz val="10"/>
        <color theme="1"/>
        <rFont val="宋体"/>
        <charset val="134"/>
      </rPr>
      <t>猎犬</t>
    </r>
    <r>
      <rPr>
        <sz val="10"/>
        <color theme="1"/>
        <rFont val="Times New Roman"/>
        <charset val="134"/>
      </rPr>
      <t xml:space="preserve">Hound
</t>
    </r>
    <r>
      <rPr>
        <sz val="10"/>
        <color theme="1"/>
        <rFont val="宋体"/>
        <charset val="134"/>
      </rPr>
      <t>中型野兽，中立</t>
    </r>
    <r>
      <rPr>
        <sz val="10"/>
        <color theme="1"/>
        <rFont val="Times New Roman"/>
        <charset val="134"/>
      </rPr>
      <t xml:space="preserve">
AC 12+</t>
    </r>
    <r>
      <rPr>
        <sz val="10"/>
        <color theme="1"/>
        <rFont val="宋体"/>
        <charset val="134"/>
      </rPr>
      <t>你的体质调整值</t>
    </r>
    <r>
      <rPr>
        <sz val="10"/>
        <color theme="1"/>
        <rFont val="Times New Roman"/>
        <charset val="134"/>
      </rPr>
      <t xml:space="preserve"> </t>
    </r>
    <r>
      <rPr>
        <sz val="10"/>
        <color theme="1"/>
        <rFont val="宋体"/>
        <charset val="134"/>
      </rPr>
      <t>先攻</t>
    </r>
    <r>
      <rPr>
        <sz val="10"/>
        <color theme="1"/>
        <rFont val="Times New Roman"/>
        <charset val="134"/>
      </rPr>
      <t xml:space="preserve"> +2</t>
    </r>
    <r>
      <rPr>
        <sz val="10"/>
        <color theme="1"/>
        <rFont val="宋体"/>
        <charset val="134"/>
      </rPr>
      <t>（</t>
    </r>
    <r>
      <rPr>
        <sz val="10"/>
        <color theme="1"/>
        <rFont val="Times New Roman"/>
        <charset val="134"/>
      </rPr>
      <t>12</t>
    </r>
    <r>
      <rPr>
        <sz val="10"/>
        <color theme="1"/>
        <rFont val="宋体"/>
        <charset val="134"/>
      </rPr>
      <t>）</t>
    </r>
    <r>
      <rPr>
        <sz val="10"/>
        <color theme="1"/>
        <rFont val="Times New Roman"/>
        <charset val="134"/>
      </rPr>
      <t xml:space="preserve"> 
HP 5+</t>
    </r>
    <r>
      <rPr>
        <sz val="10"/>
        <color theme="1"/>
        <rFont val="宋体"/>
        <charset val="134"/>
      </rPr>
      <t>你拳斗士等级的五倍（猎犬具有等于你拳斗士等级的生命骰</t>
    </r>
    <r>
      <rPr>
        <sz val="10"/>
        <color theme="1"/>
        <rFont val="Times New Roman"/>
        <charset val="134"/>
      </rPr>
      <t>[D8]</t>
    </r>
    <r>
      <rPr>
        <sz val="10"/>
        <color theme="1"/>
        <rFont val="宋体"/>
        <charset val="134"/>
      </rPr>
      <t>）</t>
    </r>
    <r>
      <rPr>
        <sz val="10"/>
        <color theme="1"/>
        <rFont val="Times New Roman"/>
        <charset val="134"/>
      </rPr>
      <t xml:space="preserve"> 
</t>
    </r>
    <r>
      <rPr>
        <sz val="10"/>
        <color theme="1"/>
        <rFont val="宋体"/>
        <charset val="134"/>
      </rPr>
      <t>速度</t>
    </r>
    <r>
      <rPr>
        <sz val="10"/>
        <color theme="1"/>
        <rFont val="Times New Roman"/>
        <charset val="134"/>
      </rPr>
      <t xml:space="preserve"> 40</t>
    </r>
    <r>
      <rPr>
        <sz val="10"/>
        <color theme="1"/>
        <rFont val="宋体"/>
        <charset val="134"/>
      </rPr>
      <t>尺</t>
    </r>
    <r>
      <rPr>
        <sz val="10"/>
        <color theme="1"/>
        <rFont val="Times New Roman"/>
        <charset val="134"/>
      </rPr>
      <t xml:space="preserve"> 
  </t>
    </r>
    <r>
      <rPr>
        <sz val="10"/>
        <color theme="1"/>
        <rFont val="宋体"/>
        <charset val="134"/>
      </rPr>
      <t>调整</t>
    </r>
    <r>
      <rPr>
        <sz val="10"/>
        <color theme="1"/>
        <rFont val="Times New Roman"/>
        <charset val="134"/>
      </rPr>
      <t xml:space="preserve"> </t>
    </r>
    <r>
      <rPr>
        <sz val="10"/>
        <color theme="1"/>
        <rFont val="宋体"/>
        <charset val="134"/>
      </rPr>
      <t>豁免</t>
    </r>
    <r>
      <rPr>
        <sz val="10"/>
        <color theme="1"/>
        <rFont val="Times New Roman"/>
        <charset val="134"/>
      </rPr>
      <t xml:space="preserve">    </t>
    </r>
    <r>
      <rPr>
        <sz val="10"/>
        <color theme="1"/>
        <rFont val="宋体"/>
        <charset val="134"/>
      </rPr>
      <t>调整</t>
    </r>
    <r>
      <rPr>
        <sz val="10"/>
        <color theme="1"/>
        <rFont val="Times New Roman"/>
        <charset val="134"/>
      </rPr>
      <t xml:space="preserve"> </t>
    </r>
    <r>
      <rPr>
        <sz val="10"/>
        <color theme="1"/>
        <rFont val="宋体"/>
        <charset val="134"/>
      </rPr>
      <t>豁免</t>
    </r>
    <r>
      <rPr>
        <sz val="10"/>
        <color theme="1"/>
        <rFont val="Times New Roman"/>
        <charset val="134"/>
      </rPr>
      <t xml:space="preserve">    </t>
    </r>
    <r>
      <rPr>
        <sz val="10"/>
        <color theme="1"/>
        <rFont val="宋体"/>
        <charset val="134"/>
      </rPr>
      <t>调整</t>
    </r>
    <r>
      <rPr>
        <sz val="10"/>
        <color theme="1"/>
        <rFont val="Times New Roman"/>
        <charset val="134"/>
      </rPr>
      <t xml:space="preserve"> </t>
    </r>
    <r>
      <rPr>
        <sz val="10"/>
        <color theme="1"/>
        <rFont val="宋体"/>
        <charset val="134"/>
      </rPr>
      <t>豁免</t>
    </r>
    <r>
      <rPr>
        <sz val="10"/>
        <color theme="1"/>
        <rFont val="Times New Roman"/>
        <charset val="134"/>
      </rPr>
      <t xml:space="preserve"> 
</t>
    </r>
    <r>
      <rPr>
        <sz val="10"/>
        <color theme="1"/>
        <rFont val="宋体"/>
        <charset val="134"/>
      </rPr>
      <t>力量</t>
    </r>
    <r>
      <rPr>
        <sz val="10"/>
        <color theme="1"/>
        <rFont val="Times New Roman"/>
        <charset val="134"/>
      </rPr>
      <t xml:space="preserve"> 14 +2 +2  </t>
    </r>
    <r>
      <rPr>
        <sz val="10"/>
        <color theme="1"/>
        <rFont val="宋体"/>
        <charset val="134"/>
      </rPr>
      <t>敏捷</t>
    </r>
    <r>
      <rPr>
        <sz val="10"/>
        <color theme="1"/>
        <rFont val="Times New Roman"/>
        <charset val="134"/>
      </rPr>
      <t xml:space="preserve"> 14 +2 +2  </t>
    </r>
    <r>
      <rPr>
        <sz val="10"/>
        <color theme="1"/>
        <rFont val="宋体"/>
        <charset val="134"/>
      </rPr>
      <t>体质</t>
    </r>
    <r>
      <rPr>
        <sz val="10"/>
        <color theme="1"/>
        <rFont val="Times New Roman"/>
        <charset val="134"/>
      </rPr>
      <t xml:space="preserve"> 15* +3 +3 
</t>
    </r>
    <r>
      <rPr>
        <sz val="10"/>
        <color theme="1"/>
        <rFont val="宋体"/>
        <charset val="134"/>
      </rPr>
      <t>智力</t>
    </r>
    <r>
      <rPr>
        <sz val="10"/>
        <color theme="1"/>
        <rFont val="Times New Roman"/>
        <charset val="134"/>
      </rPr>
      <t xml:space="preserve"> 3 -4 -4  </t>
    </r>
    <r>
      <rPr>
        <sz val="10"/>
        <color theme="1"/>
        <rFont val="宋体"/>
        <charset val="134"/>
      </rPr>
      <t>感知</t>
    </r>
    <r>
      <rPr>
        <sz val="10"/>
        <color theme="1"/>
        <rFont val="Times New Roman"/>
        <charset val="134"/>
      </rPr>
      <t xml:space="preserve"> 12 +1 +1  </t>
    </r>
    <r>
      <rPr>
        <sz val="10"/>
        <color theme="1"/>
        <rFont val="宋体"/>
        <charset val="134"/>
      </rPr>
      <t>魅力</t>
    </r>
    <r>
      <rPr>
        <sz val="10"/>
        <color theme="1"/>
        <rFont val="Times New Roman"/>
        <charset val="134"/>
      </rPr>
      <t xml:space="preserve"> 13 +1 +1 
</t>
    </r>
    <r>
      <rPr>
        <sz val="10"/>
        <color theme="1"/>
        <rFont val="宋体"/>
        <charset val="134"/>
      </rPr>
      <t>感官</t>
    </r>
    <r>
      <rPr>
        <sz val="10"/>
        <color theme="1"/>
        <rFont val="Times New Roman"/>
        <charset val="134"/>
      </rPr>
      <t xml:space="preserve"> </t>
    </r>
    <r>
      <rPr>
        <sz val="10"/>
        <color theme="1"/>
        <rFont val="宋体"/>
        <charset val="134"/>
      </rPr>
      <t>黑暗视觉</t>
    </r>
    <r>
      <rPr>
        <sz val="10"/>
        <color theme="1"/>
        <rFont val="Times New Roman"/>
        <charset val="134"/>
      </rPr>
      <t>60</t>
    </r>
    <r>
      <rPr>
        <sz val="10"/>
        <color theme="1"/>
        <rFont val="宋体"/>
        <charset val="134"/>
      </rPr>
      <t>尺；被动察觉</t>
    </r>
    <r>
      <rPr>
        <sz val="10"/>
        <color theme="1"/>
        <rFont val="Times New Roman"/>
        <charset val="134"/>
      </rPr>
      <t xml:space="preserve">11 
</t>
    </r>
    <r>
      <rPr>
        <sz val="10"/>
        <color theme="1"/>
        <rFont val="宋体"/>
        <charset val="134"/>
      </rPr>
      <t>语言</t>
    </r>
    <r>
      <rPr>
        <sz val="10"/>
        <color theme="1"/>
        <rFont val="Times New Roman"/>
        <charset val="134"/>
      </rPr>
      <t xml:space="preserve"> </t>
    </r>
    <r>
      <rPr>
        <sz val="10"/>
        <color theme="1"/>
        <rFont val="宋体"/>
        <charset val="134"/>
      </rPr>
      <t>理解你知晓的语言</t>
    </r>
    <r>
      <rPr>
        <sz val="10"/>
        <color theme="1"/>
        <rFont val="Times New Roman"/>
        <charset val="134"/>
      </rPr>
      <t xml:space="preserve"> 
CR </t>
    </r>
    <r>
      <rPr>
        <sz val="10"/>
        <color theme="1"/>
        <rFont val="宋体"/>
        <charset val="134"/>
      </rPr>
      <t>无（</t>
    </r>
    <r>
      <rPr>
        <sz val="10"/>
        <color theme="1"/>
        <rFont val="Times New Roman"/>
        <charset val="134"/>
      </rPr>
      <t>XP 0</t>
    </r>
    <r>
      <rPr>
        <sz val="10"/>
        <color theme="1"/>
        <rFont val="宋体"/>
        <charset val="134"/>
      </rPr>
      <t>；</t>
    </r>
    <r>
      <rPr>
        <sz val="10"/>
        <color theme="1"/>
        <rFont val="Times New Roman"/>
        <charset val="134"/>
      </rPr>
      <t>PB</t>
    </r>
    <r>
      <rPr>
        <sz val="10"/>
        <color theme="1"/>
        <rFont val="宋体"/>
        <charset val="134"/>
      </rPr>
      <t>等于你的熟练加值）</t>
    </r>
    <r>
      <rPr>
        <sz val="10"/>
        <color theme="1"/>
        <rFont val="Times New Roman"/>
        <charset val="134"/>
      </rPr>
      <t xml:space="preserve"> 
</t>
    </r>
    <r>
      <rPr>
        <sz val="10"/>
        <color theme="1"/>
        <rFont val="宋体"/>
        <charset val="134"/>
      </rPr>
      <t>特质</t>
    </r>
    <r>
      <rPr>
        <sz val="10"/>
        <color theme="1"/>
        <rFont val="Times New Roman"/>
        <charset val="134"/>
      </rPr>
      <t xml:space="preserve">Traits 
</t>
    </r>
    <r>
      <rPr>
        <sz val="10"/>
        <color theme="1"/>
        <rFont val="宋体"/>
        <charset val="134"/>
      </rPr>
      <t>驯兽联结</t>
    </r>
    <r>
      <rPr>
        <sz val="10"/>
        <color theme="1"/>
        <rFont val="Times New Roman"/>
        <charset val="134"/>
      </rPr>
      <t>Pack Bond</t>
    </r>
    <r>
      <rPr>
        <sz val="10"/>
        <color theme="1"/>
        <rFont val="宋体"/>
        <charset val="134"/>
      </rPr>
      <t>。将你的熟练加值加到野兽</t>
    </r>
    <r>
      <rPr>
        <sz val="10"/>
        <color theme="1"/>
        <rFont val="Times New Roman"/>
        <charset val="134"/>
      </rPr>
      <t>*</t>
    </r>
    <r>
      <rPr>
        <sz val="10"/>
        <color theme="1"/>
        <rFont val="宋体"/>
        <charset val="134"/>
      </rPr>
      <t>进行的任意属性检定和豁免检定中。</t>
    </r>
    <r>
      <rPr>
        <sz val="10"/>
        <color theme="1"/>
        <rFont val="Times New Roman"/>
        <charset val="134"/>
      </rPr>
      <t xml:space="preserve">
</t>
    </r>
    <r>
      <rPr>
        <sz val="10"/>
        <color theme="1"/>
        <rFont val="宋体"/>
        <charset val="134"/>
      </rPr>
      <t>动作</t>
    </r>
    <r>
      <rPr>
        <sz val="10"/>
        <color theme="1"/>
        <rFont val="Times New Roman"/>
        <charset val="134"/>
      </rPr>
      <t xml:space="preserve">Actions
</t>
    </r>
    <r>
      <rPr>
        <sz val="10"/>
        <color theme="1"/>
        <rFont val="宋体"/>
        <charset val="134"/>
      </rPr>
      <t>啃咬</t>
    </r>
    <r>
      <rPr>
        <sz val="10"/>
        <color theme="1"/>
        <rFont val="Times New Roman"/>
        <charset val="134"/>
      </rPr>
      <t>Bite</t>
    </r>
    <r>
      <rPr>
        <sz val="10"/>
        <color theme="1"/>
        <rFont val="宋体"/>
        <charset val="134"/>
      </rPr>
      <t>。近战攻击检定：加值等于你的体质调整值加你的</t>
    </r>
    <r>
      <rPr>
        <sz val="10"/>
        <color theme="1"/>
        <rFont val="Times New Roman"/>
        <charset val="134"/>
      </rPr>
      <t>PB</t>
    </r>
    <r>
      <rPr>
        <sz val="10"/>
        <color theme="1"/>
        <rFont val="宋体"/>
        <charset val="134"/>
      </rPr>
      <t>，触及</t>
    </r>
    <r>
      <rPr>
        <sz val="10"/>
        <color theme="1"/>
        <rFont val="Times New Roman"/>
        <charset val="134"/>
      </rPr>
      <t>5</t>
    </r>
    <r>
      <rPr>
        <sz val="10"/>
        <color theme="1"/>
        <rFont val="宋体"/>
        <charset val="134"/>
      </rPr>
      <t>尺。命中：</t>
    </r>
    <r>
      <rPr>
        <sz val="10"/>
        <color theme="1"/>
        <rFont val="Times New Roman"/>
        <charset val="134"/>
      </rPr>
      <t>2d4+2+</t>
    </r>
    <r>
      <rPr>
        <sz val="10"/>
        <color theme="1"/>
        <rFont val="宋体"/>
        <charset val="134"/>
      </rPr>
      <t>你的体质调整值的穿刺伤害。若目标生物体型不超过大型，其必须成功通过一次力量豁免（</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你的体质调整值</t>
    </r>
    <r>
      <rPr>
        <sz val="10"/>
        <color theme="1"/>
        <rFont val="Times New Roman"/>
        <charset val="134"/>
      </rPr>
      <t>+PB</t>
    </r>
    <r>
      <rPr>
        <sz val="10"/>
        <color theme="1"/>
        <rFont val="宋体"/>
        <charset val="134"/>
      </rPr>
      <t>），否则承受以下一种你选择的效应：目标陷入受擒状态；目标陷入倒地状态；目标被猎犬推离</t>
    </r>
    <r>
      <rPr>
        <sz val="10"/>
        <color theme="1"/>
        <rFont val="Times New Roman"/>
        <charset val="134"/>
      </rPr>
      <t>5</t>
    </r>
    <r>
      <rPr>
        <sz val="10"/>
        <color theme="1"/>
        <rFont val="宋体"/>
        <charset val="134"/>
      </rPr>
      <t>尺。</t>
    </r>
    <r>
      <rPr>
        <sz val="10"/>
        <color theme="1"/>
        <rFont val="Times New Roman"/>
        <charset val="134"/>
      </rPr>
      <t xml:space="preserve"> 
*</t>
    </r>
    <r>
      <rPr>
        <sz val="10"/>
        <color theme="1"/>
        <rFont val="宋体"/>
        <charset val="134"/>
      </rPr>
      <t>译注：均为原文如此</t>
    </r>
    <r>
      <rPr>
        <sz val="10"/>
        <color theme="1"/>
        <rFont val="Times New Roman"/>
        <charset val="134"/>
      </rPr>
      <t xml:space="preserve"> </t>
    </r>
  </si>
  <si>
    <t>灵哨学院</t>
  </si>
  <si>
    <r>
      <rPr>
        <sz val="10"/>
        <color theme="1"/>
        <rFont val="宋体"/>
        <charset val="134"/>
      </rPr>
      <t>威慑之姿</t>
    </r>
  </si>
  <si>
    <r>
      <rPr>
        <sz val="10"/>
        <color theme="1"/>
        <rFont val="宋体"/>
        <charset val="134"/>
      </rPr>
      <t>以一个附赠动作，你可以用你那令人魂消胆丧的面相，在原初之力的辅助下将恐惧打入他者内心。当你如此做时，每个位于以你为源点的</t>
    </r>
    <r>
      <rPr>
        <sz val="10"/>
        <color theme="1"/>
        <rFont val="Times New Roman"/>
        <charset val="134"/>
      </rPr>
      <t>30</t>
    </r>
    <r>
      <rPr>
        <sz val="10"/>
        <color theme="1"/>
        <rFont val="宋体"/>
        <charset val="134"/>
      </rPr>
      <t>尺光环区域内你所选择的生物必须进行一次感知豁免检定（</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＋你的力量调整值＋你的熟练加值）。豁免失败则陷入恐慌状态，持续</t>
    </r>
    <r>
      <rPr>
        <sz val="10"/>
        <color theme="1"/>
        <rFont val="Times New Roman"/>
        <charset val="134"/>
      </rPr>
      <t>1</t>
    </r>
    <r>
      <rPr>
        <sz val="10"/>
        <color theme="1"/>
        <rFont val="宋体"/>
        <charset val="134"/>
      </rPr>
      <t>分钟。陷入恐慌的生物在其每个回合结束时，重新进行该豁免，成功则其身上的该效应提前结束。
此特性一经使用，直至完成长休你都无法再次使用。你也可以消耗一次狂暴使用次数（无需动作）来重置该特性的使用权。</t>
    </r>
  </si>
  <si>
    <r>
      <rPr>
        <sz val="10"/>
        <color theme="1"/>
        <rFont val="宋体"/>
        <charset val="134"/>
      </rPr>
      <t>灵感织衣</t>
    </r>
  </si>
  <si>
    <r>
      <rPr>
        <sz val="10"/>
        <color theme="1"/>
        <rFont val="宋体"/>
        <charset val="134"/>
      </rPr>
      <t>你可以将妖精魔法织入歌曲亦或是舞蹈，为他人献上满满的活力。以一个附赠动作，你可以消耗一次诗人激励使用次数，并掷诗人激励骰，从位于你</t>
    </r>
    <r>
      <rPr>
        <sz val="10"/>
        <color theme="1"/>
        <rFont val="Times New Roman"/>
        <charset val="134"/>
      </rPr>
      <t>60</t>
    </r>
    <r>
      <rPr>
        <sz val="10"/>
        <color theme="1"/>
        <rFont val="宋体"/>
        <charset val="134"/>
      </rPr>
      <t>尺内的其他生物中选择任意生物，数量至多等于你魅力调整值（至少选择一名），每个被选中的生物获得等于两倍该诗人骰骰值的临时生命值，然后每名生物均可以使用自己的反应立即移动至多等于自己速度的距离，这次移动不会引发借机攻击。</t>
    </r>
    <r>
      <rPr>
        <sz val="10"/>
        <color theme="1"/>
        <rFont val="Times New Roman"/>
        <charset val="134"/>
      </rPr>
      <t xml:space="preserve"> </t>
    </r>
  </si>
  <si>
    <r>
      <rPr>
        <sz val="10"/>
        <color theme="1"/>
        <rFont val="宋体"/>
        <charset val="134"/>
      </rPr>
      <t>极效治疗</t>
    </r>
  </si>
  <si>
    <r>
      <rPr>
        <sz val="10"/>
        <color theme="1"/>
        <rFont val="宋体"/>
        <charset val="134"/>
      </rPr>
      <t>当你需要用一道法术或引导神力掷一枚或多枚骰子，以决定为一个生物恢复的生命数值时，你无需掷骰，直接为每个骰子取最高值。例如，一道法术为某一生物恢复</t>
    </r>
    <r>
      <rPr>
        <sz val="10"/>
        <color theme="1"/>
        <rFont val="Times New Roman"/>
        <charset val="134"/>
      </rPr>
      <t>2d6</t>
    </r>
    <r>
      <rPr>
        <sz val="10"/>
        <color theme="1"/>
        <rFont val="宋体"/>
        <charset val="134"/>
      </rPr>
      <t>生命值，则其结果直接取</t>
    </r>
    <r>
      <rPr>
        <sz val="10"/>
        <color theme="1"/>
        <rFont val="Times New Roman"/>
        <charset val="134"/>
      </rPr>
      <t>12</t>
    </r>
    <r>
      <rPr>
        <sz val="10"/>
        <color theme="1"/>
        <rFont val="宋体"/>
        <charset val="134"/>
      </rPr>
      <t>。</t>
    </r>
  </si>
  <si>
    <r>
      <rPr>
        <sz val="10"/>
        <color theme="1"/>
        <rFont val="宋体"/>
        <charset val="134"/>
      </rPr>
      <t>大地结社法术</t>
    </r>
  </si>
  <si>
    <r>
      <rPr>
        <sz val="10"/>
        <color theme="1"/>
        <rFont val="宋体"/>
        <charset val="134"/>
      </rPr>
      <t>当你完成一次长休时，选择一种地形：荒漠、极地，温带或热带。当你到达下列表中特定的德鲁伊等级时，你就始终准备了表中对应的法术。
荒漠</t>
    </r>
    <r>
      <rPr>
        <sz val="10"/>
        <color theme="1"/>
        <rFont val="Times New Roman"/>
        <charset val="134"/>
      </rPr>
      <t xml:space="preserve"> Arid Land 
</t>
    </r>
    <r>
      <rPr>
        <sz val="10"/>
        <color theme="1"/>
        <rFont val="宋体"/>
        <charset val="134"/>
      </rPr>
      <t>德鲁伊等级</t>
    </r>
    <r>
      <rPr>
        <sz val="10"/>
        <color theme="1"/>
        <rFont val="Times New Roman"/>
        <charset val="134"/>
      </rPr>
      <t xml:space="preserve"> </t>
    </r>
    <r>
      <rPr>
        <sz val="10"/>
        <color theme="1"/>
        <rFont val="宋体"/>
        <charset val="134"/>
      </rPr>
      <t>结社法术</t>
    </r>
    <r>
      <rPr>
        <sz val="10"/>
        <color theme="1"/>
        <rFont val="Times New Roman"/>
        <charset val="134"/>
      </rPr>
      <t xml:space="preserve"> 
3 </t>
    </r>
    <r>
      <rPr>
        <sz val="10"/>
        <color theme="1"/>
        <rFont val="宋体"/>
        <charset val="134"/>
      </rPr>
      <t>火焰箭</t>
    </r>
    <r>
      <rPr>
        <sz val="10"/>
        <color theme="1"/>
        <rFont val="Times New Roman"/>
        <charset val="134"/>
      </rPr>
      <t xml:space="preserve">Fire Bolt </t>
    </r>
    <r>
      <rPr>
        <sz val="10"/>
        <color theme="1"/>
        <rFont val="宋体"/>
        <charset val="134"/>
      </rPr>
      <t>燃烧之手</t>
    </r>
    <r>
      <rPr>
        <sz val="10"/>
        <color theme="1"/>
        <rFont val="Times New Roman"/>
        <charset val="134"/>
      </rPr>
      <t xml:space="preserve">Burning Hands, </t>
    </r>
    <r>
      <rPr>
        <sz val="10"/>
        <color theme="1"/>
        <rFont val="宋体"/>
        <charset val="134"/>
      </rPr>
      <t>朦胧术</t>
    </r>
    <r>
      <rPr>
        <sz val="10"/>
        <color theme="1"/>
        <rFont val="Times New Roman"/>
        <charset val="134"/>
      </rPr>
      <t xml:space="preserve">Blur 
5 </t>
    </r>
    <r>
      <rPr>
        <sz val="10"/>
        <color theme="1"/>
        <rFont val="宋体"/>
        <charset val="134"/>
      </rPr>
      <t>火球术</t>
    </r>
    <r>
      <rPr>
        <sz val="10"/>
        <color theme="1"/>
        <rFont val="Times New Roman"/>
        <charset val="134"/>
      </rPr>
      <t xml:space="preserve">Fireball 
7 </t>
    </r>
    <r>
      <rPr>
        <sz val="10"/>
        <color theme="1"/>
        <rFont val="宋体"/>
        <charset val="134"/>
      </rPr>
      <t>枯萎术</t>
    </r>
    <r>
      <rPr>
        <sz val="10"/>
        <color theme="1"/>
        <rFont val="Times New Roman"/>
        <charset val="134"/>
      </rPr>
      <t xml:space="preserve">Blight 
9 </t>
    </r>
    <r>
      <rPr>
        <sz val="10"/>
        <color theme="1"/>
        <rFont val="宋体"/>
        <charset val="134"/>
      </rPr>
      <t>石墙术</t>
    </r>
    <r>
      <rPr>
        <sz val="10"/>
        <color theme="1"/>
        <rFont val="Times New Roman"/>
        <charset val="134"/>
      </rPr>
      <t xml:space="preserve">Wall of Stone 
</t>
    </r>
    <r>
      <rPr>
        <sz val="10"/>
        <color theme="1"/>
        <rFont val="宋体"/>
        <charset val="134"/>
      </rPr>
      <t>极地</t>
    </r>
    <r>
      <rPr>
        <sz val="10"/>
        <color theme="1"/>
        <rFont val="Times New Roman"/>
        <charset val="134"/>
      </rPr>
      <t xml:space="preserve"> Polar Land 
</t>
    </r>
    <r>
      <rPr>
        <sz val="10"/>
        <color theme="1"/>
        <rFont val="宋体"/>
        <charset val="134"/>
      </rPr>
      <t>德鲁伊等级</t>
    </r>
    <r>
      <rPr>
        <sz val="10"/>
        <color theme="1"/>
        <rFont val="Times New Roman"/>
        <charset val="134"/>
      </rPr>
      <t xml:space="preserve"> </t>
    </r>
    <r>
      <rPr>
        <sz val="10"/>
        <color theme="1"/>
        <rFont val="宋体"/>
        <charset val="134"/>
      </rPr>
      <t>结社法术</t>
    </r>
    <r>
      <rPr>
        <sz val="10"/>
        <color theme="1"/>
        <rFont val="Times New Roman"/>
        <charset val="134"/>
      </rPr>
      <t xml:space="preserve"> 
3 </t>
    </r>
    <r>
      <rPr>
        <sz val="10"/>
        <color theme="1"/>
        <rFont val="宋体"/>
        <charset val="134"/>
      </rPr>
      <t>冷冻射线</t>
    </r>
    <r>
      <rPr>
        <sz val="10"/>
        <color theme="1"/>
        <rFont val="Times New Roman"/>
        <charset val="134"/>
      </rPr>
      <t xml:space="preserve">Ray of Frost </t>
    </r>
    <r>
      <rPr>
        <sz val="10"/>
        <color theme="1"/>
        <rFont val="宋体"/>
        <charset val="134"/>
      </rPr>
      <t>云雾术</t>
    </r>
    <r>
      <rPr>
        <sz val="10"/>
        <color theme="1"/>
        <rFont val="Times New Roman"/>
        <charset val="134"/>
      </rPr>
      <t xml:space="preserve">Fog Cloud </t>
    </r>
    <r>
      <rPr>
        <sz val="10"/>
        <color theme="1"/>
        <rFont val="宋体"/>
        <charset val="134"/>
      </rPr>
      <t>定身类人</t>
    </r>
    <r>
      <rPr>
        <sz val="10"/>
        <color theme="1"/>
        <rFont val="Times New Roman"/>
        <charset val="134"/>
      </rPr>
      <t xml:space="preserve">Hold Person 
5 </t>
    </r>
    <r>
      <rPr>
        <sz val="10"/>
        <color theme="1"/>
        <rFont val="宋体"/>
        <charset val="134"/>
      </rPr>
      <t>雪雨暴</t>
    </r>
    <r>
      <rPr>
        <sz val="10"/>
        <color theme="1"/>
        <rFont val="Times New Roman"/>
        <charset val="134"/>
      </rPr>
      <t xml:space="preserve">Sleet Storm 
7 </t>
    </r>
    <r>
      <rPr>
        <sz val="10"/>
        <color theme="1"/>
        <rFont val="宋体"/>
        <charset val="134"/>
      </rPr>
      <t>冰风暴</t>
    </r>
    <r>
      <rPr>
        <sz val="10"/>
        <color theme="1"/>
        <rFont val="Times New Roman"/>
        <charset val="134"/>
      </rPr>
      <t xml:space="preserve">Ice Storm 
9 </t>
    </r>
    <r>
      <rPr>
        <sz val="10"/>
        <color theme="1"/>
        <rFont val="宋体"/>
        <charset val="134"/>
      </rPr>
      <t>寒冰锥</t>
    </r>
    <r>
      <rPr>
        <sz val="10"/>
        <color theme="1"/>
        <rFont val="Times New Roman"/>
        <charset val="134"/>
      </rPr>
      <t xml:space="preserve">Cone of Cold 
</t>
    </r>
    <r>
      <rPr>
        <sz val="10"/>
        <color theme="1"/>
        <rFont val="宋体"/>
        <charset val="134"/>
      </rPr>
      <t>温带</t>
    </r>
    <r>
      <rPr>
        <sz val="10"/>
        <color theme="1"/>
        <rFont val="Times New Roman"/>
        <charset val="134"/>
      </rPr>
      <t xml:space="preserve"> Temperate Land 
</t>
    </r>
    <r>
      <rPr>
        <sz val="10"/>
        <color theme="1"/>
        <rFont val="宋体"/>
        <charset val="134"/>
      </rPr>
      <t>德鲁伊等级</t>
    </r>
    <r>
      <rPr>
        <sz val="10"/>
        <color theme="1"/>
        <rFont val="Times New Roman"/>
        <charset val="134"/>
      </rPr>
      <t xml:space="preserve"> </t>
    </r>
    <r>
      <rPr>
        <sz val="10"/>
        <color theme="1"/>
        <rFont val="宋体"/>
        <charset val="134"/>
      </rPr>
      <t>结社法术</t>
    </r>
    <r>
      <rPr>
        <sz val="10"/>
        <color theme="1"/>
        <rFont val="Times New Roman"/>
        <charset val="134"/>
      </rPr>
      <t xml:space="preserve"> 
3 </t>
    </r>
    <r>
      <rPr>
        <sz val="10"/>
        <color theme="1"/>
        <rFont val="宋体"/>
        <charset val="134"/>
      </rPr>
      <t>电爪</t>
    </r>
    <r>
      <rPr>
        <sz val="10"/>
        <color theme="1"/>
        <rFont val="Times New Roman"/>
        <charset val="134"/>
      </rPr>
      <t xml:space="preserve">Shocking Grasp </t>
    </r>
    <r>
      <rPr>
        <sz val="10"/>
        <color theme="1"/>
        <rFont val="宋体"/>
        <charset val="134"/>
      </rPr>
      <t>睡眠术</t>
    </r>
    <r>
      <rPr>
        <sz val="10"/>
        <color theme="1"/>
        <rFont val="Times New Roman"/>
        <charset val="134"/>
      </rPr>
      <t xml:space="preserve">Sleep </t>
    </r>
    <r>
      <rPr>
        <sz val="10"/>
        <color theme="1"/>
        <rFont val="宋体"/>
        <charset val="134"/>
      </rPr>
      <t>迷踪步</t>
    </r>
    <r>
      <rPr>
        <sz val="10"/>
        <color theme="1"/>
        <rFont val="Times New Roman"/>
        <charset val="134"/>
      </rPr>
      <t xml:space="preserve">Misty Step 
5 </t>
    </r>
    <r>
      <rPr>
        <sz val="10"/>
        <color theme="1"/>
        <rFont val="宋体"/>
        <charset val="134"/>
      </rPr>
      <t>闪电束</t>
    </r>
    <r>
      <rPr>
        <sz val="10"/>
        <color theme="1"/>
        <rFont val="Times New Roman"/>
        <charset val="134"/>
      </rPr>
      <t xml:space="preserve">Lighting Bolt 
7 </t>
    </r>
    <r>
      <rPr>
        <sz val="10"/>
        <color theme="1"/>
        <rFont val="宋体"/>
        <charset val="134"/>
      </rPr>
      <t>行动自如</t>
    </r>
    <r>
      <rPr>
        <sz val="10"/>
        <color theme="1"/>
        <rFont val="Times New Roman"/>
        <charset val="134"/>
      </rPr>
      <t xml:space="preserve">Freedom of Movement 
9 </t>
    </r>
    <r>
      <rPr>
        <sz val="10"/>
        <color theme="1"/>
        <rFont val="宋体"/>
        <charset val="134"/>
      </rPr>
      <t>树跃术</t>
    </r>
    <r>
      <rPr>
        <sz val="10"/>
        <color theme="1"/>
        <rFont val="Times New Roman"/>
        <charset val="134"/>
      </rPr>
      <t xml:space="preserve">Tree Stride 
</t>
    </r>
    <r>
      <rPr>
        <sz val="10"/>
        <color theme="1"/>
        <rFont val="宋体"/>
        <charset val="134"/>
      </rPr>
      <t>热带</t>
    </r>
    <r>
      <rPr>
        <sz val="10"/>
        <color theme="1"/>
        <rFont val="Times New Roman"/>
        <charset val="134"/>
      </rPr>
      <t xml:space="preserve"> Tropical Land 
</t>
    </r>
    <r>
      <rPr>
        <sz val="10"/>
        <color theme="1"/>
        <rFont val="宋体"/>
        <charset val="134"/>
      </rPr>
      <t>德鲁伊等级</t>
    </r>
    <r>
      <rPr>
        <sz val="10"/>
        <color theme="1"/>
        <rFont val="Times New Roman"/>
        <charset val="134"/>
      </rPr>
      <t xml:space="preserve"> </t>
    </r>
    <r>
      <rPr>
        <sz val="10"/>
        <color theme="1"/>
        <rFont val="宋体"/>
        <charset val="134"/>
      </rPr>
      <t>结社法术</t>
    </r>
    <r>
      <rPr>
        <sz val="10"/>
        <color theme="1"/>
        <rFont val="Times New Roman"/>
        <charset val="134"/>
      </rPr>
      <t xml:space="preserve"> 
3 </t>
    </r>
    <r>
      <rPr>
        <sz val="10"/>
        <color theme="1"/>
        <rFont val="宋体"/>
        <charset val="134"/>
      </rPr>
      <t>酸液飞溅</t>
    </r>
    <r>
      <rPr>
        <sz val="10"/>
        <color theme="1"/>
        <rFont val="Times New Roman"/>
        <charset val="134"/>
      </rPr>
      <t xml:space="preserve">Acid Splash, </t>
    </r>
    <r>
      <rPr>
        <sz val="10"/>
        <color theme="1"/>
        <rFont val="宋体"/>
        <charset val="134"/>
      </rPr>
      <t>蛛网术</t>
    </r>
    <r>
      <rPr>
        <sz val="10"/>
        <color theme="1"/>
        <rFont val="Times New Roman"/>
        <charset val="134"/>
      </rPr>
      <t xml:space="preserve">Web </t>
    </r>
    <r>
      <rPr>
        <sz val="10"/>
        <color theme="1"/>
        <rFont val="宋体"/>
        <charset val="134"/>
      </rPr>
      <t>致病射线</t>
    </r>
    <r>
      <rPr>
        <sz val="10"/>
        <color theme="1"/>
        <rFont val="Times New Roman"/>
        <charset val="134"/>
      </rPr>
      <t xml:space="preserve">Ray of Sickness 
5 </t>
    </r>
    <r>
      <rPr>
        <sz val="10"/>
        <color theme="1"/>
        <rFont val="宋体"/>
        <charset val="134"/>
      </rPr>
      <t>臭云术</t>
    </r>
    <r>
      <rPr>
        <sz val="10"/>
        <color theme="1"/>
        <rFont val="Times New Roman"/>
        <charset val="134"/>
      </rPr>
      <t xml:space="preserve">Stinking Cloud 
7 </t>
    </r>
    <r>
      <rPr>
        <sz val="10"/>
        <color theme="1"/>
        <rFont val="宋体"/>
        <charset val="134"/>
      </rPr>
      <t>变形术</t>
    </r>
    <r>
      <rPr>
        <sz val="10"/>
        <color theme="1"/>
        <rFont val="Times New Roman"/>
        <charset val="134"/>
      </rPr>
      <t xml:space="preserve">Polymorph 
9 </t>
    </r>
    <r>
      <rPr>
        <sz val="10"/>
        <color theme="1"/>
        <rFont val="宋体"/>
        <charset val="134"/>
      </rPr>
      <t>疫病虫群</t>
    </r>
    <r>
      <rPr>
        <sz val="10"/>
        <color theme="1"/>
        <rFont val="Times New Roman"/>
        <charset val="134"/>
      </rPr>
      <t xml:space="preserve">Insect Plague </t>
    </r>
  </si>
  <si>
    <r>
      <rPr>
        <sz val="10"/>
        <color theme="1"/>
        <rFont val="宋体"/>
        <charset val="134"/>
      </rPr>
      <t>诡诈攻击</t>
    </r>
  </si>
  <si>
    <r>
      <rPr>
        <sz val="10"/>
        <color theme="1"/>
        <rFont val="宋体"/>
        <charset val="134"/>
      </rPr>
      <t>以一个附赠动作，你可以消耗一枚卓越骰并指定一个位于你</t>
    </r>
    <r>
      <rPr>
        <sz val="10"/>
        <color theme="1"/>
        <rFont val="Times New Roman"/>
        <charset val="134"/>
      </rPr>
      <t>5</t>
    </r>
    <r>
      <rPr>
        <sz val="10"/>
        <color theme="1"/>
        <rFont val="宋体"/>
        <charset val="134"/>
      </rPr>
      <t>尺范围内的生物为目标，对其虚晃一招。你在本回合内对该生物发动的下一次攻击检定具有优势。如果该攻击命中，则将消耗的卓越骰加在此次攻击的伤害掷骰中。</t>
    </r>
  </si>
  <si>
    <r>
      <rPr>
        <sz val="10"/>
        <color theme="1"/>
        <rFont val="宋体"/>
        <charset val="134"/>
      </rPr>
      <t>予命之手</t>
    </r>
  </si>
  <si>
    <r>
      <rPr>
        <sz val="10"/>
        <color theme="1"/>
        <rFont val="宋体"/>
        <charset val="134"/>
      </rPr>
      <t>以一个魔法动作，你能消耗</t>
    </r>
    <r>
      <rPr>
        <sz val="10"/>
        <color theme="1"/>
        <rFont val="Times New Roman"/>
        <charset val="134"/>
      </rPr>
      <t>1</t>
    </r>
    <r>
      <rPr>
        <sz val="10"/>
        <color theme="1"/>
        <rFont val="宋体"/>
        <charset val="134"/>
      </rPr>
      <t>点功力来接触一个生物，恢复目标等于一枚你的武艺骰</t>
    </r>
    <r>
      <rPr>
        <sz val="10"/>
        <color theme="1"/>
        <rFont val="Times New Roman"/>
        <charset val="134"/>
      </rPr>
      <t>+</t>
    </r>
    <r>
      <rPr>
        <sz val="10"/>
        <color theme="1"/>
        <rFont val="宋体"/>
        <charset val="134"/>
      </rPr>
      <t>你的感知调整值的生命值。
当你使用疾风连击时，你能将其中一次徒手打击改为使用此特性治疗一个生物，且不需要为治疗额外消耗功力。</t>
    </r>
  </si>
  <si>
    <r>
      <rPr>
        <sz val="10"/>
        <color theme="1"/>
        <rFont val="宋体"/>
        <charset val="134"/>
      </rPr>
      <t>奉献之誓法术</t>
    </r>
  </si>
  <si>
    <r>
      <rPr>
        <sz val="10"/>
        <color theme="1"/>
        <rFont val="宋体"/>
        <charset val="134"/>
      </rPr>
      <t>你誓言具有的魔法使你始终准备了特定的法术。当你到达奉献之誓法术表中特定的圣武士等级时，你就始终准备了表中对应的法术。
奉献之誓法术</t>
    </r>
    <r>
      <rPr>
        <sz val="10"/>
        <color theme="1"/>
        <rFont val="Times New Roman"/>
        <charset val="134"/>
      </rPr>
      <t xml:space="preserve">Oath of Devotion Spells 
</t>
    </r>
    <r>
      <rPr>
        <sz val="10"/>
        <color theme="1"/>
        <rFont val="宋体"/>
        <charset val="134"/>
      </rPr>
      <t>圣武士等级</t>
    </r>
    <r>
      <rPr>
        <sz val="10"/>
        <color theme="1"/>
        <rFont val="Times New Roman"/>
        <charset val="134"/>
      </rPr>
      <t xml:space="preserve"> </t>
    </r>
    <r>
      <rPr>
        <sz val="10"/>
        <color theme="1"/>
        <rFont val="宋体"/>
        <charset val="134"/>
      </rPr>
      <t xml:space="preserve">准备法术
</t>
    </r>
    <r>
      <rPr>
        <sz val="10"/>
        <color theme="1"/>
        <rFont val="Times New Roman"/>
        <charset val="134"/>
      </rPr>
      <t xml:space="preserve">3 </t>
    </r>
    <r>
      <rPr>
        <sz val="10"/>
        <color theme="1"/>
        <rFont val="宋体"/>
        <charset val="134"/>
      </rPr>
      <t>防护善恶</t>
    </r>
    <r>
      <rPr>
        <sz val="10"/>
        <color theme="1"/>
        <rFont val="Times New Roman"/>
        <charset val="134"/>
      </rPr>
      <t>Protection from Evil and Good</t>
    </r>
    <r>
      <rPr>
        <sz val="10"/>
        <color theme="1"/>
        <rFont val="宋体"/>
        <charset val="134"/>
      </rPr>
      <t>，虔诚护盾</t>
    </r>
    <r>
      <rPr>
        <sz val="10"/>
        <color theme="1"/>
        <rFont val="Times New Roman"/>
        <charset val="134"/>
      </rPr>
      <t xml:space="preserve">Shield of Faith
5 </t>
    </r>
    <r>
      <rPr>
        <sz val="10"/>
        <color theme="1"/>
        <rFont val="宋体"/>
        <charset val="134"/>
      </rPr>
      <t>援助术</t>
    </r>
    <r>
      <rPr>
        <sz val="10"/>
        <color theme="1"/>
        <rFont val="Times New Roman"/>
        <charset val="134"/>
      </rPr>
      <t>Aid</t>
    </r>
    <r>
      <rPr>
        <sz val="10"/>
        <color theme="1"/>
        <rFont val="宋体"/>
        <charset val="134"/>
      </rPr>
      <t>，诚实之域</t>
    </r>
    <r>
      <rPr>
        <sz val="10"/>
        <color theme="1"/>
        <rFont val="Times New Roman"/>
        <charset val="134"/>
      </rPr>
      <t xml:space="preserve">Zone of Truth 
9 </t>
    </r>
    <r>
      <rPr>
        <sz val="10"/>
        <color theme="1"/>
        <rFont val="宋体"/>
        <charset val="134"/>
      </rPr>
      <t>希望信标</t>
    </r>
    <r>
      <rPr>
        <sz val="10"/>
        <color theme="1"/>
        <rFont val="Times New Roman"/>
        <charset val="134"/>
      </rPr>
      <t>Beacon of Hope</t>
    </r>
    <r>
      <rPr>
        <sz val="10"/>
        <color theme="1"/>
        <rFont val="宋体"/>
        <charset val="134"/>
      </rPr>
      <t>，解除魔法</t>
    </r>
    <r>
      <rPr>
        <sz val="10"/>
        <color theme="1"/>
        <rFont val="Times New Roman"/>
        <charset val="134"/>
      </rPr>
      <t xml:space="preserve">Dispel Magic 
13 </t>
    </r>
    <r>
      <rPr>
        <sz val="10"/>
        <color theme="1"/>
        <rFont val="宋体"/>
        <charset val="134"/>
      </rPr>
      <t>行动自如</t>
    </r>
    <r>
      <rPr>
        <sz val="10"/>
        <color theme="1"/>
        <rFont val="Times New Roman"/>
        <charset val="134"/>
      </rPr>
      <t>Freedom of Movement</t>
    </r>
    <r>
      <rPr>
        <sz val="10"/>
        <color theme="1"/>
        <rFont val="宋体"/>
        <charset val="134"/>
      </rPr>
      <t>，信实守卫</t>
    </r>
    <r>
      <rPr>
        <sz val="10"/>
        <color theme="1"/>
        <rFont val="Times New Roman"/>
        <charset val="134"/>
      </rPr>
      <t xml:space="preserve">Guardian of Faith 
17 </t>
    </r>
    <r>
      <rPr>
        <sz val="10"/>
        <color theme="1"/>
        <rFont val="宋体"/>
        <charset val="134"/>
      </rPr>
      <t>通神术</t>
    </r>
    <r>
      <rPr>
        <sz val="10"/>
        <color theme="1"/>
        <rFont val="Times New Roman"/>
        <charset val="134"/>
      </rPr>
      <t>Commune</t>
    </r>
    <r>
      <rPr>
        <sz val="10"/>
        <color theme="1"/>
        <rFont val="宋体"/>
        <charset val="134"/>
      </rPr>
      <t>，焰击术</t>
    </r>
    <r>
      <rPr>
        <sz val="10"/>
        <color theme="1"/>
        <rFont val="Times New Roman"/>
        <charset val="134"/>
      </rPr>
      <t xml:space="preserve">Flame Strike </t>
    </r>
  </si>
  <si>
    <r>
      <rPr>
        <sz val="10"/>
        <color theme="1"/>
        <rFont val="宋体"/>
        <charset val="134"/>
      </rPr>
      <t>特效训练</t>
    </r>
  </si>
  <si>
    <r>
      <rPr>
        <sz val="10"/>
        <color theme="1"/>
        <rFont val="宋体"/>
        <charset val="134"/>
      </rPr>
      <t>若你用你的附赠动作命令你的原初行侣执行动作时，你还可以让它以它自己的附赠动作执行疾走、撤离、回避或协助动作。
此外，每当你的野兽以攻击击中目标并造成伤害时，你都可以选择是让它造成的伤害变为力场伤害，或是保持原本伤害类型。</t>
    </r>
  </si>
  <si>
    <r>
      <rPr>
        <sz val="10"/>
        <color theme="1"/>
        <rFont val="宋体"/>
        <charset val="134"/>
      </rPr>
      <t>术法化身</t>
    </r>
  </si>
  <si>
    <r>
      <rPr>
        <sz val="10"/>
        <color theme="1"/>
        <rFont val="宋体"/>
        <charset val="134"/>
      </rPr>
      <t>如果你的</t>
    </r>
    <r>
      <rPr>
        <sz val="10"/>
        <color theme="1"/>
        <rFont val="Times New Roman"/>
        <charset val="134"/>
      </rPr>
      <t xml:space="preserve"> </t>
    </r>
    <r>
      <rPr>
        <sz val="10"/>
        <color theme="1"/>
        <rFont val="宋体"/>
        <charset val="134"/>
      </rPr>
      <t>先天术法特性的使用次数耗尽，则你仍可以消耗</t>
    </r>
    <r>
      <rPr>
        <sz val="10"/>
        <color theme="1"/>
        <rFont val="Times New Roman"/>
        <charset val="134"/>
      </rPr>
      <t>2</t>
    </r>
    <r>
      <rPr>
        <sz val="10"/>
        <color theme="1"/>
        <rFont val="宋体"/>
        <charset val="134"/>
      </rPr>
      <t>点术法点来用附赠动作继续激活该特性。
此外，在你的先天术法特性处于激活状态期间，你可以在你施展的每道法术上应用最多两次超魔法选项。</t>
    </r>
  </si>
  <si>
    <r>
      <rPr>
        <sz val="10"/>
        <color theme="1"/>
        <rFont val="宋体"/>
        <charset val="134"/>
      </rPr>
      <t>千面之颜</t>
    </r>
  </si>
  <si>
    <r>
      <rPr>
        <sz val="10"/>
        <color theme="1"/>
        <rFont val="宋体"/>
        <charset val="134"/>
      </rPr>
      <t>先决：魔契师等级</t>
    </r>
    <r>
      <rPr>
        <sz val="10"/>
        <color theme="1"/>
        <rFont val="Times New Roman"/>
        <charset val="134"/>
      </rPr>
      <t xml:space="preserve">2+
</t>
    </r>
    <r>
      <rPr>
        <sz val="10"/>
        <color theme="1"/>
        <rFont val="宋体"/>
        <charset val="134"/>
      </rPr>
      <t>你可以施展易容术</t>
    </r>
    <r>
      <rPr>
        <sz val="10"/>
        <color theme="1"/>
        <rFont val="Times New Roman"/>
        <charset val="134"/>
      </rPr>
      <t xml:space="preserve">Disguise Self </t>
    </r>
    <r>
      <rPr>
        <sz val="10"/>
        <color theme="1"/>
        <rFont val="宋体"/>
        <charset val="134"/>
      </rPr>
      <t>且无需消耗法术位。</t>
    </r>
  </si>
  <si>
    <r>
      <rPr>
        <sz val="10"/>
        <color theme="1"/>
        <rFont val="宋体"/>
        <charset val="134"/>
      </rPr>
      <t>破法者</t>
    </r>
  </si>
  <si>
    <r>
      <rPr>
        <sz val="10"/>
        <color theme="1"/>
        <rFont val="宋体"/>
        <charset val="134"/>
      </rPr>
      <t>你始终准备了法术法术反制</t>
    </r>
    <r>
      <rPr>
        <sz val="10"/>
        <color theme="1"/>
        <rFont val="Times New Roman"/>
        <charset val="134"/>
      </rPr>
      <t>Counterspell</t>
    </r>
    <r>
      <rPr>
        <sz val="10"/>
        <color theme="1"/>
        <rFont val="宋体"/>
        <charset val="134"/>
      </rPr>
      <t>和解除魔法</t>
    </r>
    <r>
      <rPr>
        <sz val="10"/>
        <color theme="1"/>
        <rFont val="Times New Roman"/>
        <charset val="134"/>
      </rPr>
      <t>Dispel Magic</t>
    </r>
    <r>
      <rPr>
        <sz val="10"/>
        <color theme="1"/>
        <rFont val="宋体"/>
        <charset val="134"/>
      </rPr>
      <t>。此外，你能够以一个附赠动作施展解除魔法</t>
    </r>
    <r>
      <rPr>
        <sz val="10"/>
        <color theme="1"/>
        <rFont val="Times New Roman"/>
        <charset val="134"/>
      </rPr>
      <t xml:space="preserve">Dispel Magic </t>
    </r>
    <r>
      <rPr>
        <sz val="10"/>
        <color theme="1"/>
        <rFont val="宋体"/>
        <charset val="134"/>
      </rPr>
      <t>，且你能在其属性检定中加入你的熟练加值。你消耗法术位施展其中任意一道法术时，若该法术未能成功阻止法术施展或未能成功解除法术效应，则你用于施展法术反制或解除魔法的法术位不会被消耗。</t>
    </r>
  </si>
  <si>
    <t>炼金师行业工具</t>
  </si>
  <si>
    <r>
      <rPr>
        <sz val="10"/>
        <color theme="1"/>
        <rFont val="宋体"/>
        <charset val="134"/>
      </rPr>
      <t>你获得以下增益：</t>
    </r>
    <r>
      <rPr>
        <sz val="10"/>
        <color theme="1"/>
        <rFont val="Times New Roman"/>
        <charset val="134"/>
      </rPr>
      <t xml:space="preserve">
</t>
    </r>
    <r>
      <rPr>
        <sz val="10"/>
        <color theme="1"/>
        <rFont val="宋体"/>
        <charset val="134"/>
      </rPr>
      <t>工具熟练</t>
    </r>
    <r>
      <rPr>
        <sz val="10"/>
        <color theme="1"/>
        <rFont val="Times New Roman"/>
        <charset val="134"/>
      </rPr>
      <t>Tool Proficiency</t>
    </r>
    <r>
      <rPr>
        <sz val="10"/>
        <color theme="1"/>
        <rFont val="宋体"/>
        <charset val="134"/>
      </rPr>
      <t>。</t>
    </r>
    <r>
      <rPr>
        <sz val="10"/>
        <color theme="1"/>
        <rFont val="Times New Roman"/>
        <charset val="134"/>
      </rPr>
      <t xml:space="preserve"> </t>
    </r>
    <r>
      <rPr>
        <sz val="10"/>
        <color theme="1"/>
        <rFont val="宋体"/>
        <charset val="134"/>
      </rPr>
      <t>你获得炼金工具和草药工具的熟练。如果你已经拥有其中之一的熟练，则你获得另一种你选择的工匠工具的熟练（或如果你有全部两种熟练，选择另外两种）。</t>
    </r>
    <r>
      <rPr>
        <sz val="10"/>
        <color theme="1"/>
        <rFont val="Times New Roman"/>
        <charset val="134"/>
      </rPr>
      <t xml:space="preserve">
</t>
    </r>
    <r>
      <rPr>
        <sz val="10"/>
        <color theme="1"/>
        <rFont val="宋体"/>
        <charset val="134"/>
      </rPr>
      <t>药剂酿造</t>
    </r>
    <r>
      <rPr>
        <sz val="10"/>
        <color theme="1"/>
        <rFont val="Times New Roman"/>
        <charset val="134"/>
      </rPr>
      <t>Potion Crafting</t>
    </r>
    <r>
      <rPr>
        <sz val="10"/>
        <color theme="1"/>
        <rFont val="宋体"/>
        <charset val="134"/>
      </rPr>
      <t>。当你使用《城主指南》的制造规则酿造药水时，制造所需花费的时间减半。</t>
    </r>
  </si>
  <si>
    <r>
      <rPr>
        <sz val="10"/>
        <color theme="1"/>
        <rFont val="宋体"/>
        <charset val="134"/>
      </rPr>
      <t>灵能复原</t>
    </r>
  </si>
  <si>
    <t>你能够花一分钟冥想并集中精神。冥想结束后，你重获已消耗的灵能骰。此特性一经使用直至完成长休你都无法再次使用。</t>
  </si>
  <si>
    <r>
      <rPr>
        <sz val="10"/>
        <color theme="1"/>
        <rFont val="宋体"/>
        <charset val="134"/>
      </rPr>
      <t>死亡血仪</t>
    </r>
  </si>
  <si>
    <r>
      <rPr>
        <sz val="10"/>
        <color theme="1"/>
        <rFont val="宋体"/>
        <charset val="134"/>
      </rPr>
      <t>猩红仪式造成的额外伤害是暗蚀伤害。（前提：需</t>
    </r>
    <r>
      <rPr>
        <sz val="10"/>
        <color theme="1"/>
        <rFont val="Times New Roman"/>
        <charset val="134"/>
      </rPr>
      <t xml:space="preserve"> 14 </t>
    </r>
    <r>
      <rPr>
        <sz val="10"/>
        <color theme="1"/>
        <rFont val="宋体"/>
        <charset val="134"/>
      </rPr>
      <t>级）</t>
    </r>
  </si>
  <si>
    <r>
      <rPr>
        <sz val="10"/>
        <color theme="1"/>
        <rFont val="宋体"/>
        <charset val="134"/>
      </rPr>
      <t>腐败化</t>
    </r>
  </si>
  <si>
    <r>
      <rPr>
        <sz val="10"/>
        <color theme="1"/>
        <rFont val="宋体"/>
        <charset val="134"/>
      </rPr>
      <t>你的药剂师法术和能力无视不死生物对毒素伤害的抗性和免疫，以及对中毒状态的免疫。</t>
    </r>
  </si>
  <si>
    <t>神射之姿</t>
  </si>
  <si>
    <t>你接受了训练，能够稳定以卧姿射击，并获得以下状态
卧姿射击Fire While Prone。你进行远程攻击检定时，不会因倒地状态具有劣势。
快速起立Quick Stand。当你具有倒地状态时，你可以调整姿势并仅以5尺移动力结束该状态。</t>
  </si>
  <si>
    <t>骇怖伟力</t>
  </si>
  <si>
    <r>
      <rPr>
        <sz val="10"/>
        <color theme="1"/>
        <rFont val="宋体"/>
        <charset val="134"/>
      </rPr>
      <t>你的攻击被赋予了毁灭性的力量。当你获得此特性时，选择一种伤害类型：寒冷、火焰、暗蚀或毒素。当你的武器攻击命中时，你额外造成</t>
    </r>
    <r>
      <rPr>
        <sz val="10"/>
        <color theme="1"/>
        <rFont val="Times New Roman"/>
        <charset val="134"/>
      </rPr>
      <t>1d8</t>
    </r>
    <r>
      <rPr>
        <sz val="10"/>
        <color theme="1"/>
        <rFont val="宋体"/>
        <charset val="134"/>
      </rPr>
      <t>伤害，伤害类型为你选择的类型。当你完成长休时，你可以选择另一种不同的伤害类型。</t>
    </r>
  </si>
  <si>
    <t>土狗锐气</t>
  </si>
  <si>
    <r>
      <rPr>
        <sz val="10"/>
        <color theme="1"/>
        <rFont val="宋体"/>
        <charset val="134"/>
      </rPr>
      <t>你把一切都分享给了你忠实的猎犬：食物、庇护所甚至是锐气。当你使用锐气特性赋予的能力时，你的猎犬也会获得增益。</t>
    </r>
    <r>
      <rPr>
        <sz val="10"/>
        <color theme="1"/>
        <rFont val="Times New Roman"/>
        <charset val="134"/>
      </rPr>
      <t xml:space="preserve">
</t>
    </r>
    <r>
      <rPr>
        <sz val="10"/>
        <color theme="1"/>
        <rFont val="宋体"/>
        <charset val="134"/>
      </rPr>
      <t>振奋精神</t>
    </r>
    <r>
      <rPr>
        <sz val="10"/>
        <color theme="1"/>
        <rFont val="Times New Roman"/>
        <charset val="134"/>
      </rPr>
      <t>Brace Up</t>
    </r>
    <r>
      <rPr>
        <sz val="10"/>
        <color theme="1"/>
        <rFont val="宋体"/>
        <charset val="134"/>
      </rPr>
      <t>。</t>
    </r>
    <r>
      <rPr>
        <sz val="10"/>
        <color theme="1"/>
        <rFont val="Times New Roman"/>
        <charset val="134"/>
      </rPr>
      <t xml:space="preserve"> </t>
    </r>
    <r>
      <rPr>
        <sz val="10"/>
        <color theme="1"/>
        <rFont val="宋体"/>
        <charset val="134"/>
      </rPr>
      <t>当你因振奋精神能力获得临时生命值时，你的猎犬获得等量临时生命值。</t>
    </r>
    <r>
      <rPr>
        <sz val="10"/>
        <color theme="1"/>
        <rFont val="Times New Roman"/>
        <charset val="134"/>
      </rPr>
      <t xml:space="preserve">
</t>
    </r>
    <r>
      <rPr>
        <sz val="10"/>
        <color theme="1"/>
        <rFont val="宋体"/>
        <charset val="134"/>
      </rPr>
      <t>左右开弓</t>
    </r>
    <r>
      <rPr>
        <sz val="10"/>
        <color theme="1"/>
        <rFont val="Times New Roman"/>
        <charset val="134"/>
      </rPr>
      <t>One-Two Punch</t>
    </r>
    <r>
      <rPr>
        <sz val="10"/>
        <color theme="1"/>
        <rFont val="宋体"/>
        <charset val="134"/>
      </rPr>
      <t>。</t>
    </r>
    <r>
      <rPr>
        <sz val="10"/>
        <color theme="1"/>
        <rFont val="Times New Roman"/>
        <charset val="134"/>
      </rPr>
      <t xml:space="preserve"> </t>
    </r>
    <r>
      <rPr>
        <sz val="10"/>
        <color theme="1"/>
        <rFont val="宋体"/>
        <charset val="134"/>
      </rPr>
      <t>当你使用左右开弓能力时，你的猎犬能代替你发动一次或两次攻击。</t>
    </r>
    <r>
      <rPr>
        <sz val="10"/>
        <color theme="1"/>
        <rFont val="Times New Roman"/>
        <charset val="134"/>
      </rPr>
      <t xml:space="preserve">
</t>
    </r>
    <r>
      <rPr>
        <sz val="10"/>
        <color theme="1"/>
        <rFont val="宋体"/>
        <charset val="134"/>
      </rPr>
      <t>寓攻于走</t>
    </r>
    <r>
      <rPr>
        <sz val="10"/>
        <color theme="1"/>
        <rFont val="Times New Roman"/>
        <charset val="134"/>
      </rPr>
      <t>Stick and Move</t>
    </r>
    <r>
      <rPr>
        <sz val="10"/>
        <color theme="1"/>
        <rFont val="宋体"/>
        <charset val="134"/>
      </rPr>
      <t>。</t>
    </r>
    <r>
      <rPr>
        <sz val="10"/>
        <color theme="1"/>
        <rFont val="Times New Roman"/>
        <charset val="134"/>
      </rPr>
      <t xml:space="preserve"> </t>
    </r>
    <r>
      <rPr>
        <sz val="10"/>
        <color theme="1"/>
        <rFont val="宋体"/>
        <charset val="134"/>
      </rPr>
      <t>当你使用寓攻于走能力时，你的猎犬能执行疾行、撤离或援助动作（由你选择）。</t>
    </r>
  </si>
  <si>
    <t>安魂学院</t>
  </si>
  <si>
    <r>
      <rPr>
        <sz val="10"/>
        <color theme="1"/>
        <rFont val="宋体"/>
        <charset val="134"/>
      </rPr>
      <t>动物语者</t>
    </r>
  </si>
  <si>
    <r>
      <rPr>
        <sz val="10"/>
        <color theme="1"/>
        <rFont val="宋体"/>
        <charset val="134"/>
      </rPr>
      <t>你可以施展法术野兽知觉</t>
    </r>
    <r>
      <rPr>
        <sz val="10"/>
        <color theme="1"/>
        <rFont val="Times New Roman"/>
        <charset val="134"/>
      </rPr>
      <t>Beast Sense</t>
    </r>
    <r>
      <rPr>
        <sz val="10"/>
        <color theme="1"/>
        <rFont val="宋体"/>
        <charset val="134"/>
      </rPr>
      <t>与动物交谈</t>
    </r>
    <r>
      <rPr>
        <sz val="10"/>
        <color theme="1"/>
        <rFont val="Times New Roman"/>
        <charset val="134"/>
      </rPr>
      <t>Speak With Animals</t>
    </r>
    <r>
      <rPr>
        <sz val="10"/>
        <color theme="1"/>
        <rFont val="宋体"/>
        <charset val="134"/>
      </rPr>
      <t>，仅限仪式施展。感知是你这些法术的施法属性。</t>
    </r>
  </si>
  <si>
    <r>
      <rPr>
        <sz val="10"/>
        <color theme="1"/>
        <rFont val="宋体"/>
        <charset val="134"/>
      </rPr>
      <t>威仪作锦</t>
    </r>
  </si>
  <si>
    <r>
      <rPr>
        <sz val="10"/>
        <color theme="1"/>
        <rFont val="宋体"/>
        <charset val="134"/>
      </rPr>
      <t>你始终准备了法术命令术</t>
    </r>
    <r>
      <rPr>
        <sz val="10"/>
        <color theme="1"/>
        <rFont val="Times New Roman"/>
        <charset val="134"/>
      </rPr>
      <t>Command</t>
    </r>
    <r>
      <rPr>
        <sz val="10"/>
        <color theme="1"/>
        <rFont val="宋体"/>
        <charset val="134"/>
      </rPr>
      <t>。
以一个附赠动作，你无需法术位地施展命令术，然后你将获得超凡脱俗的容貌，持续</t>
    </r>
    <r>
      <rPr>
        <sz val="10"/>
        <color theme="1"/>
        <rFont val="Times New Roman"/>
        <charset val="134"/>
      </rPr>
      <t>1</t>
    </r>
    <r>
      <rPr>
        <sz val="10"/>
        <color theme="1"/>
        <rFont val="宋体"/>
        <charset val="134"/>
      </rPr>
      <t>分钟或在你专注终止时提前结束。在此期间，你能够以一个附赠动作，无需法术位地施展法术命令术。
任何因你而陷入魅惑状态的生物在进行对抗你以此特性施展的命令术时，其豁免检定自动失败。</t>
    </r>
    <r>
      <rPr>
        <sz val="10"/>
        <color theme="1"/>
        <rFont val="Times New Roman"/>
        <charset val="134"/>
      </rPr>
      <t xml:space="preserve"> 
</t>
    </r>
    <r>
      <rPr>
        <sz val="10"/>
        <color theme="1"/>
        <rFont val="宋体"/>
        <charset val="134"/>
      </rPr>
      <t>此特性一经使用，直至完成长休</t>
    </r>
    <r>
      <rPr>
        <sz val="10"/>
        <color theme="1"/>
        <rFont val="Times New Roman"/>
        <charset val="134"/>
      </rPr>
      <t xml:space="preserve"> </t>
    </r>
    <r>
      <rPr>
        <sz val="10"/>
        <color theme="1"/>
        <rFont val="宋体"/>
        <charset val="134"/>
      </rPr>
      <t>你都无法再次使用。你也可以消耗一个三环以上的法术位（无需动作）来重置该特性的使用权。</t>
    </r>
    <r>
      <rPr>
        <sz val="10"/>
        <color theme="1"/>
        <rFont val="Times New Roman"/>
        <charset val="134"/>
      </rPr>
      <t xml:space="preserve"> </t>
    </r>
  </si>
  <si>
    <r>
      <rPr>
        <sz val="10"/>
        <color theme="1"/>
        <rFont val="宋体"/>
        <charset val="134"/>
      </rPr>
      <t>光明领域法术</t>
    </r>
  </si>
  <si>
    <r>
      <rPr>
        <sz val="10"/>
        <color theme="1"/>
        <rFont val="宋体"/>
        <charset val="134"/>
      </rPr>
      <t>你与此神圣领域的链接使你始终准备了特定的法术。当你到达光明领域法术表中特定的牧师等级时，你就始终准备了表中对应的法术。
光明领域法术</t>
    </r>
    <r>
      <rPr>
        <sz val="10"/>
        <color theme="1"/>
        <rFont val="Times New Roman"/>
        <charset val="134"/>
      </rPr>
      <t xml:space="preserve"> Light Domain Spells
</t>
    </r>
    <r>
      <rPr>
        <sz val="10"/>
        <color theme="1"/>
        <rFont val="宋体"/>
        <charset val="134"/>
      </rPr>
      <t>牧师等级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燃烧之手</t>
    </r>
    <r>
      <rPr>
        <sz val="10"/>
        <color theme="1"/>
        <rFont val="Times New Roman"/>
        <charset val="134"/>
      </rPr>
      <t>Burning Hands</t>
    </r>
    <r>
      <rPr>
        <sz val="10"/>
        <color theme="1"/>
        <rFont val="宋体"/>
        <charset val="134"/>
      </rPr>
      <t>，妖火</t>
    </r>
    <r>
      <rPr>
        <sz val="10"/>
        <color theme="1"/>
        <rFont val="Times New Roman"/>
        <charset val="134"/>
      </rPr>
      <t>Faerie Fire</t>
    </r>
    <r>
      <rPr>
        <sz val="10"/>
        <color theme="1"/>
        <rFont val="宋体"/>
        <charset val="134"/>
      </rPr>
      <t>，</t>
    </r>
    <r>
      <rPr>
        <sz val="10"/>
        <color theme="1"/>
        <rFont val="Times New Roman"/>
        <charset val="134"/>
      </rPr>
      <t xml:space="preserve"> </t>
    </r>
    <r>
      <rPr>
        <sz val="10"/>
        <color theme="1"/>
        <rFont val="宋体"/>
        <charset val="134"/>
      </rPr>
      <t>灼热射线</t>
    </r>
    <r>
      <rPr>
        <sz val="10"/>
        <color theme="1"/>
        <rFont val="Times New Roman"/>
        <charset val="134"/>
      </rPr>
      <t>Scorching Ray</t>
    </r>
    <r>
      <rPr>
        <sz val="10"/>
        <color theme="1"/>
        <rFont val="宋体"/>
        <charset val="134"/>
      </rPr>
      <t>，识破隐形</t>
    </r>
    <r>
      <rPr>
        <sz val="10"/>
        <color theme="1"/>
        <rFont val="Times New Roman"/>
        <charset val="134"/>
      </rPr>
      <t xml:space="preserve">See Invisibility 
5 </t>
    </r>
    <r>
      <rPr>
        <sz val="10"/>
        <color theme="1"/>
        <rFont val="宋体"/>
        <charset val="134"/>
      </rPr>
      <t>昼明术</t>
    </r>
    <r>
      <rPr>
        <sz val="10"/>
        <color theme="1"/>
        <rFont val="Times New Roman"/>
        <charset val="134"/>
      </rPr>
      <t>Daylight</t>
    </r>
    <r>
      <rPr>
        <sz val="10"/>
        <color theme="1"/>
        <rFont val="宋体"/>
        <charset val="134"/>
      </rPr>
      <t>，火球术</t>
    </r>
    <r>
      <rPr>
        <sz val="10"/>
        <color theme="1"/>
        <rFont val="Times New Roman"/>
        <charset val="134"/>
      </rPr>
      <t xml:space="preserve">Fireball 
7 </t>
    </r>
    <r>
      <rPr>
        <sz val="10"/>
        <color theme="1"/>
        <rFont val="宋体"/>
        <charset val="134"/>
      </rPr>
      <t>秘法眼</t>
    </r>
    <r>
      <rPr>
        <sz val="10"/>
        <color theme="1"/>
        <rFont val="Times New Roman"/>
        <charset val="134"/>
      </rPr>
      <t>Arcane</t>
    </r>
    <r>
      <rPr>
        <sz val="10"/>
        <color theme="1"/>
        <rFont val="宋体"/>
        <charset val="134"/>
      </rPr>
      <t>，火墙术</t>
    </r>
    <r>
      <rPr>
        <sz val="10"/>
        <color theme="1"/>
        <rFont val="Times New Roman"/>
        <charset val="134"/>
      </rPr>
      <t xml:space="preserve">Wall of Fire 
9 </t>
    </r>
    <r>
      <rPr>
        <sz val="10"/>
        <color theme="1"/>
        <rFont val="宋体"/>
        <charset val="134"/>
      </rPr>
      <t>焰击术</t>
    </r>
    <r>
      <rPr>
        <sz val="10"/>
        <color theme="1"/>
        <rFont val="Times New Roman"/>
        <charset val="134"/>
      </rPr>
      <t>Flame Strike</t>
    </r>
    <r>
      <rPr>
        <sz val="10"/>
        <color theme="1"/>
        <rFont val="宋体"/>
        <charset val="134"/>
      </rPr>
      <t>、探知</t>
    </r>
    <r>
      <rPr>
        <sz val="10"/>
        <color theme="1"/>
        <rFont val="Times New Roman"/>
        <charset val="134"/>
      </rPr>
      <t xml:space="preserve">Scrying </t>
    </r>
  </si>
  <si>
    <r>
      <rPr>
        <sz val="10"/>
        <color theme="1"/>
        <rFont val="宋体"/>
        <charset val="134"/>
      </rPr>
      <t>大地之援</t>
    </r>
  </si>
  <si>
    <r>
      <rPr>
        <sz val="10"/>
        <color theme="1"/>
        <rFont val="宋体"/>
        <charset val="134"/>
      </rPr>
      <t>以一个魔法动作，你可以消耗一次荒野变形使用次数并且选择距你</t>
    </r>
    <r>
      <rPr>
        <sz val="10"/>
        <color theme="1"/>
        <rFont val="Times New Roman"/>
        <charset val="134"/>
      </rPr>
      <t>60</t>
    </r>
    <r>
      <rPr>
        <sz val="10"/>
        <color theme="1"/>
        <rFont val="宋体"/>
        <charset val="134"/>
      </rPr>
      <t>尺内的一点。给予活力的繁花和吸取生命的荆刺在以那一点为源点的</t>
    </r>
    <r>
      <rPr>
        <sz val="10"/>
        <color theme="1"/>
        <rFont val="Times New Roman"/>
        <charset val="134"/>
      </rPr>
      <t>10</t>
    </r>
    <r>
      <rPr>
        <sz val="10"/>
        <color theme="1"/>
        <rFont val="宋体"/>
        <charset val="134"/>
      </rPr>
      <t>尺半径球状区域同时生出。在该区域内每个你所选择的生物必须进行一次对抗你法术豁免</t>
    </r>
    <r>
      <rPr>
        <sz val="10"/>
        <color theme="1"/>
        <rFont val="Times New Roman"/>
        <charset val="134"/>
      </rPr>
      <t>DC</t>
    </r>
    <r>
      <rPr>
        <sz val="10"/>
        <color theme="1"/>
        <rFont val="宋体"/>
        <charset val="134"/>
      </rPr>
      <t>的体质豁免，豁免失败时生物受到</t>
    </r>
    <r>
      <rPr>
        <sz val="10"/>
        <color theme="1"/>
        <rFont val="Times New Roman"/>
        <charset val="134"/>
      </rPr>
      <t>2d6</t>
    </r>
    <r>
      <rPr>
        <sz val="10"/>
        <color theme="1"/>
        <rFont val="宋体"/>
        <charset val="134"/>
      </rPr>
      <t>黯蚀伤害，豁免成功时受到半数伤害。此外，区域内你所选择的一名生物恢复</t>
    </r>
    <r>
      <rPr>
        <sz val="10"/>
        <color theme="1"/>
        <rFont val="Times New Roman"/>
        <charset val="134"/>
      </rPr>
      <t>2d6</t>
    </r>
    <r>
      <rPr>
        <sz val="10"/>
        <color theme="1"/>
        <rFont val="宋体"/>
        <charset val="134"/>
      </rPr>
      <t>生命值。
当你到达特定的德鲁伊等级时，伤害和治疗量会提升</t>
    </r>
    <r>
      <rPr>
        <sz val="10"/>
        <color theme="1"/>
        <rFont val="Times New Roman"/>
        <charset val="134"/>
      </rPr>
      <t>1d6</t>
    </r>
    <r>
      <rPr>
        <sz val="10"/>
        <color theme="1"/>
        <rFont val="宋体"/>
        <charset val="134"/>
      </rPr>
      <t>：</t>
    </r>
    <r>
      <rPr>
        <sz val="10"/>
        <color theme="1"/>
        <rFont val="Times New Roman"/>
        <charset val="134"/>
      </rPr>
      <t>10</t>
    </r>
    <r>
      <rPr>
        <sz val="10"/>
        <color theme="1"/>
        <rFont val="宋体"/>
        <charset val="134"/>
      </rPr>
      <t>级（</t>
    </r>
    <r>
      <rPr>
        <sz val="10"/>
        <color theme="1"/>
        <rFont val="Times New Roman"/>
        <charset val="134"/>
      </rPr>
      <t>3d6</t>
    </r>
    <r>
      <rPr>
        <sz val="10"/>
        <color theme="1"/>
        <rFont val="宋体"/>
        <charset val="134"/>
      </rPr>
      <t>）和</t>
    </r>
    <r>
      <rPr>
        <sz val="10"/>
        <color theme="1"/>
        <rFont val="Times New Roman"/>
        <charset val="134"/>
      </rPr>
      <t>14</t>
    </r>
    <r>
      <rPr>
        <sz val="10"/>
        <color theme="1"/>
        <rFont val="宋体"/>
        <charset val="134"/>
      </rPr>
      <t>级（</t>
    </r>
    <r>
      <rPr>
        <sz val="10"/>
        <color theme="1"/>
        <rFont val="Times New Roman"/>
        <charset val="134"/>
      </rPr>
      <t>4d6</t>
    </r>
    <r>
      <rPr>
        <sz val="10"/>
        <color theme="1"/>
        <rFont val="宋体"/>
        <charset val="134"/>
      </rPr>
      <t>）。</t>
    </r>
  </si>
  <si>
    <r>
      <rPr>
        <sz val="10"/>
        <color theme="1"/>
        <rFont val="宋体"/>
        <charset val="134"/>
      </rPr>
      <t>挑衅攻击</t>
    </r>
  </si>
  <si>
    <r>
      <rPr>
        <sz val="10"/>
        <color theme="1"/>
        <rFont val="宋体"/>
        <charset val="134"/>
      </rPr>
      <t>你以攻击检定命中一个生物时，可以消耗一枚卓越骰以尝试挑衅该目标攻击你。所消耗的卓越骰还会被加到此次攻击的伤害掷骰中。目标必须通过一次感知豁免，豁免失败者对除你之外的生物进行的攻击检定具有劣势，直到你的下个回合结束。</t>
    </r>
  </si>
  <si>
    <r>
      <rPr>
        <sz val="10"/>
        <color theme="1"/>
        <rFont val="宋体"/>
        <charset val="134"/>
      </rPr>
      <t>操命本事</t>
    </r>
  </si>
  <si>
    <r>
      <rPr>
        <sz val="10"/>
        <color theme="1"/>
        <rFont val="宋体"/>
        <charset val="134"/>
      </rPr>
      <t>你获得洞悉和医药的熟练，并且熟练于草药工具</t>
    </r>
  </si>
  <si>
    <r>
      <rPr>
        <sz val="10"/>
        <color theme="1"/>
        <rFont val="宋体"/>
        <charset val="134"/>
      </rPr>
      <t>圣洁武器</t>
    </r>
  </si>
  <si>
    <r>
      <rPr>
        <sz val="10"/>
        <color theme="1"/>
        <rFont val="宋体"/>
        <charset val="134"/>
      </rPr>
      <t>当你执行攻击动作时，你可以消耗一次你的引导神力次数，为你持握的一把近战武器注入正能量。随后</t>
    </r>
    <r>
      <rPr>
        <sz val="10"/>
        <color theme="1"/>
        <rFont val="Times New Roman"/>
        <charset val="134"/>
      </rPr>
      <t>10</t>
    </r>
    <r>
      <rPr>
        <sz val="10"/>
        <color theme="1"/>
        <rFont val="宋体"/>
        <charset val="134"/>
      </rPr>
      <t>分钟或你再次使用此特性为止，你使用该武器进行的攻击检定可以加上你的魅力调整值（至少为</t>
    </r>
    <r>
      <rPr>
        <sz val="10"/>
        <color theme="1"/>
        <rFont val="Times New Roman"/>
        <charset val="134"/>
      </rPr>
      <t xml:space="preserve"> +1</t>
    </r>
    <r>
      <rPr>
        <sz val="10"/>
        <color theme="1"/>
        <rFont val="宋体"/>
        <charset val="134"/>
      </rPr>
      <t>），且每次命中时可以选择是造成正常伤害或者是光耀伤害。
该武器同时提供半径</t>
    </r>
    <r>
      <rPr>
        <sz val="10"/>
        <color theme="1"/>
        <rFont val="Times New Roman"/>
        <charset val="134"/>
      </rPr>
      <t>20</t>
    </r>
    <r>
      <rPr>
        <sz val="10"/>
        <color theme="1"/>
        <rFont val="宋体"/>
        <charset val="134"/>
      </rPr>
      <t>尺的明亮光照以及额外</t>
    </r>
    <r>
      <rPr>
        <sz val="10"/>
        <color theme="1"/>
        <rFont val="Times New Roman"/>
        <charset val="134"/>
      </rPr>
      <t>20</t>
    </r>
    <r>
      <rPr>
        <sz val="10"/>
        <color theme="1"/>
        <rFont val="宋体"/>
        <charset val="134"/>
      </rPr>
      <t>尺微光光照。
你可以提前终止此效应（无需动作）。当你不再携带这把武器，此效应同样终止。</t>
    </r>
  </si>
  <si>
    <r>
      <rPr>
        <sz val="10"/>
        <color theme="1"/>
        <rFont val="宋体"/>
        <charset val="134"/>
      </rPr>
      <t>兽性狂怒</t>
    </r>
  </si>
  <si>
    <r>
      <rPr>
        <sz val="10"/>
        <color theme="1"/>
        <rFont val="宋体"/>
        <charset val="134"/>
      </rPr>
      <t>当你命令原初行侣执行野兽打击动作时，它能发动该动作两次。
此外，每个回合中，当它首次击中一个受到你的法术影响的生物时，它可以额外造成一定的力场伤害，其数值等同于那个法术的额外伤害。</t>
    </r>
  </si>
  <si>
    <r>
      <rPr>
        <sz val="10"/>
        <color theme="1"/>
        <rFont val="宋体"/>
        <charset val="134"/>
      </rPr>
      <t>你可以使用奥术法器作为你法师法术的施法法器</t>
    </r>
  </si>
  <si>
    <r>
      <rPr>
        <sz val="10"/>
        <color theme="1"/>
        <rFont val="宋体"/>
        <charset val="134"/>
      </rPr>
      <t>你获得一项</t>
    </r>
    <r>
      <rPr>
        <sz val="10"/>
        <color theme="1"/>
        <rFont val="Times New Roman"/>
        <charset val="134"/>
      </rPr>
      <t xml:space="preserve"> </t>
    </r>
    <r>
      <rPr>
        <sz val="10"/>
        <color theme="1"/>
        <rFont val="宋体"/>
        <charset val="134"/>
      </rPr>
      <t>传奇恩惠专长（见第五章）或其他一项你选择的适用的专长。推荐选择</t>
    </r>
    <r>
      <rPr>
        <sz val="10"/>
        <color theme="1"/>
        <rFont val="Times New Roman"/>
        <charset val="134"/>
      </rPr>
      <t xml:space="preserve"> </t>
    </r>
    <r>
      <rPr>
        <sz val="10"/>
        <color theme="1"/>
        <rFont val="宋体"/>
        <charset val="134"/>
      </rPr>
      <t>次元旅行之恩惠</t>
    </r>
    <r>
      <rPr>
        <sz val="10"/>
        <color theme="1"/>
        <rFont val="Times New Roman"/>
        <charset val="134"/>
      </rPr>
      <t xml:space="preserve"> </t>
    </r>
    <r>
      <rPr>
        <sz val="10"/>
        <color theme="1"/>
        <rFont val="宋体"/>
        <charset val="134"/>
      </rPr>
      <t>。</t>
    </r>
  </si>
  <si>
    <r>
      <rPr>
        <sz val="10"/>
        <color theme="1"/>
        <rFont val="宋体"/>
        <charset val="134"/>
      </rPr>
      <t>幻象迷踪</t>
    </r>
  </si>
  <si>
    <r>
      <rPr>
        <sz val="10"/>
        <color theme="1"/>
        <rFont val="宋体"/>
        <charset val="134"/>
      </rPr>
      <t>先决：魔契师等级</t>
    </r>
    <r>
      <rPr>
        <sz val="10"/>
        <color theme="1"/>
        <rFont val="Times New Roman"/>
        <charset val="134"/>
      </rPr>
      <t xml:space="preserve">2+
</t>
    </r>
    <r>
      <rPr>
        <sz val="10"/>
        <color theme="1"/>
        <rFont val="宋体"/>
        <charset val="134"/>
      </rPr>
      <t>你可以施展无声幻影</t>
    </r>
    <r>
      <rPr>
        <sz val="10"/>
        <color theme="1"/>
        <rFont val="Times New Roman"/>
        <charset val="134"/>
      </rPr>
      <t xml:space="preserve">Silent Image </t>
    </r>
    <r>
      <rPr>
        <sz val="10"/>
        <color theme="1"/>
        <rFont val="宋体"/>
        <charset val="134"/>
      </rPr>
      <t>且无需消耗法术位。</t>
    </r>
  </si>
  <si>
    <r>
      <rPr>
        <sz val="10"/>
        <color theme="1"/>
        <rFont val="宋体"/>
        <charset val="134"/>
      </rPr>
      <t>法术抗性</t>
    </r>
  </si>
  <si>
    <r>
      <rPr>
        <sz val="10"/>
        <color theme="1"/>
        <rFont val="宋体"/>
        <charset val="134"/>
      </rPr>
      <t>你抵抗法术时进行的豁免检定具有优势</t>
    </r>
    <r>
      <rPr>
        <sz val="10"/>
        <color theme="1"/>
        <rFont val="Times New Roman"/>
        <charset val="134"/>
      </rPr>
      <t xml:space="preserve"> </t>
    </r>
    <r>
      <rPr>
        <sz val="10"/>
        <color theme="1"/>
        <rFont val="宋体"/>
        <charset val="134"/>
      </rPr>
      <t>，且你对法术造成的伤害具有抗性。</t>
    </r>
  </si>
  <si>
    <t>炼金师法术</t>
  </si>
  <si>
    <r>
      <rPr>
        <sz val="10"/>
        <color theme="1"/>
        <rFont val="宋体"/>
        <charset val="134"/>
      </rPr>
      <t>在达到下方炼金师法术列表中列出特定奇械师等级时，你将始终准备着等级对应的法术。</t>
    </r>
    <r>
      <rPr>
        <sz val="10"/>
        <color theme="1"/>
        <rFont val="Times New Roman"/>
        <charset val="134"/>
      </rPr>
      <t xml:space="preserve">
</t>
    </r>
    <r>
      <rPr>
        <sz val="10"/>
        <color theme="1"/>
        <rFont val="宋体"/>
        <charset val="134"/>
      </rPr>
      <t>炼金师法术</t>
    </r>
    <r>
      <rPr>
        <sz val="10"/>
        <color theme="1"/>
        <rFont val="Times New Roman"/>
        <charset val="134"/>
      </rPr>
      <t xml:space="preserve">Alchemist Spells </t>
    </r>
    <r>
      <rPr>
        <sz val="10"/>
        <color theme="1"/>
        <rFont val="宋体"/>
        <charset val="134"/>
      </rPr>
      <t>奇械师等级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治愈真言</t>
    </r>
    <r>
      <rPr>
        <sz val="10"/>
        <color theme="1"/>
        <rFont val="Times New Roman"/>
        <charset val="134"/>
      </rPr>
      <t>Healing Word</t>
    </r>
    <r>
      <rPr>
        <sz val="10"/>
        <color theme="1"/>
        <rFont val="宋体"/>
        <charset val="134"/>
      </rPr>
      <t>，致病射线</t>
    </r>
    <r>
      <rPr>
        <sz val="10"/>
        <color theme="1"/>
        <rFont val="Times New Roman"/>
        <charset val="134"/>
      </rPr>
      <t xml:space="preserve">Ray of Sickness  
5 </t>
    </r>
    <r>
      <rPr>
        <sz val="10"/>
        <color theme="1"/>
        <rFont val="宋体"/>
        <charset val="134"/>
      </rPr>
      <t>炽焰法球</t>
    </r>
    <r>
      <rPr>
        <sz val="10"/>
        <color theme="1"/>
        <rFont val="Times New Roman"/>
        <charset val="134"/>
      </rPr>
      <t>Flaming Sphere</t>
    </r>
    <r>
      <rPr>
        <sz val="10"/>
        <color theme="1"/>
        <rFont val="宋体"/>
        <charset val="134"/>
      </rPr>
      <t>，马友夫酸液箭</t>
    </r>
    <r>
      <rPr>
        <sz val="10"/>
        <color theme="1"/>
        <rFont val="Times New Roman"/>
        <charset val="134"/>
      </rPr>
      <t xml:space="preserve">Melf's Acid Arrow  
9 </t>
    </r>
    <r>
      <rPr>
        <sz val="10"/>
        <color theme="1"/>
        <rFont val="宋体"/>
        <charset val="134"/>
      </rPr>
      <t>气化形体</t>
    </r>
    <r>
      <rPr>
        <sz val="10"/>
        <color theme="1"/>
        <rFont val="Times New Roman"/>
        <charset val="134"/>
      </rPr>
      <t>Gaseous Form</t>
    </r>
    <r>
      <rPr>
        <sz val="10"/>
        <color theme="1"/>
        <rFont val="宋体"/>
        <charset val="134"/>
      </rPr>
      <t>，群体治愈真言</t>
    </r>
    <r>
      <rPr>
        <sz val="10"/>
        <color theme="1"/>
        <rFont val="Times New Roman"/>
        <charset val="134"/>
      </rPr>
      <t xml:space="preserve">Mass Healing Word  
13 </t>
    </r>
    <r>
      <rPr>
        <sz val="10"/>
        <color theme="1"/>
        <rFont val="宋体"/>
        <charset val="134"/>
      </rPr>
      <t>防死结界</t>
    </r>
    <r>
      <rPr>
        <sz val="10"/>
        <color theme="1"/>
        <rFont val="Times New Roman"/>
        <charset val="134"/>
      </rPr>
      <t>Death Ward</t>
    </r>
    <r>
      <rPr>
        <sz val="10"/>
        <color theme="1"/>
        <rFont val="宋体"/>
        <charset val="134"/>
      </rPr>
      <t>，浓酸球</t>
    </r>
    <r>
      <rPr>
        <sz val="10"/>
        <color theme="1"/>
        <rFont val="Times New Roman"/>
        <charset val="134"/>
      </rPr>
      <t xml:space="preserve">Vitriolic Sphere  
17 </t>
    </r>
    <r>
      <rPr>
        <sz val="10"/>
        <color theme="1"/>
        <rFont val="宋体"/>
        <charset val="134"/>
      </rPr>
      <t>死云术</t>
    </r>
    <r>
      <rPr>
        <sz val="10"/>
        <color theme="1"/>
        <rFont val="Times New Roman"/>
        <charset val="134"/>
      </rPr>
      <t>Cloudkill</t>
    </r>
    <r>
      <rPr>
        <sz val="10"/>
        <color theme="1"/>
        <rFont val="宋体"/>
        <charset val="134"/>
      </rPr>
      <t>，死者复活</t>
    </r>
    <r>
      <rPr>
        <sz val="10"/>
        <color theme="1"/>
        <rFont val="Times New Roman"/>
        <charset val="134"/>
      </rPr>
      <t xml:space="preserve">Raise Dead  </t>
    </r>
  </si>
  <si>
    <r>
      <rPr>
        <sz val="10"/>
        <color theme="1"/>
        <rFont val="宋体"/>
        <charset val="134"/>
      </rPr>
      <t>灵能浪潮</t>
    </r>
  </si>
  <si>
    <r>
      <rPr>
        <sz val="10"/>
        <color theme="1"/>
        <rFont val="宋体"/>
        <charset val="134"/>
      </rPr>
      <t>你能在你的灵能力量中灌注生命能量。当你使用了一枚或更多灵能骰时，你可以消耗一枚生命骰，并将这些灵能骰中的所有</t>
    </r>
    <r>
      <rPr>
        <sz val="10"/>
        <color theme="1"/>
        <rFont val="Times New Roman"/>
        <charset val="134"/>
      </rPr>
      <t>1</t>
    </r>
    <r>
      <rPr>
        <sz val="10"/>
        <color theme="1"/>
        <rFont val="宋体"/>
        <charset val="134"/>
      </rPr>
      <t>、</t>
    </r>
    <r>
      <rPr>
        <sz val="10"/>
        <color theme="1"/>
        <rFont val="Times New Roman"/>
        <charset val="134"/>
      </rPr>
      <t>2</t>
    </r>
    <r>
      <rPr>
        <sz val="10"/>
        <color theme="1"/>
        <rFont val="宋体"/>
        <charset val="134"/>
      </rPr>
      <t>、</t>
    </r>
    <r>
      <rPr>
        <sz val="10"/>
        <color theme="1"/>
        <rFont val="Times New Roman"/>
        <charset val="134"/>
      </rPr>
      <t>3</t>
    </r>
    <r>
      <rPr>
        <sz val="10"/>
        <color theme="1"/>
        <rFont val="宋体"/>
        <charset val="134"/>
      </rPr>
      <t>掷骰结果改为</t>
    </r>
    <r>
      <rPr>
        <sz val="10"/>
        <color theme="1"/>
        <rFont val="Times New Roman"/>
        <charset val="134"/>
      </rPr>
      <t>4</t>
    </r>
    <r>
      <rPr>
        <sz val="10"/>
        <color theme="1"/>
        <rFont val="宋体"/>
        <charset val="134"/>
      </rPr>
      <t>。</t>
    </r>
  </si>
  <si>
    <r>
      <rPr>
        <sz val="10"/>
        <color theme="1"/>
        <rFont val="宋体"/>
        <charset val="134"/>
      </rPr>
      <t>神谕血仪</t>
    </r>
  </si>
  <si>
    <r>
      <rPr>
        <sz val="10"/>
        <color theme="1"/>
        <rFont val="宋体"/>
        <charset val="134"/>
      </rPr>
      <t>猩红仪式造成的额外伤害是心灵伤害。（前提：需</t>
    </r>
    <r>
      <rPr>
        <sz val="10"/>
        <color theme="1"/>
        <rFont val="Times New Roman"/>
        <charset val="134"/>
      </rPr>
      <t xml:space="preserve"> 14 </t>
    </r>
    <r>
      <rPr>
        <sz val="10"/>
        <color theme="1"/>
        <rFont val="宋体"/>
        <charset val="134"/>
      </rPr>
      <t>级）</t>
    </r>
  </si>
  <si>
    <r>
      <rPr>
        <sz val="10"/>
        <color theme="1"/>
        <rFont val="宋体"/>
        <charset val="134"/>
      </rPr>
      <t>极速反射</t>
    </r>
  </si>
  <si>
    <r>
      <rPr>
        <sz val="10"/>
        <color theme="1"/>
        <rFont val="宋体"/>
        <charset val="134"/>
      </rPr>
      <t>当你施展一个药剂师法术为一个生物恢复生命值时，在施展法术的之前或之后，你可以消耗你的移动速度移动而不触发借机攻击。</t>
    </r>
  </si>
  <si>
    <t>无人知处</t>
  </si>
  <si>
    <t>你善于在隐蔽之处进行射击，你获得以下增益。
伪装Camouflage。即使你并未身处重度遮蔽、四分之三掩护或全身掩护，只要你具有倒地状态，你就可以执行躲藏动作。此次躲藏动作的隐形状态将在你不再倒地时提前结束。
狙巢Sniper's Nest。 若你躲藏期间进行的攻击检定失手，此次攻击检定不会暴露你的位置。</t>
  </si>
  <si>
    <t>迪斯的猛攻（被动）</t>
  </si>
  <si>
    <t>每当你使用附赠动作施加或转移缄印时，作为该附赠动作的一部分，你可以发动一次武器攻击。</t>
  </si>
  <si>
    <t>协同攻击</t>
  </si>
  <si>
    <r>
      <rPr>
        <sz val="10"/>
        <color theme="1"/>
        <rFont val="宋体"/>
        <charset val="134"/>
      </rPr>
      <t>当你对一名生物发动攻击时，若你的猎犬位于其</t>
    </r>
    <r>
      <rPr>
        <sz val="10"/>
        <color theme="1"/>
        <rFont val="Times New Roman"/>
        <charset val="134"/>
      </rPr>
      <t>5</t>
    </r>
    <r>
      <rPr>
        <sz val="10"/>
        <color theme="1"/>
        <rFont val="宋体"/>
        <charset val="134"/>
      </rPr>
      <t>尺内，猎犬能以反应令你的攻击具有优势。若命中，你额外造成</t>
    </r>
    <r>
      <rPr>
        <sz val="10"/>
        <color theme="1"/>
        <rFont val="Times New Roman"/>
        <charset val="134"/>
      </rPr>
      <t>3d4</t>
    </r>
    <r>
      <rPr>
        <sz val="10"/>
        <color theme="1"/>
        <rFont val="宋体"/>
        <charset val="134"/>
      </rPr>
      <t>伤害。</t>
    </r>
    <r>
      <rPr>
        <sz val="10"/>
        <color theme="1"/>
        <rFont val="Times New Roman"/>
        <charset val="134"/>
      </rPr>
      <t xml:space="preserve">
</t>
    </r>
    <r>
      <rPr>
        <sz val="10"/>
        <color theme="1"/>
        <rFont val="宋体"/>
        <charset val="134"/>
      </rPr>
      <t>此外，每当你的猎犬的攻击检定命中并造成伤害时，你可以选择令其造成力场伤害或原本的伤害类型。</t>
    </r>
  </si>
  <si>
    <t>旅路学院</t>
  </si>
  <si>
    <r>
      <rPr>
        <sz val="10"/>
        <color theme="1"/>
        <rFont val="宋体"/>
        <charset val="134"/>
      </rPr>
      <t>兽性狂暴</t>
    </r>
  </si>
  <si>
    <r>
      <rPr>
        <sz val="10"/>
        <color theme="1"/>
        <rFont val="宋体"/>
        <charset val="134"/>
      </rPr>
      <t>你的狂暴解放来自动物的原初之力。每当你激活狂暴时，你从下列选项中选择一项。
熊</t>
    </r>
    <r>
      <rPr>
        <sz val="10"/>
        <color theme="1"/>
        <rFont val="Times New Roman"/>
        <charset val="134"/>
      </rPr>
      <t>Bear</t>
    </r>
    <r>
      <rPr>
        <sz val="10"/>
        <color theme="1"/>
        <rFont val="宋体"/>
        <charset val="134"/>
      </rPr>
      <t>。狂暴激活期间，你具有除力场、心灵、暗蚀、光耀外所有伤害类型的抗性。
鹰</t>
    </r>
    <r>
      <rPr>
        <sz val="10"/>
        <color theme="1"/>
        <rFont val="Times New Roman"/>
        <charset val="134"/>
      </rPr>
      <t>Eagle</t>
    </r>
    <r>
      <rPr>
        <sz val="10"/>
        <color theme="1"/>
        <rFont val="宋体"/>
        <charset val="134"/>
      </rPr>
      <t>。当你激活狂暴时，作为你进入狂暴的附赠动作的一部分，你可以同时执行撤离与疾跑动作。狂暴激活期间，你也能够以一个附赠动作同时执行这两个动作。
狼</t>
    </r>
    <r>
      <rPr>
        <sz val="10"/>
        <color theme="1"/>
        <rFont val="Times New Roman"/>
        <charset val="134"/>
      </rPr>
      <t>Wolf</t>
    </r>
    <r>
      <rPr>
        <sz val="10"/>
        <color theme="1"/>
        <rFont val="宋体"/>
        <charset val="134"/>
      </rPr>
      <t>。狂暴激活期间，你的盟友对位于你</t>
    </r>
    <r>
      <rPr>
        <sz val="10"/>
        <color theme="1"/>
        <rFont val="Times New Roman"/>
        <charset val="134"/>
      </rPr>
      <t>5</t>
    </r>
    <r>
      <rPr>
        <sz val="10"/>
        <color theme="1"/>
        <rFont val="宋体"/>
        <charset val="134"/>
      </rPr>
      <t>尺内的敌人进行的攻击检定具有优势。</t>
    </r>
    <r>
      <rPr>
        <sz val="10"/>
        <color theme="1"/>
        <rFont val="Times New Roman"/>
        <charset val="134"/>
      </rPr>
      <t xml:space="preserve"> </t>
    </r>
  </si>
  <si>
    <r>
      <rPr>
        <sz val="10"/>
        <color theme="1"/>
        <rFont val="宋体"/>
        <charset val="134"/>
      </rPr>
      <t>不破威仪</t>
    </r>
  </si>
  <si>
    <r>
      <rPr>
        <sz val="10"/>
        <color theme="1"/>
        <rFont val="宋体"/>
        <charset val="134"/>
      </rPr>
      <t>以一个附赠动作，你可以魔法性地呈现出庄严的姿态，持续</t>
    </r>
    <r>
      <rPr>
        <sz val="10"/>
        <color theme="1"/>
        <rFont val="Times New Roman"/>
        <charset val="134"/>
      </rPr>
      <t>1</t>
    </r>
    <r>
      <rPr>
        <sz val="10"/>
        <color theme="1"/>
        <rFont val="宋体"/>
        <charset val="134"/>
      </rPr>
      <t>分钟或在你陷入失能状态时结束。在此期间，任何生物在一个回合中的攻击检定首次命中你时，攻击者必须通过一次对抗你施法</t>
    </r>
    <r>
      <rPr>
        <sz val="10"/>
        <color theme="1"/>
        <rFont val="Times New Roman"/>
        <charset val="134"/>
      </rPr>
      <t>DC</t>
    </r>
    <r>
      <rPr>
        <sz val="10"/>
        <color theme="1"/>
        <rFont val="宋体"/>
        <charset val="134"/>
      </rPr>
      <t>的魅力豁免检定，否则这次攻击将因畏惧你的威仪而变得畏缩并失手。
一旦你呈现出这庄严的姿态，直至完成短休或长休你都无法再如此做。</t>
    </r>
    <r>
      <rPr>
        <sz val="10"/>
        <color theme="1"/>
        <rFont val="Times New Roman"/>
        <charset val="134"/>
      </rPr>
      <t xml:space="preserve"> </t>
    </r>
  </si>
  <si>
    <r>
      <rPr>
        <sz val="10"/>
        <color theme="1"/>
        <rFont val="宋体"/>
        <charset val="134"/>
      </rPr>
      <t>黎明曙光</t>
    </r>
  </si>
  <si>
    <r>
      <rPr>
        <sz val="10"/>
        <color theme="1"/>
        <rFont val="宋体"/>
        <charset val="134"/>
      </rPr>
      <t>以一个魔法动作，你展现圣徽，消耗一次引导神力次数来释放出一阵闪光，覆盖一处以你为源点的</t>
    </r>
    <r>
      <rPr>
        <sz val="10"/>
        <color theme="1"/>
        <rFont val="Times New Roman"/>
        <charset val="134"/>
      </rPr>
      <t>30</t>
    </r>
    <r>
      <rPr>
        <sz val="10"/>
        <color theme="1"/>
        <rFont val="宋体"/>
        <charset val="134"/>
      </rPr>
      <t>尺光环区域。该区域内的任何魔法黑暗</t>
    </r>
    <r>
      <rPr>
        <sz val="10"/>
        <color theme="1"/>
        <rFont val="Times New Roman"/>
        <charset val="134"/>
      </rPr>
      <t>——</t>
    </r>
    <r>
      <rPr>
        <sz val="10"/>
        <color theme="1"/>
        <rFont val="宋体"/>
        <charset val="134"/>
      </rPr>
      <t>例如法术黑暗术制造的黑暗</t>
    </r>
    <r>
      <rPr>
        <sz val="10"/>
        <color theme="1"/>
        <rFont val="Times New Roman"/>
        <charset val="134"/>
      </rPr>
      <t>——</t>
    </r>
    <r>
      <rPr>
        <sz val="10"/>
        <color theme="1"/>
        <rFont val="宋体"/>
        <charset val="134"/>
      </rPr>
      <t>都将被解除。此外，区域内你选择的所有生物都必须进行一次体质豁免。豁免失败者将受</t>
    </r>
    <r>
      <rPr>
        <sz val="10"/>
        <color theme="1"/>
        <rFont val="Times New Roman"/>
        <charset val="134"/>
      </rPr>
      <t>2d10</t>
    </r>
    <r>
      <rPr>
        <sz val="10"/>
        <color theme="1"/>
        <rFont val="宋体"/>
        <charset val="134"/>
      </rPr>
      <t>＋你牧师等级的光耀伤害，豁免成功则伤害减半。</t>
    </r>
  </si>
  <si>
    <r>
      <rPr>
        <sz val="10"/>
        <color theme="1"/>
        <rFont val="宋体"/>
        <charset val="134"/>
      </rPr>
      <t>自然恢复</t>
    </r>
  </si>
  <si>
    <r>
      <rPr>
        <sz val="10"/>
        <color theme="1"/>
        <rFont val="宋体"/>
        <charset val="134"/>
      </rPr>
      <t>你可以施展一个你以结社法术特性准备的一环及以上法术，而无须消耗法术位，并且你必须在完成一次长休后才能再次这么做。
此外，当你结束一次短休时，你可以选择恢复消耗的法术位。法术环阶的总和等于你德鲁伊职业等级的一半（向上取整），且不能是六环或更高环阶的法术位。比如说，作为一位</t>
    </r>
    <r>
      <rPr>
        <sz val="10"/>
        <color theme="1"/>
        <rFont val="Times New Roman"/>
        <charset val="134"/>
      </rPr>
      <t>6</t>
    </r>
    <r>
      <rPr>
        <sz val="10"/>
        <color theme="1"/>
        <rFont val="宋体"/>
        <charset val="134"/>
      </rPr>
      <t>级德鲁伊，你可以恢复环阶总和最多为</t>
    </r>
    <r>
      <rPr>
        <sz val="10"/>
        <color theme="1"/>
        <rFont val="Times New Roman"/>
        <charset val="134"/>
      </rPr>
      <t>3</t>
    </r>
    <r>
      <rPr>
        <sz val="10"/>
        <color theme="1"/>
        <rFont val="宋体"/>
        <charset val="134"/>
      </rPr>
      <t>的法术位。你可以恢复一个三环法术位，或者一个二环和一个一环法术位，或者三个一环法术位。一旦你以此特性恢复过法术位，直到完成一次长休为止，你无法再次这么做。</t>
    </r>
  </si>
  <si>
    <r>
      <rPr>
        <sz val="10"/>
        <color theme="1"/>
        <rFont val="宋体"/>
        <charset val="134"/>
      </rPr>
      <t>突刺攻击</t>
    </r>
  </si>
  <si>
    <r>
      <rPr>
        <sz val="10"/>
        <color theme="1"/>
        <rFont val="宋体"/>
        <charset val="134"/>
      </rPr>
      <t>以一个附赠动作，你可以消耗一枚卓越骰并执行疾走动作。若你在本回合中直线移动至少</t>
    </r>
    <r>
      <rPr>
        <sz val="10"/>
        <color theme="1"/>
        <rFont val="Times New Roman"/>
        <charset val="134"/>
      </rPr>
      <t>5</t>
    </r>
    <r>
      <rPr>
        <sz val="10"/>
        <color theme="1"/>
        <rFont val="宋体"/>
        <charset val="134"/>
      </rPr>
      <t>尺后立即以攻击动作中的一次近战攻击命中，你可以将消耗的卓越骰加在此次攻击的伤害掷骰中。</t>
    </r>
  </si>
  <si>
    <r>
      <rPr>
        <sz val="10"/>
        <color theme="1"/>
        <rFont val="宋体"/>
        <charset val="134"/>
      </rPr>
      <t>生死之触</t>
    </r>
  </si>
  <si>
    <r>
      <rPr>
        <sz val="10"/>
        <color theme="1"/>
        <rFont val="宋体"/>
        <charset val="134"/>
      </rPr>
      <t>你的夺命之手和予命之手获得强化，具体内容见下文。
夺命之手</t>
    </r>
    <r>
      <rPr>
        <sz val="10"/>
        <color theme="1"/>
        <rFont val="Times New Roman"/>
        <charset val="134"/>
      </rPr>
      <t>Hand of Harm</t>
    </r>
    <r>
      <rPr>
        <sz val="10"/>
        <color theme="1"/>
        <rFont val="宋体"/>
        <charset val="134"/>
      </rPr>
      <t>。当你对一个生物使用夺命之手时，你可以使该生物陷入中毒状态，直至你的下个回合结束。
予命之手</t>
    </r>
    <r>
      <rPr>
        <sz val="10"/>
        <color theme="1"/>
        <rFont val="Times New Roman"/>
        <charset val="134"/>
      </rPr>
      <t>Hand of Healing</t>
    </r>
    <r>
      <rPr>
        <sz val="10"/>
        <color theme="1"/>
        <rFont val="宋体"/>
        <charset val="134"/>
      </rPr>
      <t>。当你使用予命之手时，你还可以结束一种疫病或影响该生物的下列状态之一：目盲、耳聋、麻痹、中毒或震慑。</t>
    </r>
  </si>
  <si>
    <r>
      <rPr>
        <sz val="10"/>
        <color theme="1"/>
        <rFont val="宋体"/>
        <charset val="134"/>
      </rPr>
      <t>奉献灵光</t>
    </r>
  </si>
  <si>
    <r>
      <rPr>
        <sz val="10"/>
        <color theme="1"/>
        <rFont val="宋体"/>
        <charset val="134"/>
      </rPr>
      <t>你与你守护灵光内的盟友获得魅惑免疫。陷入魅惑的盟友进入灵光时，该状态在灵光内会暂时无效。</t>
    </r>
  </si>
  <si>
    <r>
      <rPr>
        <sz val="10"/>
        <color theme="1"/>
        <rFont val="宋体"/>
        <charset val="134"/>
      </rPr>
      <t>法术共享</t>
    </r>
  </si>
  <si>
    <r>
      <rPr>
        <sz val="10"/>
        <color theme="1"/>
        <rFont val="宋体"/>
        <charset val="134"/>
      </rPr>
      <t>当你施展的法术指定了你自己作为目标，并且你的原初行侣正位于你</t>
    </r>
    <r>
      <rPr>
        <sz val="10"/>
        <color theme="1"/>
        <rFont val="Times New Roman"/>
        <charset val="134"/>
      </rPr>
      <t>30</t>
    </r>
    <r>
      <rPr>
        <sz val="10"/>
        <color theme="1"/>
        <rFont val="宋体"/>
        <charset val="134"/>
      </rPr>
      <t>尺范围内时，你可以让该法术效应同时作用于你的原初行侣。</t>
    </r>
  </si>
  <si>
    <r>
      <rPr>
        <sz val="10"/>
        <color theme="1"/>
        <rFont val="宋体"/>
        <charset val="134"/>
      </rPr>
      <t>法师之手诈术</t>
    </r>
  </si>
  <si>
    <r>
      <rPr>
        <sz val="10"/>
        <color theme="1"/>
        <rFont val="宋体"/>
        <charset val="134"/>
      </rPr>
      <t>当你施展法师之手</t>
    </r>
    <r>
      <rPr>
        <sz val="10"/>
        <color theme="1"/>
        <rFont val="Times New Roman"/>
        <charset val="134"/>
      </rPr>
      <t>Mage Hand</t>
    </r>
    <r>
      <rPr>
        <sz val="10"/>
        <color theme="1"/>
        <rFont val="宋体"/>
        <charset val="134"/>
      </rPr>
      <t>时，你可以通过附赠动作施展，并且你能够使幽灵手变得隐形。你可以通过附赠动作控制幽灵手，并且你可以通过它进行敏捷（巧手）检定。</t>
    </r>
  </si>
  <si>
    <r>
      <rPr>
        <sz val="10"/>
        <color theme="1"/>
        <rFont val="宋体"/>
        <charset val="134"/>
      </rPr>
      <t>奥术登神</t>
    </r>
  </si>
  <si>
    <r>
      <rPr>
        <sz val="10"/>
        <color theme="1"/>
        <rFont val="宋体"/>
        <charset val="134"/>
      </rPr>
      <t>在你的先天术法特性处于激活状态期间，每个你的回合一次，你可以无需消耗术法点地使用一次超魔法选项。</t>
    </r>
  </si>
  <si>
    <r>
      <rPr>
        <sz val="10"/>
        <color theme="1"/>
        <rFont val="宋体"/>
        <charset val="134"/>
      </rPr>
      <t>超凡跳跃</t>
    </r>
  </si>
  <si>
    <r>
      <rPr>
        <sz val="10"/>
        <color theme="1"/>
        <rFont val="宋体"/>
        <charset val="134"/>
      </rPr>
      <t>先决：魔契师等级</t>
    </r>
    <r>
      <rPr>
        <sz val="10"/>
        <color theme="1"/>
        <rFont val="Times New Roman"/>
        <charset val="134"/>
      </rPr>
      <t xml:space="preserve">2+
</t>
    </r>
    <r>
      <rPr>
        <sz val="10"/>
        <color theme="1"/>
        <rFont val="宋体"/>
        <charset val="134"/>
      </rPr>
      <t>你能够以自身为目标施展跳跃术</t>
    </r>
    <r>
      <rPr>
        <sz val="10"/>
        <color theme="1"/>
        <rFont val="Times New Roman"/>
        <charset val="134"/>
      </rPr>
      <t xml:space="preserve">Jump </t>
    </r>
    <r>
      <rPr>
        <sz val="10"/>
        <color theme="1"/>
        <rFont val="宋体"/>
        <charset val="134"/>
      </rPr>
      <t>且无需消耗法术位。</t>
    </r>
  </si>
  <si>
    <r>
      <rPr>
        <sz val="10"/>
        <color theme="1"/>
        <rFont val="宋体"/>
        <charset val="134"/>
      </rPr>
      <t>预言学者</t>
    </r>
  </si>
  <si>
    <r>
      <rPr>
        <sz val="10"/>
        <color theme="1"/>
        <rFont val="宋体"/>
        <charset val="134"/>
      </rPr>
      <t>从法师法术列表中选择两道不高于二环的预言学派法术，并将其免费加入你的法术书中。
此外，每当你在本职业中获得一个新环阶的法术位时，你都能免费将一道法师法术列表中的预言学派法术加入你的法术书中。你所选的法术都必须是你当前拥有法术位的环阶。</t>
    </r>
  </si>
  <si>
    <r>
      <rPr>
        <sz val="10"/>
        <color theme="1"/>
        <rFont val="宋体"/>
        <charset val="134"/>
      </rPr>
      <t>实验性灵药</t>
    </r>
  </si>
  <si>
    <r>
      <rPr>
        <sz val="10"/>
        <color theme="1"/>
        <rFont val="宋体"/>
        <charset val="134"/>
      </rPr>
      <t>每当你完成一次长休，持握着炼金工具时，你可以使用那件工具魔法性地制造两瓶灵药。为每瓶灵药在实验性灵药表中投掷灵药的效果，并在某人喝下灵药时触发效果。灵药会出现在一个扁瓶中，扁瓶会在灵药喝下或泼洒出后消失。当你完成长休时若还有保留下的灵药，该灵药和扁瓶都会消失。</t>
    </r>
    <r>
      <rPr>
        <sz val="10"/>
        <color theme="1"/>
        <rFont val="Times New Roman"/>
        <charset val="134"/>
      </rPr>
      <t xml:space="preserve">
</t>
    </r>
    <r>
      <rPr>
        <sz val="10"/>
        <color theme="1"/>
        <rFont val="宋体"/>
        <charset val="134"/>
      </rPr>
      <t>喝下灵药</t>
    </r>
    <r>
      <rPr>
        <sz val="10"/>
        <color theme="1"/>
        <rFont val="Times New Roman"/>
        <charset val="134"/>
      </rPr>
      <t>Drink an Elixir</t>
    </r>
    <r>
      <rPr>
        <sz val="10"/>
        <color theme="1"/>
        <rFont val="宋体"/>
        <charset val="134"/>
      </rPr>
      <t>。以一个附赠动作，一个生物可以喝下一瓶灵药，或将其喂给它</t>
    </r>
    <r>
      <rPr>
        <sz val="10"/>
        <color theme="1"/>
        <rFont val="Times New Roman"/>
        <charset val="134"/>
      </rPr>
      <t>5</t>
    </r>
    <r>
      <rPr>
        <sz val="10"/>
        <color theme="1"/>
        <rFont val="宋体"/>
        <charset val="134"/>
      </rPr>
      <t>尺内的另一个生物。</t>
    </r>
    <r>
      <rPr>
        <sz val="10"/>
        <color theme="1"/>
        <rFont val="Times New Roman"/>
        <charset val="134"/>
      </rPr>
      <t xml:space="preserve">
</t>
    </r>
    <r>
      <rPr>
        <sz val="10"/>
        <color theme="1"/>
        <rFont val="宋体"/>
        <charset val="134"/>
      </rPr>
      <t>创造额外的灵药</t>
    </r>
    <r>
      <rPr>
        <sz val="10"/>
        <color theme="1"/>
        <rFont val="Times New Roman"/>
        <charset val="134"/>
      </rPr>
      <t>Creating Aditional Elixirs</t>
    </r>
    <r>
      <rPr>
        <sz val="10"/>
        <color theme="1"/>
        <rFont val="宋体"/>
        <charset val="134"/>
      </rPr>
      <t>。持握炼金工具时以一个魔法动作，你可以消耗一个法术位来创造另一瓶灵药。当你这么做的时候，你从实验性灵药表中选择它的效果，而不是投掷。</t>
    </r>
    <r>
      <rPr>
        <sz val="10"/>
        <color theme="1"/>
        <rFont val="Times New Roman"/>
        <charset val="134"/>
      </rPr>
      <t xml:space="preserve">
</t>
    </r>
    <r>
      <rPr>
        <sz val="10"/>
        <color theme="1"/>
        <rFont val="宋体"/>
        <charset val="134"/>
      </rPr>
      <t>当你到达特定奇械师等级时，你可以在每次长休结束时制造额外的灵药：</t>
    </r>
    <r>
      <rPr>
        <sz val="10"/>
        <color theme="1"/>
        <rFont val="Times New Roman"/>
        <charset val="134"/>
      </rPr>
      <t>5</t>
    </r>
    <r>
      <rPr>
        <sz val="10"/>
        <color theme="1"/>
        <rFont val="宋体"/>
        <charset val="134"/>
      </rPr>
      <t>级一共三瓶，</t>
    </r>
    <r>
      <rPr>
        <sz val="10"/>
        <color theme="1"/>
        <rFont val="Times New Roman"/>
        <charset val="134"/>
      </rPr>
      <t>9</t>
    </r>
    <r>
      <rPr>
        <sz val="10"/>
        <color theme="1"/>
        <rFont val="宋体"/>
        <charset val="134"/>
      </rPr>
      <t>级一共四瓶，</t>
    </r>
    <r>
      <rPr>
        <sz val="10"/>
        <color theme="1"/>
        <rFont val="Times New Roman"/>
        <charset val="134"/>
      </rPr>
      <t>15</t>
    </r>
    <r>
      <rPr>
        <sz val="10"/>
        <color theme="1"/>
        <rFont val="宋体"/>
        <charset val="134"/>
      </rPr>
      <t>级一共五瓶。</t>
    </r>
    <r>
      <rPr>
        <sz val="10"/>
        <color theme="1"/>
        <rFont val="Times New Roman"/>
        <charset val="134"/>
      </rPr>
      <t xml:space="preserve">
</t>
    </r>
    <r>
      <rPr>
        <sz val="10"/>
        <color theme="1"/>
        <rFont val="宋体"/>
        <charset val="134"/>
      </rPr>
      <t>实验性灵药</t>
    </r>
    <r>
      <rPr>
        <sz val="10"/>
        <color theme="1"/>
        <rFont val="Times New Roman"/>
        <charset val="134"/>
      </rPr>
      <t xml:space="preserve"> D6 </t>
    </r>
    <r>
      <rPr>
        <sz val="10"/>
        <color theme="1"/>
        <rFont val="宋体"/>
        <charset val="134"/>
      </rPr>
      <t>效果</t>
    </r>
    <r>
      <rPr>
        <sz val="10"/>
        <color theme="1"/>
        <rFont val="Times New Roman"/>
        <charset val="134"/>
      </rPr>
      <t xml:space="preserve"> 
1 </t>
    </r>
    <r>
      <rPr>
        <sz val="10"/>
        <color theme="1"/>
        <rFont val="宋体"/>
        <charset val="134"/>
      </rPr>
      <t>治疗</t>
    </r>
    <r>
      <rPr>
        <sz val="10"/>
        <color theme="1"/>
        <rFont val="Times New Roman"/>
        <charset val="134"/>
      </rPr>
      <t>Healing</t>
    </r>
    <r>
      <rPr>
        <sz val="10"/>
        <color theme="1"/>
        <rFont val="宋体"/>
        <charset val="134"/>
      </rPr>
      <t>。饮用者恢复等于</t>
    </r>
    <r>
      <rPr>
        <sz val="10"/>
        <color theme="1"/>
        <rFont val="Times New Roman"/>
        <charset val="134"/>
      </rPr>
      <t>2d8</t>
    </r>
    <r>
      <rPr>
        <sz val="10"/>
        <color theme="1"/>
        <rFont val="宋体"/>
        <charset val="134"/>
      </rPr>
      <t>外加你智力调整值的生命值。恢复的生命值在你奇械师等级到达</t>
    </r>
    <r>
      <rPr>
        <sz val="10"/>
        <color theme="1"/>
        <rFont val="Times New Roman"/>
        <charset val="134"/>
      </rPr>
      <t>9</t>
    </r>
    <r>
      <rPr>
        <sz val="10"/>
        <color theme="1"/>
        <rFont val="宋体"/>
        <charset val="134"/>
      </rPr>
      <t>级（</t>
    </r>
    <r>
      <rPr>
        <sz val="10"/>
        <color theme="1"/>
        <rFont val="Times New Roman"/>
        <charset val="134"/>
      </rPr>
      <t>3d8</t>
    </r>
    <r>
      <rPr>
        <sz val="10"/>
        <color theme="1"/>
        <rFont val="宋体"/>
        <charset val="134"/>
      </rPr>
      <t>）和</t>
    </r>
    <r>
      <rPr>
        <sz val="10"/>
        <color theme="1"/>
        <rFont val="Times New Roman"/>
        <charset val="134"/>
      </rPr>
      <t>15</t>
    </r>
    <r>
      <rPr>
        <sz val="10"/>
        <color theme="1"/>
        <rFont val="宋体"/>
        <charset val="134"/>
      </rPr>
      <t>级（</t>
    </r>
    <r>
      <rPr>
        <sz val="10"/>
        <color theme="1"/>
        <rFont val="Times New Roman"/>
        <charset val="134"/>
      </rPr>
      <t>4d8</t>
    </r>
    <r>
      <rPr>
        <sz val="10"/>
        <color theme="1"/>
        <rFont val="宋体"/>
        <charset val="134"/>
      </rPr>
      <t>）时增加</t>
    </r>
    <r>
      <rPr>
        <sz val="10"/>
        <color theme="1"/>
        <rFont val="Times New Roman"/>
        <charset val="134"/>
      </rPr>
      <t>1d8</t>
    </r>
    <r>
      <rPr>
        <sz val="10"/>
        <color theme="1"/>
        <rFont val="宋体"/>
        <charset val="134"/>
      </rPr>
      <t>。</t>
    </r>
    <r>
      <rPr>
        <sz val="10"/>
        <color theme="1"/>
        <rFont val="Times New Roman"/>
        <charset val="134"/>
      </rPr>
      <t xml:space="preserve"> 
2 </t>
    </r>
    <r>
      <rPr>
        <sz val="10"/>
        <color theme="1"/>
        <rFont val="宋体"/>
        <charset val="134"/>
      </rPr>
      <t>疾速</t>
    </r>
    <r>
      <rPr>
        <sz val="10"/>
        <color theme="1"/>
        <rFont val="Times New Roman"/>
        <charset val="134"/>
      </rPr>
      <t>Swiftness</t>
    </r>
    <r>
      <rPr>
        <sz val="10"/>
        <color theme="1"/>
        <rFont val="宋体"/>
        <charset val="134"/>
      </rPr>
      <t>。饮用者的速度增加</t>
    </r>
    <r>
      <rPr>
        <sz val="10"/>
        <color theme="1"/>
        <rFont val="Times New Roman"/>
        <charset val="134"/>
      </rPr>
      <t>10</t>
    </r>
    <r>
      <rPr>
        <sz val="10"/>
        <color theme="1"/>
        <rFont val="宋体"/>
        <charset val="134"/>
      </rPr>
      <t>尺，持续</t>
    </r>
    <r>
      <rPr>
        <sz val="10"/>
        <color theme="1"/>
        <rFont val="Times New Roman"/>
        <charset val="134"/>
      </rPr>
      <t>1</t>
    </r>
    <r>
      <rPr>
        <sz val="10"/>
        <color theme="1"/>
        <rFont val="宋体"/>
        <charset val="134"/>
      </rPr>
      <t>小时。增加的速度在你奇械师等级到达</t>
    </r>
    <r>
      <rPr>
        <sz val="10"/>
        <color theme="1"/>
        <rFont val="Times New Roman"/>
        <charset val="134"/>
      </rPr>
      <t>9</t>
    </r>
    <r>
      <rPr>
        <sz val="10"/>
        <color theme="1"/>
        <rFont val="宋体"/>
        <charset val="134"/>
      </rPr>
      <t>级（</t>
    </r>
    <r>
      <rPr>
        <sz val="10"/>
        <color theme="1"/>
        <rFont val="Times New Roman"/>
        <charset val="134"/>
      </rPr>
      <t>15</t>
    </r>
    <r>
      <rPr>
        <sz val="10"/>
        <color theme="1"/>
        <rFont val="宋体"/>
        <charset val="134"/>
      </rPr>
      <t>尺）和</t>
    </r>
    <r>
      <rPr>
        <sz val="10"/>
        <color theme="1"/>
        <rFont val="Times New Roman"/>
        <charset val="134"/>
      </rPr>
      <t>15</t>
    </r>
    <r>
      <rPr>
        <sz val="10"/>
        <color theme="1"/>
        <rFont val="宋体"/>
        <charset val="134"/>
      </rPr>
      <t>级（</t>
    </r>
    <r>
      <rPr>
        <sz val="10"/>
        <color theme="1"/>
        <rFont val="Times New Roman"/>
        <charset val="134"/>
      </rPr>
      <t>20</t>
    </r>
    <r>
      <rPr>
        <sz val="10"/>
        <color theme="1"/>
        <rFont val="宋体"/>
        <charset val="134"/>
      </rPr>
      <t>尺）时提升。</t>
    </r>
    <r>
      <rPr>
        <sz val="10"/>
        <color theme="1"/>
        <rFont val="Times New Roman"/>
        <charset val="134"/>
      </rPr>
      <t xml:space="preserve"> 
3 </t>
    </r>
    <r>
      <rPr>
        <sz val="10"/>
        <color theme="1"/>
        <rFont val="宋体"/>
        <charset val="134"/>
      </rPr>
      <t>韧性</t>
    </r>
    <r>
      <rPr>
        <sz val="10"/>
        <color theme="1"/>
        <rFont val="Times New Roman"/>
        <charset val="134"/>
      </rPr>
      <t>Resilience</t>
    </r>
    <r>
      <rPr>
        <sz val="10"/>
        <color theme="1"/>
        <rFont val="宋体"/>
        <charset val="134"/>
      </rPr>
      <t>。饮用者的</t>
    </r>
    <r>
      <rPr>
        <sz val="10"/>
        <color theme="1"/>
        <rFont val="Times New Roman"/>
        <charset val="134"/>
      </rPr>
      <t>AC</t>
    </r>
    <r>
      <rPr>
        <sz val="10"/>
        <color theme="1"/>
        <rFont val="宋体"/>
        <charset val="134"/>
      </rPr>
      <t>获得</t>
    </r>
    <r>
      <rPr>
        <sz val="10"/>
        <color theme="1"/>
        <rFont val="Times New Roman"/>
        <charset val="134"/>
      </rPr>
      <t>+1</t>
    </r>
    <r>
      <rPr>
        <sz val="10"/>
        <color theme="1"/>
        <rFont val="宋体"/>
        <charset val="134"/>
      </rPr>
      <t>加值，持续</t>
    </r>
    <r>
      <rPr>
        <sz val="10"/>
        <color theme="1"/>
        <rFont val="Times New Roman"/>
        <charset val="134"/>
      </rPr>
      <t>10</t>
    </r>
    <r>
      <rPr>
        <sz val="10"/>
        <color theme="1"/>
        <rFont val="宋体"/>
        <charset val="134"/>
      </rPr>
      <t>分钟。持续时间在你奇械师等级到达</t>
    </r>
    <r>
      <rPr>
        <sz val="10"/>
        <color theme="1"/>
        <rFont val="Times New Roman"/>
        <charset val="134"/>
      </rPr>
      <t>9</t>
    </r>
    <r>
      <rPr>
        <sz val="10"/>
        <color theme="1"/>
        <rFont val="宋体"/>
        <charset val="134"/>
      </rPr>
      <t>级（</t>
    </r>
    <r>
      <rPr>
        <sz val="10"/>
        <color theme="1"/>
        <rFont val="Times New Roman"/>
        <charset val="134"/>
      </rPr>
      <t>1</t>
    </r>
    <r>
      <rPr>
        <sz val="10"/>
        <color theme="1"/>
        <rFont val="宋体"/>
        <charset val="134"/>
      </rPr>
      <t>小时）和</t>
    </r>
    <r>
      <rPr>
        <sz val="10"/>
        <color theme="1"/>
        <rFont val="Times New Roman"/>
        <charset val="134"/>
      </rPr>
      <t>15</t>
    </r>
    <r>
      <rPr>
        <sz val="10"/>
        <color theme="1"/>
        <rFont val="宋体"/>
        <charset val="134"/>
      </rPr>
      <t>级（</t>
    </r>
    <r>
      <rPr>
        <sz val="10"/>
        <color theme="1"/>
        <rFont val="Times New Roman"/>
        <charset val="134"/>
      </rPr>
      <t>8</t>
    </r>
    <r>
      <rPr>
        <sz val="10"/>
        <color theme="1"/>
        <rFont val="宋体"/>
        <charset val="134"/>
      </rPr>
      <t>小时）时增加。</t>
    </r>
    <r>
      <rPr>
        <sz val="10"/>
        <color theme="1"/>
        <rFont val="Times New Roman"/>
        <charset val="134"/>
      </rPr>
      <t xml:space="preserve"> 
4 </t>
    </r>
    <r>
      <rPr>
        <sz val="10"/>
        <color theme="1"/>
        <rFont val="宋体"/>
        <charset val="134"/>
      </rPr>
      <t>气魄</t>
    </r>
    <r>
      <rPr>
        <sz val="10"/>
        <color theme="1"/>
        <rFont val="Times New Roman"/>
        <charset val="134"/>
      </rPr>
      <t>Boldness</t>
    </r>
    <r>
      <rPr>
        <sz val="10"/>
        <color theme="1"/>
        <rFont val="宋体"/>
        <charset val="134"/>
      </rPr>
      <t>。饮用者可以投掷</t>
    </r>
    <r>
      <rPr>
        <sz val="10"/>
        <color theme="1"/>
        <rFont val="Times New Roman"/>
        <charset val="134"/>
      </rPr>
      <t>1d4</t>
    </r>
    <r>
      <rPr>
        <sz val="10"/>
        <color theme="1"/>
        <rFont val="宋体"/>
        <charset val="134"/>
      </rPr>
      <t>，在接下来一分钟内，能够在每次攻击检定和豁免检定中加入这个值。持续时间在你奇械师等级到达</t>
    </r>
    <r>
      <rPr>
        <sz val="10"/>
        <color theme="1"/>
        <rFont val="Times New Roman"/>
        <charset val="134"/>
      </rPr>
      <t>9</t>
    </r>
    <r>
      <rPr>
        <sz val="10"/>
        <color theme="1"/>
        <rFont val="宋体"/>
        <charset val="134"/>
      </rPr>
      <t>级（</t>
    </r>
    <r>
      <rPr>
        <sz val="10"/>
        <color theme="1"/>
        <rFont val="Times New Roman"/>
        <charset val="134"/>
      </rPr>
      <t>10</t>
    </r>
    <r>
      <rPr>
        <sz val="10"/>
        <color theme="1"/>
        <rFont val="宋体"/>
        <charset val="134"/>
      </rPr>
      <t>分钟）和</t>
    </r>
    <r>
      <rPr>
        <sz val="10"/>
        <color theme="1"/>
        <rFont val="Times New Roman"/>
        <charset val="134"/>
      </rPr>
      <t>15</t>
    </r>
    <r>
      <rPr>
        <sz val="10"/>
        <color theme="1"/>
        <rFont val="宋体"/>
        <charset val="134"/>
      </rPr>
      <t>级（</t>
    </r>
    <r>
      <rPr>
        <sz val="10"/>
        <color theme="1"/>
        <rFont val="Times New Roman"/>
        <charset val="134"/>
      </rPr>
      <t>1</t>
    </r>
    <r>
      <rPr>
        <sz val="10"/>
        <color theme="1"/>
        <rFont val="宋体"/>
        <charset val="134"/>
      </rPr>
      <t>小时）时增加。</t>
    </r>
    <r>
      <rPr>
        <sz val="10"/>
        <color theme="1"/>
        <rFont val="Times New Roman"/>
        <charset val="134"/>
      </rPr>
      <t xml:space="preserve"> 
5 </t>
    </r>
    <r>
      <rPr>
        <sz val="10"/>
        <color theme="1"/>
        <rFont val="宋体"/>
        <charset val="134"/>
      </rPr>
      <t>飞行</t>
    </r>
    <r>
      <rPr>
        <sz val="10"/>
        <color theme="1"/>
        <rFont val="Times New Roman"/>
        <charset val="134"/>
      </rPr>
      <t>Flight</t>
    </r>
    <r>
      <rPr>
        <sz val="10"/>
        <color theme="1"/>
        <rFont val="宋体"/>
        <charset val="134"/>
      </rPr>
      <t>。饮用者获得</t>
    </r>
    <r>
      <rPr>
        <sz val="10"/>
        <color theme="1"/>
        <rFont val="Times New Roman"/>
        <charset val="134"/>
      </rPr>
      <t>10</t>
    </r>
    <r>
      <rPr>
        <sz val="10"/>
        <color theme="1"/>
        <rFont val="宋体"/>
        <charset val="134"/>
      </rPr>
      <t>尺飞行速度，持续</t>
    </r>
    <r>
      <rPr>
        <sz val="10"/>
        <color theme="1"/>
        <rFont val="Times New Roman"/>
        <charset val="134"/>
      </rPr>
      <t>10</t>
    </r>
    <r>
      <rPr>
        <sz val="10"/>
        <color theme="1"/>
        <rFont val="宋体"/>
        <charset val="134"/>
      </rPr>
      <t>分钟。飞行速度在你奇械师等级到达</t>
    </r>
    <r>
      <rPr>
        <sz val="10"/>
        <color theme="1"/>
        <rFont val="Times New Roman"/>
        <charset val="134"/>
      </rPr>
      <t>9</t>
    </r>
    <r>
      <rPr>
        <sz val="10"/>
        <color theme="1"/>
        <rFont val="宋体"/>
        <charset val="134"/>
      </rPr>
      <t>级（</t>
    </r>
    <r>
      <rPr>
        <sz val="10"/>
        <color theme="1"/>
        <rFont val="Times New Roman"/>
        <charset val="134"/>
      </rPr>
      <t>20</t>
    </r>
    <r>
      <rPr>
        <sz val="10"/>
        <color theme="1"/>
        <rFont val="宋体"/>
        <charset val="134"/>
      </rPr>
      <t>尺）和</t>
    </r>
    <r>
      <rPr>
        <sz val="10"/>
        <color theme="1"/>
        <rFont val="Times New Roman"/>
        <charset val="134"/>
      </rPr>
      <t>15</t>
    </r>
    <r>
      <rPr>
        <sz val="10"/>
        <color theme="1"/>
        <rFont val="宋体"/>
        <charset val="134"/>
      </rPr>
      <t>级（</t>
    </r>
    <r>
      <rPr>
        <sz val="10"/>
        <color theme="1"/>
        <rFont val="Times New Roman"/>
        <charset val="134"/>
      </rPr>
      <t>30</t>
    </r>
    <r>
      <rPr>
        <sz val="10"/>
        <color theme="1"/>
        <rFont val="宋体"/>
        <charset val="134"/>
      </rPr>
      <t>尺）时提升。</t>
    </r>
    <r>
      <rPr>
        <sz val="10"/>
        <color theme="1"/>
        <rFont val="Times New Roman"/>
        <charset val="134"/>
      </rPr>
      <t xml:space="preserve"> 
6 </t>
    </r>
    <r>
      <rPr>
        <sz val="10"/>
        <color theme="1"/>
        <rFont val="宋体"/>
        <charset val="134"/>
      </rPr>
      <t>你选择这个表格其他行来决定灵药的效果。</t>
    </r>
    <r>
      <rPr>
        <sz val="10"/>
        <color theme="1"/>
        <rFont val="Times New Roman"/>
        <charset val="134"/>
      </rPr>
      <t xml:space="preserve"> </t>
    </r>
  </si>
  <si>
    <t>灵能储备</t>
  </si>
  <si>
    <r>
      <rPr>
        <sz val="10"/>
        <color theme="1"/>
        <rFont val="宋体"/>
        <charset val="134"/>
      </rPr>
      <t>当你投掷先攻时，若你的灵能骰使用次数小于</t>
    </r>
    <r>
      <rPr>
        <sz val="10"/>
        <color theme="1"/>
        <rFont val="Times New Roman"/>
        <charset val="134"/>
      </rPr>
      <t>4</t>
    </r>
    <r>
      <rPr>
        <sz val="10"/>
        <color theme="1"/>
        <rFont val="宋体"/>
        <charset val="134"/>
      </rPr>
      <t>次，你恢复至</t>
    </r>
    <r>
      <rPr>
        <sz val="10"/>
        <color theme="1"/>
        <rFont val="Times New Roman"/>
        <charset val="134"/>
      </rPr>
      <t>4</t>
    </r>
    <r>
      <rPr>
        <sz val="10"/>
        <color theme="1"/>
        <rFont val="宋体"/>
        <charset val="134"/>
      </rPr>
      <t>次。</t>
    </r>
    <r>
      <rPr>
        <sz val="10"/>
        <color theme="1"/>
        <rFont val="Times New Roman"/>
        <charset val="134"/>
      </rPr>
      <t xml:space="preserve"> </t>
    </r>
  </si>
  <si>
    <r>
      <rPr>
        <sz val="10"/>
        <color theme="1"/>
        <rFont val="宋体"/>
        <charset val="134"/>
      </rPr>
      <t>轰鸣血仪</t>
    </r>
  </si>
  <si>
    <r>
      <rPr>
        <sz val="10"/>
        <color theme="1"/>
        <rFont val="宋体"/>
        <charset val="134"/>
      </rPr>
      <t>猩红仪式造成的额外伤害是雷鸣伤害。（前提：需</t>
    </r>
    <r>
      <rPr>
        <sz val="10"/>
        <color theme="1"/>
        <rFont val="Times New Roman"/>
        <charset val="134"/>
      </rPr>
      <t xml:space="preserve"> 14 </t>
    </r>
    <r>
      <rPr>
        <sz val="10"/>
        <color theme="1"/>
        <rFont val="宋体"/>
        <charset val="134"/>
      </rPr>
      <t>级）</t>
    </r>
  </si>
  <si>
    <r>
      <rPr>
        <sz val="10"/>
        <color theme="1"/>
        <rFont val="宋体"/>
        <charset val="134"/>
      </rPr>
      <t>医者本能</t>
    </r>
  </si>
  <si>
    <r>
      <rPr>
        <sz val="10"/>
        <color theme="1"/>
        <rFont val="宋体"/>
        <charset val="134"/>
      </rPr>
      <t>你获得</t>
    </r>
    <r>
      <rPr>
        <sz val="10"/>
        <color theme="1"/>
        <rFont val="Times New Roman"/>
        <charset val="134"/>
      </rPr>
      <t>10</t>
    </r>
    <r>
      <rPr>
        <sz val="10"/>
        <color theme="1"/>
        <rFont val="宋体"/>
        <charset val="134"/>
      </rPr>
      <t>尺范围的盲视。</t>
    </r>
  </si>
  <si>
    <t>易地而狙</t>
  </si>
  <si>
    <t>每当一名生物对你进行攻击检定失手时，你能够以反应结束你的倒地状态并移动至多等于你速度一半的距离。</t>
  </si>
  <si>
    <t>磺色闪光</t>
  </si>
  <si>
    <t>当你施加或转移缄印时，你可以激活此恩惠（无需动作）以传送至位于目标5尺内你可见的未占据空间中。</t>
  </si>
  <si>
    <t>猎犬最好的朋友</t>
  </si>
  <si>
    <t>当一名生物以攻击对你的猎犬造成伤害时，你能以反应移动至多等于你速度一半的距离并使用拳斗武器或徒手打击对那名生物发动一次近战攻击。</t>
  </si>
  <si>
    <t>交易学院</t>
  </si>
  <si>
    <r>
      <rPr>
        <sz val="10"/>
        <color theme="1"/>
        <rFont val="宋体"/>
        <charset val="134"/>
      </rPr>
      <t>兽之形貌</t>
    </r>
  </si>
  <si>
    <r>
      <rPr>
        <sz val="10"/>
        <color theme="1"/>
        <rFont val="宋体"/>
        <charset val="134"/>
      </rPr>
      <t>你从下列选项中自选一项能力获得。当你完成一次长休时，你可以改变你的选择。
猫头鹰</t>
    </r>
    <r>
      <rPr>
        <sz val="10"/>
        <color theme="1"/>
        <rFont val="Times New Roman"/>
        <charset val="134"/>
      </rPr>
      <t>Owl</t>
    </r>
    <r>
      <rPr>
        <sz val="10"/>
        <color theme="1"/>
        <rFont val="宋体"/>
        <charset val="134"/>
      </rPr>
      <t>。你具有</t>
    </r>
    <r>
      <rPr>
        <sz val="10"/>
        <color theme="1"/>
        <rFont val="Times New Roman"/>
        <charset val="134"/>
      </rPr>
      <t>60</t>
    </r>
    <r>
      <rPr>
        <sz val="10"/>
        <color theme="1"/>
        <rFont val="宋体"/>
        <charset val="134"/>
      </rPr>
      <t>尺黑暗视觉。如果你已经具有黑暗视觉，你的黑暗视觉范围增加</t>
    </r>
    <r>
      <rPr>
        <sz val="10"/>
        <color theme="1"/>
        <rFont val="Times New Roman"/>
        <charset val="134"/>
      </rPr>
      <t>60</t>
    </r>
    <r>
      <rPr>
        <sz val="10"/>
        <color theme="1"/>
        <rFont val="宋体"/>
        <charset val="134"/>
      </rPr>
      <t>尺。</t>
    </r>
    <r>
      <rPr>
        <sz val="10"/>
        <color theme="1"/>
        <rFont val="Times New Roman"/>
        <charset val="134"/>
      </rPr>
      <t xml:space="preserve"> 
</t>
    </r>
    <r>
      <rPr>
        <sz val="10"/>
        <color theme="1"/>
        <rFont val="宋体"/>
        <charset val="134"/>
      </rPr>
      <t>黑豹</t>
    </r>
    <r>
      <rPr>
        <sz val="10"/>
        <color theme="1"/>
        <rFont val="Times New Roman"/>
        <charset val="134"/>
      </rPr>
      <t>Panther</t>
    </r>
    <r>
      <rPr>
        <sz val="10"/>
        <color theme="1"/>
        <rFont val="宋体"/>
        <charset val="134"/>
      </rPr>
      <t>。你具有等于你速度的攀爬速度。</t>
    </r>
    <r>
      <rPr>
        <sz val="10"/>
        <color theme="1"/>
        <rFont val="Times New Roman"/>
        <charset val="134"/>
      </rPr>
      <t xml:space="preserve"> 
</t>
    </r>
    <r>
      <rPr>
        <sz val="10"/>
        <color theme="1"/>
        <rFont val="宋体"/>
        <charset val="134"/>
      </rPr>
      <t>鲑鱼</t>
    </r>
    <r>
      <rPr>
        <sz val="10"/>
        <color theme="1"/>
        <rFont val="Times New Roman"/>
        <charset val="134"/>
      </rPr>
      <t>Salmon</t>
    </r>
    <r>
      <rPr>
        <sz val="10"/>
        <color theme="1"/>
        <rFont val="宋体"/>
        <charset val="134"/>
      </rPr>
      <t>。你具有等于你速度的游泳速度。</t>
    </r>
  </si>
  <si>
    <r>
      <rPr>
        <sz val="10"/>
        <color theme="1"/>
        <rFont val="宋体"/>
        <charset val="134"/>
      </rPr>
      <t>附赠熟练</t>
    </r>
  </si>
  <si>
    <r>
      <rPr>
        <sz val="10"/>
        <color theme="1"/>
        <rFont val="宋体"/>
        <charset val="134"/>
      </rPr>
      <t>你获得三项由你选择的技能的熟练。</t>
    </r>
    <r>
      <rPr>
        <sz val="10"/>
        <color theme="1"/>
        <rFont val="Times New Roman"/>
        <charset val="134"/>
      </rPr>
      <t xml:space="preserve"> </t>
    </r>
  </si>
  <si>
    <r>
      <rPr>
        <sz val="10"/>
        <color theme="1"/>
        <rFont val="宋体"/>
        <charset val="134"/>
      </rPr>
      <t>守御之光</t>
    </r>
  </si>
  <si>
    <r>
      <rPr>
        <sz val="10"/>
        <color theme="1"/>
        <rFont val="宋体"/>
        <charset val="134"/>
      </rPr>
      <t>当位于你</t>
    </r>
    <r>
      <rPr>
        <sz val="10"/>
        <color theme="1"/>
        <rFont val="Times New Roman"/>
        <charset val="134"/>
      </rPr>
      <t>30</t>
    </r>
    <r>
      <rPr>
        <sz val="10"/>
        <color theme="1"/>
        <rFont val="宋体"/>
        <charset val="134"/>
      </rPr>
      <t>尺内一名你可见的生物进行攻击检定时，你能够以反应在该次攻击命中或失手前在该生物面前发出闪耀之光，迫使其该次攻击检定具有劣势。
你可以使用该特性的次数等于你的感知调整值（最少</t>
    </r>
    <r>
      <rPr>
        <sz val="10"/>
        <color theme="1"/>
        <rFont val="Times New Roman"/>
        <charset val="134"/>
      </rPr>
      <t>1</t>
    </r>
    <r>
      <rPr>
        <sz val="10"/>
        <color theme="1"/>
        <rFont val="宋体"/>
        <charset val="134"/>
      </rPr>
      <t>次）。你在完成一次长休时重获所有已消耗的使用次数。</t>
    </r>
    <r>
      <rPr>
        <sz val="10"/>
        <color theme="1"/>
        <rFont val="Times New Roman"/>
        <charset val="134"/>
      </rPr>
      <t xml:space="preserve"> </t>
    </r>
  </si>
  <si>
    <r>
      <rPr>
        <sz val="10"/>
        <color theme="1"/>
        <rFont val="宋体"/>
        <charset val="134"/>
      </rPr>
      <t>自然守御</t>
    </r>
  </si>
  <si>
    <r>
      <rPr>
        <sz val="10"/>
        <color theme="1"/>
        <rFont val="宋体"/>
        <charset val="134"/>
      </rPr>
      <t>你免疫中毒状态，并且你具有和你目前在结社法术特性中选择的土地相关的伤害类型的抗性，如自然守御表格所示。
自然守御</t>
    </r>
    <r>
      <rPr>
        <sz val="10"/>
        <color theme="1"/>
        <rFont val="Times New Roman"/>
        <charset val="134"/>
      </rPr>
      <t xml:space="preserve">Nature's Ward
</t>
    </r>
    <r>
      <rPr>
        <sz val="10"/>
        <color theme="1"/>
        <rFont val="宋体"/>
        <charset val="134"/>
      </rPr>
      <t>地形</t>
    </r>
    <r>
      <rPr>
        <sz val="10"/>
        <color theme="1"/>
        <rFont val="Times New Roman"/>
        <charset val="134"/>
      </rPr>
      <t xml:space="preserve"> </t>
    </r>
    <r>
      <rPr>
        <sz val="10"/>
        <color theme="1"/>
        <rFont val="宋体"/>
        <charset val="134"/>
      </rPr>
      <t>抗性
荒漠</t>
    </r>
    <r>
      <rPr>
        <sz val="10"/>
        <color theme="1"/>
        <rFont val="Times New Roman"/>
        <charset val="134"/>
      </rPr>
      <t xml:space="preserve"> </t>
    </r>
    <r>
      <rPr>
        <sz val="10"/>
        <color theme="1"/>
        <rFont val="宋体"/>
        <charset val="134"/>
      </rPr>
      <t>火焰
温带</t>
    </r>
    <r>
      <rPr>
        <sz val="10"/>
        <color theme="1"/>
        <rFont val="Times New Roman"/>
        <charset val="134"/>
      </rPr>
      <t xml:space="preserve"> </t>
    </r>
    <r>
      <rPr>
        <sz val="10"/>
        <color theme="1"/>
        <rFont val="宋体"/>
        <charset val="134"/>
      </rPr>
      <t>闪电
极地</t>
    </r>
    <r>
      <rPr>
        <sz val="10"/>
        <color theme="1"/>
        <rFont val="Times New Roman"/>
        <charset val="134"/>
      </rPr>
      <t xml:space="preserve"> </t>
    </r>
    <r>
      <rPr>
        <sz val="10"/>
        <color theme="1"/>
        <rFont val="宋体"/>
        <charset val="134"/>
      </rPr>
      <t>寒冷
热带</t>
    </r>
    <r>
      <rPr>
        <sz val="10"/>
        <color theme="1"/>
        <rFont val="Times New Roman"/>
        <charset val="134"/>
      </rPr>
      <t xml:space="preserve"> </t>
    </r>
    <r>
      <rPr>
        <sz val="10"/>
        <color theme="1"/>
        <rFont val="宋体"/>
        <charset val="134"/>
      </rPr>
      <t>毒素</t>
    </r>
  </si>
  <si>
    <r>
      <rPr>
        <sz val="10"/>
        <color theme="1"/>
        <rFont val="宋体"/>
        <charset val="134"/>
      </rPr>
      <t>灵动攻击</t>
    </r>
  </si>
  <si>
    <r>
      <rPr>
        <sz val="10"/>
        <color theme="1"/>
        <rFont val="宋体"/>
        <charset val="134"/>
      </rPr>
      <t>你以攻击检定命中一个生物时，可以消耗一枚卓越骰以让战友移动到更有利的位置。将所消耗的卓越骰加在此次攻击的伤害掷骰中，并指定一个能看见你或听到你声音的自愿生物。该生物可以用其反应移动至多等于其速度一半的距离。本次移动不会引发本次所攻击目标的借机攻击。</t>
    </r>
  </si>
  <si>
    <r>
      <rPr>
        <sz val="10"/>
        <color theme="1"/>
        <rFont val="宋体"/>
        <charset val="134"/>
      </rPr>
      <t>生杀予夺</t>
    </r>
  </si>
  <si>
    <r>
      <rPr>
        <sz val="10"/>
        <color theme="1"/>
        <rFont val="宋体"/>
        <charset val="134"/>
      </rPr>
      <t>当你使用疾风连击时，每一次徒手打击都可以替换为使用你的予命之手，且都不需要为治疗额外消耗功力。
此外，当你在疾风连击中发动徒手打击并造成伤害时，你可以无需消耗功力就使用一次夺命之手。不过你仍然只能在每回合中使用一次夺命之手。
你能使用此增益的次数等于你的感知调整值（最少一次）。你在完成一次长休后回复所有消耗的次数。</t>
    </r>
  </si>
  <si>
    <r>
      <rPr>
        <sz val="10"/>
        <color theme="1"/>
        <rFont val="宋体"/>
        <charset val="134"/>
      </rPr>
      <t>卫护斩</t>
    </r>
  </si>
  <si>
    <r>
      <rPr>
        <sz val="10"/>
        <color theme="1"/>
        <rFont val="宋体"/>
        <charset val="134"/>
      </rPr>
      <t>你现在能让魔法斩击散发出保护性的能量。每当你施展至圣斩时，直到你的下个回合开始为止，你的灵光获得以下增益：身处你的守护灵光期间，你和你的盟友具有半身掩护。</t>
    </r>
  </si>
  <si>
    <r>
      <rPr>
        <sz val="10"/>
        <color theme="1"/>
        <rFont val="宋体"/>
        <charset val="134"/>
      </rPr>
      <t>哀惧灵袭</t>
    </r>
  </si>
  <si>
    <r>
      <rPr>
        <sz val="10"/>
        <color theme="1"/>
        <rFont val="宋体"/>
        <charset val="134"/>
      </rPr>
      <t>你能够使用来自妖精荒野中黑暗空洞的摄心魔法以强化你的武器攻击。当你用一把武器击中一个生物时，你可以对目标造成额外的</t>
    </r>
    <r>
      <rPr>
        <sz val="10"/>
        <color theme="1"/>
        <rFont val="Times New Roman"/>
        <charset val="134"/>
      </rPr>
      <t>1d4</t>
    </r>
    <r>
      <rPr>
        <sz val="10"/>
        <color theme="1"/>
        <rFont val="宋体"/>
        <charset val="134"/>
      </rPr>
      <t>点心灵伤害。每个生物在每个回合只能够受到这一额外伤害一次。你的游侠等级达到</t>
    </r>
    <r>
      <rPr>
        <sz val="10"/>
        <color theme="1"/>
        <rFont val="Times New Roman"/>
        <charset val="134"/>
      </rPr>
      <t>11</t>
    </r>
    <r>
      <rPr>
        <sz val="10"/>
        <color theme="1"/>
        <rFont val="宋体"/>
        <charset val="134"/>
      </rPr>
      <t>级时，这一额外伤害变为</t>
    </r>
    <r>
      <rPr>
        <sz val="10"/>
        <color theme="1"/>
        <rFont val="Times New Roman"/>
        <charset val="134"/>
      </rPr>
      <t>1d6</t>
    </r>
    <r>
      <rPr>
        <sz val="10"/>
        <color theme="1"/>
        <rFont val="宋体"/>
        <charset val="134"/>
      </rPr>
      <t>。</t>
    </r>
  </si>
  <si>
    <r>
      <rPr>
        <sz val="10"/>
        <color theme="1"/>
        <rFont val="宋体"/>
        <charset val="134"/>
      </rPr>
      <t>诡术伏击</t>
    </r>
  </si>
  <si>
    <r>
      <rPr>
        <sz val="10"/>
        <color theme="1"/>
        <rFont val="宋体"/>
        <charset val="134"/>
      </rPr>
      <t>处于隐形状态期间，若你对一名生物施法，它在那个回合中为对抗该法术而进行的任何豁免检定都具有劣势。</t>
    </r>
  </si>
  <si>
    <r>
      <rPr>
        <sz val="10"/>
        <color theme="1"/>
        <rFont val="宋体"/>
        <charset val="134"/>
      </rPr>
      <t>灵能法术</t>
    </r>
  </si>
  <si>
    <r>
      <rPr>
        <sz val="10"/>
        <color theme="1"/>
        <rFont val="宋体"/>
        <charset val="134"/>
      </rPr>
      <t>当你到达灵能法术表中特定的术士等级时，你就始终准备了表中对应的法术。
灵能法术</t>
    </r>
    <r>
      <rPr>
        <sz val="10"/>
        <color theme="1"/>
        <rFont val="Times New Roman"/>
        <charset val="134"/>
      </rPr>
      <t xml:space="preserve">Psionic Spells 
</t>
    </r>
    <r>
      <rPr>
        <sz val="10"/>
        <color theme="1"/>
        <rFont val="宋体"/>
        <charset val="134"/>
      </rPr>
      <t>术士等级</t>
    </r>
    <r>
      <rPr>
        <sz val="10"/>
        <color theme="1"/>
        <rFont val="Times New Roman"/>
        <charset val="134"/>
      </rPr>
      <t xml:space="preserve"> </t>
    </r>
    <r>
      <rPr>
        <sz val="10"/>
        <color theme="1"/>
        <rFont val="宋体"/>
        <charset val="134"/>
      </rPr>
      <t xml:space="preserve">准备法术
</t>
    </r>
    <r>
      <rPr>
        <sz val="10"/>
        <color theme="1"/>
        <rFont val="Times New Roman"/>
        <charset val="134"/>
      </rPr>
      <t xml:space="preserve">3 </t>
    </r>
    <r>
      <rPr>
        <sz val="10"/>
        <color theme="1"/>
        <rFont val="宋体"/>
        <charset val="134"/>
      </rPr>
      <t>心灵之楔</t>
    </r>
    <r>
      <rPr>
        <sz val="10"/>
        <color theme="1"/>
        <rFont val="Times New Roman"/>
        <charset val="134"/>
      </rPr>
      <t>Mind Sliver</t>
    </r>
    <r>
      <rPr>
        <sz val="10"/>
        <color theme="1"/>
        <rFont val="宋体"/>
        <charset val="134"/>
      </rPr>
      <t>，哈达之臂</t>
    </r>
    <r>
      <rPr>
        <sz val="10"/>
        <color theme="1"/>
        <rFont val="Times New Roman"/>
        <charset val="134"/>
      </rPr>
      <t>Arms of Hadar</t>
    </r>
    <r>
      <rPr>
        <sz val="10"/>
        <color theme="1"/>
        <rFont val="宋体"/>
        <charset val="134"/>
      </rPr>
      <t>，不谐低语</t>
    </r>
    <r>
      <rPr>
        <sz val="10"/>
        <color theme="1"/>
        <rFont val="Times New Roman"/>
        <charset val="134"/>
      </rPr>
      <t>Dissonant Whispers</t>
    </r>
    <r>
      <rPr>
        <sz val="10"/>
        <color theme="1"/>
        <rFont val="宋体"/>
        <charset val="134"/>
      </rPr>
      <t>，安定心神</t>
    </r>
    <r>
      <rPr>
        <sz val="10"/>
        <color theme="1"/>
        <rFont val="Times New Roman"/>
        <charset val="134"/>
      </rPr>
      <t>Calm Emotions</t>
    </r>
    <r>
      <rPr>
        <sz val="10"/>
        <color theme="1"/>
        <rFont val="宋体"/>
        <charset val="134"/>
      </rPr>
      <t>，侦测思想</t>
    </r>
    <r>
      <rPr>
        <sz val="10"/>
        <color theme="1"/>
        <rFont val="Times New Roman"/>
        <charset val="134"/>
      </rPr>
      <t xml:space="preserve">Detect Thoughts 
5 </t>
    </r>
    <r>
      <rPr>
        <sz val="10"/>
        <color theme="1"/>
        <rFont val="宋体"/>
        <charset val="134"/>
      </rPr>
      <t>哈达之欲</t>
    </r>
    <r>
      <rPr>
        <sz val="10"/>
        <color theme="1"/>
        <rFont val="Times New Roman"/>
        <charset val="134"/>
      </rPr>
      <t>Hunger of Hadar</t>
    </r>
    <r>
      <rPr>
        <sz val="10"/>
        <color theme="1"/>
        <rFont val="宋体"/>
        <charset val="134"/>
      </rPr>
      <t>，短讯术</t>
    </r>
    <r>
      <rPr>
        <sz val="10"/>
        <color theme="1"/>
        <rFont val="Times New Roman"/>
        <charset val="134"/>
      </rPr>
      <t xml:space="preserve">Sending 
7 </t>
    </r>
    <r>
      <rPr>
        <sz val="10"/>
        <color theme="1"/>
        <rFont val="宋体"/>
        <charset val="134"/>
      </rPr>
      <t>艾伐黑触手</t>
    </r>
    <r>
      <rPr>
        <sz val="10"/>
        <color theme="1"/>
        <rFont val="Times New Roman"/>
        <charset val="134"/>
      </rPr>
      <t>Evard’s Black Tentacles</t>
    </r>
    <r>
      <rPr>
        <sz val="10"/>
        <color theme="1"/>
        <rFont val="宋体"/>
        <charset val="134"/>
      </rPr>
      <t>，异怪召唤术</t>
    </r>
    <r>
      <rPr>
        <sz val="10"/>
        <color theme="1"/>
        <rFont val="Times New Roman"/>
        <charset val="134"/>
      </rPr>
      <t xml:space="preserve">Summon Aberration 
9 </t>
    </r>
    <r>
      <rPr>
        <sz val="10"/>
        <color theme="1"/>
        <rFont val="宋体"/>
        <charset val="134"/>
      </rPr>
      <t>拉瑞心灵连接</t>
    </r>
    <r>
      <rPr>
        <sz val="10"/>
        <color theme="1"/>
        <rFont val="Times New Roman"/>
        <charset val="134"/>
      </rPr>
      <t>Rary’s Telepathic Bond</t>
    </r>
    <r>
      <rPr>
        <sz val="10"/>
        <color theme="1"/>
        <rFont val="宋体"/>
        <charset val="134"/>
      </rPr>
      <t>，心灵遥控</t>
    </r>
    <r>
      <rPr>
        <sz val="10"/>
        <color theme="1"/>
        <rFont val="Times New Roman"/>
        <charset val="134"/>
      </rPr>
      <t xml:space="preserve">Telekinesis </t>
    </r>
  </si>
  <si>
    <r>
      <rPr>
        <sz val="10"/>
        <color theme="1"/>
        <rFont val="宋体"/>
        <charset val="134"/>
      </rPr>
      <t>斥力魔爆</t>
    </r>
  </si>
  <si>
    <r>
      <rPr>
        <sz val="10"/>
        <color theme="1"/>
        <rFont val="宋体"/>
        <charset val="134"/>
      </rPr>
      <t>先决：魔契师等级</t>
    </r>
    <r>
      <rPr>
        <sz val="10"/>
        <color theme="1"/>
        <rFont val="Times New Roman"/>
        <charset val="134"/>
      </rPr>
      <t>2+</t>
    </r>
    <r>
      <rPr>
        <sz val="10"/>
        <color theme="1"/>
        <rFont val="宋体"/>
        <charset val="134"/>
      </rPr>
      <t>，已知一道通过攻击检定造成伤害的魔契师戏法
选择一道你已知的需要一次攻击检定的魔契师戏法。当你用该戏法命中一名体型不超过大型的生物时，你可以将目标推开至多</t>
    </r>
    <r>
      <rPr>
        <sz val="10"/>
        <color theme="1"/>
        <rFont val="Times New Roman"/>
        <charset val="134"/>
      </rPr>
      <t>10</t>
    </r>
    <r>
      <rPr>
        <sz val="10"/>
        <color theme="1"/>
        <rFont val="宋体"/>
        <charset val="134"/>
      </rPr>
      <t>尺。
复选</t>
    </r>
    <r>
      <rPr>
        <sz val="10"/>
        <color theme="1"/>
        <rFont val="Times New Roman"/>
        <charset val="134"/>
      </rPr>
      <t>Repeatable</t>
    </r>
    <r>
      <rPr>
        <sz val="10"/>
        <color theme="1"/>
        <rFont val="宋体"/>
        <charset val="134"/>
      </rPr>
      <t>。</t>
    </r>
    <r>
      <rPr>
        <sz val="10"/>
        <color theme="1"/>
        <rFont val="Times New Roman"/>
        <charset val="134"/>
      </rPr>
      <t xml:space="preserve"> </t>
    </r>
    <r>
      <rPr>
        <sz val="10"/>
        <color theme="1"/>
        <rFont val="宋体"/>
        <charset val="134"/>
      </rPr>
      <t>你可以多次选择本祈唤。每次这么做时，你都必须选择不同的满足先决的戏法。</t>
    </r>
  </si>
  <si>
    <r>
      <rPr>
        <sz val="10"/>
        <color theme="1"/>
        <rFont val="宋体"/>
        <charset val="134"/>
      </rPr>
      <t>预兆</t>
    </r>
  </si>
  <si>
    <r>
      <rPr>
        <sz val="10"/>
        <color theme="1"/>
        <rFont val="宋体"/>
        <charset val="134"/>
      </rPr>
      <t>预知未来的片段开始在你意识中闪过。每当你完成一次长休时，掷</t>
    </r>
    <r>
      <rPr>
        <sz val="10"/>
        <color theme="1"/>
        <rFont val="Times New Roman"/>
        <charset val="134"/>
      </rPr>
      <t>2</t>
    </r>
    <r>
      <rPr>
        <sz val="10"/>
        <color theme="1"/>
        <rFont val="宋体"/>
        <charset val="134"/>
      </rPr>
      <t>次</t>
    </r>
    <r>
      <rPr>
        <sz val="10"/>
        <color theme="1"/>
        <rFont val="Times New Roman"/>
        <charset val="134"/>
      </rPr>
      <t>D20</t>
    </r>
    <r>
      <rPr>
        <sz val="10"/>
        <color theme="1"/>
        <rFont val="宋体"/>
        <charset val="134"/>
      </rPr>
      <t>并记录其结果。你能用其中一个预言骰替换任何你或一个你能看见的生物进行的</t>
    </r>
    <r>
      <rPr>
        <sz val="10"/>
        <color theme="1"/>
        <rFont val="Times New Roman"/>
        <charset val="134"/>
      </rPr>
      <t>D20</t>
    </r>
    <r>
      <rPr>
        <sz val="10"/>
        <color theme="1"/>
        <rFont val="宋体"/>
        <charset val="134"/>
      </rPr>
      <t>检定。你必须在检定进行前选择这样做，且你每回合只能以这种方式替换一次检定。
每个预言骰只能被使用一次。当你完成一次长休时，你失去所有未消耗的预言骰。</t>
    </r>
  </si>
  <si>
    <r>
      <rPr>
        <sz val="10"/>
        <color theme="1"/>
        <rFont val="宋体"/>
        <charset val="134"/>
      </rPr>
      <t>炼金术掌握</t>
    </r>
  </si>
  <si>
    <r>
      <rPr>
        <sz val="10"/>
        <color theme="1"/>
        <rFont val="宋体"/>
        <charset val="134"/>
      </rPr>
      <t>每当你使用你的炼金工具作为施法法器施展一个法术，你在该法术的其中一次掷骰中得到加值。这次掷骰必须是恢复生命值的，或是造成强酸，火焰或毒素伤害的伤害掷骰。加值等于你的智力调整值（最小值为</t>
    </r>
    <r>
      <rPr>
        <sz val="10"/>
        <color theme="1"/>
        <rFont val="Times New Roman"/>
        <charset val="134"/>
      </rPr>
      <t>+1</t>
    </r>
    <r>
      <rPr>
        <sz val="10"/>
        <color theme="1"/>
        <rFont val="宋体"/>
        <charset val="134"/>
      </rPr>
      <t>）。</t>
    </r>
  </si>
  <si>
    <r>
      <rPr>
        <sz val="10"/>
        <color theme="1"/>
        <rFont val="宋体"/>
        <charset val="134"/>
      </rPr>
      <t>你获得一项传奇恩惠专长或其他一项你选择的适用的专长。推荐选择能量抗性之恩惠</t>
    </r>
    <r>
      <rPr>
        <sz val="10"/>
        <color theme="1"/>
        <rFont val="Times New Roman"/>
        <charset val="134"/>
      </rPr>
      <t xml:space="preserve"> </t>
    </r>
    <r>
      <rPr>
        <sz val="10"/>
        <color theme="1"/>
        <rFont val="宋体"/>
        <charset val="134"/>
      </rPr>
      <t>。</t>
    </r>
  </si>
  <si>
    <t>15+</t>
  </si>
  <si>
    <r>
      <rPr>
        <sz val="10"/>
        <color theme="1"/>
        <rFont val="宋体"/>
        <charset val="134"/>
      </rPr>
      <t>腐蚀血咒</t>
    </r>
  </si>
  <si>
    <r>
      <rPr>
        <sz val="10"/>
        <color theme="1"/>
        <rFont val="宋体"/>
        <charset val="134"/>
      </rPr>
      <t>先决条件：</t>
    </r>
    <r>
      <rPr>
        <sz val="10"/>
        <color theme="1"/>
        <rFont val="Times New Roman"/>
        <charset val="134"/>
      </rPr>
      <t xml:space="preserve">15 </t>
    </r>
    <r>
      <rPr>
        <sz val="10"/>
        <color theme="1"/>
        <rFont val="宋体"/>
        <charset val="134"/>
      </rPr>
      <t>级，突变圣约
以一个附赠动作，你</t>
    </r>
    <r>
      <rPr>
        <sz val="10"/>
        <color theme="1"/>
        <rFont val="Times New Roman"/>
        <charset val="134"/>
      </rPr>
      <t xml:space="preserve"> 30 </t>
    </r>
    <r>
      <rPr>
        <sz val="10"/>
        <color theme="1"/>
        <rFont val="宋体"/>
        <charset val="134"/>
      </rPr>
      <t>尺内的一个生物必须通过一次体质豁免，否则陷入中毒状态。
其在自己的每回合结束时可以进行体质豁免。豁免成功时此诅咒结束。
增幅。目标被诅咒时受到</t>
    </r>
    <r>
      <rPr>
        <sz val="10"/>
        <color theme="1"/>
        <rFont val="Times New Roman"/>
        <charset val="134"/>
      </rPr>
      <t xml:space="preserve"> 4d6 </t>
    </r>
    <r>
      <rPr>
        <sz val="10"/>
        <color theme="1"/>
        <rFont val="宋体"/>
        <charset val="134"/>
      </rPr>
      <t>点暗蚀伤害，并且每回合结束时，如果豁免失败，再次受到此伤害。</t>
    </r>
  </si>
  <si>
    <r>
      <rPr>
        <sz val="10"/>
        <color theme="1"/>
        <rFont val="宋体"/>
        <charset val="134"/>
      </rPr>
      <t>伤患鉴别法</t>
    </r>
  </si>
  <si>
    <r>
      <rPr>
        <sz val="10"/>
        <color theme="1"/>
        <rFont val="宋体"/>
        <charset val="134"/>
      </rPr>
      <t>你习得戏法维生术，如果你还没有习得它的话。当你施展它时，其施法距离变为</t>
    </r>
    <r>
      <rPr>
        <sz val="10"/>
        <color theme="1"/>
        <rFont val="Times New Roman"/>
        <charset val="134"/>
      </rPr>
      <t>60</t>
    </r>
    <r>
      <rPr>
        <sz val="10"/>
        <color theme="1"/>
        <rFont val="宋体"/>
        <charset val="134"/>
      </rPr>
      <t>尺。</t>
    </r>
  </si>
  <si>
    <t>射杀百头</t>
  </si>
  <si>
    <t>当你执行攻击动作时，你可以选择使用武器仅进行一次远程攻击检定来发动射杀百头。此次攻击检定具有优势，且命中时造成重击。</t>
  </si>
  <si>
    <t>炼狱狂怒</t>
  </si>
  <si>
    <t>当你在受禁生物30尺内开始你的回合时，你可以消耗一枚缄印，在炼狱之力的作用下陷入狂怒，持续至你的下一回合开始。狂怒期间，你的移动速度翻倍，你的AC获得+2加值，你执行攻击动作时，可以额外发动一次武器攻击。</t>
  </si>
  <si>
    <t>彻底疯狂</t>
  </si>
  <si>
    <r>
      <rPr>
        <sz val="10"/>
        <color theme="1"/>
        <rFont val="宋体"/>
        <charset val="134"/>
      </rPr>
      <t>当你的猎犬受到的伤害令其进入浴血，或其在浴血期间受到伤害时，你能以反应令你的猎犬彻底疯狂。当你如此做时，你的猎犬获得等于你拳斗士等级五倍的临时生命值，且在下</t>
    </r>
    <r>
      <rPr>
        <sz val="10"/>
        <color theme="1"/>
        <rFont val="Times New Roman"/>
        <charset val="134"/>
      </rPr>
      <t>1</t>
    </r>
    <r>
      <rPr>
        <sz val="10"/>
        <color theme="1"/>
        <rFont val="宋体"/>
        <charset val="134"/>
      </rPr>
      <t>分钟内，其速度提升</t>
    </r>
    <r>
      <rPr>
        <sz val="10"/>
        <color theme="1"/>
        <rFont val="Times New Roman"/>
        <charset val="134"/>
      </rPr>
      <t>15</t>
    </r>
    <r>
      <rPr>
        <sz val="10"/>
        <color theme="1"/>
        <rFont val="宋体"/>
        <charset val="134"/>
      </rPr>
      <t>尺，且你命令其使用啃咬时无需执行附赠动作。</t>
    </r>
    <r>
      <rPr>
        <sz val="10"/>
        <color theme="1"/>
        <rFont val="Times New Roman"/>
        <charset val="134"/>
      </rPr>
      <t xml:space="preserve">
</t>
    </r>
    <r>
      <rPr>
        <sz val="10"/>
        <color theme="1"/>
        <rFont val="宋体"/>
        <charset val="134"/>
      </rPr>
      <t>此特性一经使用，直至完成长休你都无法再次使用。你也能消耗</t>
    </r>
    <r>
      <rPr>
        <sz val="10"/>
        <color theme="1"/>
        <rFont val="Times New Roman"/>
        <charset val="134"/>
      </rPr>
      <t>3</t>
    </r>
    <r>
      <rPr>
        <sz val="10"/>
        <color theme="1"/>
        <rFont val="宋体"/>
        <charset val="134"/>
      </rPr>
      <t>点锐气重置此特性的使用权（无需动作）。</t>
    </r>
  </si>
  <si>
    <t>暗影学院</t>
  </si>
  <si>
    <r>
      <rPr>
        <sz val="10"/>
        <color theme="1"/>
        <rFont val="宋体"/>
        <charset val="134"/>
      </rPr>
      <t>自然语者</t>
    </r>
  </si>
  <si>
    <r>
      <rPr>
        <sz val="10"/>
        <color theme="1"/>
        <rFont val="宋体"/>
        <charset val="134"/>
      </rPr>
      <t>你可以施展法术问道自然</t>
    </r>
    <r>
      <rPr>
        <sz val="10"/>
        <color theme="1"/>
        <rFont val="Times New Roman"/>
        <charset val="134"/>
      </rPr>
      <t>Commune With Nature</t>
    </r>
    <r>
      <rPr>
        <sz val="10"/>
        <color theme="1"/>
        <rFont val="宋体"/>
        <charset val="134"/>
      </rPr>
      <t>，仅限仪式施展。感知是你该法术的施法属性。</t>
    </r>
  </si>
  <si>
    <r>
      <rPr>
        <sz val="10"/>
        <color theme="1"/>
        <rFont val="宋体"/>
        <charset val="134"/>
      </rPr>
      <t>语出惊人</t>
    </r>
  </si>
  <si>
    <r>
      <rPr>
        <sz val="10"/>
        <color theme="1"/>
        <rFont val="宋体"/>
        <charset val="134"/>
      </rPr>
      <t>你学会了如何运用你的妙语连珠来超自然地打断敌人、分散注意亦或是削弱他人的自信心和行动力。当一名你可见的位于你</t>
    </r>
    <r>
      <rPr>
        <sz val="10"/>
        <color theme="1"/>
        <rFont val="Times New Roman"/>
        <charset val="134"/>
      </rPr>
      <t>60</t>
    </r>
    <r>
      <rPr>
        <sz val="10"/>
        <color theme="1"/>
        <rFont val="宋体"/>
        <charset val="134"/>
      </rPr>
      <t>尺内的生物进行伤害掷骰、成功于一次属性检定或攻击检定时，你能够以反应消耗一次诗人激励使用次数，并掷诗人激励骰，然后从该生物的掷骰结果中减去诗人骰的骰值，这将降低其造成的伤害或可能使这次检定的成功变为失败。</t>
    </r>
    <r>
      <rPr>
        <sz val="10"/>
        <color theme="1"/>
        <rFont val="Times New Roman"/>
        <charset val="134"/>
      </rPr>
      <t xml:space="preserve"> </t>
    </r>
  </si>
  <si>
    <r>
      <rPr>
        <sz val="10"/>
        <color theme="1"/>
        <rFont val="宋体"/>
        <charset val="134"/>
      </rPr>
      <t>精通守御之光</t>
    </r>
  </si>
  <si>
    <r>
      <rPr>
        <sz val="10"/>
        <color theme="1"/>
        <rFont val="宋体"/>
        <charset val="134"/>
      </rPr>
      <t>你在完成一次短休或长休后重新获得所有守御之光的使用次数。
此外，每当你使用守御之光时，你可以给予触发此反应的该次攻击所指定那个目标</t>
    </r>
    <r>
      <rPr>
        <sz val="10"/>
        <color theme="1"/>
        <rFont val="Times New Roman"/>
        <charset val="134"/>
      </rPr>
      <t>2d6+</t>
    </r>
    <r>
      <rPr>
        <sz val="10"/>
        <color theme="1"/>
        <rFont val="宋体"/>
        <charset val="134"/>
      </rPr>
      <t>你感知调整值点临时生命值。</t>
    </r>
  </si>
  <si>
    <r>
      <rPr>
        <sz val="10"/>
        <color theme="1"/>
        <rFont val="宋体"/>
        <charset val="134"/>
      </rPr>
      <t>自然庇护</t>
    </r>
  </si>
  <si>
    <r>
      <rPr>
        <sz val="10"/>
        <color theme="1"/>
        <rFont val="宋体"/>
        <charset val="134"/>
      </rPr>
      <t>以一个魔法动作，你可以消耗一次荒野变形次数在距你</t>
    </r>
    <r>
      <rPr>
        <sz val="10"/>
        <color theme="1"/>
        <rFont val="Times New Roman"/>
        <charset val="134"/>
      </rPr>
      <t>120</t>
    </r>
    <r>
      <rPr>
        <sz val="10"/>
        <color theme="1"/>
        <rFont val="宋体"/>
        <charset val="134"/>
      </rPr>
      <t>尺内的地面上制造出</t>
    </r>
    <r>
      <rPr>
        <sz val="10"/>
        <color theme="1"/>
        <rFont val="Times New Roman"/>
        <charset val="134"/>
      </rPr>
      <t>15</t>
    </r>
    <r>
      <rPr>
        <sz val="10"/>
        <color theme="1"/>
        <rFont val="宋体"/>
        <charset val="134"/>
      </rPr>
      <t>尺立方区域的灵体丛林和藤蔓。它们持续存在</t>
    </r>
    <r>
      <rPr>
        <sz val="10"/>
        <color theme="1"/>
        <rFont val="Times New Roman"/>
        <charset val="134"/>
      </rPr>
      <t>1</t>
    </r>
    <r>
      <rPr>
        <sz val="10"/>
        <color theme="1"/>
        <rFont val="宋体"/>
        <charset val="134"/>
      </rPr>
      <t>分钟或直到你陷入失能状态或死去。在该区域内，你和你的盟友获得半身掩护，你的盟友还会获得你自然守御特性提供的伤害抗性。
以一个附赠动作，你可以将立方区域在你的</t>
    </r>
    <r>
      <rPr>
        <sz val="10"/>
        <color theme="1"/>
        <rFont val="Times New Roman"/>
        <charset val="134"/>
      </rPr>
      <t>120</t>
    </r>
    <r>
      <rPr>
        <sz val="10"/>
        <color theme="1"/>
        <rFont val="宋体"/>
        <charset val="134"/>
      </rPr>
      <t>尺内移动最多</t>
    </r>
    <r>
      <rPr>
        <sz val="10"/>
        <color theme="1"/>
        <rFont val="Times New Roman"/>
        <charset val="134"/>
      </rPr>
      <t>60</t>
    </r>
    <r>
      <rPr>
        <sz val="10"/>
        <color theme="1"/>
        <rFont val="宋体"/>
        <charset val="134"/>
      </rPr>
      <t>尺距离。</t>
    </r>
  </si>
  <si>
    <r>
      <rPr>
        <sz val="10"/>
        <color theme="1"/>
        <rFont val="宋体"/>
        <charset val="134"/>
      </rPr>
      <t>恐吓攻击</t>
    </r>
  </si>
  <si>
    <r>
      <rPr>
        <sz val="10"/>
        <color theme="1"/>
        <rFont val="宋体"/>
        <charset val="134"/>
      </rPr>
      <t>你以攻击检定命中一个生物时，可消耗一枚卓越骰以尝试恐吓该目标。所消耗的卓越骰还会被加到此次攻击的伤害掷骰中。目标必须通过一次感知豁免，豁免失败则陷入恐慌状态，直到你下个回合结束为止。</t>
    </r>
  </si>
  <si>
    <r>
      <rPr>
        <sz val="10"/>
        <color theme="1"/>
        <rFont val="宋体"/>
        <charset val="134"/>
      </rPr>
      <t>命极之手</t>
    </r>
  </si>
  <si>
    <r>
      <rPr>
        <sz val="10"/>
        <color theme="1"/>
        <rFont val="宋体"/>
        <charset val="134"/>
      </rPr>
      <t>你对生命能量的掌握打开了通往命流奥义的大门。以一个魔法动作，你可以消耗</t>
    </r>
    <r>
      <rPr>
        <sz val="10"/>
        <color theme="1"/>
        <rFont val="Times New Roman"/>
        <charset val="134"/>
      </rPr>
      <t>5</t>
    </r>
    <r>
      <rPr>
        <sz val="10"/>
        <color theme="1"/>
        <rFont val="宋体"/>
        <charset val="134"/>
      </rPr>
      <t>点功力，触碰一个死亡不超过</t>
    </r>
    <r>
      <rPr>
        <sz val="10"/>
        <color theme="1"/>
        <rFont val="Times New Roman"/>
        <charset val="134"/>
      </rPr>
      <t>24</t>
    </r>
    <r>
      <rPr>
        <sz val="10"/>
        <color theme="1"/>
        <rFont val="宋体"/>
        <charset val="134"/>
      </rPr>
      <t>小时的生物的尸体。该生物会起死回生，并拥有相当于</t>
    </r>
    <r>
      <rPr>
        <sz val="10"/>
        <color theme="1"/>
        <rFont val="Times New Roman"/>
        <charset val="134"/>
      </rPr>
      <t>4d10+</t>
    </r>
    <r>
      <rPr>
        <sz val="10"/>
        <color theme="1"/>
        <rFont val="宋体"/>
        <charset val="134"/>
      </rPr>
      <t>你的感知调整值的生命值。如果该生物死前具有以下这些状态，这些状态都会在复活时被移除：目盲、耳聋、麻痹、中毒和震慑。
此特性一经使用，直至完成长休你都无法再次使用。</t>
    </r>
  </si>
  <si>
    <r>
      <rPr>
        <sz val="10"/>
        <color theme="1"/>
        <rFont val="宋体"/>
        <charset val="134"/>
      </rPr>
      <t>至圣光轮</t>
    </r>
  </si>
  <si>
    <r>
      <rPr>
        <sz val="10"/>
        <color theme="1"/>
        <rFont val="宋体"/>
        <charset val="134"/>
      </rPr>
      <t>以一个附赠动作，你可以用圣力盈满你的守护灵光，灵光获得下列的增益，持续</t>
    </r>
    <r>
      <rPr>
        <sz val="10"/>
        <color theme="1"/>
        <rFont val="Times New Roman"/>
        <charset val="134"/>
      </rPr>
      <t>10</t>
    </r>
    <r>
      <rPr>
        <sz val="10"/>
        <color theme="1"/>
        <rFont val="宋体"/>
        <charset val="134"/>
      </rPr>
      <t>分钟或直到你将之提前结束（无需动作）。此特性一经使用，直至完成长休你都无法再次使用。你也可以消耗一个五环法术位（无需动作）重置该特性的使用权。</t>
    </r>
    <r>
      <rPr>
        <sz val="10"/>
        <color theme="1"/>
        <rFont val="Times New Roman"/>
        <charset val="134"/>
      </rPr>
      <t xml:space="preserve"> 
</t>
    </r>
    <r>
      <rPr>
        <sz val="10"/>
        <color theme="1"/>
        <rFont val="宋体"/>
        <charset val="134"/>
      </rPr>
      <t>至圣守护</t>
    </r>
    <r>
      <rPr>
        <sz val="10"/>
        <color theme="1"/>
        <rFont val="Times New Roman"/>
        <charset val="134"/>
      </rPr>
      <t>Holy Ward</t>
    </r>
    <r>
      <rPr>
        <sz val="10"/>
        <color theme="1"/>
        <rFont val="宋体"/>
        <charset val="134"/>
      </rPr>
      <t>。你被邪魔或不死生物迫使进行的豁免检定具有优势。
光耀伤害</t>
    </r>
    <r>
      <rPr>
        <sz val="10"/>
        <color theme="1"/>
        <rFont val="Times New Roman"/>
        <charset val="134"/>
      </rPr>
      <t xml:space="preserve"> Radiant Damage</t>
    </r>
    <r>
      <rPr>
        <sz val="10"/>
        <color theme="1"/>
        <rFont val="宋体"/>
        <charset val="134"/>
      </rPr>
      <t>。每当敌人在灵光范围内开始回合时，该生物受到等同于你的魅力调整值</t>
    </r>
    <r>
      <rPr>
        <sz val="10"/>
        <color theme="1"/>
        <rFont val="Times New Roman"/>
        <charset val="134"/>
      </rPr>
      <t>+</t>
    </r>
    <r>
      <rPr>
        <sz val="10"/>
        <color theme="1"/>
        <rFont val="宋体"/>
        <charset val="134"/>
      </rPr>
      <t>你的熟练加值的光耀伤害。
阳光</t>
    </r>
    <r>
      <rPr>
        <sz val="10"/>
        <color theme="1"/>
        <rFont val="Times New Roman"/>
        <charset val="134"/>
      </rPr>
      <t xml:space="preserve"> Sunlight</t>
    </r>
    <r>
      <rPr>
        <sz val="10"/>
        <color theme="1"/>
        <rFont val="宋体"/>
        <charset val="134"/>
      </rPr>
      <t>。你的灵光内变为明亮光照，视为阳光。</t>
    </r>
  </si>
  <si>
    <r>
      <rPr>
        <sz val="10"/>
        <color theme="1"/>
        <rFont val="宋体"/>
        <charset val="134"/>
      </rPr>
      <t>妖精漫游者魔法</t>
    </r>
  </si>
  <si>
    <r>
      <rPr>
        <sz val="10"/>
        <color theme="1"/>
        <rFont val="宋体"/>
        <charset val="134"/>
      </rPr>
      <t>当你到达妖精漫游者法术表中特定的游侠等级时，你就始终准备了表中对应的法术。
妖精漫游者法术</t>
    </r>
    <r>
      <rPr>
        <sz val="10"/>
        <color theme="1"/>
        <rFont val="Times New Roman"/>
        <charset val="134"/>
      </rPr>
      <t xml:space="preserve">Fey Wanderer Spells 
</t>
    </r>
    <r>
      <rPr>
        <sz val="10"/>
        <color theme="1"/>
        <rFont val="宋体"/>
        <charset val="134"/>
      </rPr>
      <t>游侠等级</t>
    </r>
    <r>
      <rPr>
        <sz val="10"/>
        <color theme="1"/>
        <rFont val="Times New Roman"/>
        <charset val="134"/>
      </rPr>
      <t xml:space="preserve"> </t>
    </r>
    <r>
      <rPr>
        <sz val="10"/>
        <color theme="1"/>
        <rFont val="宋体"/>
        <charset val="134"/>
      </rPr>
      <t xml:space="preserve">法术
</t>
    </r>
    <r>
      <rPr>
        <sz val="10"/>
        <color theme="1"/>
        <rFont val="Times New Roman"/>
        <charset val="134"/>
      </rPr>
      <t xml:space="preserve">3 </t>
    </r>
    <r>
      <rPr>
        <sz val="10"/>
        <color theme="1"/>
        <rFont val="宋体"/>
        <charset val="134"/>
      </rPr>
      <t>魅惑类人</t>
    </r>
    <r>
      <rPr>
        <sz val="10"/>
        <color theme="1"/>
        <rFont val="Times New Roman"/>
        <charset val="134"/>
      </rPr>
      <t xml:space="preserve">Charm Person 
5 </t>
    </r>
    <r>
      <rPr>
        <sz val="10"/>
        <color theme="1"/>
        <rFont val="宋体"/>
        <charset val="134"/>
      </rPr>
      <t>迷踪步</t>
    </r>
    <r>
      <rPr>
        <sz val="10"/>
        <color theme="1"/>
        <rFont val="Times New Roman"/>
        <charset val="134"/>
      </rPr>
      <t xml:space="preserve">Misty Step 
9 </t>
    </r>
    <r>
      <rPr>
        <sz val="10"/>
        <color theme="1"/>
        <rFont val="宋体"/>
        <charset val="134"/>
      </rPr>
      <t>妖精召唤术</t>
    </r>
    <r>
      <rPr>
        <sz val="10"/>
        <color theme="1"/>
        <rFont val="Times New Roman"/>
        <charset val="134"/>
      </rPr>
      <t xml:space="preserve">Summon Fey 
13 </t>
    </r>
    <r>
      <rPr>
        <sz val="10"/>
        <color theme="1"/>
        <rFont val="宋体"/>
        <charset val="134"/>
      </rPr>
      <t>任意门</t>
    </r>
    <r>
      <rPr>
        <sz val="10"/>
        <color theme="1"/>
        <rFont val="Times New Roman"/>
        <charset val="134"/>
      </rPr>
      <t xml:space="preserve">Dimension Door 
17 </t>
    </r>
    <r>
      <rPr>
        <sz val="10"/>
        <color theme="1"/>
        <rFont val="宋体"/>
        <charset val="134"/>
      </rPr>
      <t>误导术</t>
    </r>
    <r>
      <rPr>
        <sz val="10"/>
        <color theme="1"/>
        <rFont val="Times New Roman"/>
        <charset val="134"/>
      </rPr>
      <t xml:space="preserve">Mislead
</t>
    </r>
    <r>
      <rPr>
        <sz val="10"/>
        <color theme="1"/>
        <rFont val="宋体"/>
        <charset val="134"/>
      </rPr>
      <t>你还获得了一种妖精祝福。你可以在下方精野之赐表中选择你的祝福或者随机决定它。
精野之赐</t>
    </r>
    <r>
      <rPr>
        <sz val="10"/>
        <color theme="1"/>
        <rFont val="Times New Roman"/>
        <charset val="134"/>
      </rPr>
      <t xml:space="preserve">Feywild Gifts 
1d6 </t>
    </r>
    <r>
      <rPr>
        <sz val="10"/>
        <color theme="1"/>
        <rFont val="宋体"/>
        <charset val="134"/>
      </rPr>
      <t xml:space="preserve">祝福
</t>
    </r>
    <r>
      <rPr>
        <sz val="10"/>
        <color theme="1"/>
        <rFont val="Times New Roman"/>
        <charset val="134"/>
      </rPr>
      <t xml:space="preserve">1 </t>
    </r>
    <r>
      <rPr>
        <sz val="10"/>
        <color theme="1"/>
        <rFont val="宋体"/>
        <charset val="134"/>
      </rPr>
      <t xml:space="preserve">在你进行长休或短休时，缥缈的蝴蝶在你周身振翅。
</t>
    </r>
    <r>
      <rPr>
        <sz val="10"/>
        <color theme="1"/>
        <rFont val="Times New Roman"/>
        <charset val="134"/>
      </rPr>
      <t xml:space="preserve">2 </t>
    </r>
    <r>
      <rPr>
        <sz val="10"/>
        <color theme="1"/>
        <rFont val="宋体"/>
        <charset val="134"/>
      </rPr>
      <t xml:space="preserve">每天黎明，花朵将在你的头发中生长。
</t>
    </r>
    <r>
      <rPr>
        <sz val="10"/>
        <color theme="1"/>
        <rFont val="Times New Roman"/>
        <charset val="134"/>
      </rPr>
      <t xml:space="preserve">3 </t>
    </r>
    <r>
      <rPr>
        <sz val="10"/>
        <color theme="1"/>
        <rFont val="宋体"/>
        <charset val="134"/>
      </rPr>
      <t xml:space="preserve">你身上有淡淡的肉桂、薰衣草或肉豆蔻，或另一种令人舒适的药草或香料的香味。
</t>
    </r>
    <r>
      <rPr>
        <sz val="10"/>
        <color theme="1"/>
        <rFont val="Times New Roman"/>
        <charset val="134"/>
      </rPr>
      <t xml:space="preserve">4 </t>
    </r>
    <r>
      <rPr>
        <sz val="10"/>
        <color theme="1"/>
        <rFont val="宋体"/>
        <charset val="134"/>
      </rPr>
      <t xml:space="preserve">你的影子会在没人直视它时起舞。
</t>
    </r>
    <r>
      <rPr>
        <sz val="10"/>
        <color theme="1"/>
        <rFont val="Times New Roman"/>
        <charset val="134"/>
      </rPr>
      <t xml:space="preserve">5 </t>
    </r>
    <r>
      <rPr>
        <sz val="10"/>
        <color theme="1"/>
        <rFont val="宋体"/>
        <charset val="134"/>
      </rPr>
      <t xml:space="preserve">你的头发中长出纤细的触角或鹿角。
</t>
    </r>
    <r>
      <rPr>
        <sz val="10"/>
        <color theme="1"/>
        <rFont val="Times New Roman"/>
        <charset val="134"/>
      </rPr>
      <t xml:space="preserve">6 </t>
    </r>
    <r>
      <rPr>
        <sz val="10"/>
        <color theme="1"/>
        <rFont val="宋体"/>
        <charset val="134"/>
      </rPr>
      <t>你的肤色和发色会在每个黎明时改变。</t>
    </r>
  </si>
  <si>
    <r>
      <rPr>
        <sz val="10"/>
        <color theme="1"/>
        <rFont val="宋体"/>
        <charset val="134"/>
      </rPr>
      <t>万能诡术</t>
    </r>
  </si>
  <si>
    <r>
      <rPr>
        <sz val="10"/>
        <color theme="1"/>
        <rFont val="宋体"/>
        <charset val="134"/>
      </rPr>
      <t>你获得了使用法师之手</t>
    </r>
    <r>
      <rPr>
        <sz val="10"/>
        <color theme="1"/>
        <rFont val="Times New Roman"/>
        <charset val="134"/>
      </rPr>
      <t xml:space="preserve">Mage Hand </t>
    </r>
    <r>
      <rPr>
        <sz val="10"/>
        <color theme="1"/>
        <rFont val="宋体"/>
        <charset val="134"/>
      </rPr>
      <t>干扰敌人的能力。当你对一个生物使用诡诈打击中的摔绊选项时，你还可以对法师之手五尺内的另一个生物施加这个效果。</t>
    </r>
  </si>
  <si>
    <r>
      <rPr>
        <sz val="10"/>
        <color theme="1"/>
        <rFont val="宋体"/>
        <charset val="134"/>
      </rPr>
      <t>传心谈话</t>
    </r>
  </si>
  <si>
    <r>
      <rPr>
        <sz val="10"/>
        <color theme="1"/>
        <rFont val="宋体"/>
        <charset val="134"/>
      </rPr>
      <t>你能够在自己与他人的意识中构建一道心灵感应的链接。以一个附赠动作，你可以选择</t>
    </r>
    <r>
      <rPr>
        <sz val="10"/>
        <color theme="1"/>
        <rFont val="Times New Roman"/>
        <charset val="134"/>
      </rPr>
      <t>30</t>
    </r>
    <r>
      <rPr>
        <sz val="10"/>
        <color theme="1"/>
        <rFont val="宋体"/>
        <charset val="134"/>
      </rPr>
      <t>尺内一个你可见的生物创造这一链接。链接能使你与其能够通过心灵感应方式进行交流，但交流时，你们之间距离的里数不超过你的魅力调整值里（至少</t>
    </r>
    <r>
      <rPr>
        <sz val="10"/>
        <color theme="1"/>
        <rFont val="Times New Roman"/>
        <charset val="134"/>
      </rPr>
      <t>1</t>
    </r>
    <r>
      <rPr>
        <sz val="10"/>
        <color theme="1"/>
        <rFont val="宋体"/>
        <charset val="134"/>
      </rPr>
      <t>里）。你们必须使用互相知晓的语言进行心灵交流，才能使其理解你通过心灵感应传达的话语。
心灵感应的链接持续等同于你术士等级的分钟数。这一链接在你与另一生物构建链接时提前结束。</t>
    </r>
  </si>
  <si>
    <r>
      <rPr>
        <sz val="10"/>
        <color theme="1"/>
        <rFont val="宋体"/>
        <charset val="134"/>
      </rPr>
      <t>苦痛魔爆</t>
    </r>
  </si>
  <si>
    <r>
      <rPr>
        <sz val="10"/>
        <color theme="1"/>
        <rFont val="宋体"/>
        <charset val="134"/>
      </rPr>
      <t>先决：魔契师等级</t>
    </r>
    <r>
      <rPr>
        <sz val="10"/>
        <color theme="1"/>
        <rFont val="Times New Roman"/>
        <charset val="134"/>
      </rPr>
      <t>2+</t>
    </r>
    <r>
      <rPr>
        <sz val="10"/>
        <color theme="1"/>
        <rFont val="宋体"/>
        <charset val="134"/>
      </rPr>
      <t>，已知一道能造成伤害的魔契师戏法</t>
    </r>
    <r>
      <rPr>
        <sz val="10"/>
        <color theme="1"/>
        <rFont val="Times New Roman"/>
        <charset val="134"/>
      </rPr>
      <t xml:space="preserve"> 
</t>
    </r>
    <r>
      <rPr>
        <sz val="10"/>
        <color theme="1"/>
        <rFont val="宋体"/>
        <charset val="134"/>
      </rPr>
      <t>选择一道你已知的造成伤害的魔契师戏法。你可以将你的魅力调整值加到该法术的每次伤害掷骰中。
复选</t>
    </r>
    <r>
      <rPr>
        <sz val="10"/>
        <color theme="1"/>
        <rFont val="Times New Roman"/>
        <charset val="134"/>
      </rPr>
      <t>Repeatable</t>
    </r>
    <r>
      <rPr>
        <sz val="10"/>
        <color theme="1"/>
        <rFont val="宋体"/>
        <charset val="134"/>
      </rPr>
      <t>。你可以多次选择本祈唤。每次这么做时，你都必须选择不同的满足先决的戏法。</t>
    </r>
  </si>
  <si>
    <r>
      <rPr>
        <sz val="10"/>
        <color theme="1"/>
        <rFont val="宋体"/>
        <charset val="134"/>
      </rPr>
      <t>专业预言</t>
    </r>
  </si>
  <si>
    <r>
      <rPr>
        <sz val="10"/>
        <color theme="1"/>
        <rFont val="宋体"/>
        <charset val="134"/>
      </rPr>
      <t>施展预言学派法术对你来说是如此容易，以至于其只会占用你施法努力中的一小部分。你消耗法术位施展一个环阶为二环或更高的预言学派法术时，可以恢复一个已消耗的法术位。所恢复的法术位环阶必须低于你正施展的预言学派法术，且不高于五环。</t>
    </r>
  </si>
  <si>
    <r>
      <rPr>
        <sz val="10"/>
        <color theme="1"/>
        <rFont val="宋体"/>
        <charset val="134"/>
      </rPr>
      <t>复原药剂</t>
    </r>
  </si>
  <si>
    <r>
      <rPr>
        <sz val="10"/>
        <color theme="1"/>
        <rFont val="宋体"/>
        <charset val="134"/>
      </rPr>
      <t>只要使用炼金工具作为施法法器，你便可以施展数次次级复原术</t>
    </r>
    <r>
      <rPr>
        <sz val="10"/>
        <color theme="1"/>
        <rFont val="Times New Roman"/>
        <charset val="134"/>
      </rPr>
      <t xml:space="preserve">Lesser Restoration </t>
    </r>
    <r>
      <rPr>
        <sz val="10"/>
        <color theme="1"/>
        <rFont val="宋体"/>
        <charset val="134"/>
      </rPr>
      <t>而无需消耗法术位也无需准备此法术。你可以这么做的次数等于你的智力调整值（至少</t>
    </r>
    <r>
      <rPr>
        <sz val="10"/>
        <color theme="1"/>
        <rFont val="Times New Roman"/>
        <charset val="134"/>
      </rPr>
      <t>1</t>
    </r>
    <r>
      <rPr>
        <sz val="10"/>
        <color theme="1"/>
        <rFont val="宋体"/>
        <charset val="134"/>
      </rPr>
      <t>次），在完成长休时你重获所有已消耗的使用次数。</t>
    </r>
  </si>
  <si>
    <r>
      <rPr>
        <sz val="10"/>
        <color theme="1"/>
        <rFont val="宋体"/>
        <charset val="134"/>
      </rPr>
      <t>命源过载</t>
    </r>
  </si>
  <si>
    <t>每回合一次，当你消耗一枚灵力骰并将其应用于灵能使特性或灵能才赋时，你可以消耗一枚或两枚生命骰，你每消耗一枚生命骰，额外骰一枚灵能骰，并将骰值加入到最终结果中。此特性额外投掷的灵能骰不会被消耗。</t>
  </si>
  <si>
    <r>
      <rPr>
        <sz val="10"/>
        <color theme="1"/>
        <rFont val="宋体"/>
        <charset val="134"/>
      </rPr>
      <t>驱魔血咒</t>
    </r>
  </si>
  <si>
    <r>
      <rPr>
        <sz val="10"/>
        <color theme="1"/>
        <rFont val="宋体"/>
        <charset val="134"/>
      </rPr>
      <t>先决条件：</t>
    </r>
    <r>
      <rPr>
        <sz val="10"/>
        <color theme="1"/>
        <rFont val="Times New Roman"/>
        <charset val="134"/>
      </rPr>
      <t xml:space="preserve">15 </t>
    </r>
    <r>
      <rPr>
        <sz val="10"/>
        <color theme="1"/>
        <rFont val="宋体"/>
        <charset val="134"/>
      </rPr>
      <t>级，弑灵圣约</t>
    </r>
    <r>
      <rPr>
        <sz val="10"/>
        <color theme="1"/>
        <rFont val="Times New Roman"/>
        <charset val="134"/>
      </rPr>
      <t xml:space="preserve"> 
</t>
    </r>
    <r>
      <rPr>
        <sz val="10"/>
        <color theme="1"/>
        <rFont val="宋体"/>
        <charset val="134"/>
      </rPr>
      <t>以一个附赠动作，你可以选择</t>
    </r>
    <r>
      <rPr>
        <sz val="10"/>
        <color theme="1"/>
        <rFont val="Times New Roman"/>
        <charset val="134"/>
      </rPr>
      <t xml:space="preserve"> 30 </t>
    </r>
    <r>
      <rPr>
        <sz val="10"/>
        <color theme="1"/>
        <rFont val="宋体"/>
        <charset val="134"/>
      </rPr>
      <t>尺内一个你可见的，被魅惑、恐惧或附身的生物。该生物不再被魅惑、恐惧或附身。
增幅。魅惑、恐惧或附身诅咒目标的生物受到</t>
    </r>
    <r>
      <rPr>
        <sz val="10"/>
        <color theme="1"/>
        <rFont val="Times New Roman"/>
        <charset val="134"/>
      </rPr>
      <t xml:space="preserve"> 3d6 </t>
    </r>
    <r>
      <rPr>
        <sz val="10"/>
        <color theme="1"/>
        <rFont val="宋体"/>
        <charset val="134"/>
      </rPr>
      <t>点心灵伤害，并且必须通过一次感知豁免，否则被震慑到你下回合结束。</t>
    </r>
  </si>
  <si>
    <r>
      <rPr>
        <sz val="10"/>
        <color theme="1"/>
        <rFont val="宋体"/>
        <charset val="134"/>
      </rPr>
      <t>玄奥实践</t>
    </r>
  </si>
  <si>
    <r>
      <rPr>
        <sz val="10"/>
        <color theme="1"/>
        <rFont val="宋体"/>
        <charset val="134"/>
      </rPr>
      <t>你选择习得一门玄奥实践，这门选定的学科表现了你对自身肉体和精神的持续研究：精神师，化学家，驱邪师，突变体，病原师，掘坟人。
你的选择在</t>
    </r>
    <r>
      <rPr>
        <sz val="10"/>
        <color theme="1"/>
        <rFont val="Times New Roman"/>
        <charset val="134"/>
      </rPr>
      <t>1</t>
    </r>
    <r>
      <rPr>
        <sz val="10"/>
        <color theme="1"/>
        <rFont val="宋体"/>
        <charset val="134"/>
      </rPr>
      <t>级赋予了你额外的熟练项和一个扩展法术列表，并在</t>
    </r>
    <r>
      <rPr>
        <sz val="10"/>
        <color theme="1"/>
        <rFont val="Times New Roman"/>
        <charset val="134"/>
      </rPr>
      <t>3</t>
    </r>
    <r>
      <rPr>
        <sz val="10"/>
        <color theme="1"/>
        <rFont val="宋体"/>
        <charset val="134"/>
      </rPr>
      <t>级、</t>
    </r>
    <r>
      <rPr>
        <sz val="10"/>
        <color theme="1"/>
        <rFont val="Times New Roman"/>
        <charset val="134"/>
      </rPr>
      <t>6</t>
    </r>
    <r>
      <rPr>
        <sz val="10"/>
        <color theme="1"/>
        <rFont val="宋体"/>
        <charset val="134"/>
      </rPr>
      <t>级、</t>
    </r>
    <r>
      <rPr>
        <sz val="10"/>
        <color theme="1"/>
        <rFont val="Times New Roman"/>
        <charset val="134"/>
      </rPr>
      <t>10</t>
    </r>
    <r>
      <rPr>
        <sz val="10"/>
        <color theme="1"/>
        <rFont val="宋体"/>
        <charset val="134"/>
      </rPr>
      <t>级、</t>
    </r>
    <r>
      <rPr>
        <sz val="10"/>
        <color theme="1"/>
        <rFont val="Times New Roman"/>
        <charset val="134"/>
      </rPr>
      <t>14</t>
    </r>
    <r>
      <rPr>
        <sz val="10"/>
        <color theme="1"/>
        <rFont val="宋体"/>
        <charset val="134"/>
      </rPr>
      <t>级和</t>
    </r>
    <r>
      <rPr>
        <sz val="10"/>
        <color theme="1"/>
        <rFont val="Times New Roman"/>
        <charset val="134"/>
      </rPr>
      <t>18</t>
    </r>
    <r>
      <rPr>
        <sz val="10"/>
        <color theme="1"/>
        <rFont val="宋体"/>
        <charset val="134"/>
      </rPr>
      <t>级提供了额外的职业特性。</t>
    </r>
  </si>
  <si>
    <t>扑克脸</t>
  </si>
  <si>
    <t>你获得所有赌具的熟练，并自选以下一项技能获得熟练：欺瞒、洞悉或察觉。</t>
  </si>
  <si>
    <t>狱视力</t>
  </si>
  <si>
    <t>以一个动作，你可以消耗一枚缄印获得60尺真实视觉，持续1小时。</t>
  </si>
  <si>
    <t>黑暗魔法</t>
  </si>
  <si>
    <r>
      <rPr>
        <sz val="10"/>
        <color theme="1"/>
        <rFont val="宋体"/>
        <charset val="134"/>
      </rPr>
      <t>你与惧恶之力的联系让你获得以下增益。
两道戏法</t>
    </r>
    <r>
      <rPr>
        <sz val="10"/>
        <color theme="1"/>
        <rFont val="Times New Roman"/>
        <charset val="134"/>
      </rPr>
      <t>Two Cantrip</t>
    </r>
    <r>
      <rPr>
        <sz val="10"/>
        <color theme="1"/>
        <rFont val="宋体"/>
        <charset val="134"/>
      </rPr>
      <t>。你自魔契师法术列表习得两道你选择的戏法。你黑暗魔法法术的施法属性是体质。
一环法术</t>
    </r>
    <r>
      <rPr>
        <sz val="10"/>
        <color theme="1"/>
        <rFont val="Times New Roman"/>
        <charset val="134"/>
      </rPr>
      <t>Level 1 Spell</t>
    </r>
    <r>
      <rPr>
        <sz val="10"/>
        <color theme="1"/>
        <rFont val="宋体"/>
        <charset val="134"/>
      </rPr>
      <t>。自魔契师法术列表选择一道一环法术。你始终准备着这道法术。你可以无需法术位地施展该法术一次，并在完成长休后重获以此法施展该法术的能力。你也可以使用你拥有的任何法术位来施展该法术。
更换法术</t>
    </r>
    <r>
      <rPr>
        <sz val="10"/>
        <color theme="1"/>
        <rFont val="Times New Roman"/>
        <charset val="134"/>
      </rPr>
      <t>Spell Change</t>
    </r>
    <r>
      <rPr>
        <sz val="10"/>
        <color theme="1"/>
        <rFont val="宋体"/>
        <charset val="134"/>
      </rPr>
      <t>。每当你获得新的等级时，你可以将你以此特性选择的其中一道法术替换为另一道魔契师法术列表的环位相同的法术。</t>
    </r>
  </si>
  <si>
    <t>皓月学院</t>
  </si>
  <si>
    <r>
      <rPr>
        <sz val="10"/>
        <color theme="1"/>
        <rFont val="宋体"/>
        <charset val="134"/>
      </rPr>
      <t>兽力威能</t>
    </r>
  </si>
  <si>
    <r>
      <rPr>
        <sz val="10"/>
        <color theme="1"/>
        <rFont val="宋体"/>
        <charset val="134"/>
      </rPr>
      <t>每当你激活狂暴时，你从下列选项中选择一项。</t>
    </r>
    <r>
      <rPr>
        <sz val="10"/>
        <color theme="1"/>
        <rFont val="Times New Roman"/>
        <charset val="134"/>
      </rPr>
      <t xml:space="preserve"> 
</t>
    </r>
    <r>
      <rPr>
        <sz val="10"/>
        <color theme="1"/>
        <rFont val="宋体"/>
        <charset val="134"/>
      </rPr>
      <t>游隼</t>
    </r>
    <r>
      <rPr>
        <sz val="10"/>
        <color theme="1"/>
        <rFont val="Times New Roman"/>
        <charset val="134"/>
      </rPr>
      <t>Falcon</t>
    </r>
    <r>
      <rPr>
        <sz val="10"/>
        <color theme="1"/>
        <rFont val="宋体"/>
        <charset val="134"/>
      </rPr>
      <t>。狂暴激活期间，只要你没有着装任何护甲</t>
    </r>
    <r>
      <rPr>
        <sz val="10"/>
        <color theme="1"/>
        <rFont val="Times New Roman"/>
        <charset val="134"/>
      </rPr>
      <t>*</t>
    </r>
    <r>
      <rPr>
        <sz val="10"/>
        <color theme="1"/>
        <rFont val="宋体"/>
        <charset val="134"/>
      </rPr>
      <t>，你就具有等于你速度的飞行速度。</t>
    </r>
    <r>
      <rPr>
        <sz val="10"/>
        <color theme="1"/>
        <rFont val="Times New Roman"/>
        <charset val="134"/>
      </rPr>
      <t xml:space="preserve"> 
</t>
    </r>
    <r>
      <rPr>
        <sz val="10"/>
        <color theme="1"/>
        <rFont val="宋体"/>
        <charset val="134"/>
      </rPr>
      <t>雄狮</t>
    </r>
    <r>
      <rPr>
        <sz val="10"/>
        <color theme="1"/>
        <rFont val="Times New Roman"/>
        <charset val="134"/>
      </rPr>
      <t>Lion</t>
    </r>
    <r>
      <rPr>
        <sz val="10"/>
        <color theme="1"/>
        <rFont val="宋体"/>
        <charset val="134"/>
      </rPr>
      <t>。狂暴激活期间，任何位于你</t>
    </r>
    <r>
      <rPr>
        <sz val="10"/>
        <color theme="1"/>
        <rFont val="Times New Roman"/>
        <charset val="134"/>
      </rPr>
      <t>5</t>
    </r>
    <r>
      <rPr>
        <sz val="10"/>
        <color theme="1"/>
        <rFont val="宋体"/>
        <charset val="134"/>
      </rPr>
      <t>尺内的敌人不以你（或另一个选择该项能力的野蛮人）为目标的攻击检定具有劣势。</t>
    </r>
    <r>
      <rPr>
        <sz val="10"/>
        <color theme="1"/>
        <rFont val="Times New Roman"/>
        <charset val="134"/>
      </rPr>
      <t xml:space="preserve"> 
</t>
    </r>
    <r>
      <rPr>
        <sz val="10"/>
        <color theme="1"/>
        <rFont val="宋体"/>
        <charset val="134"/>
      </rPr>
      <t>角羊</t>
    </r>
    <r>
      <rPr>
        <sz val="10"/>
        <color theme="1"/>
        <rFont val="Times New Roman"/>
        <charset val="134"/>
      </rPr>
      <t>Ram</t>
    </r>
    <r>
      <rPr>
        <sz val="10"/>
        <color theme="1"/>
        <rFont val="宋体"/>
        <charset val="134"/>
      </rPr>
      <t xml:space="preserve">。狂暴激活期间，当你的近战攻击命中一名体型不超过大型的生物时，你可以令其陷入倒地状态。
</t>
    </r>
    <r>
      <rPr>
        <sz val="10"/>
        <color theme="1"/>
        <rFont val="Times New Roman"/>
        <charset val="134"/>
      </rPr>
      <t>*</t>
    </r>
    <r>
      <rPr>
        <sz val="10"/>
        <color theme="1"/>
        <rFont val="宋体"/>
        <charset val="134"/>
      </rPr>
      <t>译注：无甲防御中特别强调了</t>
    </r>
    <r>
      <rPr>
        <sz val="10"/>
        <color theme="1"/>
        <rFont val="Times New Roman"/>
        <charset val="134"/>
      </rPr>
      <t>“</t>
    </r>
    <r>
      <rPr>
        <sz val="10"/>
        <color theme="1"/>
        <rFont val="宋体"/>
        <charset val="134"/>
      </rPr>
      <t>你可以使用盾牌并仍从此特性获益</t>
    </r>
    <r>
      <rPr>
        <sz val="10"/>
        <color theme="1"/>
        <rFont val="Times New Roman"/>
        <charset val="134"/>
      </rPr>
      <t>”</t>
    </r>
    <r>
      <rPr>
        <sz val="10"/>
        <color theme="1"/>
        <rFont val="宋体"/>
        <charset val="134"/>
      </rPr>
      <t>而该特性没有，因此你无法在使用盾牌时使用该飞行速度。</t>
    </r>
  </si>
  <si>
    <r>
      <rPr>
        <sz val="10"/>
        <color theme="1"/>
        <rFont val="宋体"/>
        <charset val="134"/>
      </rPr>
      <t>魔法探秘</t>
    </r>
  </si>
  <si>
    <r>
      <rPr>
        <sz val="10"/>
        <color theme="1"/>
        <rFont val="宋体"/>
        <charset val="134"/>
      </rPr>
      <t>你习得两道自选法术。这些法术可以从牧师、德鲁伊或法师的法术列表中单独或组合选择（这些职业的法术列表见其职业章节）。你选择的法术必须是戏法或是你拥有对应环阶法术位的法术，你拥有的法术位如吟游诗人特性表中所示。
你始终准备了你选择的这些法术。每当你获得一个吟游诗人等级时，你可以将其中一个法术替换为另一个满足上述要求的法术。</t>
    </r>
    <r>
      <rPr>
        <sz val="10"/>
        <color theme="1"/>
        <rFont val="Times New Roman"/>
        <charset val="134"/>
      </rPr>
      <t xml:space="preserve"> </t>
    </r>
  </si>
  <si>
    <r>
      <rPr>
        <sz val="10"/>
        <color theme="1"/>
        <rFont val="宋体"/>
        <charset val="134"/>
      </rPr>
      <t>光冕</t>
    </r>
  </si>
  <si>
    <r>
      <rPr>
        <sz val="10"/>
        <color theme="1"/>
        <rFont val="宋体"/>
        <charset val="134"/>
      </rPr>
      <t>以一个魔法动作，你可以让你自己散发出日光组成的灵光，持续一分钟或直至你将其解除（无需动作）。你散发出半径</t>
    </r>
    <r>
      <rPr>
        <sz val="10"/>
        <color theme="1"/>
        <rFont val="Times New Roman"/>
        <charset val="134"/>
      </rPr>
      <t>60</t>
    </r>
    <r>
      <rPr>
        <sz val="10"/>
        <color theme="1"/>
        <rFont val="宋体"/>
        <charset val="134"/>
      </rPr>
      <t>尺的明亮光照以及额外</t>
    </r>
    <r>
      <rPr>
        <sz val="10"/>
        <color theme="1"/>
        <rFont val="Times New Roman"/>
        <charset val="134"/>
      </rPr>
      <t>30</t>
    </r>
    <r>
      <rPr>
        <sz val="10"/>
        <color theme="1"/>
        <rFont val="宋体"/>
        <charset val="134"/>
      </rPr>
      <t>尺的微光光照。身处该明亮光照范围中的敌人，在抵抗你的黎明曙光特性以及任何造成火焰或光耀伤害的法术而进行豁免检定时具有劣势。
你可以使用该特性的次数等同于你的感知调整值（最低为</t>
    </r>
    <r>
      <rPr>
        <sz val="10"/>
        <color theme="1"/>
        <rFont val="Times New Roman"/>
        <charset val="134"/>
      </rPr>
      <t>1</t>
    </r>
    <r>
      <rPr>
        <sz val="10"/>
        <color theme="1"/>
        <rFont val="宋体"/>
        <charset val="134"/>
      </rPr>
      <t>）。你在完成一次长休是重获所有已消耗的使用次数。</t>
    </r>
  </si>
  <si>
    <r>
      <rPr>
        <sz val="10"/>
        <color theme="1"/>
        <rFont val="宋体"/>
        <charset val="134"/>
      </rPr>
      <t>结社形态</t>
    </r>
  </si>
  <si>
    <r>
      <rPr>
        <sz val="10"/>
        <color theme="1"/>
        <rFont val="宋体"/>
        <charset val="134"/>
      </rPr>
      <t>你学会了如何在使用荒野变形的同时引导月之魔力，增益自身的力量，你获得以下增益：
挑战等级</t>
    </r>
    <r>
      <rPr>
        <sz val="10"/>
        <color theme="1"/>
        <rFont val="Times New Roman"/>
        <charset val="134"/>
      </rPr>
      <t>Challenge Rating</t>
    </r>
    <r>
      <rPr>
        <sz val="10"/>
        <color theme="1"/>
        <rFont val="宋体"/>
        <charset val="134"/>
      </rPr>
      <t>。你的荒野变形形态的最大挑战等级现在等于你德鲁伊等级的三分之一（向下取整）。
护甲等级</t>
    </r>
    <r>
      <rPr>
        <sz val="10"/>
        <color theme="1"/>
        <rFont val="Times New Roman"/>
        <charset val="134"/>
      </rPr>
      <t>Armor Class</t>
    </r>
    <r>
      <rPr>
        <sz val="10"/>
        <color theme="1"/>
        <rFont val="宋体"/>
        <charset val="134"/>
      </rPr>
      <t>。只要你仍处于荒野变形形态，如果</t>
    </r>
    <r>
      <rPr>
        <sz val="10"/>
        <color theme="1"/>
        <rFont val="Times New Roman"/>
        <charset val="134"/>
      </rPr>
      <t>13+</t>
    </r>
    <r>
      <rPr>
        <sz val="10"/>
        <color theme="1"/>
        <rFont val="宋体"/>
        <charset val="134"/>
      </rPr>
      <t>你的感知调整值加起来高于野兽的护甲等级，你的护甲等级等于你</t>
    </r>
    <r>
      <rPr>
        <sz val="10"/>
        <color theme="1"/>
        <rFont val="Times New Roman"/>
        <charset val="134"/>
      </rPr>
      <t>13+</t>
    </r>
    <r>
      <rPr>
        <sz val="10"/>
        <color theme="1"/>
        <rFont val="宋体"/>
        <charset val="134"/>
      </rPr>
      <t>你的感知调整值。
临时生命值</t>
    </r>
    <r>
      <rPr>
        <sz val="10"/>
        <color theme="1"/>
        <rFont val="Times New Roman"/>
        <charset val="134"/>
      </rPr>
      <t>Temporary Hit Points</t>
    </r>
    <r>
      <rPr>
        <sz val="10"/>
        <color theme="1"/>
        <rFont val="宋体"/>
        <charset val="134"/>
      </rPr>
      <t>。当你化为荒野变形形态时，你获得等于德鲁伊等级的三倍数量的临时生命值。</t>
    </r>
  </si>
  <si>
    <r>
      <rPr>
        <sz val="10"/>
        <color theme="1"/>
        <rFont val="宋体"/>
        <charset val="134"/>
      </rPr>
      <t>格挡</t>
    </r>
  </si>
  <si>
    <r>
      <rPr>
        <sz val="10"/>
        <color theme="1"/>
        <rFont val="宋体"/>
        <charset val="134"/>
      </rPr>
      <t>其他生物以一次近战攻击检定对你造成伤害时，你可以执行反应消耗一枚卓越骰以减少伤害。减少的数值为卓越骰骰值＋你的力量或敏捷调整值（由你选择）。</t>
    </r>
  </si>
  <si>
    <r>
      <rPr>
        <sz val="10"/>
        <color theme="1"/>
        <rFont val="宋体"/>
        <charset val="134"/>
      </rPr>
      <t>暗影技艺</t>
    </r>
  </si>
  <si>
    <r>
      <rPr>
        <sz val="10"/>
        <color theme="1"/>
        <rFont val="宋体"/>
        <charset val="134"/>
      </rPr>
      <t>你掌握了如何唤出堕影冥界的力量，获得以下增益：
黑暗术</t>
    </r>
    <r>
      <rPr>
        <sz val="10"/>
        <color theme="1"/>
        <rFont val="Times New Roman"/>
        <charset val="134"/>
      </rPr>
      <t>Darkness</t>
    </r>
    <r>
      <rPr>
        <sz val="10"/>
        <color theme="1"/>
        <rFont val="宋体"/>
        <charset val="134"/>
      </rPr>
      <t>。你可以消耗</t>
    </r>
    <r>
      <rPr>
        <sz val="10"/>
        <color theme="1"/>
        <rFont val="Times New Roman"/>
        <charset val="134"/>
      </rPr>
      <t>1</t>
    </r>
    <r>
      <rPr>
        <sz val="10"/>
        <color theme="1"/>
        <rFont val="宋体"/>
        <charset val="134"/>
      </rPr>
      <t>点功力以施展黑暗术</t>
    </r>
    <r>
      <rPr>
        <sz val="10"/>
        <color theme="1"/>
        <rFont val="Times New Roman"/>
        <charset val="134"/>
      </rPr>
      <t>Darkness</t>
    </r>
    <r>
      <rPr>
        <sz val="10"/>
        <color theme="1"/>
        <rFont val="宋体"/>
        <charset val="134"/>
      </rPr>
      <t>法术且无需任何法术成分。你可以看穿以这个特性施展的黑暗区域。法术持续期间，你可以在你的每个回合开始时将此法术区域移动到你</t>
    </r>
    <r>
      <rPr>
        <sz val="10"/>
        <color theme="1"/>
        <rFont val="Times New Roman"/>
        <charset val="134"/>
      </rPr>
      <t>60</t>
    </r>
    <r>
      <rPr>
        <sz val="10"/>
        <color theme="1"/>
        <rFont val="宋体"/>
        <charset val="134"/>
      </rPr>
      <t>尺范围内的任意一处空间。
黑暗视觉</t>
    </r>
    <r>
      <rPr>
        <sz val="10"/>
        <color theme="1"/>
        <rFont val="Times New Roman"/>
        <charset val="134"/>
      </rPr>
      <t>Darkvision</t>
    </r>
    <r>
      <rPr>
        <sz val="10"/>
        <color theme="1"/>
        <rFont val="宋体"/>
        <charset val="134"/>
      </rPr>
      <t>。你获得</t>
    </r>
    <r>
      <rPr>
        <sz val="10"/>
        <color theme="1"/>
        <rFont val="Times New Roman"/>
        <charset val="134"/>
      </rPr>
      <t>60</t>
    </r>
    <r>
      <rPr>
        <sz val="10"/>
        <color theme="1"/>
        <rFont val="宋体"/>
        <charset val="134"/>
      </rPr>
      <t>尺黑暗视觉。如果你已经有黑暗视觉，则其范围提升</t>
    </r>
    <r>
      <rPr>
        <sz val="10"/>
        <color theme="1"/>
        <rFont val="Times New Roman"/>
        <charset val="134"/>
      </rPr>
      <t>60</t>
    </r>
    <r>
      <rPr>
        <sz val="10"/>
        <color theme="1"/>
        <rFont val="宋体"/>
        <charset val="134"/>
      </rPr>
      <t>尺。
幻影术</t>
    </r>
    <r>
      <rPr>
        <sz val="10"/>
        <color theme="1"/>
        <rFont val="Times New Roman"/>
        <charset val="134"/>
      </rPr>
      <t>Shadowy Figments</t>
    </r>
    <r>
      <rPr>
        <sz val="10"/>
        <color theme="1"/>
        <rFont val="宋体"/>
        <charset val="134"/>
      </rPr>
      <t>。你知晓戏法次级幻象</t>
    </r>
    <r>
      <rPr>
        <sz val="10"/>
        <color theme="1"/>
        <rFont val="Times New Roman"/>
        <charset val="134"/>
      </rPr>
      <t xml:space="preserve">Minor Illusion </t>
    </r>
    <r>
      <rPr>
        <sz val="10"/>
        <color theme="1"/>
        <rFont val="宋体"/>
        <charset val="134"/>
      </rPr>
      <t>，其施法属性为感知。</t>
    </r>
  </si>
  <si>
    <r>
      <rPr>
        <sz val="10"/>
        <color theme="1"/>
        <rFont val="宋体"/>
        <charset val="134"/>
      </rPr>
      <t>鼓舞斩</t>
    </r>
  </si>
  <si>
    <r>
      <rPr>
        <sz val="10"/>
        <color theme="1"/>
        <rFont val="宋体"/>
        <charset val="134"/>
      </rPr>
      <t>当你施展至圣斩后，你可以立即消耗一次你的引导神力次数，使</t>
    </r>
    <r>
      <rPr>
        <sz val="10"/>
        <color theme="1"/>
        <rFont val="Times New Roman"/>
        <charset val="134"/>
      </rPr>
      <t>30</t>
    </r>
    <r>
      <rPr>
        <sz val="10"/>
        <color theme="1"/>
        <rFont val="宋体"/>
        <charset val="134"/>
      </rPr>
      <t>尺内由你选择的生物或你自身获得临时生命值。这些生物共获得的临时生命值等同于</t>
    </r>
    <r>
      <rPr>
        <sz val="10"/>
        <color theme="1"/>
        <rFont val="Times New Roman"/>
        <charset val="134"/>
      </rPr>
      <t>2d8+</t>
    </r>
    <r>
      <rPr>
        <sz val="10"/>
        <color theme="1"/>
        <rFont val="宋体"/>
        <charset val="134"/>
      </rPr>
      <t>你的圣武士等级，你可以为其随意分配这些临时生命值。</t>
    </r>
  </si>
  <si>
    <r>
      <rPr>
        <sz val="10"/>
        <color theme="1"/>
        <rFont val="宋体"/>
        <charset val="134"/>
      </rPr>
      <t>妖冶娴都</t>
    </r>
  </si>
  <si>
    <r>
      <rPr>
        <sz val="10"/>
        <color theme="1"/>
        <rFont val="宋体"/>
        <charset val="134"/>
      </rPr>
      <t>每当你进行一次魅力检定时，你都可以在那次检定中获得等同于你的感知调整值的加值（至少</t>
    </r>
    <r>
      <rPr>
        <sz val="10"/>
        <color theme="1"/>
        <rFont val="Times New Roman"/>
        <charset val="134"/>
      </rPr>
      <t>+1</t>
    </r>
    <r>
      <rPr>
        <sz val="10"/>
        <color theme="1"/>
        <rFont val="宋体"/>
        <charset val="134"/>
      </rPr>
      <t>）。
另外，你选择获得下列技能之一的熟练：欺瞒、表演或游说。</t>
    </r>
  </si>
  <si>
    <r>
      <rPr>
        <sz val="10"/>
        <color theme="1"/>
        <rFont val="宋体"/>
        <charset val="134"/>
      </rPr>
      <t>法术窃贼</t>
    </r>
  </si>
  <si>
    <r>
      <rPr>
        <sz val="10"/>
        <color theme="1"/>
        <rFont val="宋体"/>
        <charset val="134"/>
      </rPr>
      <t>你获得了如何以魔法从其他施法者那里偷取有关如何施展某一法术的知识的能力。
当一个生物施展了一个目标是你或是其效应范围会影响你的法术后，你可以立刻使用你的反应来迫使该生物进行一次智力豁免。其豁免</t>
    </r>
    <r>
      <rPr>
        <sz val="10"/>
        <color theme="1"/>
        <rFont val="Times New Roman"/>
        <charset val="134"/>
      </rPr>
      <t>DC</t>
    </r>
    <r>
      <rPr>
        <sz val="10"/>
        <color theme="1"/>
        <rFont val="宋体"/>
        <charset val="134"/>
      </rPr>
      <t>等同于你的施法</t>
    </r>
    <r>
      <rPr>
        <sz val="10"/>
        <color theme="1"/>
        <rFont val="Times New Roman"/>
        <charset val="134"/>
      </rPr>
      <t>DC</t>
    </r>
    <r>
      <rPr>
        <sz val="10"/>
        <color theme="1"/>
        <rFont val="宋体"/>
        <charset val="134"/>
      </rPr>
      <t>。若豁免失败，你消除这个法术对你的影响，并且你将偷走使用这个法术的知识，但这个法术最低必须是一环并且你可以施展的更高等级的法术（不需要是法师法术）。接下来的八小时内，你准备了这个法术。同时该生物在此期间无法施展这个法术，直到八小时结束以后。
此特性一经使用，直至完成长休你都无法再次使用。</t>
    </r>
  </si>
  <si>
    <r>
      <rPr>
        <sz val="10"/>
        <color theme="1"/>
        <rFont val="宋体"/>
        <charset val="134"/>
      </rPr>
      <t>灵能术法</t>
    </r>
  </si>
  <si>
    <r>
      <rPr>
        <sz val="10"/>
        <color theme="1"/>
        <rFont val="宋体"/>
        <charset val="134"/>
      </rPr>
      <t>当你施展一道</t>
    </r>
    <r>
      <rPr>
        <sz val="10"/>
        <color theme="1"/>
        <rFont val="Times New Roman"/>
        <charset val="134"/>
      </rPr>
      <t xml:space="preserve"> </t>
    </r>
    <r>
      <rPr>
        <sz val="10"/>
        <color theme="1"/>
        <rFont val="宋体"/>
        <charset val="134"/>
      </rPr>
      <t>灵能法术特性中的一环或更高环阶的法术时，你可以改为使用等同于该法术环数数量的术法点而非消耗法术位施放该法术。你消耗术法点施放法术时，你无视该法术施法需要的言语成分或姿势成分。你同时无视该法术需要的不会消耗且未给出具体价值的材料成分。</t>
    </r>
  </si>
  <si>
    <r>
      <rPr>
        <sz val="10"/>
        <color theme="1"/>
        <rFont val="宋体"/>
        <charset val="134"/>
      </rPr>
      <t>每个你的回合一次，当你用</t>
    </r>
    <r>
      <rPr>
        <sz val="10"/>
        <color theme="1"/>
        <rFont val="Times New Roman"/>
        <charset val="134"/>
      </rPr>
      <t xml:space="preserve"> </t>
    </r>
    <r>
      <rPr>
        <sz val="10"/>
        <color theme="1"/>
        <rFont val="宋体"/>
        <charset val="134"/>
      </rPr>
      <t>魔能爆</t>
    </r>
    <r>
      <rPr>
        <sz val="10"/>
        <color theme="1"/>
        <rFont val="Times New Roman"/>
        <charset val="134"/>
      </rPr>
      <t xml:space="preserve">eldritch blast </t>
    </r>
    <r>
      <rPr>
        <sz val="10"/>
        <color theme="1"/>
        <rFont val="宋体"/>
        <charset val="134"/>
      </rPr>
      <t>击中一个生物时，你可以让此生物直线向你移动</t>
    </r>
    <r>
      <rPr>
        <sz val="10"/>
        <color theme="1"/>
        <rFont val="Times New Roman"/>
        <charset val="134"/>
      </rPr>
      <t>10</t>
    </r>
    <r>
      <rPr>
        <sz val="10"/>
        <color theme="1"/>
        <rFont val="宋体"/>
        <charset val="134"/>
      </rPr>
      <t>尺。
先决条件：习得戏法</t>
    </r>
    <r>
      <rPr>
        <sz val="10"/>
        <color theme="1"/>
        <rFont val="Times New Roman"/>
        <charset val="134"/>
      </rPr>
      <t xml:space="preserve"> </t>
    </r>
    <r>
      <rPr>
        <sz val="10"/>
        <color theme="1"/>
        <rFont val="宋体"/>
        <charset val="134"/>
      </rPr>
      <t>魔能爆</t>
    </r>
  </si>
  <si>
    <r>
      <rPr>
        <sz val="10"/>
        <color theme="1"/>
        <rFont val="宋体"/>
        <charset val="134"/>
      </rPr>
      <t>天眼通</t>
    </r>
  </si>
  <si>
    <r>
      <rPr>
        <sz val="10"/>
        <color theme="1"/>
        <rFont val="宋体"/>
        <charset val="134"/>
      </rPr>
      <t>你可以增强你的察觉能力。以一个附赠动作，从以下增益中选择其一，其会持续至你开始一次短休或长休。此特性一经使用，直至完成短休或长休你都无法再次使用。
黑暗视觉</t>
    </r>
    <r>
      <rPr>
        <sz val="10"/>
        <color theme="1"/>
        <rFont val="Times New Roman"/>
        <charset val="134"/>
      </rPr>
      <t>Darkvision</t>
    </r>
    <r>
      <rPr>
        <sz val="10"/>
        <color theme="1"/>
        <rFont val="宋体"/>
        <charset val="134"/>
      </rPr>
      <t>。你具有</t>
    </r>
    <r>
      <rPr>
        <sz val="10"/>
        <color theme="1"/>
        <rFont val="Times New Roman"/>
        <charset val="134"/>
      </rPr>
      <t>120</t>
    </r>
    <r>
      <rPr>
        <sz val="10"/>
        <color theme="1"/>
        <rFont val="宋体"/>
        <charset val="134"/>
      </rPr>
      <t>尺黑暗视觉。
高等通晓</t>
    </r>
    <r>
      <rPr>
        <sz val="10"/>
        <color theme="1"/>
        <rFont val="Times New Roman"/>
        <charset val="134"/>
      </rPr>
      <t>Greater Comprehension</t>
    </r>
    <r>
      <rPr>
        <sz val="10"/>
        <color theme="1"/>
        <rFont val="宋体"/>
        <charset val="134"/>
      </rPr>
      <t>。你可以读懂任何语言。
识破隐形</t>
    </r>
    <r>
      <rPr>
        <sz val="10"/>
        <color theme="1"/>
        <rFont val="Times New Roman"/>
        <charset val="134"/>
      </rPr>
      <t>See Invisibility</t>
    </r>
    <r>
      <rPr>
        <sz val="10"/>
        <color theme="1"/>
        <rFont val="宋体"/>
        <charset val="134"/>
      </rPr>
      <t>。你能不消耗法术位地施展法术识破隐形</t>
    </r>
    <r>
      <rPr>
        <sz val="10"/>
        <color theme="1"/>
        <rFont val="Times New Roman"/>
        <charset val="134"/>
      </rPr>
      <t xml:space="preserve">See Invisibility </t>
    </r>
    <r>
      <rPr>
        <sz val="10"/>
        <color theme="1"/>
        <rFont val="宋体"/>
        <charset val="134"/>
      </rPr>
      <t>。</t>
    </r>
  </si>
  <si>
    <r>
      <rPr>
        <sz val="10"/>
        <color theme="1"/>
        <rFont val="宋体"/>
        <charset val="134"/>
      </rPr>
      <t>炼金专家</t>
    </r>
  </si>
  <si>
    <r>
      <rPr>
        <sz val="10"/>
        <color theme="1"/>
        <rFont val="宋体"/>
        <charset val="134"/>
      </rPr>
      <t>你获得以下好处：</t>
    </r>
    <r>
      <rPr>
        <sz val="10"/>
        <color theme="1"/>
        <rFont val="Times New Roman"/>
        <charset val="134"/>
      </rPr>
      <t xml:space="preserve">
</t>
    </r>
    <r>
      <rPr>
        <sz val="10"/>
        <color theme="1"/>
        <rFont val="宋体"/>
        <charset val="134"/>
      </rPr>
      <t>炼金喷发</t>
    </r>
    <r>
      <rPr>
        <sz val="10"/>
        <color theme="1"/>
        <rFont val="Times New Roman"/>
        <charset val="134"/>
      </rPr>
      <t>Alchemical Eruption</t>
    </r>
    <r>
      <rPr>
        <sz val="10"/>
        <color theme="1"/>
        <rFont val="宋体"/>
        <charset val="134"/>
      </rPr>
      <t>。当你施展一道奇械师法术，对一个目标造成强酸，火焰或毒素伤害时，你可以对那个目标额外造成</t>
    </r>
    <r>
      <rPr>
        <sz val="10"/>
        <color theme="1"/>
        <rFont val="Times New Roman"/>
        <charset val="134"/>
      </rPr>
      <t>2d8</t>
    </r>
    <r>
      <rPr>
        <sz val="10"/>
        <color theme="1"/>
        <rFont val="宋体"/>
        <charset val="134"/>
      </rPr>
      <t>力场伤害。你的每个回合只能使用此增益一次。</t>
    </r>
    <r>
      <rPr>
        <sz val="10"/>
        <color theme="1"/>
        <rFont val="Times New Roman"/>
        <charset val="134"/>
      </rPr>
      <t xml:space="preserve">
</t>
    </r>
    <r>
      <rPr>
        <sz val="10"/>
        <color theme="1"/>
        <rFont val="宋体"/>
        <charset val="134"/>
      </rPr>
      <t>炼金抗性</t>
    </r>
    <r>
      <rPr>
        <sz val="10"/>
        <color theme="1"/>
        <rFont val="Times New Roman"/>
        <charset val="134"/>
      </rPr>
      <t>Chemical Resistance</t>
    </r>
    <r>
      <rPr>
        <sz val="10"/>
        <color theme="1"/>
        <rFont val="宋体"/>
        <charset val="134"/>
      </rPr>
      <t>。你获得对强酸伤害和毒素伤害的抗性。你也获得中毒状态的免疫。</t>
    </r>
    <r>
      <rPr>
        <sz val="10"/>
        <color theme="1"/>
        <rFont val="Times New Roman"/>
        <charset val="134"/>
      </rPr>
      <t xml:space="preserve">
</t>
    </r>
    <r>
      <rPr>
        <sz val="10"/>
        <color theme="1"/>
        <rFont val="宋体"/>
        <charset val="134"/>
      </rPr>
      <t>咒唤坩埚</t>
    </r>
    <r>
      <rPr>
        <sz val="10"/>
        <color theme="1"/>
        <rFont val="Times New Roman"/>
        <charset val="134"/>
      </rPr>
      <t>Conjured Cauldron</t>
    </r>
    <r>
      <rPr>
        <sz val="10"/>
        <color theme="1"/>
        <rFont val="宋体"/>
        <charset val="134"/>
      </rPr>
      <t>。你可以施展塔莎泡泡坩埚</t>
    </r>
    <r>
      <rPr>
        <sz val="10"/>
        <color theme="1"/>
        <rFont val="Times New Roman"/>
        <charset val="134"/>
      </rPr>
      <t xml:space="preserve">Tasha's Bubbling Cauldron </t>
    </r>
    <r>
      <rPr>
        <sz val="10"/>
        <color theme="1"/>
        <rFont val="宋体"/>
        <charset val="134"/>
      </rPr>
      <t>而无需消耗法术位，无需准备该法术，也无需法术成分，只需使用炼金工具作为施法法器。此特性一经使用，直至完成长休你都无法再次使用。</t>
    </r>
  </si>
  <si>
    <r>
      <rPr>
        <sz val="10"/>
        <color theme="1"/>
        <rFont val="宋体"/>
        <charset val="134"/>
      </rPr>
      <t>蜕变使法术</t>
    </r>
  </si>
  <si>
    <r>
      <rPr>
        <sz val="10"/>
        <color theme="1"/>
        <rFont val="宋体"/>
        <charset val="134"/>
      </rPr>
      <t>当你到达传心使法术表中特定的灵能使等级时，你就始终准备着表中对应的法术。</t>
    </r>
    <r>
      <rPr>
        <sz val="10"/>
        <color theme="1"/>
        <rFont val="Times New Roman"/>
        <charset val="134"/>
      </rPr>
      <t xml:space="preserve">
</t>
    </r>
    <r>
      <rPr>
        <sz val="10"/>
        <color theme="1"/>
        <rFont val="宋体"/>
        <charset val="134"/>
      </rPr>
      <t>传心使法术</t>
    </r>
    <r>
      <rPr>
        <sz val="10"/>
        <color theme="1"/>
        <rFont val="Times New Roman"/>
        <charset val="134"/>
      </rPr>
      <t xml:space="preserve">Telepath Spells </t>
    </r>
    <r>
      <rPr>
        <sz val="10"/>
        <color theme="1"/>
        <rFont val="宋体"/>
        <charset val="134"/>
      </rPr>
      <t>灵能使等级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疗伤术</t>
    </r>
    <r>
      <rPr>
        <sz val="10"/>
        <color theme="1"/>
        <rFont val="Times New Roman"/>
        <charset val="134"/>
      </rPr>
      <t xml:space="preserve"> Cure Wounds</t>
    </r>
    <r>
      <rPr>
        <sz val="10"/>
        <color theme="1"/>
        <rFont val="宋体"/>
        <charset val="134"/>
      </rPr>
      <t>，致伤术</t>
    </r>
    <r>
      <rPr>
        <sz val="10"/>
        <color theme="1"/>
        <rFont val="Times New Roman"/>
        <charset val="134"/>
      </rPr>
      <t xml:space="preserve"> Inflict Wounds
</t>
    </r>
    <r>
      <rPr>
        <sz val="10"/>
        <color theme="1"/>
        <rFont val="宋体"/>
        <charset val="134"/>
      </rPr>
      <t>次等复原术</t>
    </r>
    <r>
      <rPr>
        <sz val="10"/>
        <color theme="1"/>
        <rFont val="Times New Roman"/>
        <charset val="134"/>
      </rPr>
      <t xml:space="preserve"> Lesser Restoration</t>
    </r>
    <r>
      <rPr>
        <sz val="10"/>
        <color theme="1"/>
        <rFont val="宋体"/>
        <charset val="134"/>
      </rPr>
      <t>，变身术</t>
    </r>
    <r>
      <rPr>
        <sz val="10"/>
        <color theme="1"/>
        <rFont val="Times New Roman"/>
        <charset val="134"/>
      </rPr>
      <t xml:space="preserve"> Alter Self 
5 </t>
    </r>
    <r>
      <rPr>
        <sz val="10"/>
        <color theme="1"/>
        <rFont val="宋体"/>
        <charset val="134"/>
      </rPr>
      <t>活力灵光</t>
    </r>
    <r>
      <rPr>
        <sz val="10"/>
        <color theme="1"/>
        <rFont val="Times New Roman"/>
        <charset val="134"/>
      </rPr>
      <t xml:space="preserve"> Aura of Vitality, </t>
    </r>
    <r>
      <rPr>
        <sz val="10"/>
        <color theme="1"/>
        <rFont val="宋体"/>
        <charset val="134"/>
      </rPr>
      <t>加速术</t>
    </r>
    <r>
      <rPr>
        <sz val="10"/>
        <color theme="1"/>
        <rFont val="Times New Roman"/>
        <charset val="134"/>
      </rPr>
      <t xml:space="preserve"> Haste 
7 </t>
    </r>
    <r>
      <rPr>
        <sz val="10"/>
        <color theme="1"/>
        <rFont val="宋体"/>
        <charset val="134"/>
      </rPr>
      <t>变形术</t>
    </r>
    <r>
      <rPr>
        <sz val="10"/>
        <color theme="1"/>
        <rFont val="Times New Roman"/>
        <charset val="134"/>
      </rPr>
      <t xml:space="preserve"> Polymorph, </t>
    </r>
    <r>
      <rPr>
        <sz val="10"/>
        <color theme="1"/>
        <rFont val="宋体"/>
        <charset val="134"/>
      </rPr>
      <t>石肤术</t>
    </r>
    <r>
      <rPr>
        <sz val="10"/>
        <color theme="1"/>
        <rFont val="Times New Roman"/>
        <charset val="134"/>
      </rPr>
      <t xml:space="preserve"> Stoneskin 
9 </t>
    </r>
    <r>
      <rPr>
        <sz val="10"/>
        <color theme="1"/>
        <rFont val="宋体"/>
        <charset val="134"/>
      </rPr>
      <t>疫病术</t>
    </r>
    <r>
      <rPr>
        <sz val="10"/>
        <color theme="1"/>
        <rFont val="Times New Roman"/>
        <charset val="134"/>
      </rPr>
      <t xml:space="preserve">Contagion, </t>
    </r>
    <r>
      <rPr>
        <sz val="10"/>
        <color theme="1"/>
        <rFont val="宋体"/>
        <charset val="134"/>
      </rPr>
      <t>群体疗伤术</t>
    </r>
    <r>
      <rPr>
        <sz val="10"/>
        <color theme="1"/>
        <rFont val="Times New Roman"/>
        <charset val="134"/>
      </rPr>
      <t xml:space="preserve"> Mass Cure Wounds </t>
    </r>
  </si>
  <si>
    <t>18+</t>
  </si>
  <si>
    <r>
      <rPr>
        <sz val="10"/>
        <color theme="1"/>
        <rFont val="宋体"/>
        <charset val="134"/>
      </rPr>
      <t>怒号血咒</t>
    </r>
  </si>
  <si>
    <r>
      <rPr>
        <sz val="10"/>
        <color theme="1"/>
        <rFont val="宋体"/>
        <charset val="134"/>
      </rPr>
      <t>先决条件：</t>
    </r>
    <r>
      <rPr>
        <sz val="10"/>
        <color theme="1"/>
        <rFont val="Times New Roman"/>
        <charset val="134"/>
      </rPr>
      <t xml:space="preserve">18 </t>
    </r>
    <r>
      <rPr>
        <sz val="10"/>
        <color theme="1"/>
        <rFont val="宋体"/>
        <charset val="134"/>
      </rPr>
      <t>级，化狼圣约</t>
    </r>
    <r>
      <rPr>
        <sz val="10"/>
        <color theme="1"/>
        <rFont val="Times New Roman"/>
        <charset val="134"/>
      </rPr>
      <t xml:space="preserve"> 
</t>
    </r>
    <r>
      <rPr>
        <sz val="10"/>
        <color theme="1"/>
        <rFont val="宋体"/>
        <charset val="134"/>
      </rPr>
      <t>以一个动作，你发出一阵毛骨悚然的嚎叫。每个</t>
    </r>
    <r>
      <rPr>
        <sz val="10"/>
        <color theme="1"/>
        <rFont val="Times New Roman"/>
        <charset val="134"/>
      </rPr>
      <t xml:space="preserve"> 30 </t>
    </r>
    <r>
      <rPr>
        <sz val="10"/>
        <color theme="1"/>
        <rFont val="宋体"/>
        <charset val="134"/>
      </rPr>
      <t>尺内能听到你的生物必须通过一次感知豁免，否则陷入恐惧，直至你下回合结束。若豁免失败，且骰值比</t>
    </r>
    <r>
      <rPr>
        <sz val="10"/>
        <color theme="1"/>
        <rFont val="Times New Roman"/>
        <charset val="134"/>
      </rPr>
      <t xml:space="preserve"> DC </t>
    </r>
    <r>
      <rPr>
        <sz val="10"/>
        <color theme="1"/>
        <rFont val="宋体"/>
        <charset val="134"/>
      </rPr>
      <t>相差</t>
    </r>
    <r>
      <rPr>
        <sz val="10"/>
        <color theme="1"/>
        <rFont val="Times New Roman"/>
        <charset val="134"/>
      </rPr>
      <t xml:space="preserve"> 5 </t>
    </r>
    <r>
      <rPr>
        <sz val="10"/>
        <color theme="1"/>
        <rFont val="宋体"/>
        <charset val="134"/>
      </rPr>
      <t>或更多，其在恐惧的同时被震慑。通过豁免的生物在</t>
    </r>
    <r>
      <rPr>
        <sz val="10"/>
        <color theme="1"/>
        <rFont val="Times New Roman"/>
        <charset val="134"/>
      </rPr>
      <t xml:space="preserve"> 24 </t>
    </r>
    <r>
      <rPr>
        <sz val="10"/>
        <color theme="1"/>
        <rFont val="宋体"/>
        <charset val="134"/>
      </rPr>
      <t>小时内免疫此血咒。
你可以选择任意数量你能看见的生物不受此嚎叫影响。
增幅。此诅咒的范围增加至</t>
    </r>
    <r>
      <rPr>
        <sz val="10"/>
        <color theme="1"/>
        <rFont val="Times New Roman"/>
        <charset val="134"/>
      </rPr>
      <t xml:space="preserve"> 60 </t>
    </r>
    <r>
      <rPr>
        <sz val="10"/>
        <color theme="1"/>
        <rFont val="宋体"/>
        <charset val="134"/>
      </rPr>
      <t>尺。</t>
    </r>
  </si>
  <si>
    <r>
      <rPr>
        <sz val="10"/>
        <color theme="1"/>
        <rFont val="宋体"/>
        <charset val="134"/>
      </rPr>
      <t>你获得属性值提升专长（见第五章）或其他你满足条件的专长。如药剂师特性表所示，你还会在第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级时再次获得本特性。</t>
    </r>
  </si>
  <si>
    <t>欺天骰【战技】</t>
  </si>
  <si>
    <t>当你使用远程武器进行伤害掷骰时，你能够以附赠动作消耗一枚风险骰，并声明进行隐秘掷骰。你秘密地进行掷骰并宣言任何你期望的总值。然后DM可以选择揭穿你的虚张声势，此时你需要公布你的掷骰结果。
根据你是否撒谎，将产生不同的结果。
DM揭穿你且你撒了谎。你造成的伤害减半。
DM揭穿你但你未撒谎。你造成的伤害翻倍。
DM未揭穿你。使用你宣言你造成的伤害，即使你的掷骰结果并非如此。</t>
  </si>
  <si>
    <t>流星一条</t>
  </si>
  <si>
    <t>当你以远程武器攻击命中一名受禁生物时，你能够以附赠动作消耗一枚缄印在其防御上创造弱点。该生物的AC受到等于你熟练加值的减值，直至你的下一回合结束。</t>
  </si>
  <si>
    <r>
      <rPr>
        <sz val="10"/>
        <color theme="1"/>
        <rFont val="宋体"/>
        <charset val="134"/>
      </rPr>
      <t>当你在你的回合执行攻击动作时，你能将你向异界伟力许下誓言的证明公之于众。当你如此做时，你的其中一条肢体变形为与你的惧恶之力相符的怪物外表，并且你获得以下增益，持续</t>
    </r>
    <r>
      <rPr>
        <sz val="10"/>
        <color theme="1"/>
        <rFont val="Times New Roman"/>
        <charset val="134"/>
      </rPr>
      <t>1</t>
    </r>
    <r>
      <rPr>
        <sz val="10"/>
        <color theme="1"/>
        <rFont val="宋体"/>
        <charset val="134"/>
      </rPr>
      <t>分钟。此特性一经使用，直至完成短休或长休你都无法再次使用。
复仇打击</t>
    </r>
    <r>
      <rPr>
        <sz val="10"/>
        <color theme="1"/>
        <rFont val="Times New Roman"/>
        <charset val="134"/>
      </rPr>
      <t>Revenging Strike</t>
    </r>
    <r>
      <rPr>
        <sz val="10"/>
        <color theme="1"/>
        <rFont val="宋体"/>
        <charset val="134"/>
      </rPr>
      <t>。当你被近战攻击命中时，若攻击你的生物位于你的触及范围内，你能以反应对其发动一次徒手打击。
无尽渴血</t>
    </r>
    <r>
      <rPr>
        <sz val="10"/>
        <color theme="1"/>
        <rFont val="Times New Roman"/>
        <charset val="134"/>
      </rPr>
      <t>Unslakeable Bloodlust</t>
    </r>
    <r>
      <rPr>
        <sz val="10"/>
        <color theme="1"/>
        <rFont val="宋体"/>
        <charset val="134"/>
      </rPr>
      <t>。当你以徒手打击命中一名目标时，你能将攻击的伤害骰投掷两次并对那名目标同时应用两个结果。
旋风暴揍</t>
    </r>
    <r>
      <rPr>
        <sz val="10"/>
        <color theme="1"/>
        <rFont val="Times New Roman"/>
        <charset val="134"/>
      </rPr>
      <t>Whirlwind of Violence</t>
    </r>
    <r>
      <rPr>
        <sz val="10"/>
        <color theme="1"/>
        <rFont val="宋体"/>
        <charset val="134"/>
      </rPr>
      <t>。每个回合中你的徒手打击首次失手时，你能重骰此次攻击但必须使用新的结果。</t>
    </r>
  </si>
  <si>
    <r>
      <rPr>
        <sz val="10"/>
        <color theme="1"/>
        <rFont val="宋体"/>
        <charset val="134"/>
      </rPr>
      <t>生命领域</t>
    </r>
  </si>
  <si>
    <r>
      <rPr>
        <sz val="10"/>
        <color theme="1"/>
        <rFont val="宋体"/>
        <charset val="134"/>
      </rPr>
      <t>圣树活力</t>
    </r>
  </si>
  <si>
    <r>
      <rPr>
        <sz val="10"/>
        <color theme="1"/>
        <rFont val="宋体"/>
        <charset val="134"/>
      </rPr>
      <t>你的狂暴浸润着世界树的生命力。你获得以下增益：
活力之涌</t>
    </r>
    <r>
      <rPr>
        <sz val="10"/>
        <color theme="1"/>
        <rFont val="Times New Roman"/>
        <charset val="134"/>
      </rPr>
      <t xml:space="preserve">Vitality Surge </t>
    </r>
    <r>
      <rPr>
        <sz val="10"/>
        <color theme="1"/>
        <rFont val="宋体"/>
        <charset val="134"/>
      </rPr>
      <t>。当你激活狂暴时，你获得等于你野蛮人等级的临时生命值。
赐命之源</t>
    </r>
    <r>
      <rPr>
        <sz val="10"/>
        <color theme="1"/>
        <rFont val="Times New Roman"/>
        <charset val="134"/>
      </rPr>
      <t xml:space="preserve">Life-Giving Force </t>
    </r>
    <r>
      <rPr>
        <sz val="10"/>
        <color theme="1"/>
        <rFont val="宋体"/>
        <charset val="134"/>
      </rPr>
      <t>。你的狂暴激活期间，在你的每个回合开始时，你可以赋予位于你</t>
    </r>
    <r>
      <rPr>
        <sz val="10"/>
        <color theme="1"/>
        <rFont val="Times New Roman"/>
        <charset val="134"/>
      </rPr>
      <t>10</t>
    </r>
    <r>
      <rPr>
        <sz val="10"/>
        <color theme="1"/>
        <rFont val="宋体"/>
        <charset val="134"/>
      </rPr>
      <t>尺内的另一名生物临时生命值。投掷等于你狂暴伤害加值数量的</t>
    </r>
    <r>
      <rPr>
        <sz val="10"/>
        <color theme="1"/>
        <rFont val="Times New Roman"/>
        <charset val="134"/>
      </rPr>
      <t>d6</t>
    </r>
    <r>
      <rPr>
        <sz val="10"/>
        <color theme="1"/>
        <rFont val="宋体"/>
        <charset val="134"/>
      </rPr>
      <t>，将它们相加，即是该生物获得的临时生命值。当你的狂暴结束时，剩余的临时生命值将会消失。</t>
    </r>
    <r>
      <rPr>
        <sz val="10"/>
        <color theme="1"/>
        <rFont val="Times New Roman"/>
        <charset val="134"/>
      </rPr>
      <t xml:space="preserve"> </t>
    </r>
  </si>
  <si>
    <r>
      <rPr>
        <sz val="10"/>
        <color theme="1"/>
        <rFont val="宋体"/>
        <charset val="134"/>
      </rPr>
      <t>超凡技艺</t>
    </r>
  </si>
  <si>
    <r>
      <rPr>
        <sz val="10"/>
        <color theme="1"/>
        <rFont val="宋体"/>
        <charset val="134"/>
      </rPr>
      <t>当你进行一次属性检定或攻击检定并在检定中失败时，你可以消耗一次诗人激励使用次数，投掷诗人激励骰，并将掷骰结果加到</t>
    </r>
    <r>
      <rPr>
        <sz val="10"/>
        <color theme="1"/>
        <rFont val="Times New Roman"/>
        <charset val="134"/>
      </rPr>
      <t>d20</t>
    </r>
    <r>
      <rPr>
        <sz val="10"/>
        <color theme="1"/>
        <rFont val="宋体"/>
        <charset val="134"/>
      </rPr>
      <t>中，这可能使这次检定的失败变为成功。若检定仍然失败，将不会被消耗诗人激励次数。</t>
    </r>
    <r>
      <rPr>
        <sz val="10"/>
        <color theme="1"/>
        <rFont val="Times New Roman"/>
        <charset val="134"/>
      </rPr>
      <t xml:space="preserve"> </t>
    </r>
  </si>
  <si>
    <r>
      <rPr>
        <sz val="10"/>
        <color theme="1"/>
        <rFont val="宋体"/>
        <charset val="134"/>
      </rPr>
      <t>诡术祝福</t>
    </r>
  </si>
  <si>
    <r>
      <rPr>
        <sz val="10"/>
        <color theme="1"/>
        <rFont val="宋体"/>
        <charset val="134"/>
      </rPr>
      <t>以一个魔法动作，你可以选择自己或</t>
    </r>
    <r>
      <rPr>
        <sz val="10"/>
        <color theme="1"/>
        <rFont val="Times New Roman"/>
        <charset val="134"/>
      </rPr>
      <t>30</t>
    </r>
    <r>
      <rPr>
        <sz val="10"/>
        <color theme="1"/>
        <rFont val="宋体"/>
        <charset val="134"/>
      </rPr>
      <t>尺内一个自愿生物，所选生物在进行敏捷（隐匿）检定时具有优势。此祝福持续至你完成一次长休或直至你再次使用此特性。</t>
    </r>
  </si>
  <si>
    <r>
      <rPr>
        <sz val="10"/>
        <color theme="1"/>
        <rFont val="宋体"/>
        <charset val="134"/>
      </rPr>
      <t>月亮结社法术</t>
    </r>
  </si>
  <si>
    <r>
      <rPr>
        <sz val="10"/>
        <color theme="1"/>
        <rFont val="宋体"/>
        <charset val="134"/>
      </rPr>
      <t>当你到达月亮结社法术表中特定的德鲁伊等级时，你就始终准备了表中对应的法术。
此外，你可以在荒野变形下施展这些法术。</t>
    </r>
    <r>
      <rPr>
        <sz val="10"/>
        <color theme="1"/>
        <rFont val="Times New Roman"/>
        <charset val="134"/>
      </rPr>
      <t xml:space="preserve"> 
</t>
    </r>
    <r>
      <rPr>
        <sz val="10"/>
        <color theme="1"/>
        <rFont val="宋体"/>
        <charset val="134"/>
      </rPr>
      <t>月亮结社法术</t>
    </r>
    <r>
      <rPr>
        <sz val="10"/>
        <color theme="1"/>
        <rFont val="Times New Roman"/>
        <charset val="134"/>
      </rPr>
      <t xml:space="preserve">Circle of the Moon Spells 
</t>
    </r>
    <r>
      <rPr>
        <sz val="10"/>
        <color theme="1"/>
        <rFont val="宋体"/>
        <charset val="134"/>
      </rPr>
      <t>德鲁伊等级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点点星芒</t>
    </r>
    <r>
      <rPr>
        <sz val="10"/>
        <color theme="1"/>
        <rFont val="Times New Roman"/>
        <charset val="134"/>
      </rPr>
      <t xml:space="preserve">Starry Wisp </t>
    </r>
    <r>
      <rPr>
        <sz val="10"/>
        <color theme="1"/>
        <rFont val="宋体"/>
        <charset val="134"/>
      </rPr>
      <t>疗伤术</t>
    </r>
    <r>
      <rPr>
        <sz val="10"/>
        <color theme="1"/>
        <rFont val="Times New Roman"/>
        <charset val="134"/>
      </rPr>
      <t xml:space="preserve">Cure Wound </t>
    </r>
    <r>
      <rPr>
        <sz val="10"/>
        <color theme="1"/>
        <rFont val="宋体"/>
        <charset val="134"/>
      </rPr>
      <t>月华之光</t>
    </r>
    <r>
      <rPr>
        <sz val="10"/>
        <color theme="1"/>
        <rFont val="Times New Roman"/>
        <charset val="134"/>
      </rPr>
      <t xml:space="preserve">Moonbeam 
5 </t>
    </r>
    <r>
      <rPr>
        <sz val="10"/>
        <color theme="1"/>
        <rFont val="宋体"/>
        <charset val="134"/>
      </rPr>
      <t>咒唤兽群</t>
    </r>
    <r>
      <rPr>
        <sz val="10"/>
        <color theme="1"/>
        <rFont val="Times New Roman"/>
        <charset val="134"/>
      </rPr>
      <t xml:space="preserve">Conjure Animals 
7 </t>
    </r>
    <r>
      <rPr>
        <sz val="10"/>
        <color theme="1"/>
        <rFont val="宋体"/>
        <charset val="134"/>
      </rPr>
      <t>月光涌泉</t>
    </r>
    <r>
      <rPr>
        <sz val="10"/>
        <color theme="1"/>
        <rFont val="Times New Roman"/>
        <charset val="134"/>
      </rPr>
      <t xml:space="preserve">Fount of Moonlight 
9 </t>
    </r>
    <r>
      <rPr>
        <sz val="10"/>
        <color theme="1"/>
        <rFont val="宋体"/>
        <charset val="134"/>
      </rPr>
      <t>群体疗伤术</t>
    </r>
    <r>
      <rPr>
        <sz val="10"/>
        <color theme="1"/>
        <rFont val="Times New Roman"/>
        <charset val="134"/>
      </rPr>
      <t xml:space="preserve">Mass Cure Wounds </t>
    </r>
  </si>
  <si>
    <r>
      <rPr>
        <sz val="10"/>
        <color theme="1"/>
        <rFont val="宋体"/>
        <charset val="134"/>
      </rPr>
      <t>精准攻击</t>
    </r>
  </si>
  <si>
    <r>
      <rPr>
        <sz val="10"/>
        <color theme="1"/>
        <rFont val="宋体"/>
        <charset val="134"/>
      </rPr>
      <t>当你的一次攻击检定失手时，可以消耗一枚卓越骰并将其结果加在本次攻击的攻击检定中，这可能会导致其命中。</t>
    </r>
  </si>
  <si>
    <r>
      <rPr>
        <sz val="10"/>
        <color theme="1"/>
        <rFont val="宋体"/>
        <charset val="134"/>
      </rPr>
      <t>暗影步</t>
    </r>
  </si>
  <si>
    <r>
      <rPr>
        <sz val="10"/>
        <color theme="1"/>
        <rFont val="宋体"/>
        <charset val="134"/>
      </rPr>
      <t>当你完全身处微光光照或黑暗下时，你能以一个附赠动作传送到</t>
    </r>
    <r>
      <rPr>
        <sz val="10"/>
        <color theme="1"/>
        <rFont val="Times New Roman"/>
        <charset val="134"/>
      </rPr>
      <t>60</t>
    </r>
    <r>
      <rPr>
        <sz val="10"/>
        <color theme="1"/>
        <rFont val="宋体"/>
        <charset val="134"/>
      </rPr>
      <t>尺内另一处你可见的未占据的空间，目标地点需要同样位于微光光照或黑暗下。接下来，你在当前回合结束前所做的下一次近战攻击具有优势。</t>
    </r>
  </si>
  <si>
    <r>
      <rPr>
        <sz val="10"/>
        <color theme="1"/>
        <rFont val="宋体"/>
        <charset val="134"/>
      </rPr>
      <t>荣耀之誓法术</t>
    </r>
  </si>
  <si>
    <r>
      <rPr>
        <sz val="10"/>
        <color theme="1"/>
        <rFont val="宋体"/>
        <charset val="134"/>
      </rPr>
      <t>你誓言具有的魔法使你始终准备了特定的法术。当你到达荣耀之誓法术表中特定的圣武士等级时，你就始终准备了表中对应的法术。
荣耀之誓法术</t>
    </r>
    <r>
      <rPr>
        <sz val="10"/>
        <color theme="1"/>
        <rFont val="Times New Roman"/>
        <charset val="134"/>
      </rPr>
      <t xml:space="preserve">Oath of Glory Spells 
</t>
    </r>
    <r>
      <rPr>
        <sz val="10"/>
        <color theme="1"/>
        <rFont val="宋体"/>
        <charset val="134"/>
      </rPr>
      <t>圣武士等级</t>
    </r>
    <r>
      <rPr>
        <sz val="10"/>
        <color theme="1"/>
        <rFont val="Times New Roman"/>
        <charset val="134"/>
      </rPr>
      <t xml:space="preserve"> </t>
    </r>
    <r>
      <rPr>
        <sz val="10"/>
        <color theme="1"/>
        <rFont val="宋体"/>
        <charset val="134"/>
      </rPr>
      <t xml:space="preserve">准备法术
</t>
    </r>
    <r>
      <rPr>
        <sz val="10"/>
        <color theme="1"/>
        <rFont val="Times New Roman"/>
        <charset val="134"/>
      </rPr>
      <t xml:space="preserve">3 </t>
    </r>
    <r>
      <rPr>
        <sz val="10"/>
        <color theme="1"/>
        <rFont val="宋体"/>
        <charset val="134"/>
      </rPr>
      <t>光导箭</t>
    </r>
    <r>
      <rPr>
        <sz val="10"/>
        <color theme="1"/>
        <rFont val="Times New Roman"/>
        <charset val="134"/>
      </rPr>
      <t>Guiding Bolt</t>
    </r>
    <r>
      <rPr>
        <sz val="10"/>
        <color theme="1"/>
        <rFont val="宋体"/>
        <charset val="134"/>
      </rPr>
      <t>，英雄气概</t>
    </r>
    <r>
      <rPr>
        <sz val="10"/>
        <color theme="1"/>
        <rFont val="Times New Roman"/>
        <charset val="134"/>
      </rPr>
      <t xml:space="preserve">Heroism 
5 </t>
    </r>
    <r>
      <rPr>
        <sz val="10"/>
        <color theme="1"/>
        <rFont val="宋体"/>
        <charset val="134"/>
      </rPr>
      <t>强化属性</t>
    </r>
    <r>
      <rPr>
        <sz val="10"/>
        <color theme="1"/>
        <rFont val="Times New Roman"/>
        <charset val="134"/>
      </rPr>
      <t>Enhance Ability</t>
    </r>
    <r>
      <rPr>
        <sz val="10"/>
        <color theme="1"/>
        <rFont val="宋体"/>
        <charset val="134"/>
      </rPr>
      <t>，魔化武器</t>
    </r>
    <r>
      <rPr>
        <sz val="10"/>
        <color theme="1"/>
        <rFont val="Times New Roman"/>
        <charset val="134"/>
      </rPr>
      <t xml:space="preserve">Magic Weapon 
9 </t>
    </r>
    <r>
      <rPr>
        <sz val="10"/>
        <color theme="1"/>
        <rFont val="宋体"/>
        <charset val="134"/>
      </rPr>
      <t>加速术</t>
    </r>
    <r>
      <rPr>
        <sz val="10"/>
        <color theme="1"/>
        <rFont val="Times New Roman"/>
        <charset val="134"/>
      </rPr>
      <t>Haste</t>
    </r>
    <r>
      <rPr>
        <sz val="10"/>
        <color theme="1"/>
        <rFont val="宋体"/>
        <charset val="134"/>
      </rPr>
      <t>，防护能量伤害</t>
    </r>
    <r>
      <rPr>
        <sz val="10"/>
        <color theme="1"/>
        <rFont val="Times New Roman"/>
        <charset val="134"/>
      </rPr>
      <t xml:space="preserve">Protection from Energy 
13 </t>
    </r>
    <r>
      <rPr>
        <sz val="10"/>
        <color theme="1"/>
        <rFont val="宋体"/>
        <charset val="134"/>
      </rPr>
      <t>强迫术</t>
    </r>
    <r>
      <rPr>
        <sz val="10"/>
        <color theme="1"/>
        <rFont val="Times New Roman"/>
        <charset val="134"/>
      </rPr>
      <t>Compulsion</t>
    </r>
    <r>
      <rPr>
        <sz val="10"/>
        <color theme="1"/>
        <rFont val="宋体"/>
        <charset val="134"/>
      </rPr>
      <t>，行动自如</t>
    </r>
    <r>
      <rPr>
        <sz val="10"/>
        <color theme="1"/>
        <rFont val="Times New Roman"/>
        <charset val="134"/>
      </rPr>
      <t xml:space="preserve">Freedom of Movement 
17 </t>
    </r>
    <r>
      <rPr>
        <sz val="10"/>
        <color theme="1"/>
        <rFont val="宋体"/>
        <charset val="134"/>
      </rPr>
      <t>通晓传奇</t>
    </r>
    <r>
      <rPr>
        <sz val="10"/>
        <color theme="1"/>
        <rFont val="Times New Roman"/>
        <charset val="134"/>
      </rPr>
      <t>Legend Lore</t>
    </r>
    <r>
      <rPr>
        <sz val="10"/>
        <color theme="1"/>
        <rFont val="宋体"/>
        <charset val="134"/>
      </rPr>
      <t>，悠兰德的王者威仪</t>
    </r>
    <r>
      <rPr>
        <sz val="10"/>
        <color theme="1"/>
        <rFont val="Times New Roman"/>
        <charset val="134"/>
      </rPr>
      <t xml:space="preserve">Yolande’s Regal Presence </t>
    </r>
  </si>
  <si>
    <r>
      <rPr>
        <sz val="10"/>
        <color theme="1"/>
        <rFont val="宋体"/>
        <charset val="134"/>
      </rPr>
      <t>妖思魅缕</t>
    </r>
  </si>
  <si>
    <r>
      <rPr>
        <sz val="10"/>
        <color theme="1"/>
        <rFont val="宋体"/>
        <charset val="134"/>
      </rPr>
      <t>妖精荒原的魔法护卫着你的心灵。你在对抗或终止魅惑或恐惧状态的豁免检定上具有优势。
此外，当你或位于你</t>
    </r>
    <r>
      <rPr>
        <sz val="10"/>
        <color theme="1"/>
        <rFont val="Times New Roman"/>
        <charset val="134"/>
      </rPr>
      <t>120</t>
    </r>
    <r>
      <rPr>
        <sz val="10"/>
        <color theme="1"/>
        <rFont val="宋体"/>
        <charset val="134"/>
      </rPr>
      <t>尺内的一个你可见的生物，通过了一次对抗或终止魅惑或恐惧状态的豁免检定时，你可以用你的反应迫使位于你</t>
    </r>
    <r>
      <rPr>
        <sz val="10"/>
        <color theme="1"/>
        <rFont val="Times New Roman"/>
        <charset val="134"/>
      </rPr>
      <t>120</t>
    </r>
    <r>
      <rPr>
        <sz val="10"/>
        <color theme="1"/>
        <rFont val="宋体"/>
        <charset val="134"/>
      </rPr>
      <t>尺内的另一个你可见的不同生物，进行一次对抗你法术豁免</t>
    </r>
    <r>
      <rPr>
        <sz val="10"/>
        <color theme="1"/>
        <rFont val="Times New Roman"/>
        <charset val="134"/>
      </rPr>
      <t>DC</t>
    </r>
    <r>
      <rPr>
        <sz val="10"/>
        <color theme="1"/>
        <rFont val="宋体"/>
        <charset val="134"/>
      </rPr>
      <t>的感知豁免。豁免失败，目标则陷入魅惑或恐慌状态（由你选择）</t>
    </r>
    <r>
      <rPr>
        <sz val="10"/>
        <color theme="1"/>
        <rFont val="Times New Roman"/>
        <charset val="134"/>
      </rPr>
      <t>1</t>
    </r>
    <r>
      <rPr>
        <sz val="10"/>
        <color theme="1"/>
        <rFont val="宋体"/>
        <charset val="134"/>
      </rPr>
      <t>分钟。目标在其每回合结束时重复此豁免，豁免成功则结束此效应。</t>
    </r>
  </si>
  <si>
    <r>
      <rPr>
        <sz val="10"/>
        <color theme="1"/>
        <rFont val="宋体"/>
        <charset val="134"/>
      </rPr>
      <t>暗杀</t>
    </r>
  </si>
  <si>
    <r>
      <rPr>
        <sz val="10"/>
        <color theme="1"/>
        <rFont val="宋体"/>
        <charset val="134"/>
      </rPr>
      <t>你精通于对目标发起奇袭，你获得以下增益：
先攻</t>
    </r>
    <r>
      <rPr>
        <sz val="10"/>
        <color theme="1"/>
        <rFont val="Times New Roman"/>
        <charset val="134"/>
      </rPr>
      <t>Initiative</t>
    </r>
    <r>
      <rPr>
        <sz val="10"/>
        <color theme="1"/>
        <rFont val="宋体"/>
        <charset val="134"/>
      </rPr>
      <t>。你的先攻掷骰具有优势。
惊扰突袭</t>
    </r>
    <r>
      <rPr>
        <sz val="10"/>
        <color theme="1"/>
        <rFont val="Times New Roman"/>
        <charset val="134"/>
      </rPr>
      <t>Surprising Strikes</t>
    </r>
    <r>
      <rPr>
        <sz val="10"/>
        <color theme="1"/>
        <rFont val="宋体"/>
        <charset val="134"/>
      </rPr>
      <t>。每次战斗的第一轮中，你对任何还没有经历过自己回合的生物发动的攻击检定都具有优势。如果你在那一轮里命中并偷袭了任意目标，该目标将承受等同于你的游荡者等级的额外伤害，该伤害的类型与你的武器伤害类型一致。</t>
    </r>
  </si>
  <si>
    <r>
      <rPr>
        <sz val="10"/>
        <color theme="1"/>
        <rFont val="宋体"/>
        <charset val="134"/>
      </rPr>
      <t>心灵防御</t>
    </r>
  </si>
  <si>
    <r>
      <rPr>
        <sz val="10"/>
        <color theme="1"/>
        <rFont val="宋体"/>
        <charset val="134"/>
      </rPr>
      <t>你获得心灵伤害的抗性。此外，你在避免和结束魅惑状态与恐慌状态的豁免检定上具有优势。</t>
    </r>
  </si>
  <si>
    <r>
      <rPr>
        <sz val="10"/>
        <color theme="1"/>
        <rFont val="宋体"/>
        <charset val="134"/>
      </rPr>
      <t>每个你的回合一次，当你用</t>
    </r>
    <r>
      <rPr>
        <sz val="10"/>
        <color theme="1"/>
        <rFont val="Times New Roman"/>
        <charset val="134"/>
      </rPr>
      <t xml:space="preserve"> </t>
    </r>
    <r>
      <rPr>
        <sz val="10"/>
        <color theme="1"/>
        <rFont val="宋体"/>
        <charset val="134"/>
      </rPr>
      <t>魔能爆</t>
    </r>
    <r>
      <rPr>
        <sz val="10"/>
        <color theme="1"/>
        <rFont val="Times New Roman"/>
        <charset val="134"/>
      </rPr>
      <t xml:space="preserve">eldritch blast </t>
    </r>
    <r>
      <rPr>
        <sz val="10"/>
        <color theme="1"/>
        <rFont val="宋体"/>
        <charset val="134"/>
      </rPr>
      <t>击中一个生物时，你可以使目标的速度降低</t>
    </r>
    <r>
      <rPr>
        <sz val="10"/>
        <color theme="1"/>
        <rFont val="Times New Roman"/>
        <charset val="134"/>
      </rPr>
      <t>10</t>
    </r>
    <r>
      <rPr>
        <sz val="10"/>
        <color theme="1"/>
        <rFont val="宋体"/>
        <charset val="134"/>
      </rPr>
      <t>尺，持续直至你的下个回合结束。
先决条件：习得戏法</t>
    </r>
    <r>
      <rPr>
        <sz val="10"/>
        <color theme="1"/>
        <rFont val="Times New Roman"/>
        <charset val="134"/>
      </rPr>
      <t xml:space="preserve"> </t>
    </r>
    <r>
      <rPr>
        <sz val="10"/>
        <color theme="1"/>
        <rFont val="宋体"/>
        <charset val="134"/>
      </rPr>
      <t>魔能爆</t>
    </r>
    <r>
      <rPr>
        <sz val="10"/>
        <color theme="1"/>
        <rFont val="Times New Roman"/>
        <charset val="134"/>
      </rPr>
      <t>eldritch blast</t>
    </r>
  </si>
  <si>
    <r>
      <rPr>
        <sz val="10"/>
        <color theme="1"/>
        <rFont val="宋体"/>
        <charset val="134"/>
      </rPr>
      <t>高等预兆</t>
    </r>
  </si>
  <si>
    <r>
      <rPr>
        <sz val="10"/>
        <color theme="1"/>
        <rFont val="宋体"/>
        <charset val="134"/>
      </rPr>
      <t>你梦中的景象更为清晰地在你意识中描绘出了将要发生的一切。为你的预兆</t>
    </r>
    <r>
      <rPr>
        <sz val="10"/>
        <color theme="1"/>
        <rFont val="Times New Roman"/>
        <charset val="134"/>
      </rPr>
      <t xml:space="preserve"> </t>
    </r>
    <r>
      <rPr>
        <sz val="10"/>
        <color theme="1"/>
        <rFont val="宋体"/>
        <charset val="134"/>
      </rPr>
      <t>特性掷</t>
    </r>
    <r>
      <rPr>
        <sz val="10"/>
        <color theme="1"/>
        <rFont val="Times New Roman"/>
        <charset val="134"/>
      </rPr>
      <t>3</t>
    </r>
    <r>
      <rPr>
        <sz val="10"/>
        <color theme="1"/>
        <rFont val="宋体"/>
        <charset val="134"/>
      </rPr>
      <t>次</t>
    </r>
    <r>
      <rPr>
        <sz val="10"/>
        <color theme="1"/>
        <rFont val="Times New Roman"/>
        <charset val="134"/>
      </rPr>
      <t>d20</t>
    </r>
    <r>
      <rPr>
        <sz val="10"/>
        <color theme="1"/>
        <rFont val="宋体"/>
        <charset val="134"/>
      </rPr>
      <t>，而不是</t>
    </r>
    <r>
      <rPr>
        <sz val="10"/>
        <color theme="1"/>
        <rFont val="Times New Roman"/>
        <charset val="134"/>
      </rPr>
      <t>2</t>
    </r>
    <r>
      <rPr>
        <sz val="10"/>
        <color theme="1"/>
        <rFont val="宋体"/>
        <charset val="134"/>
      </rPr>
      <t>次。</t>
    </r>
  </si>
  <si>
    <t>装甲师行业工具</t>
  </si>
  <si>
    <r>
      <rPr>
        <sz val="10"/>
        <color theme="1"/>
        <rFont val="宋体"/>
        <charset val="134"/>
      </rPr>
      <t>你获得以下增益。</t>
    </r>
    <r>
      <rPr>
        <sz val="10"/>
        <color theme="1"/>
        <rFont val="Times New Roman"/>
        <charset val="134"/>
      </rPr>
      <t xml:space="preserve">
</t>
    </r>
    <r>
      <rPr>
        <sz val="10"/>
        <color theme="1"/>
        <rFont val="宋体"/>
        <charset val="134"/>
      </rPr>
      <t>护甲受训</t>
    </r>
    <r>
      <rPr>
        <sz val="10"/>
        <color theme="1"/>
        <rFont val="Times New Roman"/>
        <charset val="134"/>
      </rPr>
      <t>Armor Training</t>
    </r>
    <r>
      <rPr>
        <sz val="10"/>
        <color theme="1"/>
        <rFont val="宋体"/>
        <charset val="134"/>
      </rPr>
      <t>。你获得重甲受训。</t>
    </r>
    <r>
      <rPr>
        <sz val="10"/>
        <color theme="1"/>
        <rFont val="Times New Roman"/>
        <charset val="134"/>
      </rPr>
      <t xml:space="preserve">
</t>
    </r>
    <r>
      <rPr>
        <sz val="10"/>
        <color theme="1"/>
        <rFont val="宋体"/>
        <charset val="134"/>
      </rPr>
      <t>工具熟练</t>
    </r>
    <r>
      <rPr>
        <sz val="10"/>
        <color theme="1"/>
        <rFont val="Times New Roman"/>
        <charset val="134"/>
      </rPr>
      <t>Tool Proficiency</t>
    </r>
    <r>
      <rPr>
        <sz val="10"/>
        <color theme="1"/>
        <rFont val="宋体"/>
        <charset val="134"/>
      </rPr>
      <t>。你获得铁匠工具的熟练。如果你已经拥有此工具的熟练，则你获得另一种你选择的工匠工具的熟练。</t>
    </r>
    <r>
      <rPr>
        <sz val="10"/>
        <color theme="1"/>
        <rFont val="Times New Roman"/>
        <charset val="134"/>
      </rPr>
      <t xml:space="preserve">
</t>
    </r>
    <r>
      <rPr>
        <sz val="10"/>
        <color theme="1"/>
        <rFont val="宋体"/>
        <charset val="134"/>
      </rPr>
      <t>护甲制造</t>
    </r>
    <r>
      <rPr>
        <sz val="10"/>
        <color theme="1"/>
        <rFont val="Times New Roman"/>
        <charset val="134"/>
      </rPr>
      <t>Armor Crafting</t>
    </r>
    <r>
      <rPr>
        <sz val="10"/>
        <color theme="1"/>
        <rFont val="宋体"/>
        <charset val="134"/>
      </rPr>
      <t>。</t>
    </r>
    <r>
      <rPr>
        <sz val="10"/>
        <color theme="1"/>
        <rFont val="Times New Roman"/>
        <charset val="134"/>
      </rPr>
      <t xml:space="preserve"> </t>
    </r>
    <r>
      <rPr>
        <sz val="10"/>
        <color theme="1"/>
        <rFont val="宋体"/>
        <charset val="134"/>
      </rPr>
      <t>当你制造非魔法或魔法护甲，制造所需花费的时间减半。</t>
    </r>
  </si>
  <si>
    <t>可变形态</t>
  </si>
  <si>
    <r>
      <rPr>
        <sz val="10"/>
        <color theme="1"/>
        <rFont val="宋体"/>
        <charset val="134"/>
      </rPr>
      <t>你可以用一个附赠动作消耗一枚灵能骰，灵能性地伸长你的肢体，持续一分钟。投掷被消耗的灵能骰，你获得等同于其骰值加上智力调整值的临时生命。此外，在此特性激活期间你获得下述增益。</t>
    </r>
    <r>
      <rPr>
        <sz val="10"/>
        <color theme="1"/>
        <rFont val="Times New Roman"/>
        <charset val="134"/>
      </rPr>
      <t xml:space="preserve"> 
</t>
    </r>
    <r>
      <rPr>
        <sz val="10"/>
        <color theme="1"/>
        <rFont val="宋体"/>
        <charset val="134"/>
      </rPr>
      <t>触及</t>
    </r>
    <r>
      <rPr>
        <sz val="10"/>
        <color theme="1"/>
        <rFont val="Times New Roman"/>
        <charset val="134"/>
      </rPr>
      <t>Reach</t>
    </r>
    <r>
      <rPr>
        <sz val="10"/>
        <color theme="1"/>
        <rFont val="宋体"/>
        <charset val="134"/>
      </rPr>
      <t>。你的触及增加</t>
    </r>
    <r>
      <rPr>
        <sz val="10"/>
        <color theme="1"/>
        <rFont val="Times New Roman"/>
        <charset val="134"/>
      </rPr>
      <t>5</t>
    </r>
    <r>
      <rPr>
        <sz val="10"/>
        <color theme="1"/>
        <rFont val="宋体"/>
        <charset val="134"/>
      </rPr>
      <t>尺。</t>
    </r>
    <r>
      <rPr>
        <sz val="10"/>
        <color theme="1"/>
        <rFont val="Times New Roman"/>
        <charset val="134"/>
      </rPr>
      <t xml:space="preserve"> 
</t>
    </r>
    <r>
      <rPr>
        <sz val="10"/>
        <color theme="1"/>
        <rFont val="宋体"/>
        <charset val="134"/>
      </rPr>
      <t>速度</t>
    </r>
    <r>
      <rPr>
        <sz val="10"/>
        <color theme="1"/>
        <rFont val="Times New Roman"/>
        <charset val="134"/>
      </rPr>
      <t>Speed</t>
    </r>
    <r>
      <rPr>
        <sz val="10"/>
        <color theme="1"/>
        <rFont val="宋体"/>
        <charset val="134"/>
      </rPr>
      <t>。你的速度增加</t>
    </r>
    <r>
      <rPr>
        <sz val="10"/>
        <color theme="1"/>
        <rFont val="Times New Roman"/>
        <charset val="134"/>
      </rPr>
      <t>5</t>
    </r>
    <r>
      <rPr>
        <sz val="10"/>
        <color theme="1"/>
        <rFont val="宋体"/>
        <charset val="134"/>
      </rPr>
      <t>尺。</t>
    </r>
    <r>
      <rPr>
        <sz val="10"/>
        <color theme="1"/>
        <rFont val="Times New Roman"/>
        <charset val="134"/>
      </rPr>
      <t xml:space="preserve"> 
</t>
    </r>
    <r>
      <rPr>
        <sz val="10"/>
        <color theme="1"/>
        <rFont val="宋体"/>
        <charset val="134"/>
      </rPr>
      <t>触碰</t>
    </r>
    <r>
      <rPr>
        <sz val="10"/>
        <color theme="1"/>
        <rFont val="Times New Roman"/>
        <charset val="134"/>
      </rPr>
      <t>Touch</t>
    </r>
    <r>
      <rPr>
        <sz val="10"/>
        <color theme="1"/>
        <rFont val="宋体"/>
        <charset val="134"/>
      </rPr>
      <t>。你施展一道施法距离为触碰，施法时间为动作的法术时，可以将那道法术的施法距离变为</t>
    </r>
    <r>
      <rPr>
        <sz val="10"/>
        <color theme="1"/>
        <rFont val="Times New Roman"/>
        <charset val="134"/>
      </rPr>
      <t>10</t>
    </r>
    <r>
      <rPr>
        <sz val="10"/>
        <color theme="1"/>
        <rFont val="宋体"/>
        <charset val="134"/>
      </rPr>
      <t>尺。</t>
    </r>
  </si>
  <si>
    <r>
      <rPr>
        <sz val="10"/>
        <color theme="1"/>
        <rFont val="宋体"/>
        <charset val="134"/>
      </rPr>
      <t>噬魂血咒</t>
    </r>
  </si>
  <si>
    <r>
      <rPr>
        <sz val="10"/>
        <color theme="1"/>
        <rFont val="宋体"/>
        <charset val="134"/>
      </rPr>
      <t>先决条件：</t>
    </r>
    <r>
      <rPr>
        <sz val="10"/>
        <color theme="1"/>
        <rFont val="Times New Roman"/>
        <charset val="134"/>
      </rPr>
      <t xml:space="preserve">18 </t>
    </r>
    <r>
      <rPr>
        <sz val="10"/>
        <color theme="1"/>
        <rFont val="宋体"/>
        <charset val="134"/>
      </rPr>
      <t>级，渎魂圣约
当距你</t>
    </r>
    <r>
      <rPr>
        <sz val="10"/>
        <color theme="1"/>
        <rFont val="Times New Roman"/>
        <charset val="134"/>
      </rPr>
      <t xml:space="preserve"> 30 </t>
    </r>
    <r>
      <rPr>
        <sz val="10"/>
        <color theme="1"/>
        <rFont val="宋体"/>
        <charset val="134"/>
      </rPr>
      <t>尺内一个非构装非亡灵的生物生命值降为</t>
    </r>
    <r>
      <rPr>
        <sz val="10"/>
        <color theme="1"/>
        <rFont val="Times New Roman"/>
        <charset val="134"/>
      </rPr>
      <t xml:space="preserve"> 0 </t>
    </r>
    <r>
      <rPr>
        <sz val="10"/>
        <color theme="1"/>
        <rFont val="宋体"/>
        <charset val="134"/>
      </rPr>
      <t>点时，你可以使用你的反应来将他的灵魂献祭给你的宗主以交换力量。直到你下回合结束，你的武器攻击具有优势。并且你对所有伤害具有抗性。
增幅。此外，你恢复一个已消耗的魔契师法术位。增幅此血咒后，你必须完成一次长休
才能再次增幅。</t>
    </r>
  </si>
  <si>
    <r>
      <rPr>
        <sz val="10"/>
        <color theme="1"/>
        <rFont val="宋体"/>
        <charset val="134"/>
      </rPr>
      <t>腐蚀性公式</t>
    </r>
  </si>
  <si>
    <r>
      <rPr>
        <sz val="10"/>
        <color theme="1"/>
        <rFont val="宋体"/>
        <charset val="134"/>
      </rPr>
      <t>先决：药剂师等级</t>
    </r>
    <r>
      <rPr>
        <sz val="10"/>
        <color theme="1"/>
        <rFont val="Times New Roman"/>
        <charset val="134"/>
      </rPr>
      <t xml:space="preserve">6+ 
</t>
    </r>
    <r>
      <rPr>
        <sz val="10"/>
        <color theme="1"/>
        <rFont val="宋体"/>
        <charset val="134"/>
      </rPr>
      <t>每回合一次，当你用药剂师法术对一个生物或物件造成伤害时，你可以消耗一个药剂师法术位，以此对目标造成额外</t>
    </r>
    <r>
      <rPr>
        <sz val="10"/>
        <color theme="1"/>
        <rFont val="Times New Roman"/>
        <charset val="134"/>
      </rPr>
      <t xml:space="preserve"> 2d4+</t>
    </r>
    <r>
      <rPr>
        <sz val="10"/>
        <color theme="1"/>
        <rFont val="宋体"/>
        <charset val="134"/>
      </rPr>
      <t>每法术位等级</t>
    </r>
    <r>
      <rPr>
        <sz val="10"/>
        <color theme="1"/>
        <rFont val="Times New Roman"/>
        <charset val="134"/>
      </rPr>
      <t xml:space="preserve">2d4 </t>
    </r>
    <r>
      <rPr>
        <sz val="10"/>
        <color theme="1"/>
        <rFont val="宋体"/>
        <charset val="134"/>
      </rPr>
      <t>点的强酸伤害。</t>
    </r>
  </si>
  <si>
    <t>暴虎冯河</t>
  </si>
  <si>
    <t>每回合一次，当你对敌人进行一次不具有劣势的攻击检定时，你可以选择获得劣势。若如此做，你重获一枚风险骰。</t>
  </si>
  <si>
    <t>铁狱</t>
  </si>
  <si>
    <t>以一个动作，你可以消耗四枚缄印并触碰一名生物，尝试将其送入九狱。目标必须成功通过一次魅力豁免，否则将被拉入空间裂隙，关入你的大魔鬼宗主统治的城市的监狱。
若目标是九狱原住民，或者其等级或挑战等级不高于4级，目标将留在狱中，且需要自己找到出路。其余情况下，目标将在狱中停留1分钟，然后目标将重新出现在其原本所在的空间或最近的未占据空间。目标在其每个回合结束时重复豁免，成功则终止其身上的该效应。</t>
  </si>
  <si>
    <t>魔鬼交易</t>
  </si>
  <si>
    <r>
      <rPr>
        <sz val="10"/>
        <color theme="1"/>
        <rFont val="宋体"/>
        <charset val="134"/>
      </rPr>
      <t>你选择获得以下选项之一。每当你完成长休时，你可以更改你的选择。
暗影斗篷</t>
    </r>
    <r>
      <rPr>
        <sz val="10"/>
        <color theme="1"/>
        <rFont val="Times New Roman"/>
        <charset val="134"/>
      </rPr>
      <t>Cloak of Shadows</t>
    </r>
    <r>
      <rPr>
        <sz val="10"/>
        <color theme="1"/>
        <rFont val="宋体"/>
        <charset val="134"/>
      </rPr>
      <t>。你能无需法术位地施展一次隐形术</t>
    </r>
    <r>
      <rPr>
        <sz val="10"/>
        <color theme="1"/>
        <rFont val="Times New Roman"/>
        <charset val="134"/>
      </rPr>
      <t>Invisibility</t>
    </r>
    <r>
      <rPr>
        <sz val="10"/>
        <color theme="1"/>
        <rFont val="宋体"/>
        <charset val="134"/>
      </rPr>
      <t>，当你完成短休或长休时，你重获以此法施展该法术的能力。
千颜面具</t>
    </r>
    <r>
      <rPr>
        <sz val="10"/>
        <color theme="1"/>
        <rFont val="Times New Roman"/>
        <charset val="134"/>
      </rPr>
      <t>Mask of Many Faces</t>
    </r>
    <r>
      <rPr>
        <sz val="10"/>
        <color theme="1"/>
        <rFont val="宋体"/>
        <charset val="134"/>
      </rPr>
      <t>。你能无需法术位地施展易容术</t>
    </r>
    <r>
      <rPr>
        <sz val="10"/>
        <color theme="1"/>
        <rFont val="Times New Roman"/>
        <charset val="134"/>
      </rPr>
      <t>Disguise Self</t>
    </r>
    <r>
      <rPr>
        <sz val="10"/>
        <color theme="1"/>
        <rFont val="宋体"/>
        <charset val="134"/>
      </rPr>
      <t>。
异界漫步</t>
    </r>
    <r>
      <rPr>
        <sz val="10"/>
        <color theme="1"/>
        <rFont val="Times New Roman"/>
        <charset val="134"/>
      </rPr>
      <t>Otherworldly Walk</t>
    </r>
    <r>
      <rPr>
        <sz val="10"/>
        <color theme="1"/>
        <rFont val="宋体"/>
        <charset val="134"/>
      </rPr>
      <t>。你能无需法术位地施展一次迷踪步</t>
    </r>
    <r>
      <rPr>
        <sz val="10"/>
        <color theme="1"/>
        <rFont val="Times New Roman"/>
        <charset val="134"/>
      </rPr>
      <t>Misty Step</t>
    </r>
    <r>
      <rPr>
        <sz val="10"/>
        <color theme="1"/>
        <rFont val="宋体"/>
        <charset val="134"/>
      </rPr>
      <t>，当你完成短休或长休时，你重获以此法施展该法术的能力。</t>
    </r>
  </si>
  <si>
    <r>
      <rPr>
        <sz val="10"/>
        <color theme="1"/>
        <rFont val="宋体"/>
        <charset val="134"/>
      </rPr>
      <t>光明领域</t>
    </r>
  </si>
  <si>
    <r>
      <rPr>
        <sz val="10"/>
        <color theme="1"/>
        <rFont val="宋体"/>
        <charset val="134"/>
      </rPr>
      <t>灵树枝杈</t>
    </r>
  </si>
  <si>
    <r>
      <rPr>
        <sz val="10"/>
        <color theme="1"/>
        <rFont val="宋体"/>
        <charset val="134"/>
      </rPr>
      <t>你的狂暴激活期间，每当你可见的位于你</t>
    </r>
    <r>
      <rPr>
        <sz val="10"/>
        <color theme="1"/>
        <rFont val="Times New Roman"/>
        <charset val="134"/>
      </rPr>
      <t>30</t>
    </r>
    <r>
      <rPr>
        <sz val="10"/>
        <color theme="1"/>
        <rFont val="宋体"/>
        <charset val="134"/>
      </rPr>
      <t>尺内的生物的回合开始时，你能够以反应在其周围召唤世界树的灵体枝条。目标必须成功通过一次力量豁免（</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你的力量调整值</t>
    </r>
    <r>
      <rPr>
        <sz val="10"/>
        <color theme="1"/>
        <rFont val="Times New Roman"/>
        <charset val="134"/>
      </rPr>
      <t>+</t>
    </r>
    <r>
      <rPr>
        <sz val="10"/>
        <color theme="1"/>
        <rFont val="宋体"/>
        <charset val="134"/>
      </rPr>
      <t>你的熟练加值），否则将被传送到位于你</t>
    </r>
    <r>
      <rPr>
        <sz val="10"/>
        <color theme="1"/>
        <rFont val="Times New Roman"/>
        <charset val="134"/>
      </rPr>
      <t>5</t>
    </r>
    <r>
      <rPr>
        <sz val="10"/>
        <color theme="1"/>
        <rFont val="宋体"/>
        <charset val="134"/>
      </rPr>
      <t>尺内的你可见的未占据空间内或距离你最近的你可见的未占据空间内。目标被你传送后，你可以令其速度降为</t>
    </r>
    <r>
      <rPr>
        <sz val="10"/>
        <color theme="1"/>
        <rFont val="Times New Roman"/>
        <charset val="134"/>
      </rPr>
      <t>0</t>
    </r>
    <r>
      <rPr>
        <sz val="10"/>
        <color theme="1"/>
        <rFont val="宋体"/>
        <charset val="134"/>
      </rPr>
      <t>，持续至当前回合结束。</t>
    </r>
  </si>
  <si>
    <r>
      <rPr>
        <sz val="10"/>
        <color theme="1"/>
        <rFont val="宋体"/>
        <charset val="134"/>
      </rPr>
      <t>战斗激励</t>
    </r>
  </si>
  <si>
    <r>
      <rPr>
        <sz val="10"/>
        <color theme="1"/>
        <rFont val="宋体"/>
        <charset val="134"/>
      </rPr>
      <t>你可以运用你的巧言来改变战斗的走向。一名拥有你的诗人激励骰的生物可以从下列选项中选择一种效应来使用诗人骰。
防御</t>
    </r>
    <r>
      <rPr>
        <sz val="10"/>
        <color theme="1"/>
        <rFont val="Times New Roman"/>
        <charset val="134"/>
      </rPr>
      <t>Defense</t>
    </r>
    <r>
      <rPr>
        <sz val="10"/>
        <color theme="1"/>
        <rFont val="宋体"/>
        <charset val="134"/>
      </rPr>
      <t>。当这名生物被一次攻击检定命中时，该生物能够以反应掷诗人激励骰并将骰值加到对抗这次攻击检定的</t>
    </r>
    <r>
      <rPr>
        <sz val="10"/>
        <color theme="1"/>
        <rFont val="Times New Roman"/>
        <charset val="134"/>
      </rPr>
      <t>AC</t>
    </r>
    <r>
      <rPr>
        <sz val="10"/>
        <color theme="1"/>
        <rFont val="宋体"/>
        <charset val="134"/>
      </rPr>
      <t>中，这可能使这次攻击变为失手。</t>
    </r>
    <r>
      <rPr>
        <sz val="10"/>
        <color theme="1"/>
        <rFont val="Times New Roman"/>
        <charset val="134"/>
      </rPr>
      <t xml:space="preserve"> 
</t>
    </r>
    <r>
      <rPr>
        <sz val="10"/>
        <color theme="1"/>
        <rFont val="宋体"/>
        <charset val="134"/>
      </rPr>
      <t>进攻</t>
    </r>
    <r>
      <rPr>
        <sz val="10"/>
        <color theme="1"/>
        <rFont val="Times New Roman"/>
        <charset val="134"/>
      </rPr>
      <t>Offense</t>
    </r>
    <r>
      <rPr>
        <sz val="10"/>
        <color theme="1"/>
        <rFont val="宋体"/>
        <charset val="134"/>
      </rPr>
      <t>。这名生物以一次攻击检定命中一名目标后，它可以立即投掷诗人激励骰，并将骰值加到这次攻击对这名目标造成的伤害中。</t>
    </r>
  </si>
  <si>
    <r>
      <rPr>
        <sz val="10"/>
        <color theme="1"/>
        <rFont val="宋体"/>
        <charset val="134"/>
      </rPr>
      <t>召现分身</t>
    </r>
  </si>
  <si>
    <r>
      <rPr>
        <sz val="10"/>
        <color theme="1"/>
        <rFont val="宋体"/>
        <charset val="134"/>
      </rPr>
      <t>以一个附赠动作，你可以消耗一次引导神力次数来创造一个自己的完美视觉幻象并出现在你身边</t>
    </r>
    <r>
      <rPr>
        <sz val="10"/>
        <color theme="1"/>
        <rFont val="Times New Roman"/>
        <charset val="134"/>
      </rPr>
      <t>30</t>
    </r>
    <r>
      <rPr>
        <sz val="10"/>
        <color theme="1"/>
        <rFont val="宋体"/>
        <charset val="134"/>
      </rPr>
      <t>尺内一个你能看见且未占据空间。该幻象是无实体的且不占据它所在的空间。幻象持续</t>
    </r>
    <r>
      <rPr>
        <sz val="10"/>
        <color theme="1"/>
        <rFont val="Times New Roman"/>
        <charset val="134"/>
      </rPr>
      <t>1</t>
    </r>
    <r>
      <rPr>
        <sz val="10"/>
        <color theme="1"/>
        <rFont val="宋体"/>
        <charset val="134"/>
      </rPr>
      <t>分钟，或直至你将其解除（无需动作）或陷入失能状态。这个幻象栩栩如生，能模仿你的表情和姿势。当幻象存在时，你将获得以下好处：
施法</t>
    </r>
    <r>
      <rPr>
        <sz val="10"/>
        <color theme="1"/>
        <rFont val="Times New Roman"/>
        <charset val="134"/>
      </rPr>
      <t>Cast Spells</t>
    </r>
    <r>
      <rPr>
        <sz val="10"/>
        <color theme="1"/>
        <rFont val="宋体"/>
        <charset val="134"/>
      </rPr>
      <t>。你可以如同你在幻象所在位置施展法术，但必须使用你自己的感官。
干扰</t>
    </r>
    <r>
      <rPr>
        <sz val="10"/>
        <color theme="1"/>
        <rFont val="Times New Roman"/>
        <charset val="134"/>
      </rPr>
      <t>Distract</t>
    </r>
    <r>
      <rPr>
        <sz val="10"/>
        <color theme="1"/>
        <rFont val="宋体"/>
        <charset val="134"/>
      </rPr>
      <t>。当你和你的幻象都在同一个生物身边</t>
    </r>
    <r>
      <rPr>
        <sz val="10"/>
        <color theme="1"/>
        <rFont val="Times New Roman"/>
        <charset val="134"/>
      </rPr>
      <t>5</t>
    </r>
    <r>
      <rPr>
        <sz val="10"/>
        <color theme="1"/>
        <rFont val="宋体"/>
        <charset val="134"/>
      </rPr>
      <t>尺内，且该生物可以看见幻象时，由于幻象对目标造成的干扰，你对其进行的攻击检定具有优势。
转移</t>
    </r>
    <r>
      <rPr>
        <sz val="10"/>
        <color theme="1"/>
        <rFont val="Times New Roman"/>
        <charset val="134"/>
      </rPr>
      <t>Move</t>
    </r>
    <r>
      <rPr>
        <sz val="10"/>
        <color theme="1"/>
        <rFont val="宋体"/>
        <charset val="134"/>
      </rPr>
      <t>。以一个附赠动作，你可以移动幻象至多</t>
    </r>
    <r>
      <rPr>
        <sz val="10"/>
        <color theme="1"/>
        <rFont val="Times New Roman"/>
        <charset val="134"/>
      </rPr>
      <t>30</t>
    </r>
    <r>
      <rPr>
        <sz val="10"/>
        <color theme="1"/>
        <rFont val="宋体"/>
        <charset val="134"/>
      </rPr>
      <t>尺到达一处空间，该空间必须是你</t>
    </r>
    <r>
      <rPr>
        <sz val="10"/>
        <color theme="1"/>
        <rFont val="Times New Roman"/>
        <charset val="134"/>
      </rPr>
      <t>120</t>
    </r>
    <r>
      <rPr>
        <sz val="10"/>
        <color theme="1"/>
        <rFont val="宋体"/>
        <charset val="134"/>
      </rPr>
      <t>尺内一处可见的未占据空间。</t>
    </r>
  </si>
  <si>
    <r>
      <rPr>
        <sz val="10"/>
        <color theme="1"/>
        <rFont val="宋体"/>
        <charset val="134"/>
      </rPr>
      <t>进阶结社形态</t>
    </r>
  </si>
  <si>
    <r>
      <rPr>
        <sz val="10"/>
        <color theme="1"/>
        <rFont val="宋体"/>
        <charset val="134"/>
      </rPr>
      <t>当处于荒野变形时，你获得以下增益。
月耀辉光</t>
    </r>
    <r>
      <rPr>
        <sz val="10"/>
        <color theme="1"/>
        <rFont val="Times New Roman"/>
        <charset val="134"/>
      </rPr>
      <t>Lunar Radiance</t>
    </r>
    <r>
      <rPr>
        <sz val="10"/>
        <color theme="1"/>
        <rFont val="宋体"/>
        <charset val="134"/>
      </rPr>
      <t>。你在荒野变形形态下的每次攻击可以造成普通的伤害或光耀伤害。由你在每次攻击命中时选择。
强化韧性</t>
    </r>
    <r>
      <rPr>
        <sz val="10"/>
        <color theme="1"/>
        <rFont val="Times New Roman"/>
        <charset val="134"/>
      </rPr>
      <t>Increased Toughness</t>
    </r>
    <r>
      <rPr>
        <sz val="10"/>
        <color theme="1"/>
        <rFont val="宋体"/>
        <charset val="134"/>
      </rPr>
      <t>。</t>
    </r>
    <r>
      <rPr>
        <sz val="10"/>
        <color theme="1"/>
        <rFont val="Times New Roman"/>
        <charset val="134"/>
      </rPr>
      <t xml:space="preserve"> </t>
    </r>
    <r>
      <rPr>
        <sz val="10"/>
        <color theme="1"/>
        <rFont val="宋体"/>
        <charset val="134"/>
      </rPr>
      <t>你将你的感知调整值加到你的体质豁免结果当中。</t>
    </r>
  </si>
  <si>
    <r>
      <rPr>
        <sz val="10"/>
        <color theme="1"/>
        <rFont val="宋体"/>
        <charset val="134"/>
      </rPr>
      <t>推撞攻击</t>
    </r>
  </si>
  <si>
    <r>
      <rPr>
        <sz val="10"/>
        <color theme="1"/>
        <rFont val="宋体"/>
        <charset val="134"/>
      </rPr>
      <t>你以武器攻击或徒手打击发动的攻击检定命中一个生物时，可以消耗一枚卓越骰以尝试将该目标推开。所消耗的卓越骰还会被加到此次攻击的伤害掷骰中。如果该目标体型为大型或更小，则必须通过一次力量豁免，豁免失败将被往远离你的方向直线推动至多</t>
    </r>
    <r>
      <rPr>
        <sz val="10"/>
        <color theme="1"/>
        <rFont val="Times New Roman"/>
        <charset val="134"/>
      </rPr>
      <t>15</t>
    </r>
    <r>
      <rPr>
        <sz val="10"/>
        <color theme="1"/>
        <rFont val="宋体"/>
        <charset val="134"/>
      </rPr>
      <t>尺。</t>
    </r>
  </si>
  <si>
    <r>
      <rPr>
        <sz val="10"/>
        <color theme="1"/>
        <rFont val="宋体"/>
        <charset val="134"/>
      </rPr>
      <t>无影步</t>
    </r>
  </si>
  <si>
    <r>
      <rPr>
        <sz val="10"/>
        <color theme="1"/>
        <rFont val="宋体"/>
        <charset val="134"/>
      </rPr>
      <t>你可以利用与堕影冥界的连结来增强自己的传送能力。当你使用暗影步特性时，你可以消耗</t>
    </r>
    <r>
      <rPr>
        <sz val="10"/>
        <color theme="1"/>
        <rFont val="Times New Roman"/>
        <charset val="134"/>
      </rPr>
      <t>1</t>
    </r>
    <r>
      <rPr>
        <sz val="10"/>
        <color theme="1"/>
        <rFont val="宋体"/>
        <charset val="134"/>
      </rPr>
      <t>点功力，移除开始和结束时对微光光照或黑暗环境的要求。此外，作为这个附赠动作的一部分，你可以立即在传送之后进行一次徒手打击。</t>
    </r>
  </si>
  <si>
    <r>
      <rPr>
        <sz val="10"/>
        <color theme="1"/>
        <rFont val="宋体"/>
        <charset val="134"/>
      </rPr>
      <t>绝伦健将</t>
    </r>
  </si>
  <si>
    <r>
      <rPr>
        <sz val="10"/>
        <color theme="1"/>
        <rFont val="宋体"/>
        <charset val="134"/>
      </rPr>
      <t>以一个附赠动作，你可以消耗一次引导神力次数以增强运动能力。</t>
    </r>
    <r>
      <rPr>
        <sz val="10"/>
        <color theme="1"/>
        <rFont val="Times New Roman"/>
        <charset val="134"/>
      </rPr>
      <t>1</t>
    </r>
    <r>
      <rPr>
        <sz val="10"/>
        <color theme="1"/>
        <rFont val="宋体"/>
        <charset val="134"/>
      </rPr>
      <t>小时内，你在力量（运动）检定和敏捷（特技）检定上获得优势，且你跳远和跳高的距离增加</t>
    </r>
    <r>
      <rPr>
        <sz val="10"/>
        <color theme="1"/>
        <rFont val="Times New Roman"/>
        <charset val="134"/>
      </rPr>
      <t>10</t>
    </r>
    <r>
      <rPr>
        <sz val="10"/>
        <color theme="1"/>
        <rFont val="宋体"/>
        <charset val="134"/>
      </rPr>
      <t>尺（你依然为此正常消耗移动力）。</t>
    </r>
  </si>
  <si>
    <r>
      <rPr>
        <sz val="10"/>
        <color theme="1"/>
        <rFont val="宋体"/>
        <charset val="134"/>
      </rPr>
      <t>精宸所与</t>
    </r>
  </si>
  <si>
    <r>
      <rPr>
        <sz val="10"/>
        <color theme="1"/>
        <rFont val="宋体"/>
        <charset val="134"/>
      </rPr>
      <t>你可以无需材料成分地施展妖精召唤术</t>
    </r>
    <r>
      <rPr>
        <sz val="10"/>
        <color theme="1"/>
        <rFont val="Times New Roman"/>
        <charset val="134"/>
      </rPr>
      <t xml:space="preserve">Summon Fey </t>
    </r>
    <r>
      <rPr>
        <sz val="10"/>
        <color theme="1"/>
        <rFont val="宋体"/>
        <charset val="134"/>
      </rPr>
      <t>。同时，你可以免费施展这个法术一次而不需要消耗法术位，在你完成一次长休后，你重获免费施展该法术的能力。
每当你施展此法术时，你都可以微调这一法术使其无需专注。以无需专注的方式施法时，该法术的持续时间将变为一分钟。</t>
    </r>
  </si>
  <si>
    <r>
      <rPr>
        <sz val="10"/>
        <color theme="1"/>
        <rFont val="宋体"/>
        <charset val="134"/>
      </rPr>
      <t>刺客工具</t>
    </r>
  </si>
  <si>
    <r>
      <rPr>
        <sz val="10"/>
        <color theme="1"/>
        <rFont val="宋体"/>
        <charset val="134"/>
      </rPr>
      <t>你获得一套伪装工具和一套毒药工具，并获得这些工具的熟练项。</t>
    </r>
  </si>
  <si>
    <r>
      <rPr>
        <sz val="10"/>
        <color theme="1"/>
        <rFont val="宋体"/>
        <charset val="134"/>
      </rPr>
      <t>血肉启示</t>
    </r>
  </si>
  <si>
    <r>
      <rPr>
        <sz val="10"/>
        <color theme="1"/>
        <rFont val="宋体"/>
        <charset val="134"/>
      </rPr>
      <t>你能够释放出潜藏在你内部扭曲的真实形态。以一个附赠动作，你使用</t>
    </r>
    <r>
      <rPr>
        <sz val="10"/>
        <color theme="1"/>
        <rFont val="Times New Roman"/>
        <charset val="134"/>
      </rPr>
      <t>1</t>
    </r>
    <r>
      <rPr>
        <sz val="10"/>
        <color theme="1"/>
        <rFont val="宋体"/>
        <charset val="134"/>
      </rPr>
      <t>点或更多的术法点以魔法性地转变形态，持续</t>
    </r>
    <r>
      <rPr>
        <sz val="10"/>
        <color theme="1"/>
        <rFont val="Times New Roman"/>
        <charset val="134"/>
      </rPr>
      <t>10</t>
    </r>
    <r>
      <rPr>
        <sz val="10"/>
        <color theme="1"/>
        <rFont val="宋体"/>
        <charset val="134"/>
      </rPr>
      <t>分钟。你每消耗</t>
    </r>
    <r>
      <rPr>
        <sz val="10"/>
        <color theme="1"/>
        <rFont val="Times New Roman"/>
        <charset val="134"/>
      </rPr>
      <t>1</t>
    </r>
    <r>
      <rPr>
        <sz val="10"/>
        <color theme="1"/>
        <rFont val="宋体"/>
        <charset val="134"/>
      </rPr>
      <t>术法点，你便可以从下述内容中选择一项，在转变形态期间你同时获得你选择的每项效应的增益：
水生适应</t>
    </r>
    <r>
      <rPr>
        <sz val="10"/>
        <color theme="1"/>
        <rFont val="Times New Roman"/>
        <charset val="134"/>
      </rPr>
      <t>Aquatic Adaptation</t>
    </r>
    <r>
      <rPr>
        <sz val="10"/>
        <color theme="1"/>
        <rFont val="宋体"/>
        <charset val="134"/>
      </rPr>
      <t>。你获得等同于你两倍行走速度的游泳速度，且你能在水下呼吸。不止如此，你的脖子两侧会长出鳃、或鳃在耳后呈扇状翻出、或你的手指变成蹼趾、或是有卷曲的纤毛从你的衣服底下延展出来。
闪耀飞翔</t>
    </r>
    <r>
      <rPr>
        <sz val="10"/>
        <color theme="1"/>
        <rFont val="Times New Roman"/>
        <charset val="134"/>
      </rPr>
      <t>Glistening Flight</t>
    </r>
    <r>
      <rPr>
        <sz val="10"/>
        <color theme="1"/>
        <rFont val="宋体"/>
        <charset val="134"/>
      </rPr>
      <t>。你获得等于你速度的飞行速度，并能悬浮。当你飞行时，你的皮肤表面流出发光的粘液、或是散发出异界的光芒。
识破隐形</t>
    </r>
    <r>
      <rPr>
        <sz val="10"/>
        <color theme="1"/>
        <rFont val="Times New Roman"/>
        <charset val="134"/>
      </rPr>
      <t>See the Invisible</t>
    </r>
    <r>
      <rPr>
        <sz val="10"/>
        <color theme="1"/>
        <rFont val="宋体"/>
        <charset val="134"/>
      </rPr>
      <t>。你能看见周围</t>
    </r>
    <r>
      <rPr>
        <sz val="10"/>
        <color theme="1"/>
        <rFont val="Times New Roman"/>
        <charset val="134"/>
      </rPr>
      <t>60</t>
    </r>
    <r>
      <rPr>
        <sz val="10"/>
        <color theme="1"/>
        <rFont val="宋体"/>
        <charset val="134"/>
      </rPr>
      <t>尺内处于隐形状态的生物，前提是其对你来说不处于全身掩护。你的眼睛也会变成黑色、或是变成扭动的感官触须。
蠕行移动</t>
    </r>
    <r>
      <rPr>
        <sz val="10"/>
        <color theme="1"/>
        <rFont val="Times New Roman"/>
        <charset val="134"/>
      </rPr>
      <t>Wormlike Movement</t>
    </r>
    <r>
      <rPr>
        <sz val="10"/>
        <color theme="1"/>
        <rFont val="宋体"/>
        <charset val="134"/>
      </rPr>
      <t>。你的身体和你携带的装备都变得柔韧粘滑。你能够轻松穿过最窄</t>
    </r>
    <r>
      <rPr>
        <sz val="10"/>
        <color theme="1"/>
        <rFont val="Times New Roman"/>
        <charset val="134"/>
      </rPr>
      <t>1</t>
    </r>
    <r>
      <rPr>
        <sz val="10"/>
        <color theme="1"/>
        <rFont val="宋体"/>
        <charset val="134"/>
      </rPr>
      <t>寸宽的狭窄空间而不用挤进去，且你可以消耗</t>
    </r>
    <r>
      <rPr>
        <sz val="10"/>
        <color theme="1"/>
        <rFont val="Times New Roman"/>
        <charset val="134"/>
      </rPr>
      <t>5</t>
    </r>
    <r>
      <rPr>
        <sz val="10"/>
        <color theme="1"/>
        <rFont val="宋体"/>
        <charset val="134"/>
      </rPr>
      <t>尺移动力以脱离非魔法的束缚或受擒状态。</t>
    </r>
  </si>
  <si>
    <r>
      <rPr>
        <sz val="10"/>
        <color theme="1"/>
        <rFont val="宋体"/>
        <charset val="134"/>
      </rPr>
      <t>先决：刃之魔契</t>
    </r>
    <r>
      <rPr>
        <sz val="10"/>
        <color theme="1"/>
        <rFont val="Times New Roman"/>
        <charset val="134"/>
      </rPr>
      <t xml:space="preserve">
</t>
    </r>
    <r>
      <rPr>
        <sz val="10"/>
        <color theme="1"/>
        <rFont val="宋体"/>
        <charset val="134"/>
      </rPr>
      <t>你的手指成长为野兽般的利爪，你可以将其用于发动徒手打击，造成</t>
    </r>
    <r>
      <rPr>
        <sz val="10"/>
        <color theme="1"/>
        <rFont val="Times New Roman"/>
        <charset val="134"/>
      </rPr>
      <t>1d6</t>
    </r>
    <r>
      <rPr>
        <sz val="10"/>
        <color theme="1"/>
        <rFont val="宋体"/>
        <charset val="134"/>
      </rPr>
      <t>点挥砍伤害。你在使用此类徒手打击进行攻击检定和伤害掷骰时，可以使用你的魅力调整值代替力量调整值。</t>
    </r>
    <r>
      <rPr>
        <sz val="10"/>
        <color theme="1"/>
        <rFont val="Times New Roman"/>
        <charset val="134"/>
      </rPr>
      <t xml:space="preserve">
</t>
    </r>
    <r>
      <rPr>
        <sz val="10"/>
        <color theme="1"/>
        <rFont val="宋体"/>
        <charset val="134"/>
      </rPr>
      <t>除了你所选的近战武器之外，你的徒手打击也被视为你的契约武器，并且它们也被视为轻型武器，可用于双持武器战斗。</t>
    </r>
  </si>
  <si>
    <r>
      <rPr>
        <sz val="10"/>
        <color theme="1"/>
        <rFont val="宋体"/>
        <charset val="134"/>
      </rPr>
      <t>塑能学者</t>
    </r>
  </si>
  <si>
    <r>
      <rPr>
        <sz val="10"/>
        <color theme="1"/>
        <rFont val="宋体"/>
        <charset val="134"/>
      </rPr>
      <t>从法师法术列表中选择两道不高于二环的塑能学派法术，并将其免费加入你的法术书中。
此外，每当你在本职业中获得一个新环阶的法术位时，你都能免费将一道法师法术列表中的塑能学派法术加入你的法术书中。你所选的法术都必须是你当前拥有法术位的环阶。</t>
    </r>
  </si>
  <si>
    <t>装甲师法术</t>
  </si>
  <si>
    <r>
      <rPr>
        <sz val="10"/>
        <color theme="1"/>
        <rFont val="宋体"/>
        <charset val="134"/>
      </rPr>
      <t>在达到下方装甲师法术列表中列出特定奇械师等级时，你将始终准备着等级对应的法术。</t>
    </r>
    <r>
      <rPr>
        <sz val="10"/>
        <color theme="1"/>
        <rFont val="Times New Roman"/>
        <charset val="134"/>
      </rPr>
      <t xml:space="preserve"> 
</t>
    </r>
    <r>
      <rPr>
        <sz val="10"/>
        <color theme="1"/>
        <rFont val="宋体"/>
        <charset val="134"/>
      </rPr>
      <t>装甲师法术</t>
    </r>
    <r>
      <rPr>
        <sz val="10"/>
        <color theme="1"/>
        <rFont val="Times New Roman"/>
        <charset val="134"/>
      </rPr>
      <t xml:space="preserve">Armorer Spells  </t>
    </r>
    <r>
      <rPr>
        <sz val="10"/>
        <color theme="1"/>
        <rFont val="宋体"/>
        <charset val="134"/>
      </rPr>
      <t>奇械师等级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魔法飞弹</t>
    </r>
    <r>
      <rPr>
        <sz val="10"/>
        <color theme="1"/>
        <rFont val="Times New Roman"/>
        <charset val="134"/>
      </rPr>
      <t>Magic Missile</t>
    </r>
    <r>
      <rPr>
        <sz val="10"/>
        <color theme="1"/>
        <rFont val="宋体"/>
        <charset val="134"/>
      </rPr>
      <t>，雷鸣波</t>
    </r>
    <r>
      <rPr>
        <sz val="10"/>
        <color theme="1"/>
        <rFont val="Times New Roman"/>
        <charset val="134"/>
      </rPr>
      <t xml:space="preserve">thunderwave  
5
 </t>
    </r>
    <r>
      <rPr>
        <sz val="10"/>
        <color theme="1"/>
        <rFont val="宋体"/>
        <charset val="134"/>
      </rPr>
      <t>镜影术</t>
    </r>
    <r>
      <rPr>
        <sz val="10"/>
        <color theme="1"/>
        <rFont val="Times New Roman"/>
        <charset val="134"/>
      </rPr>
      <t>mirror image</t>
    </r>
    <r>
      <rPr>
        <sz val="10"/>
        <color theme="1"/>
        <rFont val="宋体"/>
        <charset val="134"/>
      </rPr>
      <t>，粉碎音波</t>
    </r>
    <r>
      <rPr>
        <sz val="10"/>
        <color theme="1"/>
        <rFont val="Times New Roman"/>
        <charset val="134"/>
      </rPr>
      <t xml:space="preserve">shatter  
9
 </t>
    </r>
    <r>
      <rPr>
        <sz val="10"/>
        <color theme="1"/>
        <rFont val="宋体"/>
        <charset val="134"/>
      </rPr>
      <t>催眠图纹</t>
    </r>
    <r>
      <rPr>
        <sz val="10"/>
        <color theme="1"/>
        <rFont val="Times New Roman"/>
        <charset val="134"/>
      </rPr>
      <t>hypnotic pattern</t>
    </r>
    <r>
      <rPr>
        <sz val="10"/>
        <color theme="1"/>
        <rFont val="宋体"/>
        <charset val="134"/>
      </rPr>
      <t>，闪电束</t>
    </r>
    <r>
      <rPr>
        <sz val="10"/>
        <color theme="1"/>
        <rFont val="Times New Roman"/>
        <charset val="134"/>
      </rPr>
      <t xml:space="preserve">lightning bolt  
13
 </t>
    </r>
    <r>
      <rPr>
        <sz val="10"/>
        <color theme="1"/>
        <rFont val="宋体"/>
        <charset val="134"/>
      </rPr>
      <t>火焰护盾</t>
    </r>
    <r>
      <rPr>
        <sz val="10"/>
        <color theme="1"/>
        <rFont val="Times New Roman"/>
        <charset val="134"/>
      </rPr>
      <t>fire shield</t>
    </r>
    <r>
      <rPr>
        <sz val="10"/>
        <color theme="1"/>
        <rFont val="宋体"/>
        <charset val="134"/>
      </rPr>
      <t>，高等隐形术</t>
    </r>
    <r>
      <rPr>
        <sz val="10"/>
        <color theme="1"/>
        <rFont val="Times New Roman"/>
        <charset val="134"/>
      </rPr>
      <t xml:space="preserve">greater invisibility  
17
 </t>
    </r>
    <r>
      <rPr>
        <sz val="10"/>
        <color theme="1"/>
        <rFont val="宋体"/>
        <charset val="134"/>
      </rPr>
      <t>穿墙术</t>
    </r>
    <r>
      <rPr>
        <sz val="10"/>
        <color theme="1"/>
        <rFont val="Times New Roman"/>
        <charset val="134"/>
      </rPr>
      <t>passwall</t>
    </r>
    <r>
      <rPr>
        <sz val="10"/>
        <color theme="1"/>
        <rFont val="宋体"/>
        <charset val="134"/>
      </rPr>
      <t>，力场墙</t>
    </r>
    <r>
      <rPr>
        <sz val="10"/>
        <color theme="1"/>
        <rFont val="Times New Roman"/>
        <charset val="134"/>
      </rPr>
      <t xml:space="preserve">wall of force  
</t>
    </r>
  </si>
  <si>
    <t>生体武器</t>
  </si>
  <si>
    <r>
      <rPr>
        <sz val="10"/>
        <color theme="1"/>
        <rFont val="宋体"/>
        <charset val="134"/>
      </rPr>
      <t>你可以将你的肢体塑造成武器。每当你进行攻击动作或发动一次借机攻击时，你可以将你空着的一只手转化为下列生体武器之一：白骨利刃，血肉巨锤，或脏腑射弹。每当你进行攻击动作时，你也可以在你进行攻击检定之前使用此特性。你的肢体会保持生体武器的形态，直到你使用一个魔法动作将其改变为另一种生体武器，或者你陷入昏迷</t>
    </r>
    <r>
      <rPr>
        <sz val="10"/>
        <color theme="1"/>
        <rFont val="Times New Roman"/>
        <charset val="134"/>
      </rPr>
      <t>Unconscious</t>
    </r>
    <r>
      <rPr>
        <sz val="10"/>
        <color theme="1"/>
        <rFont val="宋体"/>
        <charset val="134"/>
      </rPr>
      <t>状态，或你将肢体变回其原有形态（无需动作）。</t>
    </r>
    <r>
      <rPr>
        <sz val="10"/>
        <color theme="1"/>
        <rFont val="Times New Roman"/>
        <charset val="134"/>
      </rPr>
      <t xml:space="preserve">* 
</t>
    </r>
    <r>
      <rPr>
        <sz val="10"/>
        <color theme="1"/>
        <rFont val="宋体"/>
        <charset val="134"/>
      </rPr>
      <t>每当你用此武器攻击时，可以使用你的智力调整值进行攻击检定和伤害掷骰以代替力量或敏捷，且你可以使其造成心灵伤害而非其原本的伤害类型。</t>
    </r>
    <r>
      <rPr>
        <sz val="10"/>
        <color theme="1"/>
        <rFont val="Times New Roman"/>
        <charset val="134"/>
      </rPr>
      <t xml:space="preserve"> 
</t>
    </r>
    <r>
      <rPr>
        <sz val="10"/>
        <color theme="1"/>
        <rFont val="宋体"/>
        <charset val="134"/>
      </rPr>
      <t>白骨利刃</t>
    </r>
    <r>
      <rPr>
        <sz val="10"/>
        <color theme="1"/>
        <rFont val="Times New Roman"/>
        <charset val="134"/>
      </rPr>
      <t>Bone Blade</t>
    </r>
    <r>
      <rPr>
        <sz val="10"/>
        <color theme="1"/>
        <rFont val="宋体"/>
        <charset val="134"/>
      </rPr>
      <t>。</t>
    </r>
    <r>
      <rPr>
        <sz val="10"/>
        <color theme="1"/>
        <rFont val="Times New Roman"/>
        <charset val="134"/>
      </rPr>
      <t xml:space="preserve"> </t>
    </r>
    <r>
      <rPr>
        <sz val="10"/>
        <color theme="1"/>
        <rFont val="宋体"/>
        <charset val="134"/>
      </rPr>
      <t>一把由白骨构成的利刃自你的前臂弹出或自你的手掌伸出。此利刃视作一把简易近战武器，具有灵巧词条，命中时造成</t>
    </r>
    <r>
      <rPr>
        <sz val="10"/>
        <color theme="1"/>
        <rFont val="Times New Roman"/>
        <charset val="134"/>
      </rPr>
      <t>1d8</t>
    </r>
    <r>
      <rPr>
        <sz val="10"/>
        <color theme="1"/>
        <rFont val="宋体"/>
        <charset val="134"/>
      </rPr>
      <t>穿刺伤害。若有至少一名不具有失能状态的盟友位于目标</t>
    </r>
    <r>
      <rPr>
        <sz val="10"/>
        <color theme="1"/>
        <rFont val="Times New Roman"/>
        <charset val="134"/>
      </rPr>
      <t>5</t>
    </r>
    <r>
      <rPr>
        <sz val="10"/>
        <color theme="1"/>
        <rFont val="宋体"/>
        <charset val="134"/>
      </rPr>
      <t>尺内，你使用此利刃对目标进行的攻击检定具有优势。</t>
    </r>
    <r>
      <rPr>
        <sz val="10"/>
        <color theme="1"/>
        <rFont val="Times New Roman"/>
        <charset val="134"/>
      </rPr>
      <t xml:space="preserve"> 
</t>
    </r>
    <r>
      <rPr>
        <sz val="10"/>
        <color theme="1"/>
        <rFont val="宋体"/>
        <charset val="134"/>
      </rPr>
      <t>血肉巨锤</t>
    </r>
    <r>
      <rPr>
        <sz val="10"/>
        <color theme="1"/>
        <rFont val="Times New Roman"/>
        <charset val="134"/>
      </rPr>
      <t>Flesh Maul</t>
    </r>
    <r>
      <rPr>
        <sz val="10"/>
        <color theme="1"/>
        <rFont val="宋体"/>
        <charset val="134"/>
      </rPr>
      <t>。</t>
    </r>
    <r>
      <rPr>
        <sz val="10"/>
        <color theme="1"/>
        <rFont val="Times New Roman"/>
        <charset val="134"/>
      </rPr>
      <t xml:space="preserve"> </t>
    </r>
    <r>
      <rPr>
        <sz val="10"/>
        <color theme="1"/>
        <rFont val="宋体"/>
        <charset val="134"/>
      </rPr>
      <t>你的前臂和拳头聚合成骨肉构成的巨锤。此巨锤视作一把简易近战武器，命中时造成</t>
    </r>
    <r>
      <rPr>
        <sz val="10"/>
        <color theme="1"/>
        <rFont val="Times New Roman"/>
        <charset val="134"/>
      </rPr>
      <t>1d10</t>
    </r>
    <r>
      <rPr>
        <sz val="10"/>
        <color theme="1"/>
        <rFont val="宋体"/>
        <charset val="134"/>
      </rPr>
      <t>钝击伤害。被此武器命中的生物在其下一回合开始前进行的下次力量或体质豁免中具有劣势。</t>
    </r>
    <r>
      <rPr>
        <sz val="10"/>
        <color theme="1"/>
        <rFont val="Times New Roman"/>
        <charset val="134"/>
      </rPr>
      <t xml:space="preserve"> 
</t>
    </r>
    <r>
      <rPr>
        <sz val="10"/>
        <color theme="1"/>
        <rFont val="宋体"/>
        <charset val="134"/>
      </rPr>
      <t>脏腑射弹</t>
    </r>
    <r>
      <rPr>
        <sz val="10"/>
        <color theme="1"/>
        <rFont val="Times New Roman"/>
        <charset val="134"/>
      </rPr>
      <t>Viscera Launcher</t>
    </r>
    <r>
      <rPr>
        <sz val="10"/>
        <color theme="1"/>
        <rFont val="宋体"/>
        <charset val="134"/>
      </rPr>
      <t>。你的前臂和手掌转化为一把由肌腱和肌肉构成的弩。此武器视为一把简易远程武器，具有</t>
    </r>
    <r>
      <rPr>
        <sz val="10"/>
        <color theme="1"/>
        <rFont val="Times New Roman"/>
        <charset val="134"/>
      </rPr>
      <t>30</t>
    </r>
    <r>
      <rPr>
        <sz val="10"/>
        <color theme="1"/>
        <rFont val="宋体"/>
        <charset val="134"/>
      </rPr>
      <t>尺常规射程和</t>
    </r>
    <r>
      <rPr>
        <sz val="10"/>
        <color theme="1"/>
        <rFont val="Times New Roman"/>
        <charset val="134"/>
      </rPr>
      <t>90</t>
    </r>
    <r>
      <rPr>
        <sz val="10"/>
        <color theme="1"/>
        <rFont val="宋体"/>
        <charset val="134"/>
      </rPr>
      <t>尺最大射程，命中时造成</t>
    </r>
    <r>
      <rPr>
        <sz val="10"/>
        <color theme="1"/>
        <rFont val="Times New Roman"/>
        <charset val="134"/>
      </rPr>
      <t>1d6</t>
    </r>
    <r>
      <rPr>
        <sz val="10"/>
        <color theme="1"/>
        <rFont val="宋体"/>
        <charset val="134"/>
      </rPr>
      <t>强酸伤害。每回合一次，你用此武器进行的攻击检定命中了一名生物时，你可以对其额外造成</t>
    </r>
    <r>
      <rPr>
        <sz val="10"/>
        <color theme="1"/>
        <rFont val="Times New Roman"/>
        <charset val="134"/>
      </rPr>
      <t>1d6</t>
    </r>
    <r>
      <rPr>
        <sz val="10"/>
        <color theme="1"/>
        <rFont val="宋体"/>
        <charset val="134"/>
      </rPr>
      <t>强酸伤害。</t>
    </r>
  </si>
  <si>
    <r>
      <rPr>
        <sz val="10"/>
        <color theme="1"/>
        <rFont val="宋体"/>
        <charset val="134"/>
      </rPr>
      <t>你获得一项传奇恩惠专长或其他一项你选择的适用的专长。</t>
    </r>
  </si>
  <si>
    <r>
      <rPr>
        <sz val="10"/>
        <color theme="1"/>
        <rFont val="宋体"/>
        <charset val="134"/>
      </rPr>
      <t>肾上腺素飙升</t>
    </r>
  </si>
  <si>
    <r>
      <rPr>
        <sz val="10"/>
        <color theme="1"/>
        <rFont val="宋体"/>
        <charset val="134"/>
      </rPr>
      <t>先决：药剂师等级</t>
    </r>
    <r>
      <rPr>
        <sz val="10"/>
        <color theme="1"/>
        <rFont val="Times New Roman"/>
        <charset val="134"/>
      </rPr>
      <t xml:space="preserve">6+ 
</t>
    </r>
    <r>
      <rPr>
        <sz val="10"/>
        <color theme="1"/>
        <rFont val="宋体"/>
        <charset val="134"/>
      </rPr>
      <t>当一个生命值为</t>
    </r>
    <r>
      <rPr>
        <sz val="10"/>
        <color theme="1"/>
        <rFont val="Times New Roman"/>
        <charset val="134"/>
      </rPr>
      <t>0</t>
    </r>
    <r>
      <rPr>
        <sz val="10"/>
        <color theme="1"/>
        <rFont val="宋体"/>
        <charset val="134"/>
      </rPr>
      <t>的生物被你消耗法术位施展法术治疗时，直到他的下个回合结束，他的豁免检定获得优势，并获得全部伤害类型的抗性。在他的下一轮内他所进行的第一次攻击检定获得优势。</t>
    </r>
  </si>
  <si>
    <t>行险狂徒</t>
  </si>
  <si>
    <t>你使用战技牛仔精神和千钧一发时，可以不消耗风险骰。若如此做，你投掷d6以替代风险骰。</t>
  </si>
  <si>
    <t>终言</t>
  </si>
  <si>
    <t>当你的生命值降至0且仍具有未被施加的缄印时，你体内的狱火将抗拒死亡。你可以消耗至多三枚缄印在你的身周释放爆炸（无需动作）。每消耗一枚缄印，掷一次3d6。每个位于你30尺内的你选择的生物必须进行一次敏捷豁免，豁免失败则受到等于掷骰总值的火焰伤害。豁免成功则受到一半伤害。如果此次爆炸至少对一名生物造成伤害，你恢复等于掷骰总值的生命值。</t>
  </si>
  <si>
    <t>怪谬赘生</t>
  </si>
  <si>
    <r>
      <rPr>
        <sz val="10"/>
        <color theme="1"/>
        <rFont val="宋体"/>
        <charset val="134"/>
      </rPr>
      <t>当你使用惧恶之手特性时，你获得法术变巨术</t>
    </r>
    <r>
      <rPr>
        <sz val="10"/>
        <color theme="1"/>
        <rFont val="Times New Roman"/>
        <charset val="134"/>
      </rPr>
      <t>/</t>
    </r>
    <r>
      <rPr>
        <sz val="10"/>
        <color theme="1"/>
        <rFont val="宋体"/>
        <charset val="134"/>
      </rPr>
      <t>缩小术</t>
    </r>
    <r>
      <rPr>
        <sz val="10"/>
        <color theme="1"/>
        <rFont val="Times New Roman"/>
        <charset val="134"/>
      </rPr>
      <t>Enlarge/Reduce</t>
    </r>
    <r>
      <rPr>
        <sz val="10"/>
        <color theme="1"/>
        <rFont val="宋体"/>
        <charset val="134"/>
      </rPr>
      <t>的变巨效应，并获得</t>
    </r>
    <r>
      <rPr>
        <sz val="10"/>
        <color theme="1"/>
        <rFont val="Times New Roman"/>
        <charset val="134"/>
      </rPr>
      <t>10</t>
    </r>
    <r>
      <rPr>
        <sz val="10"/>
        <color theme="1"/>
        <rFont val="宋体"/>
        <charset val="134"/>
      </rPr>
      <t>尺触及。
此特性一经使用，直至完成长休你都无法再次使用，除非你获得</t>
    </r>
    <r>
      <rPr>
        <sz val="10"/>
        <color theme="1"/>
        <rFont val="Times New Roman"/>
        <charset val="134"/>
      </rPr>
      <t>1</t>
    </r>
    <r>
      <rPr>
        <sz val="10"/>
        <color theme="1"/>
        <rFont val="宋体"/>
        <charset val="134"/>
      </rPr>
      <t>级力竭（无需动作）来重置该特性的使用权。</t>
    </r>
  </si>
  <si>
    <r>
      <rPr>
        <sz val="10"/>
        <color theme="1"/>
        <rFont val="宋体"/>
        <charset val="134"/>
      </rPr>
      <t>诡术领域</t>
    </r>
  </si>
  <si>
    <r>
      <rPr>
        <sz val="10"/>
        <color theme="1"/>
        <rFont val="宋体"/>
        <charset val="134"/>
      </rPr>
      <t>根击千钧</t>
    </r>
  </si>
  <si>
    <r>
      <rPr>
        <sz val="10"/>
        <color theme="1"/>
        <rFont val="宋体"/>
        <charset val="134"/>
      </rPr>
      <t>世界树的卷须将你的武器延长。你的回合内，你持用的任何具有重型或多用词条的近战武器的触及增加</t>
    </r>
    <r>
      <rPr>
        <sz val="10"/>
        <color theme="1"/>
        <rFont val="Times New Roman"/>
        <charset val="134"/>
      </rPr>
      <t>10</t>
    </r>
    <r>
      <rPr>
        <sz val="10"/>
        <color theme="1"/>
        <rFont val="宋体"/>
        <charset val="134"/>
      </rPr>
      <t>尺。当你在你的回合内以该武器命中时，除了这把武器本身的精通词条外，你还可以为其应用推离或失衡精通词条。</t>
    </r>
  </si>
  <si>
    <r>
      <rPr>
        <sz val="10"/>
        <color theme="1"/>
        <rFont val="宋体"/>
        <charset val="134"/>
      </rPr>
      <t>战争训练</t>
    </r>
  </si>
  <si>
    <r>
      <rPr>
        <sz val="10"/>
        <color theme="1"/>
        <rFont val="宋体"/>
        <charset val="134"/>
      </rPr>
      <t>你获得军用武器熟练以及中甲和盾牌</t>
    </r>
    <r>
      <rPr>
        <sz val="10"/>
        <color theme="1"/>
        <rFont val="Times New Roman"/>
        <charset val="134"/>
      </rPr>
      <t xml:space="preserve"> </t>
    </r>
    <r>
      <rPr>
        <sz val="10"/>
        <color theme="1"/>
        <rFont val="宋体"/>
        <charset val="134"/>
      </rPr>
      <t>的护甲受训。</t>
    </r>
    <r>
      <rPr>
        <sz val="10"/>
        <color theme="1"/>
        <rFont val="Times New Roman"/>
        <charset val="134"/>
      </rPr>
      <t xml:space="preserve"> </t>
    </r>
    <r>
      <rPr>
        <sz val="10"/>
        <color theme="1"/>
        <rFont val="宋体"/>
        <charset val="134"/>
      </rPr>
      <t>此外，你施展吟游诗人法术列表中的法术时，可以使用简易或军用武器作为法器。</t>
    </r>
  </si>
  <si>
    <r>
      <rPr>
        <sz val="10"/>
        <color theme="1"/>
        <rFont val="宋体"/>
        <charset val="134"/>
      </rPr>
      <t>诡术领域法术</t>
    </r>
  </si>
  <si>
    <r>
      <rPr>
        <sz val="10"/>
        <color theme="1"/>
        <rFont val="宋体"/>
        <charset val="134"/>
      </rPr>
      <t>你与此神圣领域的链接使你始终准备了特定的法术。当你到达诡术领域法术表中特定的牧师等级时，你就始终准备了表中对应的法术。
诡术领域法术</t>
    </r>
    <r>
      <rPr>
        <sz val="10"/>
        <color theme="1"/>
        <rFont val="Times New Roman"/>
        <charset val="134"/>
      </rPr>
      <t xml:space="preserve"> Trickery Domain Spells
</t>
    </r>
    <r>
      <rPr>
        <sz val="10"/>
        <color theme="1"/>
        <rFont val="宋体"/>
        <charset val="134"/>
      </rPr>
      <t>牧师等级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魅惑人类</t>
    </r>
    <r>
      <rPr>
        <sz val="10"/>
        <color theme="1"/>
        <rFont val="Times New Roman"/>
        <charset val="134"/>
      </rPr>
      <t>Charm Person</t>
    </r>
    <r>
      <rPr>
        <sz val="10"/>
        <color theme="1"/>
        <rFont val="宋体"/>
        <charset val="134"/>
      </rPr>
      <t>，易容术</t>
    </r>
    <r>
      <rPr>
        <sz val="10"/>
        <color theme="1"/>
        <rFont val="Times New Roman"/>
        <charset val="134"/>
      </rPr>
      <t xml:space="preserve">Disguise Self </t>
    </r>
    <r>
      <rPr>
        <sz val="10"/>
        <color theme="1"/>
        <rFont val="宋体"/>
        <charset val="134"/>
      </rPr>
      <t>隐形术</t>
    </r>
    <r>
      <rPr>
        <sz val="10"/>
        <color theme="1"/>
        <rFont val="Times New Roman"/>
        <charset val="134"/>
      </rPr>
      <t>Invisibility</t>
    </r>
    <r>
      <rPr>
        <sz val="10"/>
        <color theme="1"/>
        <rFont val="宋体"/>
        <charset val="134"/>
      </rPr>
      <t>，行动无踪</t>
    </r>
    <r>
      <rPr>
        <sz val="10"/>
        <color theme="1"/>
        <rFont val="Times New Roman"/>
        <charset val="134"/>
      </rPr>
      <t xml:space="preserve">Pass without Trace 
5 </t>
    </r>
    <r>
      <rPr>
        <sz val="10"/>
        <color theme="1"/>
        <rFont val="宋体"/>
        <charset val="134"/>
      </rPr>
      <t>催眠图纹</t>
    </r>
    <r>
      <rPr>
        <sz val="10"/>
        <color theme="1"/>
        <rFont val="Times New Roman"/>
        <charset val="134"/>
      </rPr>
      <t>Hypnotic Pattern</t>
    </r>
    <r>
      <rPr>
        <sz val="10"/>
        <color theme="1"/>
        <rFont val="宋体"/>
        <charset val="134"/>
      </rPr>
      <t>，回避侦测</t>
    </r>
    <r>
      <rPr>
        <sz val="10"/>
        <color theme="1"/>
        <rFont val="Times New Roman"/>
        <charset val="134"/>
      </rPr>
      <t xml:space="preserve">Nondetection 
7 </t>
    </r>
    <r>
      <rPr>
        <sz val="10"/>
        <color theme="1"/>
        <rFont val="宋体"/>
        <charset val="134"/>
      </rPr>
      <t>困惑术</t>
    </r>
    <r>
      <rPr>
        <sz val="10"/>
        <color theme="1"/>
        <rFont val="Times New Roman"/>
        <charset val="134"/>
      </rPr>
      <t>Confusion</t>
    </r>
    <r>
      <rPr>
        <sz val="10"/>
        <color theme="1"/>
        <rFont val="宋体"/>
        <charset val="134"/>
      </rPr>
      <t>，任意门</t>
    </r>
    <r>
      <rPr>
        <sz val="10"/>
        <color theme="1"/>
        <rFont val="Times New Roman"/>
        <charset val="134"/>
      </rPr>
      <t xml:space="preserve">Dimension Door 
9 </t>
    </r>
    <r>
      <rPr>
        <sz val="10"/>
        <color theme="1"/>
        <rFont val="宋体"/>
        <charset val="134"/>
      </rPr>
      <t>支配类人</t>
    </r>
    <r>
      <rPr>
        <sz val="10"/>
        <color theme="1"/>
        <rFont val="Times New Roman"/>
        <charset val="134"/>
      </rPr>
      <t>Dominate Person</t>
    </r>
    <r>
      <rPr>
        <sz val="10"/>
        <color theme="1"/>
        <rFont val="宋体"/>
        <charset val="134"/>
      </rPr>
      <t>，篡改记忆</t>
    </r>
    <r>
      <rPr>
        <sz val="10"/>
        <color theme="1"/>
        <rFont val="Times New Roman"/>
        <charset val="134"/>
      </rPr>
      <t xml:space="preserve">Modify Memory </t>
    </r>
  </si>
  <si>
    <r>
      <rPr>
        <sz val="10"/>
        <color theme="1"/>
        <rFont val="宋体"/>
        <charset val="134"/>
      </rPr>
      <t>月光飞步</t>
    </r>
  </si>
  <si>
    <r>
      <rPr>
        <sz val="10"/>
        <color theme="1"/>
        <rFont val="宋体"/>
        <charset val="134"/>
      </rPr>
      <t>你能以魔法传送自身，在一道月光中重新出现。以一个附赠动作，你传送最多</t>
    </r>
    <r>
      <rPr>
        <sz val="10"/>
        <color theme="1"/>
        <rFont val="Times New Roman"/>
        <charset val="134"/>
      </rPr>
      <t>30</t>
    </r>
    <r>
      <rPr>
        <sz val="10"/>
        <color theme="1"/>
        <rFont val="宋体"/>
        <charset val="134"/>
      </rPr>
      <t>尺到一处你能看见的未被占据的空间，并且你在这个回合结束前进行的下一次攻击具有优势。
你可以使用该特性的次数等于你的感知调整值（至少</t>
    </r>
    <r>
      <rPr>
        <sz val="10"/>
        <color theme="1"/>
        <rFont val="Times New Roman"/>
        <charset val="134"/>
      </rPr>
      <t>1</t>
    </r>
    <r>
      <rPr>
        <sz val="10"/>
        <color theme="1"/>
        <rFont val="宋体"/>
        <charset val="134"/>
      </rPr>
      <t>次），并且你在结束一次长休后重获全部已消耗的使用次数。你也能消耗一个二环或更高的法术位来恢复一次使用次数（无需任何动作）。</t>
    </r>
  </si>
  <si>
    <r>
      <rPr>
        <sz val="10"/>
        <color theme="1"/>
        <rFont val="宋体"/>
        <charset val="134"/>
      </rPr>
      <t>重整旗鼓</t>
    </r>
  </si>
  <si>
    <r>
      <rPr>
        <sz val="10"/>
        <color theme="1"/>
        <rFont val="宋体"/>
        <charset val="134"/>
      </rPr>
      <t>以一个附赠动作，你可以消耗一枚卓越骰以鼓舞一名战友的士气。选择一名位于你</t>
    </r>
    <r>
      <rPr>
        <sz val="10"/>
        <color theme="1"/>
        <rFont val="Times New Roman"/>
        <charset val="134"/>
      </rPr>
      <t>30</t>
    </r>
    <r>
      <rPr>
        <sz val="10"/>
        <color theme="1"/>
        <rFont val="宋体"/>
        <charset val="134"/>
      </rPr>
      <t>尺内的能看见你或听到你的盟友。该生物获得数量等于你战士等级的一半（向下取整）加卓越骰结果的临时生命值。</t>
    </r>
  </si>
  <si>
    <r>
      <rPr>
        <sz val="10"/>
        <color theme="1"/>
        <rFont val="宋体"/>
        <charset val="134"/>
      </rPr>
      <t>幽影斗篷</t>
    </r>
  </si>
  <si>
    <r>
      <rPr>
        <sz val="10"/>
        <color theme="1"/>
        <rFont val="宋体"/>
        <charset val="134"/>
      </rPr>
      <t>当你完全身处微光光照或黑暗环境下时，你能够以一个魔法动作消耗</t>
    </r>
    <r>
      <rPr>
        <sz val="10"/>
        <color theme="1"/>
        <rFont val="Times New Roman"/>
        <charset val="134"/>
      </rPr>
      <t>3</t>
    </r>
    <r>
      <rPr>
        <sz val="10"/>
        <color theme="1"/>
        <rFont val="宋体"/>
        <charset val="134"/>
      </rPr>
      <t>点功力来让你周围环绕幽影，持续</t>
    </r>
    <r>
      <rPr>
        <sz val="10"/>
        <color theme="1"/>
        <rFont val="Times New Roman"/>
        <charset val="134"/>
      </rPr>
      <t>1</t>
    </r>
    <r>
      <rPr>
        <sz val="10"/>
        <color theme="1"/>
        <rFont val="宋体"/>
        <charset val="134"/>
      </rPr>
      <t>分钟，直至你陷入失能状态或在明亮光照中结束回合。当周身环绕幽影时，你获得以下好处：
隐形</t>
    </r>
    <r>
      <rPr>
        <sz val="10"/>
        <color theme="1"/>
        <rFont val="Times New Roman"/>
        <charset val="134"/>
      </rPr>
      <t>Invisibility</t>
    </r>
    <r>
      <rPr>
        <sz val="10"/>
        <color theme="1"/>
        <rFont val="宋体"/>
        <charset val="134"/>
      </rPr>
      <t>。你获得隐形状态。
局部虚化</t>
    </r>
    <r>
      <rPr>
        <sz val="10"/>
        <color theme="1"/>
        <rFont val="Times New Roman"/>
        <charset val="134"/>
      </rPr>
      <t>Partially Incorporeal</t>
    </r>
    <r>
      <rPr>
        <sz val="10"/>
        <color theme="1"/>
        <rFont val="宋体"/>
        <charset val="134"/>
      </rPr>
      <t>。你可以如同通过困难地形一般通过已占据空间。如果你回合结束时仍然处于已占据空间之中，则会被排出到之前最近一个未占据空间。
幽影连击</t>
    </r>
    <r>
      <rPr>
        <sz val="10"/>
        <color theme="1"/>
        <rFont val="Times New Roman"/>
        <charset val="134"/>
      </rPr>
      <t>Shadow Flurry</t>
    </r>
    <r>
      <rPr>
        <sz val="10"/>
        <color theme="1"/>
        <rFont val="宋体"/>
        <charset val="134"/>
      </rPr>
      <t>。</t>
    </r>
    <r>
      <rPr>
        <sz val="10"/>
        <color theme="1"/>
        <rFont val="Times New Roman"/>
        <charset val="134"/>
      </rPr>
      <t xml:space="preserve"> </t>
    </r>
    <r>
      <rPr>
        <sz val="10"/>
        <color theme="1"/>
        <rFont val="宋体"/>
        <charset val="134"/>
      </rPr>
      <t>你使用疾风连击时不再需要消耗功力。</t>
    </r>
  </si>
  <si>
    <r>
      <rPr>
        <sz val="10"/>
        <color theme="1"/>
        <rFont val="宋体"/>
        <charset val="134"/>
      </rPr>
      <t>迅捷灵光</t>
    </r>
  </si>
  <si>
    <r>
      <rPr>
        <sz val="10"/>
        <color theme="1"/>
        <rFont val="宋体"/>
        <charset val="134"/>
      </rPr>
      <t>你的速度提升</t>
    </r>
    <r>
      <rPr>
        <sz val="10"/>
        <color theme="1"/>
        <rFont val="Times New Roman"/>
        <charset val="134"/>
      </rPr>
      <t>10</t>
    </r>
    <r>
      <rPr>
        <sz val="10"/>
        <color theme="1"/>
        <rFont val="宋体"/>
        <charset val="134"/>
      </rPr>
      <t>尺。
此外，每个在自己回合第一次进入你守护灵光内的盟友，或在其内开始回合的盟友，速度提升</t>
    </r>
    <r>
      <rPr>
        <sz val="10"/>
        <color theme="1"/>
        <rFont val="Times New Roman"/>
        <charset val="134"/>
      </rPr>
      <t>10</t>
    </r>
    <r>
      <rPr>
        <sz val="10"/>
        <color theme="1"/>
        <rFont val="宋体"/>
        <charset val="134"/>
      </rPr>
      <t>尺，直到其下个回合结束为止。</t>
    </r>
  </si>
  <si>
    <r>
      <rPr>
        <sz val="10"/>
        <color theme="1"/>
        <rFont val="宋体"/>
        <charset val="134"/>
      </rPr>
      <t>雾行漫游</t>
    </r>
  </si>
  <si>
    <r>
      <rPr>
        <sz val="10"/>
        <color theme="1"/>
        <rFont val="宋体"/>
        <charset val="134"/>
      </rPr>
      <t>你可以免费施展迷踪步</t>
    </r>
    <r>
      <rPr>
        <sz val="10"/>
        <color theme="1"/>
        <rFont val="Times New Roman"/>
        <charset val="134"/>
      </rPr>
      <t xml:space="preserve">Misty Step </t>
    </r>
    <r>
      <rPr>
        <sz val="10"/>
        <color theme="1"/>
        <rFont val="宋体"/>
        <charset val="134"/>
      </rPr>
      <t>而不需要消耗法术位，次数等同于你的感知调整值次（至少一次），在完成一次长休后，你重获所有的已消耗的次数。
另外，每当你施展迷踪步</t>
    </r>
    <r>
      <rPr>
        <sz val="10"/>
        <color theme="1"/>
        <rFont val="Times New Roman"/>
        <charset val="134"/>
      </rPr>
      <t xml:space="preserve">Misty Step </t>
    </r>
    <r>
      <rPr>
        <sz val="10"/>
        <color theme="1"/>
        <rFont val="宋体"/>
        <charset val="134"/>
      </rPr>
      <t>时，你可以携带一个位于你</t>
    </r>
    <r>
      <rPr>
        <sz val="10"/>
        <color theme="1"/>
        <rFont val="Times New Roman"/>
        <charset val="134"/>
      </rPr>
      <t>5</t>
    </r>
    <r>
      <rPr>
        <sz val="10"/>
        <color theme="1"/>
        <rFont val="宋体"/>
        <charset val="134"/>
      </rPr>
      <t>尺内你可见的自愿生物与你一同传送。那个生物会被传送到由你选择的，位于你的目标位置</t>
    </r>
    <r>
      <rPr>
        <sz val="10"/>
        <color theme="1"/>
        <rFont val="Times New Roman"/>
        <charset val="134"/>
      </rPr>
      <t>5</t>
    </r>
    <r>
      <rPr>
        <sz val="10"/>
        <color theme="1"/>
        <rFont val="宋体"/>
        <charset val="134"/>
      </rPr>
      <t>尺内的一处未占据空间内。</t>
    </r>
  </si>
  <si>
    <r>
      <rPr>
        <sz val="10"/>
        <color theme="1"/>
        <rFont val="宋体"/>
        <charset val="134"/>
      </rPr>
      <t>专业渗透</t>
    </r>
  </si>
  <si>
    <r>
      <rPr>
        <sz val="10"/>
        <color theme="1"/>
        <rFont val="宋体"/>
        <charset val="134"/>
      </rPr>
      <t>你是潜入渗透的专家，你熟练掌握了以下技巧来帮助自己的潜入：
模仿大师</t>
    </r>
    <r>
      <rPr>
        <sz val="10"/>
        <color theme="1"/>
        <rFont val="Times New Roman"/>
        <charset val="134"/>
      </rPr>
      <t>Masterful Mimicry</t>
    </r>
    <r>
      <rPr>
        <sz val="10"/>
        <color theme="1"/>
        <rFont val="宋体"/>
        <charset val="134"/>
      </rPr>
      <t>。在你至少花费了一小时的时间来进行钻研后，你能够精准无误的模仿其他人的言语、笔迹或同时模仿以上两项内容。
机动瞄准</t>
    </r>
    <r>
      <rPr>
        <sz val="10"/>
        <color theme="1"/>
        <rFont val="Times New Roman"/>
        <charset val="134"/>
      </rPr>
      <t>Roving Aim</t>
    </r>
    <r>
      <rPr>
        <sz val="10"/>
        <color theme="1"/>
        <rFont val="宋体"/>
        <charset val="134"/>
      </rPr>
      <t>。你使用稳定瞄准特性时速度不会归零。</t>
    </r>
  </si>
  <si>
    <r>
      <rPr>
        <sz val="10"/>
        <color theme="1"/>
        <rFont val="宋体"/>
        <charset val="134"/>
      </rPr>
      <t>扭曲内爆</t>
    </r>
  </si>
  <si>
    <r>
      <rPr>
        <sz val="10"/>
        <color theme="1"/>
        <rFont val="宋体"/>
        <charset val="134"/>
      </rPr>
      <t>你能够释放出扭曲空间的异常现象。以一个魔法动作，你传送到</t>
    </r>
    <r>
      <rPr>
        <sz val="10"/>
        <color theme="1"/>
        <rFont val="Times New Roman"/>
        <charset val="134"/>
      </rPr>
      <t>120</t>
    </r>
    <r>
      <rPr>
        <sz val="10"/>
        <color theme="1"/>
        <rFont val="宋体"/>
        <charset val="134"/>
      </rPr>
      <t>尺内你可见的一个未被占据的位置，然后你消失位置</t>
    </r>
    <r>
      <rPr>
        <sz val="10"/>
        <color theme="1"/>
        <rFont val="Times New Roman"/>
        <charset val="134"/>
      </rPr>
      <t>30</t>
    </r>
    <r>
      <rPr>
        <sz val="10"/>
        <color theme="1"/>
        <rFont val="宋体"/>
        <charset val="134"/>
      </rPr>
      <t>尺内的每个生物必须进行一次对抗你施法</t>
    </r>
    <r>
      <rPr>
        <sz val="10"/>
        <color theme="1"/>
        <rFont val="Times New Roman"/>
        <charset val="134"/>
      </rPr>
      <t>DC</t>
    </r>
    <r>
      <rPr>
        <sz val="10"/>
        <color theme="1"/>
        <rFont val="宋体"/>
        <charset val="134"/>
      </rPr>
      <t>的力量豁免，豁免失败将受</t>
    </r>
    <r>
      <rPr>
        <sz val="10"/>
        <color theme="1"/>
        <rFont val="Times New Roman"/>
        <charset val="134"/>
      </rPr>
      <t>3d10</t>
    </r>
    <r>
      <rPr>
        <sz val="10"/>
        <color theme="1"/>
        <rFont val="宋体"/>
        <charset val="134"/>
      </rPr>
      <t>力场伤害并被立即拉向你原本的位置，并停在最靠近的一处未被占据的空间内，豁免成功只受半伤。
此特性一经使用，直至完成长休你都无法再次使用。你也可以消耗</t>
    </r>
    <r>
      <rPr>
        <sz val="10"/>
        <color theme="1"/>
        <rFont val="Times New Roman"/>
        <charset val="134"/>
      </rPr>
      <t>5</t>
    </r>
    <r>
      <rPr>
        <sz val="10"/>
        <color theme="1"/>
        <rFont val="宋体"/>
        <charset val="134"/>
      </rPr>
      <t>点术法点（无需动作）重置该特性的使用权。</t>
    </r>
  </si>
  <si>
    <r>
      <rPr>
        <sz val="10"/>
        <color theme="1"/>
        <rFont val="宋体"/>
        <charset val="134"/>
      </rPr>
      <t>先决：链之魔契</t>
    </r>
    <r>
      <rPr>
        <sz val="10"/>
        <color theme="1"/>
        <rFont val="Times New Roman"/>
        <charset val="134"/>
      </rPr>
      <t xml:space="preserve">
</t>
    </r>
    <r>
      <rPr>
        <sz val="10"/>
        <color theme="1"/>
        <rFont val="宋体"/>
        <charset val="134"/>
      </rPr>
      <t>你可以召唤出更偏向怪物的魔宠。当你施展法术寻获魔宠</t>
    </r>
    <r>
      <rPr>
        <sz val="10"/>
        <color theme="1"/>
        <rFont val="Times New Roman"/>
        <charset val="134"/>
      </rPr>
      <t>Find Familiar</t>
    </r>
    <r>
      <rPr>
        <sz val="10"/>
        <color theme="1"/>
        <rFont val="宋体"/>
        <charset val="134"/>
      </rPr>
      <t>时，你可以为你的魔宠选择通常的形态选项，或者下列特殊形态之一：闪现犬</t>
    </r>
    <r>
      <rPr>
        <sz val="10"/>
        <color theme="1"/>
        <rFont val="Times New Roman"/>
        <charset val="134"/>
      </rPr>
      <t>Blink Dog</t>
    </r>
    <r>
      <rPr>
        <sz val="10"/>
        <color theme="1"/>
        <rFont val="宋体"/>
        <charset val="134"/>
      </rPr>
      <t>，亡命恶犬</t>
    </r>
    <r>
      <rPr>
        <sz val="10"/>
        <color theme="1"/>
        <rFont val="Times New Roman"/>
        <charset val="134"/>
      </rPr>
      <t>Death Dog</t>
    </r>
    <r>
      <rPr>
        <sz val="10"/>
        <color theme="1"/>
        <rFont val="宋体"/>
        <charset val="134"/>
      </rPr>
      <t>，豹</t>
    </r>
    <r>
      <rPr>
        <sz val="10"/>
        <color theme="1"/>
        <rFont val="Times New Roman"/>
        <charset val="134"/>
      </rPr>
      <t>Panther</t>
    </r>
    <r>
      <rPr>
        <sz val="10"/>
        <color theme="1"/>
        <rFont val="宋体"/>
        <charset val="134"/>
      </rPr>
      <t>或座狼</t>
    </r>
    <r>
      <rPr>
        <sz val="10"/>
        <color theme="1"/>
        <rFont val="Times New Roman"/>
        <charset val="134"/>
      </rPr>
      <t xml:space="preserve">Worg </t>
    </r>
    <r>
      <rPr>
        <sz val="10"/>
        <color theme="1"/>
        <rFont val="宋体"/>
        <charset val="134"/>
      </rPr>
      <t>。</t>
    </r>
    <r>
      <rPr>
        <sz val="10"/>
        <color theme="1"/>
        <rFont val="Times New Roman"/>
        <charset val="134"/>
      </rPr>
      <t xml:space="preserve">
</t>
    </r>
    <r>
      <rPr>
        <sz val="10"/>
        <color theme="1"/>
        <rFont val="宋体"/>
        <charset val="134"/>
      </rPr>
      <t>此外，你可以在你的回合消耗一个附赠动作来命令你的魔宠对你选择的敌人使用攻击动作。</t>
    </r>
  </si>
  <si>
    <r>
      <rPr>
        <sz val="10"/>
        <color theme="1"/>
        <rFont val="宋体"/>
        <charset val="134"/>
      </rPr>
      <t>强力戏法</t>
    </r>
  </si>
  <si>
    <r>
      <rPr>
        <sz val="10"/>
        <color theme="1"/>
        <rFont val="宋体"/>
        <charset val="134"/>
      </rPr>
      <t>你造成伤害的戏法甚至能影响到本可免受戏法效应影响的生物。当你施展一道戏法，其攻击检定失手，或目标对抗你戏法的豁免成功时，它仍会受到一半伤害（若有），但不会受到该戏法的其他效应影响。</t>
    </r>
  </si>
  <si>
    <r>
      <rPr>
        <sz val="10"/>
        <color theme="1"/>
        <rFont val="宋体"/>
        <charset val="134"/>
      </rPr>
      <t>奥能装甲</t>
    </r>
  </si>
  <si>
    <r>
      <rPr>
        <sz val="10"/>
        <color theme="1"/>
        <rFont val="宋体"/>
        <charset val="134"/>
      </rPr>
      <t>你手中拿着铁匠工具期间以一个魔法动作，你可以将一套你着装的护甲转变为奥能装甲。这套护甲会持续变为奥能装甲，直到你穿戴了另外一套护甲，或你死亡。</t>
    </r>
    <r>
      <rPr>
        <sz val="10"/>
        <color theme="1"/>
        <rFont val="Times New Roman"/>
        <charset val="134"/>
      </rPr>
      <t xml:space="preserve">
</t>
    </r>
    <r>
      <rPr>
        <sz val="10"/>
        <color theme="1"/>
        <rFont val="宋体"/>
        <charset val="134"/>
      </rPr>
      <t>穿戴你的奥能装甲期间，你获得以下好处：</t>
    </r>
    <r>
      <rPr>
        <sz val="10"/>
        <color theme="1"/>
        <rFont val="Times New Roman"/>
        <charset val="134"/>
      </rPr>
      <t xml:space="preserve">
</t>
    </r>
    <r>
      <rPr>
        <sz val="10"/>
        <color theme="1"/>
        <rFont val="宋体"/>
        <charset val="134"/>
      </rPr>
      <t>无需力量需求</t>
    </r>
    <r>
      <rPr>
        <sz val="10"/>
        <color theme="1"/>
        <rFont val="Times New Roman"/>
        <charset val="134"/>
      </rPr>
      <t>No Strength Requirement</t>
    </r>
    <r>
      <rPr>
        <sz val="10"/>
        <color theme="1"/>
        <rFont val="宋体"/>
        <charset val="134"/>
      </rPr>
      <t>。如果这套护甲正常时有力量需求，则对你来说奥能装甲将没有这个先决条件。</t>
    </r>
    <r>
      <rPr>
        <sz val="10"/>
        <color theme="1"/>
        <rFont val="Times New Roman"/>
        <charset val="134"/>
      </rPr>
      <t xml:space="preserve">
</t>
    </r>
    <r>
      <rPr>
        <sz val="10"/>
        <color theme="1"/>
        <rFont val="宋体"/>
        <charset val="134"/>
      </rPr>
      <t>速穿速脱</t>
    </r>
    <r>
      <rPr>
        <sz val="10"/>
        <color theme="1"/>
        <rFont val="Times New Roman"/>
        <charset val="134"/>
      </rPr>
      <t>Quick Don and Doff</t>
    </r>
    <r>
      <rPr>
        <sz val="10"/>
        <color theme="1"/>
        <rFont val="宋体"/>
        <charset val="134"/>
      </rPr>
      <t>。你可以以一个操作动作穿戴和卸除这套装甲。</t>
    </r>
    <r>
      <rPr>
        <sz val="10"/>
        <color theme="1"/>
        <rFont val="Times New Roman"/>
        <charset val="134"/>
      </rPr>
      <t xml:space="preserve">
</t>
    </r>
    <r>
      <rPr>
        <sz val="10"/>
        <color theme="1"/>
        <rFont val="宋体"/>
        <charset val="134"/>
      </rPr>
      <t>施法法器</t>
    </r>
    <r>
      <rPr>
        <sz val="10"/>
        <color theme="1"/>
        <rFont val="Times New Roman"/>
        <charset val="134"/>
      </rPr>
      <t>Spellcasting Focus</t>
    </r>
    <r>
      <rPr>
        <sz val="10"/>
        <color theme="1"/>
        <rFont val="宋体"/>
        <charset val="134"/>
      </rPr>
      <t>。你可以使用奥能装甲作为施法法器施展奇械师法术。</t>
    </r>
    <r>
      <rPr>
        <sz val="10"/>
        <color theme="1"/>
        <rFont val="Times New Roman"/>
        <charset val="134"/>
      </rPr>
      <t xml:space="preserve"> </t>
    </r>
  </si>
  <si>
    <r>
      <rPr>
        <sz val="10"/>
        <color theme="1"/>
        <rFont val="宋体"/>
        <charset val="134"/>
      </rPr>
      <t>每当你在自己的回合执行攻击动作时，你可以发动两次攻击而非一次。</t>
    </r>
    <r>
      <rPr>
        <sz val="10"/>
        <color theme="1"/>
        <rFont val="Times New Roman"/>
        <charset val="134"/>
      </rPr>
      <t xml:space="preserve"> 
</t>
    </r>
    <r>
      <rPr>
        <sz val="10"/>
        <color theme="1"/>
        <rFont val="宋体"/>
        <charset val="134"/>
      </rPr>
      <t>此外，你可以将额外攻击中的一次，替换为施展一道施法时间为动作的灵能使戏法。</t>
    </r>
  </si>
  <si>
    <r>
      <rPr>
        <sz val="10"/>
        <color theme="1"/>
        <rFont val="宋体"/>
        <charset val="134"/>
      </rPr>
      <t>胸有成竹</t>
    </r>
  </si>
  <si>
    <r>
      <rPr>
        <sz val="10"/>
        <color theme="1"/>
        <rFont val="宋体"/>
        <charset val="134"/>
      </rPr>
      <t>你在对鲜血魔法的掌控登峰造极，牺牲得以减少，效果反而加强。每回合一次，当任何血猎手特性需要你掷鲜血秘法骰时，你可重掷一枚鲜血秘法骰，并选择使用其中任一结果。
此外，当你以猩红仪式增强的武器攻击造成重击时，你重新获得一次已消耗的鲜血恶戾特性次数。</t>
    </r>
  </si>
  <si>
    <r>
      <rPr>
        <sz val="10"/>
        <color theme="1"/>
        <rFont val="宋体"/>
        <charset val="134"/>
      </rPr>
      <t>临床适应性</t>
    </r>
  </si>
  <si>
    <r>
      <rPr>
        <sz val="10"/>
        <color theme="1"/>
        <rFont val="宋体"/>
        <charset val="134"/>
      </rPr>
      <t>先决：药剂师等级</t>
    </r>
    <r>
      <rPr>
        <sz val="10"/>
        <color theme="1"/>
        <rFont val="Times New Roman"/>
        <charset val="134"/>
      </rPr>
      <t xml:space="preserve">6+ 
</t>
    </r>
    <r>
      <rPr>
        <sz val="10"/>
        <color theme="1"/>
        <rFont val="宋体"/>
        <charset val="134"/>
      </rPr>
      <t>你获得体质豁免检定的熟练。</t>
    </r>
  </si>
  <si>
    <t>所有，或一无所有</t>
  </si>
  <si>
    <t>当你使用远程武器造成重击命中时，你可以赌一个更高的结果。掷一枚d20，若结果为10或更高，则你伤害掷骰时投掷所有的伤害骰四次而非两次，并将结果相加。若结果为9或更低，则此次重击被视为普通命中。</t>
  </si>
  <si>
    <t>魄劫</t>
  </si>
  <si>
    <t>当你使用附赠动作施加或转移缄印时，你能够将缄印烙入其灵魂。此后每当该受禁生物受到伤害时，其额外受到等于你熟练加值的伤害，持续1分钟。</t>
  </si>
  <si>
    <t>内脏喷泉</t>
  </si>
  <si>
    <r>
      <rPr>
        <sz val="10"/>
        <color theme="1"/>
        <rFont val="宋体"/>
        <charset val="134"/>
      </rPr>
      <t>你能以魔法动作消耗</t>
    </r>
    <r>
      <rPr>
        <sz val="10"/>
        <color theme="1"/>
        <rFont val="Times New Roman"/>
        <charset val="134"/>
      </rPr>
      <t>6</t>
    </r>
    <r>
      <rPr>
        <sz val="10"/>
        <color theme="1"/>
        <rFont val="宋体"/>
        <charset val="134"/>
      </rPr>
      <t>点锐气来魔法性的将手伸入一名位于你触及内的你选择的生物体内，掏出其内脏并尝试将其处决。该生物必须进行一次敏捷豁免（</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你的力量调整值</t>
    </r>
    <r>
      <rPr>
        <sz val="10"/>
        <color theme="1"/>
        <rFont val="Times New Roman"/>
        <charset val="134"/>
      </rPr>
      <t>+</t>
    </r>
    <r>
      <rPr>
        <sz val="10"/>
        <color theme="1"/>
        <rFont val="宋体"/>
        <charset val="134"/>
      </rPr>
      <t>你的熟练加值）。豁免失败则该生物受到</t>
    </r>
    <r>
      <rPr>
        <sz val="10"/>
        <color theme="1"/>
        <rFont val="Times New Roman"/>
        <charset val="134"/>
      </rPr>
      <t>100</t>
    </r>
    <r>
      <rPr>
        <sz val="10"/>
        <color theme="1"/>
        <rFont val="宋体"/>
        <charset val="134"/>
      </rPr>
      <t>穿刺伤害。豁免成功则改为受到</t>
    </r>
    <r>
      <rPr>
        <sz val="10"/>
        <color theme="1"/>
        <rFont val="Times New Roman"/>
        <charset val="134"/>
      </rPr>
      <t>50</t>
    </r>
    <r>
      <rPr>
        <sz val="10"/>
        <color theme="1"/>
        <rFont val="宋体"/>
        <charset val="134"/>
      </rPr>
      <t>穿刺伤害。
若该伤害令目标的生命值降至</t>
    </r>
    <r>
      <rPr>
        <sz val="10"/>
        <color theme="1"/>
        <rFont val="Times New Roman"/>
        <charset val="134"/>
      </rPr>
      <t>0</t>
    </r>
    <r>
      <rPr>
        <sz val="10"/>
        <color theme="1"/>
        <rFont val="宋体"/>
        <charset val="134"/>
      </rPr>
      <t>，你在目标身上撕开一个血洞，喷涌出令人作呕的内脏，目标立即死亡。当目标因此死亡时，位于源自你的</t>
    </r>
    <r>
      <rPr>
        <sz val="10"/>
        <color theme="1"/>
        <rFont val="Times New Roman"/>
        <charset val="134"/>
      </rPr>
      <t>30</t>
    </r>
    <r>
      <rPr>
        <sz val="10"/>
        <color theme="1"/>
        <rFont val="宋体"/>
        <charset val="134"/>
      </rPr>
      <t>尺光环区域内的每名你选择的生物必须成功通过一次感知豁免（</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你的力量调整值</t>
    </r>
    <r>
      <rPr>
        <sz val="10"/>
        <color theme="1"/>
        <rFont val="Times New Roman"/>
        <charset val="134"/>
      </rPr>
      <t>+</t>
    </r>
    <r>
      <rPr>
        <sz val="10"/>
        <color theme="1"/>
        <rFont val="宋体"/>
        <charset val="134"/>
      </rPr>
      <t>你的熟练加值），否则陷入恐慌状态持续</t>
    </r>
    <r>
      <rPr>
        <sz val="10"/>
        <color theme="1"/>
        <rFont val="Times New Roman"/>
        <charset val="134"/>
      </rPr>
      <t>1</t>
    </r>
    <r>
      <rPr>
        <sz val="10"/>
        <color theme="1"/>
        <rFont val="宋体"/>
        <charset val="134"/>
      </rPr>
      <t>分钟。豁免失败的生物可以在其每个回合结束时重复感知豁免，成功则终止其身上的恐慌状态。
此特性一经使用，你在完成长休前无法再次使用。</t>
    </r>
  </si>
  <si>
    <r>
      <rPr>
        <sz val="10"/>
        <color theme="1"/>
        <rFont val="宋体"/>
        <charset val="134"/>
      </rPr>
      <t>战争领域</t>
    </r>
  </si>
  <si>
    <r>
      <rPr>
        <sz val="10"/>
        <color theme="1"/>
        <rFont val="宋体"/>
        <charset val="134"/>
      </rPr>
      <t>世界树之奇旅</t>
    </r>
  </si>
  <si>
    <r>
      <rPr>
        <sz val="10"/>
        <color theme="1"/>
        <rFont val="宋体"/>
        <charset val="134"/>
      </rPr>
      <t>当你激活狂暴时，你可以传送至多</t>
    </r>
    <r>
      <rPr>
        <sz val="10"/>
        <color theme="1"/>
        <rFont val="Times New Roman"/>
        <charset val="134"/>
      </rPr>
      <t>60</t>
    </r>
    <r>
      <rPr>
        <sz val="10"/>
        <color theme="1"/>
        <rFont val="宋体"/>
        <charset val="134"/>
      </rPr>
      <t>尺的距离，到一处你可见的未占据空间中。在你的狂暴激活期间，你也能够以一个附赠动作来进行传送。
此外，每次狂暴期间仅一次，你可以使传送的距离提升至</t>
    </r>
    <r>
      <rPr>
        <sz val="10"/>
        <color theme="1"/>
        <rFont val="Times New Roman"/>
        <charset val="134"/>
      </rPr>
      <t>150</t>
    </r>
    <r>
      <rPr>
        <sz val="10"/>
        <color theme="1"/>
        <rFont val="宋体"/>
        <charset val="134"/>
      </rPr>
      <t>尺，并可以选择带上至多</t>
    </r>
    <r>
      <rPr>
        <sz val="10"/>
        <color theme="1"/>
        <rFont val="Times New Roman"/>
        <charset val="134"/>
      </rPr>
      <t>6</t>
    </r>
    <r>
      <rPr>
        <sz val="10"/>
        <color theme="1"/>
        <rFont val="宋体"/>
        <charset val="134"/>
      </rPr>
      <t>个位于你</t>
    </r>
    <r>
      <rPr>
        <sz val="10"/>
        <color theme="1"/>
        <rFont val="Times New Roman"/>
        <charset val="134"/>
      </rPr>
      <t>10</t>
    </r>
    <r>
      <rPr>
        <sz val="10"/>
        <color theme="1"/>
        <rFont val="宋体"/>
        <charset val="134"/>
      </rPr>
      <t>尺内的自愿生物同你一起传送。每个其他生物都将被传送至位于你目的地</t>
    </r>
    <r>
      <rPr>
        <sz val="10"/>
        <color theme="1"/>
        <rFont val="Times New Roman"/>
        <charset val="134"/>
      </rPr>
      <t>10</t>
    </r>
    <r>
      <rPr>
        <sz val="10"/>
        <color theme="1"/>
        <rFont val="宋体"/>
        <charset val="134"/>
      </rPr>
      <t>尺内的你选择的未占据空间中。</t>
    </r>
    <r>
      <rPr>
        <sz val="10"/>
        <color theme="1"/>
        <rFont val="Times New Roman"/>
        <charset val="134"/>
      </rPr>
      <t xml:space="preserve"> </t>
    </r>
  </si>
  <si>
    <r>
      <rPr>
        <sz val="10"/>
        <color theme="1"/>
        <rFont val="宋体"/>
        <charset val="134"/>
      </rPr>
      <t>当你在自己的回合执行攻击动作时，你可以发动两次攻击而非一次。此外，你可以将额外攻击中的一次，替换为施展一道施法时间为一动作的戏法。</t>
    </r>
  </si>
  <si>
    <r>
      <rPr>
        <sz val="10"/>
        <color theme="1"/>
        <rFont val="宋体"/>
        <charset val="134"/>
      </rPr>
      <t>诡诈换位</t>
    </r>
  </si>
  <si>
    <r>
      <rPr>
        <sz val="10"/>
        <color theme="1"/>
        <rFont val="宋体"/>
        <charset val="134"/>
      </rPr>
      <t>每当你使用附赠动作创造或移动你来自召现分身特性的幻象时，你都可以通过传送与幻象交换位置。</t>
    </r>
    <r>
      <rPr>
        <sz val="10"/>
        <color theme="1"/>
        <rFont val="Times New Roman"/>
        <charset val="134"/>
      </rPr>
      <t xml:space="preserve"> </t>
    </r>
  </si>
  <si>
    <r>
      <rPr>
        <sz val="10"/>
        <color theme="1"/>
        <rFont val="宋体"/>
        <charset val="134"/>
      </rPr>
      <t>月辉形态</t>
    </r>
  </si>
  <si>
    <r>
      <rPr>
        <sz val="10"/>
        <color theme="1"/>
        <rFont val="宋体"/>
        <charset val="134"/>
      </rPr>
      <t>月之力量充盈着你的身体，让你获得以下增益：
月耀炽光</t>
    </r>
    <r>
      <rPr>
        <sz val="10"/>
        <color theme="1"/>
        <rFont val="Times New Roman"/>
        <charset val="134"/>
      </rPr>
      <t>Improved Lunar Radiance</t>
    </r>
    <r>
      <rPr>
        <sz val="10"/>
        <color theme="1"/>
        <rFont val="宋体"/>
        <charset val="134"/>
      </rPr>
      <t>。一回合一次，你可以对一次荒野变形下的攻击命中的一名目标额外造成</t>
    </r>
    <r>
      <rPr>
        <sz val="10"/>
        <color theme="1"/>
        <rFont val="Times New Roman"/>
        <charset val="134"/>
      </rPr>
      <t>2d10</t>
    </r>
    <r>
      <rPr>
        <sz val="10"/>
        <color theme="1"/>
        <rFont val="宋体"/>
        <charset val="134"/>
      </rPr>
      <t>光耀伤害。
月辉同行</t>
    </r>
    <r>
      <rPr>
        <sz val="10"/>
        <color theme="1"/>
        <rFont val="Times New Roman"/>
        <charset val="134"/>
      </rPr>
      <t>Shared Moonlight</t>
    </r>
    <r>
      <rPr>
        <sz val="10"/>
        <color theme="1"/>
        <rFont val="宋体"/>
        <charset val="134"/>
      </rPr>
      <t>。当你使用月光飞步时，你还能传送另一个自愿的生物。该生物必须在你的</t>
    </r>
    <r>
      <rPr>
        <sz val="10"/>
        <color theme="1"/>
        <rFont val="Times New Roman"/>
        <charset val="134"/>
      </rPr>
      <t>10</t>
    </r>
    <r>
      <rPr>
        <sz val="10"/>
        <color theme="1"/>
        <rFont val="宋体"/>
        <charset val="134"/>
      </rPr>
      <t>尺内，并且你将它传送到你出现点的</t>
    </r>
    <r>
      <rPr>
        <sz val="10"/>
        <color theme="1"/>
        <rFont val="Times New Roman"/>
        <charset val="134"/>
      </rPr>
      <t>10</t>
    </r>
    <r>
      <rPr>
        <sz val="10"/>
        <color theme="1"/>
        <rFont val="宋体"/>
        <charset val="134"/>
      </rPr>
      <t>尺内的一个你能看见的未被占据空间中。</t>
    </r>
  </si>
  <si>
    <r>
      <rPr>
        <sz val="10"/>
        <color theme="1"/>
        <rFont val="宋体"/>
        <charset val="134"/>
      </rPr>
      <t>反击</t>
    </r>
  </si>
  <si>
    <r>
      <rPr>
        <sz val="10"/>
        <color theme="1"/>
        <rFont val="宋体"/>
        <charset val="134"/>
      </rPr>
      <t>当一个生物对你发动了一次近战攻击检定但失手时，你可以执行一个反应并消耗一枚卓越骰使用武器或徒手打击对其发动一次近战攻击检定。如果该攻击命中，则将卓越骰加在此攻击的伤害掷骰中。</t>
    </r>
  </si>
  <si>
    <r>
      <rPr>
        <sz val="10"/>
        <color theme="1"/>
        <rFont val="宋体"/>
        <charset val="134"/>
      </rPr>
      <t>元素同调</t>
    </r>
  </si>
  <si>
    <r>
      <rPr>
        <sz val="10"/>
        <color theme="1"/>
        <rFont val="宋体"/>
        <charset val="134"/>
      </rPr>
      <t>在你回合开始时，你可以消耗</t>
    </r>
    <r>
      <rPr>
        <sz val="10"/>
        <color theme="1"/>
        <rFont val="Times New Roman"/>
        <charset val="134"/>
      </rPr>
      <t>1</t>
    </r>
    <r>
      <rPr>
        <sz val="10"/>
        <color theme="1"/>
        <rFont val="宋体"/>
        <charset val="134"/>
      </rPr>
      <t>点功力让元素能量浸润己身。这股能量将会持续存在</t>
    </r>
    <r>
      <rPr>
        <sz val="10"/>
        <color theme="1"/>
        <rFont val="Times New Roman"/>
        <charset val="134"/>
      </rPr>
      <t>10</t>
    </r>
    <r>
      <rPr>
        <sz val="10"/>
        <color theme="1"/>
        <rFont val="宋体"/>
        <charset val="134"/>
      </rPr>
      <t>分钟，或直至你陷入失能状态。持续时间内，你获得以下好处：
触及</t>
    </r>
    <r>
      <rPr>
        <sz val="10"/>
        <color theme="1"/>
        <rFont val="Times New Roman"/>
        <charset val="134"/>
      </rPr>
      <t>Reach</t>
    </r>
    <r>
      <rPr>
        <sz val="10"/>
        <color theme="1"/>
        <rFont val="宋体"/>
        <charset val="134"/>
      </rPr>
      <t>。你可以将元素能量打出体外，当你进行徒手打击的时候，你的触及提升</t>
    </r>
    <r>
      <rPr>
        <sz val="10"/>
        <color theme="1"/>
        <rFont val="Times New Roman"/>
        <charset val="134"/>
      </rPr>
      <t>10</t>
    </r>
    <r>
      <rPr>
        <sz val="10"/>
        <color theme="1"/>
        <rFont val="宋体"/>
        <charset val="134"/>
      </rPr>
      <t>尺。
元素注拳</t>
    </r>
    <r>
      <rPr>
        <sz val="10"/>
        <color theme="1"/>
        <rFont val="Times New Roman"/>
        <charset val="134"/>
      </rPr>
      <t>Elemental Strikes</t>
    </r>
    <r>
      <rPr>
        <sz val="10"/>
        <color theme="1"/>
        <rFont val="宋体"/>
        <charset val="134"/>
      </rPr>
      <t>。当你使用徒手打击攻击命中时，你可以选择使其造成强酸，寒冷，火焰或闪电伤害，而非通常的伤害类型。当你以徒手打击造成以上种类的伤害时，你可以迫使目标进行一次力量豁免。若失败，你可以利用周身的元素之力将目标拉近或推离</t>
    </r>
    <r>
      <rPr>
        <sz val="10"/>
        <color theme="1"/>
        <rFont val="Times New Roman"/>
        <charset val="134"/>
      </rPr>
      <t>10</t>
    </r>
    <r>
      <rPr>
        <sz val="10"/>
        <color theme="1"/>
        <rFont val="宋体"/>
        <charset val="134"/>
      </rPr>
      <t>尺。</t>
    </r>
  </si>
  <si>
    <r>
      <rPr>
        <sz val="10"/>
        <color theme="1"/>
        <rFont val="宋体"/>
        <charset val="134"/>
      </rPr>
      <t>辉煌防御</t>
    </r>
  </si>
  <si>
    <r>
      <rPr>
        <sz val="10"/>
        <color theme="1"/>
        <rFont val="宋体"/>
        <charset val="134"/>
      </rPr>
      <t>你能在防御中转守为攻，对敌人发起突然袭击。当你或位于你</t>
    </r>
    <r>
      <rPr>
        <sz val="10"/>
        <color theme="1"/>
        <rFont val="Times New Roman"/>
        <charset val="134"/>
      </rPr>
      <t>10</t>
    </r>
    <r>
      <rPr>
        <sz val="10"/>
        <color theme="1"/>
        <rFont val="宋体"/>
        <charset val="134"/>
      </rPr>
      <t>尺内一个你可见的生物成为一次攻击的目标并被击中时，你可以用反应使其获得一定的</t>
    </r>
    <r>
      <rPr>
        <sz val="10"/>
        <color theme="1"/>
        <rFont val="Times New Roman"/>
        <charset val="134"/>
      </rPr>
      <t>AC</t>
    </r>
    <r>
      <rPr>
        <sz val="10"/>
        <color theme="1"/>
        <rFont val="宋体"/>
        <charset val="134"/>
      </rPr>
      <t>加值，此举可能使该次攻击改为失手。此加值等同于你的魅力调整值（至少为</t>
    </r>
    <r>
      <rPr>
        <sz val="10"/>
        <color theme="1"/>
        <rFont val="Times New Roman"/>
        <charset val="134"/>
      </rPr>
      <t>+1</t>
    </r>
    <r>
      <rPr>
        <sz val="10"/>
        <color theme="1"/>
        <rFont val="宋体"/>
        <charset val="134"/>
      </rPr>
      <t>）。若该次攻击失手，且攻击者在你的武器触及范围内，你可以用武器对其进行一次攻击，这次攻击视为反应的一部分。
你能使用此特性的次数为你的魅力调整值（最少一次）。你在完成一次长休后回复所有消耗的次数。</t>
    </r>
  </si>
  <si>
    <r>
      <rPr>
        <sz val="10"/>
        <color theme="1"/>
        <rFont val="宋体"/>
        <charset val="134"/>
      </rPr>
      <t>恐惧伏击</t>
    </r>
  </si>
  <si>
    <r>
      <rPr>
        <sz val="10"/>
        <color theme="1"/>
        <rFont val="宋体"/>
        <charset val="134"/>
      </rPr>
      <t>你精通于伏击的恐怖技艺，并获得了以下增益。
伏击者之跃</t>
    </r>
    <r>
      <rPr>
        <sz val="10"/>
        <color theme="1"/>
        <rFont val="Times New Roman"/>
        <charset val="134"/>
      </rPr>
      <t>Ambusher's Leap</t>
    </r>
    <r>
      <rPr>
        <sz val="10"/>
        <color theme="1"/>
        <rFont val="宋体"/>
        <charset val="134"/>
      </rPr>
      <t>。在每一场战斗的你的第一个回合的开始，你的移动速度增加</t>
    </r>
    <r>
      <rPr>
        <sz val="10"/>
        <color theme="1"/>
        <rFont val="Times New Roman"/>
        <charset val="134"/>
      </rPr>
      <t>10</t>
    </r>
    <r>
      <rPr>
        <sz val="10"/>
        <color theme="1"/>
        <rFont val="宋体"/>
        <charset val="134"/>
      </rPr>
      <t>尺，直到那个回合结束。
恐惧打击</t>
    </r>
    <r>
      <rPr>
        <sz val="10"/>
        <color theme="1"/>
        <rFont val="Times New Roman"/>
        <charset val="134"/>
      </rPr>
      <t xml:space="preserve"> Dreadful Strike</t>
    </r>
    <r>
      <rPr>
        <sz val="10"/>
        <color theme="1"/>
        <rFont val="宋体"/>
        <charset val="134"/>
      </rPr>
      <t>。当你用武器对生物攻击并命中时，你可以额外对目标造成</t>
    </r>
    <r>
      <rPr>
        <sz val="10"/>
        <color theme="1"/>
        <rFont val="Times New Roman"/>
        <charset val="134"/>
      </rPr>
      <t>2d6</t>
    </r>
    <r>
      <rPr>
        <sz val="10"/>
        <color theme="1"/>
        <rFont val="宋体"/>
        <charset val="134"/>
      </rPr>
      <t>点心灵伤害。你在每回合中只能使用一次这个增益，你可以使用这一增益的次数等同于你的感知调整值（最低一次），并在完成一次长休后重获全部已消耗的使用次数。
先攻加值</t>
    </r>
    <r>
      <rPr>
        <sz val="10"/>
        <color theme="1"/>
        <rFont val="Times New Roman"/>
        <charset val="134"/>
      </rPr>
      <t>Initiative Bonus</t>
    </r>
    <r>
      <rPr>
        <sz val="10"/>
        <color theme="1"/>
        <rFont val="宋体"/>
        <charset val="134"/>
      </rPr>
      <t>。当你投掷先攻时，你可以在那次掷骰中加入你的感知调整值。</t>
    </r>
  </si>
  <si>
    <r>
      <rPr>
        <sz val="10"/>
        <color theme="1"/>
        <rFont val="宋体"/>
        <charset val="134"/>
      </rPr>
      <t>淬毒武器</t>
    </r>
  </si>
  <si>
    <r>
      <rPr>
        <sz val="10"/>
        <color theme="1"/>
        <rFont val="宋体"/>
        <charset val="134"/>
      </rPr>
      <t>当你使用诡诈打击时，每当目标在对抗你的淬毒选项时豁免检定失败，它会受到额外</t>
    </r>
    <r>
      <rPr>
        <sz val="10"/>
        <color theme="1"/>
        <rFont val="Times New Roman"/>
        <charset val="134"/>
      </rPr>
      <t>2D6</t>
    </r>
    <r>
      <rPr>
        <sz val="10"/>
        <color theme="1"/>
        <rFont val="宋体"/>
        <charset val="134"/>
      </rPr>
      <t>的毒素伤害。该伤害无视毒素抗性。</t>
    </r>
  </si>
  <si>
    <r>
      <rPr>
        <sz val="10"/>
        <color theme="1"/>
        <rFont val="宋体"/>
        <charset val="134"/>
      </rPr>
      <t>时械法术</t>
    </r>
  </si>
  <si>
    <r>
      <rPr>
        <sz val="10"/>
        <color theme="1"/>
        <rFont val="宋体"/>
        <charset val="134"/>
      </rPr>
      <t>当你到达时械法术表中特定的术士等级时，你就始终准备了表中对应的法术。
时械法术</t>
    </r>
    <r>
      <rPr>
        <sz val="10"/>
        <color theme="1"/>
        <rFont val="Times New Roman"/>
        <charset val="134"/>
      </rPr>
      <t xml:space="preserve">Clockwork Spells 
</t>
    </r>
    <r>
      <rPr>
        <sz val="10"/>
        <color theme="1"/>
        <rFont val="宋体"/>
        <charset val="134"/>
      </rPr>
      <t>术士等级</t>
    </r>
    <r>
      <rPr>
        <sz val="10"/>
        <color theme="1"/>
        <rFont val="Times New Roman"/>
        <charset val="134"/>
      </rPr>
      <t xml:space="preserve"> </t>
    </r>
    <r>
      <rPr>
        <sz val="10"/>
        <color theme="1"/>
        <rFont val="宋体"/>
        <charset val="134"/>
      </rPr>
      <t xml:space="preserve">准备法术
</t>
    </r>
    <r>
      <rPr>
        <sz val="10"/>
        <color theme="1"/>
        <rFont val="Times New Roman"/>
        <charset val="134"/>
      </rPr>
      <t xml:space="preserve">3 </t>
    </r>
    <r>
      <rPr>
        <sz val="10"/>
        <color theme="1"/>
        <rFont val="宋体"/>
        <charset val="134"/>
      </rPr>
      <t>防护善恶</t>
    </r>
    <r>
      <rPr>
        <sz val="10"/>
        <color theme="1"/>
        <rFont val="Times New Roman"/>
        <charset val="134"/>
      </rPr>
      <t>Protection from Evil and Good</t>
    </r>
    <r>
      <rPr>
        <sz val="10"/>
        <color theme="1"/>
        <rFont val="宋体"/>
        <charset val="134"/>
      </rPr>
      <t>，警报术</t>
    </r>
    <r>
      <rPr>
        <sz val="10"/>
        <color theme="1"/>
        <rFont val="Times New Roman"/>
        <charset val="134"/>
      </rPr>
      <t>Alarm</t>
    </r>
    <r>
      <rPr>
        <sz val="10"/>
        <color theme="1"/>
        <rFont val="宋体"/>
        <charset val="134"/>
      </rPr>
      <t>，次等复原术</t>
    </r>
    <r>
      <rPr>
        <sz val="10"/>
        <color theme="1"/>
        <rFont val="Times New Roman"/>
        <charset val="134"/>
      </rPr>
      <t>Lesser Restoration</t>
    </r>
    <r>
      <rPr>
        <sz val="10"/>
        <color theme="1"/>
        <rFont val="宋体"/>
        <charset val="134"/>
      </rPr>
      <t>，援助术</t>
    </r>
    <r>
      <rPr>
        <sz val="10"/>
        <color theme="1"/>
        <rFont val="Times New Roman"/>
        <charset val="134"/>
      </rPr>
      <t xml:space="preserve">Aid 
5 </t>
    </r>
    <r>
      <rPr>
        <sz val="10"/>
        <color theme="1"/>
        <rFont val="宋体"/>
        <charset val="134"/>
      </rPr>
      <t>解除魔法</t>
    </r>
    <r>
      <rPr>
        <sz val="10"/>
        <color theme="1"/>
        <rFont val="Times New Roman"/>
        <charset val="134"/>
      </rPr>
      <t>Dispel Magic</t>
    </r>
    <r>
      <rPr>
        <sz val="10"/>
        <color theme="1"/>
        <rFont val="宋体"/>
        <charset val="134"/>
      </rPr>
      <t>，防护能量</t>
    </r>
    <r>
      <rPr>
        <sz val="10"/>
        <color theme="1"/>
        <rFont val="Times New Roman"/>
        <charset val="134"/>
      </rPr>
      <t xml:space="preserve">Protection from Energy 
7 </t>
    </r>
    <r>
      <rPr>
        <sz val="10"/>
        <color theme="1"/>
        <rFont val="宋体"/>
        <charset val="134"/>
      </rPr>
      <t>行动自如</t>
    </r>
    <r>
      <rPr>
        <sz val="10"/>
        <color theme="1"/>
        <rFont val="Times New Roman"/>
        <charset val="134"/>
      </rPr>
      <t>Freedom of Movement</t>
    </r>
    <r>
      <rPr>
        <sz val="10"/>
        <color theme="1"/>
        <rFont val="宋体"/>
        <charset val="134"/>
      </rPr>
      <t>，构装召唤术</t>
    </r>
    <r>
      <rPr>
        <sz val="10"/>
        <color theme="1"/>
        <rFont val="Times New Roman"/>
        <charset val="134"/>
      </rPr>
      <t xml:space="preserve">Summon Construct 
9 </t>
    </r>
    <r>
      <rPr>
        <sz val="10"/>
        <color theme="1"/>
        <rFont val="宋体"/>
        <charset val="134"/>
      </rPr>
      <t>高等复原术</t>
    </r>
    <r>
      <rPr>
        <sz val="10"/>
        <color theme="1"/>
        <rFont val="Times New Roman"/>
        <charset val="134"/>
      </rPr>
      <t>Greater Restoration</t>
    </r>
    <r>
      <rPr>
        <sz val="10"/>
        <color theme="1"/>
        <rFont val="宋体"/>
        <charset val="134"/>
      </rPr>
      <t>，力场墙</t>
    </r>
    <r>
      <rPr>
        <sz val="10"/>
        <color theme="1"/>
        <rFont val="Times New Roman"/>
        <charset val="134"/>
      </rPr>
      <t xml:space="preserve">Wall of Force 
</t>
    </r>
    <r>
      <rPr>
        <sz val="10"/>
        <color theme="1"/>
        <rFont val="宋体"/>
        <charset val="134"/>
      </rPr>
      <t>此外，你可以从秩序显迹表格中选择或掷骰决定一种你在施法时显现出与秩序之联系的方式。
秩序显迹</t>
    </r>
    <r>
      <rPr>
        <sz val="10"/>
        <color theme="1"/>
        <rFont val="Times New Roman"/>
        <charset val="134"/>
      </rPr>
      <t xml:space="preserve"> Manifestations of Order 
1d6 </t>
    </r>
    <r>
      <rPr>
        <sz val="10"/>
        <color theme="1"/>
        <rFont val="宋体"/>
        <charset val="134"/>
      </rPr>
      <t xml:space="preserve">显迹
</t>
    </r>
    <r>
      <rPr>
        <sz val="10"/>
        <color theme="1"/>
        <rFont val="Times New Roman"/>
        <charset val="134"/>
      </rPr>
      <t xml:space="preserve">1 </t>
    </r>
    <r>
      <rPr>
        <sz val="10"/>
        <color theme="1"/>
        <rFont val="宋体"/>
        <charset val="134"/>
      </rPr>
      <t xml:space="preserve">幽灵般的虚幻齿轮在你身后旋转。
</t>
    </r>
    <r>
      <rPr>
        <sz val="10"/>
        <color theme="1"/>
        <rFont val="Times New Roman"/>
        <charset val="134"/>
      </rPr>
      <t xml:space="preserve">2 </t>
    </r>
    <r>
      <rPr>
        <sz val="10"/>
        <color theme="1"/>
        <rFont val="宋体"/>
        <charset val="134"/>
      </rPr>
      <t xml:space="preserve">时钟的指针出现在你的眼中。
</t>
    </r>
    <r>
      <rPr>
        <sz val="10"/>
        <color theme="1"/>
        <rFont val="Times New Roman"/>
        <charset val="134"/>
      </rPr>
      <t xml:space="preserve">3 </t>
    </r>
    <r>
      <rPr>
        <sz val="10"/>
        <color theme="1"/>
        <rFont val="宋体"/>
        <charset val="134"/>
      </rPr>
      <t xml:space="preserve">你的皮肤发出如黄铜般的金属光泽。
</t>
    </r>
    <r>
      <rPr>
        <sz val="10"/>
        <color theme="1"/>
        <rFont val="Times New Roman"/>
        <charset val="134"/>
      </rPr>
      <t xml:space="preserve">4 </t>
    </r>
    <r>
      <rPr>
        <sz val="10"/>
        <color theme="1"/>
        <rFont val="宋体"/>
        <charset val="134"/>
      </rPr>
      <t xml:space="preserve">你的体表浮动着方程式和几何图形。
</t>
    </r>
    <r>
      <rPr>
        <sz val="10"/>
        <color theme="1"/>
        <rFont val="Times New Roman"/>
        <charset val="134"/>
      </rPr>
      <t xml:space="preserve">5 </t>
    </r>
    <r>
      <rPr>
        <sz val="10"/>
        <color theme="1"/>
        <rFont val="宋体"/>
        <charset val="134"/>
      </rPr>
      <t xml:space="preserve">你的法器短暂地变化成小巧的机械装置。
</t>
    </r>
    <r>
      <rPr>
        <sz val="10"/>
        <color theme="1"/>
        <rFont val="Times New Roman"/>
        <charset val="134"/>
      </rPr>
      <t xml:space="preserve">6 </t>
    </r>
    <r>
      <rPr>
        <sz val="10"/>
        <color theme="1"/>
        <rFont val="宋体"/>
        <charset val="134"/>
      </rPr>
      <t>你和那些受到你法术影响的生物都会听到齿轮的滴答声或是钟表的响铃。</t>
    </r>
  </si>
  <si>
    <r>
      <rPr>
        <sz val="10"/>
        <color theme="1"/>
        <rFont val="宋体"/>
        <charset val="134"/>
      </rPr>
      <t>先决：书之魔契</t>
    </r>
    <r>
      <rPr>
        <sz val="10"/>
        <color theme="1"/>
        <rFont val="Times New Roman"/>
        <charset val="134"/>
      </rPr>
      <t xml:space="preserve">
</t>
    </r>
    <r>
      <rPr>
        <sz val="10"/>
        <color theme="1"/>
        <rFont val="宋体"/>
        <charset val="134"/>
      </rPr>
      <t>你的影之书中显现出了新的一页，专用于你的猎物。当你从某个生物处得到了实物证据（如一滴血、一缕毛发、一根羽毛、一颗牙齿或爪子等）时，你可以将其献给你的影之书以进行一场持续</t>
    </r>
    <r>
      <rPr>
        <sz val="10"/>
        <color theme="1"/>
        <rFont val="Times New Roman"/>
        <charset val="134"/>
      </rPr>
      <t>10</t>
    </r>
    <r>
      <rPr>
        <sz val="10"/>
        <color theme="1"/>
        <rFont val="宋体"/>
        <charset val="134"/>
      </rPr>
      <t>分钟的特殊仪式。仪式会消耗献上的证据，而其来源生物的名字将以红色墨水铭刻于这一页上。在完成仪式后，只要你携带着影之书，你针对该生物进行的所有智力检定将获得优势。</t>
    </r>
    <r>
      <rPr>
        <sz val="10"/>
        <color theme="1"/>
        <rFont val="Times New Roman"/>
        <charset val="134"/>
      </rPr>
      <t xml:space="preserve">
</t>
    </r>
    <r>
      <rPr>
        <sz val="10"/>
        <color theme="1"/>
        <rFont val="宋体"/>
        <charset val="134"/>
      </rPr>
      <t>此外，你可以花费</t>
    </r>
    <r>
      <rPr>
        <sz val="10"/>
        <color theme="1"/>
        <rFont val="Times New Roman"/>
        <charset val="134"/>
      </rPr>
      <t>1</t>
    </r>
    <r>
      <rPr>
        <sz val="10"/>
        <color theme="1"/>
        <rFont val="宋体"/>
        <charset val="134"/>
      </rPr>
      <t>分钟来审阅该页面，以了解以下有关该生物的实际情况中的一项：</t>
    </r>
    <r>
      <rPr>
        <sz val="10"/>
        <color theme="1"/>
        <rFont val="Times New Roman"/>
        <charset val="134"/>
      </rPr>
      <t xml:space="preserve">
</t>
    </r>
    <r>
      <rPr>
        <sz val="10"/>
        <color theme="1"/>
        <rFont val="宋体"/>
        <charset val="134"/>
      </rPr>
      <t>该生物的生物类型与阵营。</t>
    </r>
    <r>
      <rPr>
        <sz val="10"/>
        <color theme="1"/>
        <rFont val="Times New Roman"/>
        <charset val="134"/>
      </rPr>
      <t xml:space="preserve">
</t>
    </r>
    <r>
      <rPr>
        <sz val="10"/>
        <color theme="1"/>
        <rFont val="宋体"/>
        <charset val="134"/>
      </rPr>
      <t>该生物所使用的任何名字或别名。</t>
    </r>
    <r>
      <rPr>
        <sz val="10"/>
        <color theme="1"/>
        <rFont val="Times New Roman"/>
        <charset val="134"/>
      </rPr>
      <t xml:space="preserve">
</t>
    </r>
    <r>
      <rPr>
        <sz val="10"/>
        <color theme="1"/>
        <rFont val="宋体"/>
        <charset val="134"/>
      </rPr>
      <t>该生物当前与你之间距离与方向（前提是它与你处于同一位面）。</t>
    </r>
    <r>
      <rPr>
        <sz val="10"/>
        <color theme="1"/>
        <rFont val="Times New Roman"/>
        <charset val="134"/>
      </rPr>
      <t xml:space="preserve">
</t>
    </r>
    <r>
      <rPr>
        <sz val="10"/>
        <color theme="1"/>
        <rFont val="宋体"/>
        <charset val="134"/>
      </rPr>
      <t>该生物的任意弱点或缺陷。</t>
    </r>
    <r>
      <rPr>
        <sz val="10"/>
        <color theme="1"/>
        <rFont val="Times New Roman"/>
        <charset val="134"/>
      </rPr>
      <t xml:space="preserve">
</t>
    </r>
    <r>
      <rPr>
        <sz val="10"/>
        <color theme="1"/>
        <rFont val="宋体"/>
        <charset val="134"/>
      </rPr>
      <t>该生物当前是否受伤。</t>
    </r>
    <r>
      <rPr>
        <sz val="10"/>
        <color theme="1"/>
        <rFont val="Times New Roman"/>
        <charset val="134"/>
      </rPr>
      <t xml:space="preserve">
</t>
    </r>
    <r>
      <rPr>
        <sz val="10"/>
        <color theme="1"/>
        <rFont val="宋体"/>
        <charset val="134"/>
      </rPr>
      <t>该生物是否处于某种状态、诅咒或类似效应影响下，以及该效应的性质。</t>
    </r>
    <r>
      <rPr>
        <sz val="10"/>
        <color theme="1"/>
        <rFont val="Times New Roman"/>
        <charset val="134"/>
      </rPr>
      <t xml:space="preserve">
</t>
    </r>
    <r>
      <rPr>
        <sz val="10"/>
        <color theme="1"/>
        <rFont val="宋体"/>
        <charset val="134"/>
      </rPr>
      <t>该页面一次只能记录一个生物的名字，每当你完成该仪式时，你可以选择是否替换当前占用页面空间的生物的名字。</t>
    </r>
  </si>
  <si>
    <r>
      <rPr>
        <sz val="10"/>
        <color theme="1"/>
        <rFont val="宋体"/>
        <charset val="134"/>
      </rPr>
      <t>法术塑形</t>
    </r>
  </si>
  <si>
    <r>
      <rPr>
        <sz val="10"/>
        <color theme="1"/>
        <rFont val="宋体"/>
        <charset val="134"/>
      </rPr>
      <t>你的塑能学派法术作用范围里可以保留一小部分相对安全的区域。当你施展一个会影响你可见的其他生物的塑能学派法术时，你能从中指定数量等同于</t>
    </r>
    <r>
      <rPr>
        <sz val="10"/>
        <color theme="1"/>
        <rFont val="Times New Roman"/>
        <charset val="134"/>
      </rPr>
      <t>1+</t>
    </r>
    <r>
      <rPr>
        <sz val="10"/>
        <color theme="1"/>
        <rFont val="宋体"/>
        <charset val="134"/>
      </rPr>
      <t>该法术环阶的生物。被指定的生物进行对抗该法术的豁免时将直接成功，且如果法术在豁免成功后仍然造成一半的伤害，这些生物不会承受任何伤害。</t>
    </r>
  </si>
  <si>
    <r>
      <rPr>
        <sz val="10"/>
        <color theme="1"/>
        <rFont val="宋体"/>
        <charset val="134"/>
      </rPr>
      <t>装甲型号</t>
    </r>
  </si>
  <si>
    <r>
      <rPr>
        <sz val="10"/>
        <color theme="1"/>
        <rFont val="宋体"/>
        <charset val="134"/>
      </rPr>
      <t>你可以定制你的奥能装甲。当你这么做的时候，从下述装甲型号中选择一项：无畏者，守护者或渗透者。你所选择的型号会在你穿戴它期间给予你特别的增益。</t>
    </r>
    <r>
      <rPr>
        <sz val="10"/>
        <color theme="1"/>
        <rFont val="Times New Roman"/>
        <charset val="134"/>
      </rPr>
      <t xml:space="preserve">
</t>
    </r>
    <r>
      <rPr>
        <sz val="10"/>
        <color theme="1"/>
        <rFont val="宋体"/>
        <charset val="134"/>
      </rPr>
      <t>每一种型号都提供特别的武器。当你使用那件武器发动攻击时，你可以加入你的智力调整值，而不是力量或敏捷调整值，在攻击和伤害检定中。</t>
    </r>
    <r>
      <rPr>
        <sz val="10"/>
        <color theme="1"/>
        <rFont val="Times New Roman"/>
        <charset val="134"/>
      </rPr>
      <t xml:space="preserve">
</t>
    </r>
    <r>
      <rPr>
        <sz val="10"/>
        <color theme="1"/>
        <rFont val="宋体"/>
        <charset val="134"/>
      </rPr>
      <t>每当你持有铁匠工具完成一次短休或长休，你可以改变奥能装甲的型号。</t>
    </r>
  </si>
  <si>
    <t>血肉织者</t>
  </si>
  <si>
    <r>
      <rPr>
        <sz val="10"/>
        <color theme="1"/>
        <rFont val="宋体"/>
        <charset val="134"/>
      </rPr>
      <t>你使用可变形态时，可以额外消耗一枚灵能骰以在特性激活期间获得下列增益：</t>
    </r>
    <r>
      <rPr>
        <sz val="10"/>
        <color theme="1"/>
        <rFont val="Times New Roman"/>
        <charset val="134"/>
      </rPr>
      <t xml:space="preserve"> 
</t>
    </r>
    <r>
      <rPr>
        <sz val="10"/>
        <color theme="1"/>
        <rFont val="宋体"/>
        <charset val="134"/>
      </rPr>
      <t>生体守御</t>
    </r>
    <r>
      <rPr>
        <sz val="10"/>
        <color theme="1"/>
        <rFont val="Times New Roman"/>
        <charset val="134"/>
      </rPr>
      <t>Organic Defense</t>
    </r>
    <r>
      <rPr>
        <sz val="10"/>
        <color theme="1"/>
        <rFont val="宋体"/>
        <charset val="134"/>
      </rPr>
      <t>。</t>
    </r>
    <r>
      <rPr>
        <sz val="10"/>
        <color theme="1"/>
        <rFont val="Times New Roman"/>
        <charset val="134"/>
      </rPr>
      <t xml:space="preserve"> </t>
    </r>
    <r>
      <rPr>
        <sz val="10"/>
        <color theme="1"/>
        <rFont val="宋体"/>
        <charset val="134"/>
      </rPr>
      <t>你的</t>
    </r>
    <r>
      <rPr>
        <sz val="10"/>
        <color theme="1"/>
        <rFont val="Times New Roman"/>
        <charset val="134"/>
      </rPr>
      <t>AC</t>
    </r>
    <r>
      <rPr>
        <sz val="10"/>
        <color theme="1"/>
        <rFont val="宋体"/>
        <charset val="134"/>
      </rPr>
      <t>获得</t>
    </r>
    <r>
      <rPr>
        <sz val="10"/>
        <color theme="1"/>
        <rFont val="Times New Roman"/>
        <charset val="134"/>
      </rPr>
      <t>+2</t>
    </r>
    <r>
      <rPr>
        <sz val="10"/>
        <color theme="1"/>
        <rFont val="宋体"/>
        <charset val="134"/>
      </rPr>
      <t>加值。</t>
    </r>
    <r>
      <rPr>
        <sz val="10"/>
        <color theme="1"/>
        <rFont val="Times New Roman"/>
        <charset val="134"/>
      </rPr>
      <t xml:space="preserve"> 
</t>
    </r>
    <r>
      <rPr>
        <sz val="10"/>
        <color theme="1"/>
        <rFont val="宋体"/>
        <charset val="134"/>
      </rPr>
      <t>强效疗愈</t>
    </r>
    <r>
      <rPr>
        <sz val="10"/>
        <color theme="1"/>
        <rFont val="Times New Roman"/>
        <charset val="134"/>
      </rPr>
      <t>Empowered Healing</t>
    </r>
    <r>
      <rPr>
        <sz val="10"/>
        <color theme="1"/>
        <rFont val="宋体"/>
        <charset val="134"/>
      </rPr>
      <t>。</t>
    </r>
    <r>
      <rPr>
        <sz val="10"/>
        <color theme="1"/>
        <rFont val="Times New Roman"/>
        <charset val="134"/>
      </rPr>
      <t xml:space="preserve"> </t>
    </r>
    <r>
      <rPr>
        <sz val="10"/>
        <color theme="1"/>
        <rFont val="宋体"/>
        <charset val="134"/>
      </rPr>
      <t>你用法术位施展一道为一名或更多名生物恢复生命值的法术时，可以消耗并投掷一枚灵能骰，将其骰值加入所恢复生命值的总量中。</t>
    </r>
    <r>
      <rPr>
        <sz val="10"/>
        <color theme="1"/>
        <rFont val="Times New Roman"/>
        <charset val="134"/>
      </rPr>
      <t xml:space="preserve"> </t>
    </r>
  </si>
  <si>
    <r>
      <rPr>
        <sz val="10"/>
        <color theme="1"/>
        <rFont val="宋体"/>
        <charset val="134"/>
      </rPr>
      <t>破晓血仪</t>
    </r>
  </si>
  <si>
    <r>
      <rPr>
        <sz val="10"/>
        <color theme="1"/>
        <rFont val="宋体"/>
        <charset val="134"/>
      </rPr>
      <t>当你加入此战团时，作为猩红仪式之一，你学会破晓血仪。此血仪激活期时，你的血仪伤害为光耀伤害。额外地，你得到以下增益：
你的武器发出半径</t>
    </r>
    <r>
      <rPr>
        <sz val="10"/>
        <color theme="1"/>
        <rFont val="Times New Roman"/>
        <charset val="134"/>
      </rPr>
      <t xml:space="preserve"> 20 </t>
    </r>
    <r>
      <rPr>
        <sz val="10"/>
        <color theme="1"/>
        <rFont val="宋体"/>
        <charset val="134"/>
      </rPr>
      <t>尺的明亮光照。
你获得暗蚀伤害的抗性。
你的武器命中一个亡灵时，你额外造成一个鲜血秘法骰的血仪伤害。</t>
    </r>
  </si>
  <si>
    <r>
      <rPr>
        <sz val="10"/>
        <color theme="1"/>
        <rFont val="宋体"/>
        <charset val="134"/>
      </rPr>
      <t>腐蚀性化合物</t>
    </r>
  </si>
  <si>
    <r>
      <rPr>
        <sz val="10"/>
        <color theme="1"/>
        <rFont val="宋体"/>
        <charset val="134"/>
      </rPr>
      <t>先决：药剂师等级</t>
    </r>
    <r>
      <rPr>
        <sz val="10"/>
        <color theme="1"/>
        <rFont val="Times New Roman"/>
        <charset val="134"/>
      </rPr>
      <t xml:space="preserve">6+ 
</t>
    </r>
    <r>
      <rPr>
        <sz val="10"/>
        <color theme="1"/>
        <rFont val="宋体"/>
        <charset val="134"/>
      </rPr>
      <t>当你通过施展一个药剂师法术造成毒素伤害时，你可以选择使该法术造成伤害的一半为毒素伤害，并使法术造成的另一边伤害替换为强酸伤害。</t>
    </r>
  </si>
  <si>
    <t>特工训练</t>
  </si>
  <si>
    <t>你的隐蔽训练赋予你以下增益：
隐蔽射击Concealed Shot。你习得戏法隐蔽射击Concealed Shot 。你此戏法的施法属性为智力、感知或魅力（在选取该子职业时选择）。
特工工具Operative Tools。 你获得一套易容工具和一套盗贼工具，并获得其熟练。
技能熟练Skill Proficiencies。 你自以下技能中选择两项获得熟练：欺瞒、调查、游说、巧手或隐匿。</t>
  </si>
  <si>
    <t>高阶禁令</t>
  </si>
  <si>
    <t>你的缄印造成的伤害无视目标具有的任何抗性。
此外，若你没有剩余的缄印，你能够以附赠动作重获一枚缄印。一旦你以此法重获缄印，直至完成长休你都无法再如此做。</t>
  </si>
  <si>
    <t>恶劣态度</t>
  </si>
  <si>
    <r>
      <rPr>
        <sz val="10"/>
        <color theme="1"/>
        <rFont val="宋体"/>
        <charset val="134"/>
      </rPr>
      <t>若你还未获得威吓技能的熟练，你获得之。此外，你使用威吓技能的属性检定获得等于你力量调整值的加值（至少</t>
    </r>
    <r>
      <rPr>
        <sz val="10"/>
        <color theme="1"/>
        <rFont val="Times New Roman"/>
        <charset val="134"/>
      </rPr>
      <t>+1</t>
    </r>
    <r>
      <rPr>
        <sz val="10"/>
        <color theme="1"/>
        <rFont val="宋体"/>
        <charset val="134"/>
      </rPr>
      <t>）。</t>
    </r>
  </si>
  <si>
    <r>
      <rPr>
        <sz val="10"/>
        <color theme="1"/>
        <rFont val="宋体"/>
        <charset val="134"/>
      </rPr>
      <t>锻造领域</t>
    </r>
  </si>
  <si>
    <r>
      <rPr>
        <sz val="10"/>
        <color theme="1"/>
        <rFont val="宋体"/>
        <charset val="134"/>
      </rPr>
      <t>神性之怒</t>
    </r>
  </si>
  <si>
    <r>
      <rPr>
        <sz val="10"/>
        <color theme="1"/>
        <rFont val="宋体"/>
        <charset val="134"/>
      </rPr>
      <t>你可以引导神性的怒火，将其注入打击之中。你的狂暴激活期间，你的每个回合中你首次以武器或徒手打击命中的生物将受到等于</t>
    </r>
    <r>
      <rPr>
        <sz val="10"/>
        <color theme="1"/>
        <rFont val="Times New Roman"/>
        <charset val="134"/>
      </rPr>
      <t>1d6+</t>
    </r>
    <r>
      <rPr>
        <sz val="10"/>
        <color theme="1"/>
        <rFont val="宋体"/>
        <charset val="134"/>
      </rPr>
      <t>你野蛮人等级的一半（向下取整）的额外伤害。额外伤害的伤害类型为光耀或暗蚀，在每次造成伤害时由你选择伤害类型。</t>
    </r>
    <r>
      <rPr>
        <sz val="10"/>
        <color theme="1"/>
        <rFont val="Times New Roman"/>
        <charset val="134"/>
      </rPr>
      <t xml:space="preserve"> </t>
    </r>
  </si>
  <si>
    <r>
      <rPr>
        <sz val="10"/>
        <color theme="1"/>
        <rFont val="宋体"/>
        <charset val="134"/>
      </rPr>
      <t>战斗魔法</t>
    </r>
  </si>
  <si>
    <r>
      <rPr>
        <sz val="10"/>
        <color theme="1"/>
        <rFont val="宋体"/>
        <charset val="134"/>
      </rPr>
      <t>在你施展一道施法时间为一动作的法术后，你能够以一个附赠动作，使用一把武器发动一次攻击。</t>
    </r>
  </si>
  <si>
    <r>
      <rPr>
        <sz val="10"/>
        <color theme="1"/>
        <rFont val="宋体"/>
        <charset val="134"/>
      </rPr>
      <t>精通分身</t>
    </r>
  </si>
  <si>
    <r>
      <rPr>
        <sz val="10"/>
        <color theme="1"/>
        <rFont val="宋体"/>
        <charset val="134"/>
      </rPr>
      <t>你召现分身特性所创造的幻象在以下方面变得更加强力。
共享干扰</t>
    </r>
    <r>
      <rPr>
        <sz val="10"/>
        <color theme="1"/>
        <rFont val="Times New Roman"/>
        <charset val="134"/>
      </rPr>
      <t>Shared Distraction</t>
    </r>
    <r>
      <rPr>
        <sz val="10"/>
        <color theme="1"/>
        <rFont val="宋体"/>
        <charset val="134"/>
      </rPr>
      <t>。当你和你的盟友对位于幻象</t>
    </r>
    <r>
      <rPr>
        <sz val="10"/>
        <color theme="1"/>
        <rFont val="Times New Roman"/>
        <charset val="134"/>
      </rPr>
      <t>5</t>
    </r>
    <r>
      <rPr>
        <sz val="10"/>
        <color theme="1"/>
        <rFont val="宋体"/>
        <charset val="134"/>
      </rPr>
      <t>尺内的生物进行攻击检定时具有优势。
治愈幻象</t>
    </r>
    <r>
      <rPr>
        <sz val="10"/>
        <color theme="1"/>
        <rFont val="Times New Roman"/>
        <charset val="134"/>
      </rPr>
      <t>Healing Illusion</t>
    </r>
    <r>
      <rPr>
        <sz val="10"/>
        <color theme="1"/>
        <rFont val="宋体"/>
        <charset val="134"/>
      </rPr>
      <t>。当幻象消失时，你或你选择的</t>
    </r>
    <r>
      <rPr>
        <sz val="10"/>
        <color theme="1"/>
        <rFont val="Times New Roman"/>
        <charset val="134"/>
      </rPr>
      <t>5</t>
    </r>
    <r>
      <rPr>
        <sz val="10"/>
        <color theme="1"/>
        <rFont val="宋体"/>
        <charset val="134"/>
      </rPr>
      <t>尺内的一名生物恢复等同于你牧师等级的生命值。</t>
    </r>
    <r>
      <rPr>
        <sz val="10"/>
        <color theme="1"/>
        <rFont val="Times New Roman"/>
        <charset val="134"/>
      </rPr>
      <t xml:space="preserve"> </t>
    </r>
  </si>
  <si>
    <r>
      <rPr>
        <sz val="10"/>
        <color theme="1"/>
        <rFont val="宋体"/>
        <charset val="134"/>
      </rPr>
      <t>海洋结社法术</t>
    </r>
  </si>
  <si>
    <r>
      <rPr>
        <sz val="10"/>
        <color theme="1"/>
        <rFont val="宋体"/>
        <charset val="134"/>
      </rPr>
      <t>当你到达海洋结社法术表中特定的德鲁伊等级时，你就始终准备了表中对应的法术。
海洋结社法术</t>
    </r>
    <r>
      <rPr>
        <sz val="10"/>
        <color theme="1"/>
        <rFont val="Times New Roman"/>
        <charset val="134"/>
      </rPr>
      <t xml:space="preserve">Circle Spells
</t>
    </r>
    <r>
      <rPr>
        <sz val="10"/>
        <color theme="1"/>
        <rFont val="宋体"/>
        <charset val="134"/>
      </rPr>
      <t>德鲁伊等级</t>
    </r>
    <r>
      <rPr>
        <sz val="10"/>
        <color theme="1"/>
        <rFont val="Times New Roman"/>
        <charset val="134"/>
      </rPr>
      <t xml:space="preserve"> </t>
    </r>
    <r>
      <rPr>
        <sz val="10"/>
        <color theme="1"/>
        <rFont val="宋体"/>
        <charset val="134"/>
      </rPr>
      <t xml:space="preserve">准备法术
</t>
    </r>
    <r>
      <rPr>
        <sz val="10"/>
        <color theme="1"/>
        <rFont val="Times New Roman"/>
        <charset val="134"/>
      </rPr>
      <t xml:space="preserve">3 </t>
    </r>
    <r>
      <rPr>
        <sz val="10"/>
        <color theme="1"/>
        <rFont val="宋体"/>
        <charset val="134"/>
      </rPr>
      <t>冷冻射线</t>
    </r>
    <r>
      <rPr>
        <sz val="10"/>
        <color theme="1"/>
        <rFont val="Times New Roman"/>
        <charset val="134"/>
      </rPr>
      <t>Ray of Frost</t>
    </r>
    <r>
      <rPr>
        <sz val="10"/>
        <color theme="1"/>
        <rFont val="宋体"/>
        <charset val="134"/>
      </rPr>
      <t>，云雾术</t>
    </r>
    <r>
      <rPr>
        <sz val="10"/>
        <color theme="1"/>
        <rFont val="Times New Roman"/>
        <charset val="134"/>
      </rPr>
      <t>Fog Cloud</t>
    </r>
    <r>
      <rPr>
        <sz val="10"/>
        <color theme="1"/>
        <rFont val="宋体"/>
        <charset val="134"/>
      </rPr>
      <t>，</t>
    </r>
    <r>
      <rPr>
        <sz val="10"/>
        <color theme="1"/>
        <rFont val="Times New Roman"/>
        <charset val="134"/>
      </rPr>
      <t xml:space="preserve"> </t>
    </r>
    <r>
      <rPr>
        <sz val="10"/>
        <color theme="1"/>
        <rFont val="宋体"/>
        <charset val="134"/>
      </rPr>
      <t>雷鸣波</t>
    </r>
    <r>
      <rPr>
        <sz val="10"/>
        <color theme="1"/>
        <rFont val="Times New Roman"/>
        <charset val="134"/>
      </rPr>
      <t>Thunderwave</t>
    </r>
    <r>
      <rPr>
        <sz val="10"/>
        <color theme="1"/>
        <rFont val="宋体"/>
        <charset val="134"/>
      </rPr>
      <t>，造风术</t>
    </r>
    <r>
      <rPr>
        <sz val="10"/>
        <color theme="1"/>
        <rFont val="Times New Roman"/>
        <charset val="134"/>
      </rPr>
      <t>Gust of Wind</t>
    </r>
    <r>
      <rPr>
        <sz val="10"/>
        <color theme="1"/>
        <rFont val="宋体"/>
        <charset val="134"/>
      </rPr>
      <t>，粉碎音波</t>
    </r>
    <r>
      <rPr>
        <sz val="10"/>
        <color theme="1"/>
        <rFont val="Times New Roman"/>
        <charset val="134"/>
      </rPr>
      <t xml:space="preserve">Shatter 
5 </t>
    </r>
    <r>
      <rPr>
        <sz val="10"/>
        <color theme="1"/>
        <rFont val="宋体"/>
        <charset val="134"/>
      </rPr>
      <t>闪电束</t>
    </r>
    <r>
      <rPr>
        <sz val="10"/>
        <color theme="1"/>
        <rFont val="Times New Roman"/>
        <charset val="134"/>
      </rPr>
      <t>Lightning Bolt</t>
    </r>
    <r>
      <rPr>
        <sz val="10"/>
        <color theme="1"/>
        <rFont val="宋体"/>
        <charset val="134"/>
      </rPr>
      <t>，水下呼吸</t>
    </r>
    <r>
      <rPr>
        <sz val="10"/>
        <color theme="1"/>
        <rFont val="Times New Roman"/>
        <charset val="134"/>
      </rPr>
      <t xml:space="preserve">Water Breathing 
7 </t>
    </r>
    <r>
      <rPr>
        <sz val="10"/>
        <color theme="1"/>
        <rFont val="宋体"/>
        <charset val="134"/>
      </rPr>
      <t>操控水体</t>
    </r>
    <r>
      <rPr>
        <sz val="10"/>
        <color theme="1"/>
        <rFont val="Times New Roman"/>
        <charset val="134"/>
      </rPr>
      <t>Control Water</t>
    </r>
    <r>
      <rPr>
        <sz val="10"/>
        <color theme="1"/>
        <rFont val="宋体"/>
        <charset val="134"/>
      </rPr>
      <t>，冰风暴</t>
    </r>
    <r>
      <rPr>
        <sz val="10"/>
        <color theme="1"/>
        <rFont val="Times New Roman"/>
        <charset val="134"/>
      </rPr>
      <t xml:space="preserve">Ice Storm 
9 </t>
    </r>
    <r>
      <rPr>
        <sz val="10"/>
        <color theme="1"/>
        <rFont val="宋体"/>
        <charset val="134"/>
      </rPr>
      <t>咒唤元素</t>
    </r>
    <r>
      <rPr>
        <sz val="10"/>
        <color theme="1"/>
        <rFont val="Times New Roman"/>
        <charset val="134"/>
      </rPr>
      <t>Conjure Elemental</t>
    </r>
    <r>
      <rPr>
        <sz val="10"/>
        <color theme="1"/>
        <rFont val="宋体"/>
        <charset val="134"/>
      </rPr>
      <t>，定身怪物</t>
    </r>
    <r>
      <rPr>
        <sz val="10"/>
        <color theme="1"/>
        <rFont val="Times New Roman"/>
        <charset val="134"/>
      </rPr>
      <t xml:space="preserve">Hold Monster </t>
    </r>
  </si>
  <si>
    <r>
      <rPr>
        <sz val="10"/>
        <color theme="1"/>
        <rFont val="宋体"/>
        <charset val="134"/>
      </rPr>
      <t>横扫攻击</t>
    </r>
  </si>
  <si>
    <r>
      <rPr>
        <sz val="10"/>
        <color theme="1"/>
        <rFont val="宋体"/>
        <charset val="134"/>
      </rPr>
      <t>你以武器或徒手打击发动的近战攻击检定命中一个生物时，可以消耗一枚卓越骰以尝试伤害另一个生物。指定一个处于你触及范围内并且距离初始目标不超过</t>
    </r>
    <r>
      <rPr>
        <sz val="10"/>
        <color theme="1"/>
        <rFont val="Times New Roman"/>
        <charset val="134"/>
      </rPr>
      <t>5</t>
    </r>
    <r>
      <rPr>
        <sz val="10"/>
        <color theme="1"/>
        <rFont val="宋体"/>
        <charset val="134"/>
      </rPr>
      <t>尺的生物，如果你原本的攻击检定足以命中第二个目标，则它将受到等同于你卓越骰结果的伤害。此伤害与你原本攻击的伤害类型相同。</t>
    </r>
  </si>
  <si>
    <r>
      <rPr>
        <sz val="10"/>
        <color theme="1"/>
        <rFont val="宋体"/>
        <charset val="134"/>
      </rPr>
      <t>掌控元素</t>
    </r>
  </si>
  <si>
    <r>
      <rPr>
        <sz val="10"/>
        <color theme="1"/>
        <rFont val="宋体"/>
        <charset val="134"/>
      </rPr>
      <t>你习得戏法四象法门</t>
    </r>
    <r>
      <rPr>
        <sz val="10"/>
        <color theme="1"/>
        <rFont val="Times New Roman"/>
        <charset val="134"/>
      </rPr>
      <t xml:space="preserve">Elementalism </t>
    </r>
    <r>
      <rPr>
        <sz val="10"/>
        <color theme="1"/>
        <rFont val="宋体"/>
        <charset val="134"/>
      </rPr>
      <t>，其施法属性为感知。</t>
    </r>
  </si>
  <si>
    <r>
      <rPr>
        <sz val="10"/>
        <color theme="1"/>
        <rFont val="宋体"/>
        <charset val="134"/>
      </rPr>
      <t>现世传说</t>
    </r>
  </si>
  <si>
    <r>
      <rPr>
        <sz val="10"/>
        <color theme="1"/>
        <rFont val="宋体"/>
        <charset val="134"/>
      </rPr>
      <t>你能够使自己有能力实现传奇的壮举</t>
    </r>
    <r>
      <rPr>
        <sz val="10"/>
        <color theme="1"/>
        <rFont val="Times New Roman"/>
        <charset val="134"/>
      </rPr>
      <t>——</t>
    </r>
    <r>
      <rPr>
        <sz val="10"/>
        <color theme="1"/>
        <rFont val="宋体"/>
        <charset val="134"/>
      </rPr>
      <t>无论是确有此事，抑或夸大其词。以一个附赠动作，你获得下列的增益。持续</t>
    </r>
    <r>
      <rPr>
        <sz val="10"/>
        <color theme="1"/>
        <rFont val="Times New Roman"/>
        <charset val="134"/>
      </rPr>
      <t>10</t>
    </r>
    <r>
      <rPr>
        <sz val="10"/>
        <color theme="1"/>
        <rFont val="宋体"/>
        <charset val="134"/>
      </rPr>
      <t>分钟或直到你将之提前结束（无需动作）。此特性一经使用，直至完成长休你都无法再次使用。你也可以消耗一个五环法术位（无需动作）重置该特性的使用权。
神眷天恩</t>
    </r>
    <r>
      <rPr>
        <sz val="10"/>
        <color theme="1"/>
        <rFont val="Times New Roman"/>
        <charset val="134"/>
      </rPr>
      <t>Charismatic</t>
    </r>
    <r>
      <rPr>
        <sz val="10"/>
        <color theme="1"/>
        <rFont val="宋体"/>
        <charset val="134"/>
      </rPr>
      <t>。一个异界存在赐福于你，你在与魅力相关的检定上获得优势。
重掷豁免</t>
    </r>
    <r>
      <rPr>
        <sz val="10"/>
        <color theme="1"/>
        <rFont val="Times New Roman"/>
        <charset val="134"/>
      </rPr>
      <t>Saving Throw Reroll</t>
    </r>
    <r>
      <rPr>
        <sz val="10"/>
        <color theme="1"/>
        <rFont val="宋体"/>
        <charset val="134"/>
      </rPr>
      <t>。当你进行一次豁免检定并失败时，你可以用反应重投之。你必须使用重投的结果。
无误打击</t>
    </r>
    <r>
      <rPr>
        <sz val="10"/>
        <color theme="1"/>
        <rFont val="Times New Roman"/>
        <charset val="134"/>
      </rPr>
      <t>Unerring Strike</t>
    </r>
    <r>
      <rPr>
        <sz val="10"/>
        <color theme="1"/>
        <rFont val="宋体"/>
        <charset val="134"/>
      </rPr>
      <t>。每自己回合一次，当你进行一次武器攻击但失手，你可以使其改为击中。</t>
    </r>
  </si>
  <si>
    <r>
      <rPr>
        <sz val="10"/>
        <color theme="1"/>
        <rFont val="宋体"/>
        <charset val="134"/>
      </rPr>
      <t>幽域追猎者魔法</t>
    </r>
  </si>
  <si>
    <r>
      <rPr>
        <sz val="10"/>
        <color theme="1"/>
        <rFont val="宋体"/>
        <charset val="134"/>
      </rPr>
      <t>当你到达幽域追猎者法术表中特定的游侠等级时，你就始终准备了表中对应的法术。
幽域追猎者法术</t>
    </r>
    <r>
      <rPr>
        <sz val="10"/>
        <color theme="1"/>
        <rFont val="Times New Roman"/>
        <charset val="134"/>
      </rPr>
      <t xml:space="preserve">Gloom Stalker Spells 
</t>
    </r>
    <r>
      <rPr>
        <sz val="10"/>
        <color theme="1"/>
        <rFont val="宋体"/>
        <charset val="134"/>
      </rPr>
      <t>游侠等级</t>
    </r>
    <r>
      <rPr>
        <sz val="10"/>
        <color theme="1"/>
        <rFont val="Times New Roman"/>
        <charset val="134"/>
      </rPr>
      <t xml:space="preserve"> </t>
    </r>
    <r>
      <rPr>
        <sz val="10"/>
        <color theme="1"/>
        <rFont val="宋体"/>
        <charset val="134"/>
      </rPr>
      <t xml:space="preserve">法术
</t>
    </r>
    <r>
      <rPr>
        <sz val="10"/>
        <color theme="1"/>
        <rFont val="Times New Roman"/>
        <charset val="134"/>
      </rPr>
      <t xml:space="preserve">3 </t>
    </r>
    <r>
      <rPr>
        <sz val="10"/>
        <color theme="1"/>
        <rFont val="宋体"/>
        <charset val="134"/>
      </rPr>
      <t>易容术</t>
    </r>
    <r>
      <rPr>
        <sz val="10"/>
        <color theme="1"/>
        <rFont val="Times New Roman"/>
        <charset val="134"/>
      </rPr>
      <t xml:space="preserve">Disguise Self 
5 </t>
    </r>
    <r>
      <rPr>
        <sz val="10"/>
        <color theme="1"/>
        <rFont val="宋体"/>
        <charset val="134"/>
      </rPr>
      <t>魔绳术</t>
    </r>
    <r>
      <rPr>
        <sz val="10"/>
        <color theme="1"/>
        <rFont val="Times New Roman"/>
        <charset val="134"/>
      </rPr>
      <t xml:space="preserve">Rope Trick 
9 </t>
    </r>
    <r>
      <rPr>
        <sz val="10"/>
        <color theme="1"/>
        <rFont val="宋体"/>
        <charset val="134"/>
      </rPr>
      <t>恐惧术</t>
    </r>
    <r>
      <rPr>
        <sz val="10"/>
        <color theme="1"/>
        <rFont val="Times New Roman"/>
        <charset val="134"/>
      </rPr>
      <t xml:space="preserve">Fear
13 </t>
    </r>
    <r>
      <rPr>
        <sz val="10"/>
        <color theme="1"/>
        <rFont val="宋体"/>
        <charset val="134"/>
      </rPr>
      <t>高等隐身术</t>
    </r>
    <r>
      <rPr>
        <sz val="10"/>
        <color theme="1"/>
        <rFont val="Times New Roman"/>
        <charset val="134"/>
      </rPr>
      <t xml:space="preserve">Greater Invisibility 
17 </t>
    </r>
    <r>
      <rPr>
        <sz val="10"/>
        <color theme="1"/>
        <rFont val="宋体"/>
        <charset val="134"/>
      </rPr>
      <t>伪装术</t>
    </r>
    <r>
      <rPr>
        <sz val="10"/>
        <color theme="1"/>
        <rFont val="Times New Roman"/>
        <charset val="134"/>
      </rPr>
      <t>Seeming</t>
    </r>
  </si>
  <si>
    <r>
      <rPr>
        <sz val="10"/>
        <color theme="1"/>
        <rFont val="宋体"/>
        <charset val="134"/>
      </rPr>
      <t>致命袭杀</t>
    </r>
  </si>
  <si>
    <r>
      <rPr>
        <sz val="10"/>
        <color theme="1"/>
        <rFont val="宋体"/>
        <charset val="134"/>
      </rPr>
      <t>当你在战斗的第一轮命中并偷袭了某一目标时，该目标必须成功通过一次体质豁免（</t>
    </r>
    <r>
      <rPr>
        <sz val="10"/>
        <color theme="1"/>
        <rFont val="Times New Roman"/>
        <charset val="134"/>
      </rPr>
      <t>DC8+</t>
    </r>
    <r>
      <rPr>
        <sz val="10"/>
        <color theme="1"/>
        <rFont val="宋体"/>
        <charset val="134"/>
      </rPr>
      <t>你的熟练加值</t>
    </r>
    <r>
      <rPr>
        <sz val="10"/>
        <color theme="1"/>
        <rFont val="Times New Roman"/>
        <charset val="134"/>
      </rPr>
      <t>+</t>
    </r>
    <r>
      <rPr>
        <sz val="10"/>
        <color theme="1"/>
        <rFont val="宋体"/>
        <charset val="134"/>
      </rPr>
      <t>你的敏捷调整值），否则本次攻击将对该目标造成双倍的伤害。</t>
    </r>
  </si>
  <si>
    <r>
      <rPr>
        <sz val="10"/>
        <color theme="1"/>
        <rFont val="宋体"/>
        <charset val="134"/>
      </rPr>
      <t>归复平衡</t>
    </r>
  </si>
  <si>
    <r>
      <rPr>
        <sz val="10"/>
        <color theme="1"/>
        <rFont val="宋体"/>
        <charset val="134"/>
      </rPr>
      <t>你与绝对秩序之位面的联系使你能重整混沌的时刻。当你</t>
    </r>
    <r>
      <rPr>
        <sz val="10"/>
        <color theme="1"/>
        <rFont val="Times New Roman"/>
        <charset val="134"/>
      </rPr>
      <t>60</t>
    </r>
    <r>
      <rPr>
        <sz val="10"/>
        <color theme="1"/>
        <rFont val="宋体"/>
        <charset val="134"/>
      </rPr>
      <t>尺内一个你可见的生物即将带着优势或是劣势进行一次检定时，你可以用反应使这次检定免受优势或劣势的影响。
你可以使用此能力的次数等同于你的魅力调整值（至少</t>
    </r>
    <r>
      <rPr>
        <sz val="10"/>
        <color theme="1"/>
        <rFont val="Times New Roman"/>
        <charset val="134"/>
      </rPr>
      <t>1</t>
    </r>
    <r>
      <rPr>
        <sz val="10"/>
        <color theme="1"/>
        <rFont val="宋体"/>
        <charset val="134"/>
      </rPr>
      <t>次）。当你完成一次长休时，你重获全部已消耗的使用次数。</t>
    </r>
  </si>
  <si>
    <r>
      <rPr>
        <sz val="10"/>
        <color theme="1"/>
        <rFont val="宋体"/>
        <charset val="134"/>
      </rPr>
      <t>魔契师子职</t>
    </r>
  </si>
  <si>
    <r>
      <rPr>
        <sz val="10"/>
        <color theme="1"/>
        <rFont val="宋体"/>
        <charset val="134"/>
      </rPr>
      <t>你选择获得一项魔契师子职：至高妖精宗主，天界宗主，邪魔宗主或旧日支配者宗主。子职的内容见后文。子职是一种特化，在特定的魔契师等级给予你对应的独特能力。此后你将获得你所选的子职所有能力</t>
    </r>
    <r>
      <rPr>
        <sz val="10"/>
        <color theme="1"/>
        <rFont val="Times New Roman"/>
        <charset val="134"/>
      </rPr>
      <t>——</t>
    </r>
    <r>
      <rPr>
        <sz val="10"/>
        <color theme="1"/>
        <rFont val="宋体"/>
        <charset val="134"/>
      </rPr>
      <t>只要其所需等级不超过你的魔契师等级。魔契师特性表列出了你从子职中获得新特性的魔契师等级。</t>
    </r>
  </si>
  <si>
    <r>
      <rPr>
        <sz val="10"/>
        <color theme="1"/>
        <rFont val="宋体"/>
        <charset val="134"/>
      </rPr>
      <t>强效塑能</t>
    </r>
  </si>
  <si>
    <r>
      <rPr>
        <sz val="10"/>
        <color theme="1"/>
        <rFont val="宋体"/>
        <charset val="134"/>
      </rPr>
      <t>当你施展一道法师法术列表里的塑能学派法术时，你能将你的智力</t>
    </r>
    <r>
      <rPr>
        <sz val="10"/>
        <color theme="1"/>
        <rFont val="Times New Roman"/>
        <charset val="134"/>
      </rPr>
      <t xml:space="preserve"> </t>
    </r>
    <r>
      <rPr>
        <sz val="10"/>
        <color theme="1"/>
        <rFont val="宋体"/>
        <charset val="134"/>
      </rPr>
      <t>调整值加入该法术的其中一次伤害掷骰中。</t>
    </r>
  </si>
  <si>
    <t>无畏者</t>
  </si>
  <si>
    <r>
      <rPr>
        <sz val="10"/>
        <color theme="1"/>
        <rFont val="宋体"/>
        <charset val="134"/>
      </rPr>
      <t>你将你的装甲设计为战斗中高大威武的破坏者。它具有以下特性：</t>
    </r>
    <r>
      <rPr>
        <sz val="10"/>
        <color theme="1"/>
        <rFont val="Times New Roman"/>
        <charset val="134"/>
      </rPr>
      <t xml:space="preserve"> 
</t>
    </r>
    <r>
      <rPr>
        <sz val="10"/>
        <color theme="1"/>
        <rFont val="宋体"/>
        <charset val="134"/>
      </rPr>
      <t>力场破坏器</t>
    </r>
    <r>
      <rPr>
        <sz val="10"/>
        <color theme="1"/>
        <rFont val="Times New Roman"/>
        <charset val="134"/>
      </rPr>
      <t>Force Demolisher</t>
    </r>
    <r>
      <rPr>
        <sz val="10"/>
        <color theme="1"/>
        <rFont val="宋体"/>
        <charset val="134"/>
      </rPr>
      <t>。你的护甲上伸出一个奥能破坏球或破坏锤组件。这种破坏器被视为一种具有触及词条的简易近战武器，且命中时造成</t>
    </r>
    <r>
      <rPr>
        <sz val="10"/>
        <color theme="1"/>
        <rFont val="Times New Roman"/>
        <charset val="134"/>
      </rPr>
      <t>1d10</t>
    </r>
    <r>
      <rPr>
        <sz val="10"/>
        <color theme="1"/>
        <rFont val="宋体"/>
        <charset val="134"/>
      </rPr>
      <t>力场伤害。当你使用破坏器命中一名体型比你小至少一级的生物时，你可以将该生物直线推离你至多</t>
    </r>
    <r>
      <rPr>
        <sz val="10"/>
        <color theme="1"/>
        <rFont val="Times New Roman"/>
        <charset val="134"/>
      </rPr>
      <t>10</t>
    </r>
    <r>
      <rPr>
        <sz val="10"/>
        <color theme="1"/>
        <rFont val="宋体"/>
        <charset val="134"/>
      </rPr>
      <t>尺，或向你拉近至多</t>
    </r>
    <r>
      <rPr>
        <sz val="10"/>
        <color theme="1"/>
        <rFont val="Times New Roman"/>
        <charset val="134"/>
      </rPr>
      <t>10</t>
    </r>
    <r>
      <rPr>
        <sz val="10"/>
        <color theme="1"/>
        <rFont val="宋体"/>
        <charset val="134"/>
      </rPr>
      <t>尺。</t>
    </r>
    <r>
      <rPr>
        <sz val="10"/>
        <color theme="1"/>
        <rFont val="Times New Roman"/>
        <charset val="134"/>
      </rPr>
      <t xml:space="preserve">
</t>
    </r>
    <r>
      <rPr>
        <sz val="10"/>
        <color theme="1"/>
        <rFont val="宋体"/>
        <charset val="134"/>
      </rPr>
      <t>伟岸身姿</t>
    </r>
    <r>
      <rPr>
        <sz val="10"/>
        <color theme="1"/>
        <rFont val="Times New Roman"/>
        <charset val="134"/>
      </rPr>
      <t>Giant Stature</t>
    </r>
    <r>
      <rPr>
        <sz val="10"/>
        <color theme="1"/>
        <rFont val="宋体"/>
        <charset val="134"/>
      </rPr>
      <t>。以一个附赠动作，你转变形态，并增大你的装甲，持续一分钟。持续时间内，你的触及提升</t>
    </r>
    <r>
      <rPr>
        <sz val="10"/>
        <color theme="1"/>
        <rFont val="Times New Roman"/>
        <charset val="134"/>
      </rPr>
      <t>5</t>
    </r>
    <r>
      <rPr>
        <sz val="10"/>
        <color theme="1"/>
        <rFont val="宋体"/>
        <charset val="134"/>
      </rPr>
      <t>尺，且如果你的体型小于大型，你将变为大型，你着装的任意物品随之变大。如果没有足够大的空间使你提升你的体型，则你的体型不会改变。你可以使用该附赠动作的次数等于你的智力调整值（最少为</t>
    </r>
    <r>
      <rPr>
        <sz val="10"/>
        <color theme="1"/>
        <rFont val="Times New Roman"/>
        <charset val="134"/>
      </rPr>
      <t>1</t>
    </r>
    <r>
      <rPr>
        <sz val="10"/>
        <color theme="1"/>
        <rFont val="宋体"/>
        <charset val="134"/>
      </rPr>
      <t>次）。当你完成长休时，你重获所有已消耗的次数。</t>
    </r>
  </si>
  <si>
    <t>进阶可变形态</t>
  </si>
  <si>
    <r>
      <rPr>
        <sz val="10"/>
        <color theme="1"/>
        <rFont val="宋体"/>
        <charset val="134"/>
      </rPr>
      <t>你使用可变形态时，其持续时间延长至</t>
    </r>
    <r>
      <rPr>
        <sz val="10"/>
        <color theme="1"/>
        <rFont val="Times New Roman"/>
        <charset val="134"/>
      </rPr>
      <t>10</t>
    </r>
    <r>
      <rPr>
        <sz val="10"/>
        <color theme="1"/>
        <rFont val="宋体"/>
        <charset val="134"/>
      </rPr>
      <t>分钟，且你获得由你选择的下述增益之一，其效应持续至可变形态终止。</t>
    </r>
    <r>
      <rPr>
        <sz val="10"/>
        <color theme="1"/>
        <rFont val="Times New Roman"/>
        <charset val="134"/>
      </rPr>
      <t xml:space="preserve"> 
</t>
    </r>
    <r>
      <rPr>
        <sz val="10"/>
        <color theme="1"/>
        <rFont val="宋体"/>
        <charset val="134"/>
      </rPr>
      <t>硬化表皮</t>
    </r>
    <r>
      <rPr>
        <sz val="10"/>
        <color theme="1"/>
        <rFont val="Times New Roman"/>
        <charset val="134"/>
      </rPr>
      <t>Stony Epidermis</t>
    </r>
    <r>
      <rPr>
        <sz val="10"/>
        <color theme="1"/>
        <rFont val="宋体"/>
        <charset val="134"/>
      </rPr>
      <t>。</t>
    </r>
    <r>
      <rPr>
        <sz val="10"/>
        <color theme="1"/>
        <rFont val="Times New Roman"/>
        <charset val="134"/>
      </rPr>
      <t xml:space="preserve"> </t>
    </r>
    <r>
      <rPr>
        <sz val="10"/>
        <color theme="1"/>
        <rFont val="宋体"/>
        <charset val="134"/>
      </rPr>
      <t>你在维持专注的体质豁免上具有优势。此外，选择下述伤害类型之一：强酸，钝击，寒冷，火焰，穿刺，毒素，挥砍或雷鸣。你获得对所选伤害类型的抗性。</t>
    </r>
    <r>
      <rPr>
        <sz val="10"/>
        <color theme="1"/>
        <rFont val="Times New Roman"/>
        <charset val="134"/>
      </rPr>
      <t xml:space="preserve"> 
</t>
    </r>
    <r>
      <rPr>
        <sz val="10"/>
        <color theme="1"/>
        <rFont val="宋体"/>
        <charset val="134"/>
      </rPr>
      <t>高等奔行</t>
    </r>
    <r>
      <rPr>
        <sz val="10"/>
        <color theme="1"/>
        <rFont val="Times New Roman"/>
        <charset val="134"/>
      </rPr>
      <t>Superior Stride</t>
    </r>
    <r>
      <rPr>
        <sz val="10"/>
        <color theme="1"/>
        <rFont val="宋体"/>
        <charset val="134"/>
      </rPr>
      <t>。</t>
    </r>
    <r>
      <rPr>
        <sz val="10"/>
        <color theme="1"/>
        <rFont val="Times New Roman"/>
        <charset val="134"/>
      </rPr>
      <t xml:space="preserve"> </t>
    </r>
    <r>
      <rPr>
        <sz val="10"/>
        <color theme="1"/>
        <rFont val="宋体"/>
        <charset val="134"/>
      </rPr>
      <t>你未着装护甲期间，可以用一个附赠动作进行疾走动作，且你获得等同于你速度的攀爬速度和游泳速度。</t>
    </r>
    <r>
      <rPr>
        <sz val="10"/>
        <color theme="1"/>
        <rFont val="Times New Roman"/>
        <charset val="134"/>
      </rPr>
      <t xml:space="preserve"> 
</t>
    </r>
    <r>
      <rPr>
        <sz val="10"/>
        <color theme="1"/>
        <rFont val="宋体"/>
        <charset val="134"/>
      </rPr>
      <t>非凡灵敏</t>
    </r>
    <r>
      <rPr>
        <sz val="10"/>
        <color theme="1"/>
        <rFont val="Times New Roman"/>
        <charset val="134"/>
      </rPr>
      <t>Unnatural Flexibility</t>
    </r>
    <r>
      <rPr>
        <sz val="10"/>
        <color theme="1"/>
        <rFont val="宋体"/>
        <charset val="134"/>
      </rPr>
      <t>。你的</t>
    </r>
    <r>
      <rPr>
        <sz val="10"/>
        <color theme="1"/>
        <rFont val="Times New Roman"/>
        <charset val="134"/>
      </rPr>
      <t>AC</t>
    </r>
    <r>
      <rPr>
        <sz val="10"/>
        <color theme="1"/>
        <rFont val="宋体"/>
        <charset val="134"/>
      </rPr>
      <t>获得</t>
    </r>
    <r>
      <rPr>
        <sz val="10"/>
        <color theme="1"/>
        <rFont val="Times New Roman"/>
        <charset val="134"/>
      </rPr>
      <t>+1</t>
    </r>
    <r>
      <rPr>
        <sz val="10"/>
        <color theme="1"/>
        <rFont val="宋体"/>
        <charset val="134"/>
      </rPr>
      <t>加值，且你和你着装与持有的装备变得柔软可塑。你可以穿越至窄为</t>
    </r>
    <r>
      <rPr>
        <sz val="10"/>
        <color theme="1"/>
        <rFont val="Times New Roman"/>
        <charset val="134"/>
      </rPr>
      <t>1</t>
    </r>
    <r>
      <rPr>
        <sz val="10"/>
        <color theme="1"/>
        <rFont val="宋体"/>
        <charset val="134"/>
      </rPr>
      <t>寸宽的缝隙，且你可以消耗</t>
    </r>
    <r>
      <rPr>
        <sz val="10"/>
        <color theme="1"/>
        <rFont val="Times New Roman"/>
        <charset val="134"/>
      </rPr>
      <t>5</t>
    </r>
    <r>
      <rPr>
        <sz val="10"/>
        <color theme="1"/>
        <rFont val="宋体"/>
        <charset val="134"/>
      </rPr>
      <t>尺移动力逃脱非魔法的束缚或结束你身上的受擒状态。</t>
    </r>
  </si>
  <si>
    <r>
      <rPr>
        <sz val="10"/>
        <color theme="1"/>
        <rFont val="宋体"/>
        <charset val="134"/>
      </rPr>
      <t>诅咒专家</t>
    </r>
  </si>
  <si>
    <r>
      <rPr>
        <sz val="10"/>
        <color theme="1"/>
        <rFont val="宋体"/>
        <charset val="134"/>
      </rPr>
      <t>你学会了如何掌握鲜血降咒。你额外得到一次鲜血降咒的使用次数。此外，你的血咒能够指定任何目标，无论其是否拥有血液。</t>
    </r>
  </si>
  <si>
    <r>
      <rPr>
        <sz val="10"/>
        <color theme="1"/>
        <rFont val="宋体"/>
        <charset val="134"/>
      </rPr>
      <t>危笃临界</t>
    </r>
  </si>
  <si>
    <r>
      <rPr>
        <sz val="10"/>
        <color theme="1"/>
        <rFont val="宋体"/>
        <charset val="134"/>
      </rPr>
      <t>先决：药剂师等级</t>
    </r>
    <r>
      <rPr>
        <sz val="10"/>
        <color theme="1"/>
        <rFont val="Times New Roman"/>
        <charset val="134"/>
      </rPr>
      <t xml:space="preserve">6+ 
</t>
    </r>
    <r>
      <rPr>
        <sz val="10"/>
        <color theme="1"/>
        <rFont val="宋体"/>
        <charset val="134"/>
      </rPr>
      <t>当一个生物在对抗你所施展的，一个造成伤害的药剂师法术所进行的豁免检定掷出</t>
    </r>
    <r>
      <rPr>
        <sz val="10"/>
        <color theme="1"/>
        <rFont val="Times New Roman"/>
        <charset val="134"/>
      </rPr>
      <t>1</t>
    </r>
    <r>
      <rPr>
        <sz val="10"/>
        <color theme="1"/>
        <rFont val="宋体"/>
        <charset val="134"/>
      </rPr>
      <t>时，将法术的所有伤害骰掷骰两次并相加在一起。然后如常添加任何相关加值，来决定该生物从此法术中受到的伤害。</t>
    </r>
  </si>
  <si>
    <t>抛下凶弹【战技】</t>
  </si>
  <si>
    <t>当你在你的回合内执行疾走、撤离或回避动作时，你可以消耗一枚风险骰以附赠动作使用武器发动一次远程攻击。命中时，将风险骰加入伤害掷骰中。</t>
  </si>
  <si>
    <t>炼狱威仪</t>
  </si>
  <si>
    <r>
      <rPr>
        <sz val="10"/>
        <color theme="1"/>
        <rFont val="宋体"/>
        <charset val="134"/>
      </rPr>
      <t>你的大魔鬼赋予你以它们力量武装的权限。以一个附赠动作，你可以引导九狱之力，获得以下增益，持续</t>
    </r>
    <r>
      <rPr>
        <sz val="10"/>
        <color theme="1"/>
        <rFont val="Times New Roman"/>
        <charset val="134"/>
      </rPr>
      <t>10</t>
    </r>
    <r>
      <rPr>
        <sz val="10"/>
        <color theme="1"/>
        <rFont val="宋体"/>
        <charset val="134"/>
      </rPr>
      <t>分钟：</t>
    </r>
    <r>
      <rPr>
        <sz val="10"/>
        <color theme="1"/>
        <rFont val="Times New Roman"/>
        <charset val="134"/>
      </rPr>
      <t xml:space="preserve"> 
</t>
    </r>
    <r>
      <rPr>
        <sz val="10"/>
        <color theme="1"/>
        <rFont val="宋体"/>
        <charset val="134"/>
      </rPr>
      <t>你具有对火焰、寒冷和暗蚀伤害的抗性。</t>
    </r>
    <r>
      <rPr>
        <sz val="10"/>
        <color theme="1"/>
        <rFont val="Times New Roman"/>
        <charset val="134"/>
      </rPr>
      <t xml:space="preserve"> 
</t>
    </r>
    <r>
      <rPr>
        <sz val="10"/>
        <color theme="1"/>
        <rFont val="宋体"/>
        <charset val="134"/>
      </rPr>
      <t>你的背上出现一对翅膀，赋予你</t>
    </r>
    <r>
      <rPr>
        <sz val="10"/>
        <color theme="1"/>
        <rFont val="Times New Roman"/>
        <charset val="134"/>
      </rPr>
      <t>60</t>
    </r>
    <r>
      <rPr>
        <sz val="10"/>
        <color theme="1"/>
        <rFont val="宋体"/>
        <charset val="134"/>
      </rPr>
      <t>尺飞行速度。</t>
    </r>
    <r>
      <rPr>
        <sz val="10"/>
        <color theme="1"/>
        <rFont val="Times New Roman"/>
        <charset val="134"/>
      </rPr>
      <t xml:space="preserve"> 
</t>
    </r>
    <r>
      <rPr>
        <sz val="10"/>
        <color theme="1"/>
        <rFont val="宋体"/>
        <charset val="134"/>
      </rPr>
      <t>当你使用血之代价时，你可以令一名位于你</t>
    </r>
    <r>
      <rPr>
        <sz val="10"/>
        <color theme="1"/>
        <rFont val="Times New Roman"/>
        <charset val="134"/>
      </rPr>
      <t>10</t>
    </r>
    <r>
      <rPr>
        <sz val="10"/>
        <color theme="1"/>
        <rFont val="宋体"/>
        <charset val="134"/>
      </rPr>
      <t>尺内你可见的敌人受到等于生命骰骰值的伤害。</t>
    </r>
    <r>
      <rPr>
        <sz val="10"/>
        <color theme="1"/>
        <rFont val="Times New Roman"/>
        <charset val="134"/>
      </rPr>
      <t xml:space="preserve"> </t>
    </r>
    <r>
      <rPr>
        <sz val="10"/>
        <color theme="1"/>
        <rFont val="宋体"/>
        <charset val="134"/>
      </rPr>
      <t>（译注：是的，没说伤害类型。）
当你的武器攻击命中时，你的骇怖伟力额外造成</t>
    </r>
    <r>
      <rPr>
        <sz val="10"/>
        <color theme="1"/>
        <rFont val="Times New Roman"/>
        <charset val="134"/>
      </rPr>
      <t>2d8</t>
    </r>
    <r>
      <rPr>
        <sz val="10"/>
        <color theme="1"/>
        <rFont val="宋体"/>
        <charset val="134"/>
      </rPr>
      <t>伤害，而非</t>
    </r>
    <r>
      <rPr>
        <sz val="10"/>
        <color theme="1"/>
        <rFont val="Times New Roman"/>
        <charset val="134"/>
      </rPr>
      <t>1d8</t>
    </r>
    <r>
      <rPr>
        <sz val="10"/>
        <color theme="1"/>
        <rFont val="宋体"/>
        <charset val="134"/>
      </rPr>
      <t>。
在持续时间内，若你死亡，你可以选择让你的身体在一阵火焰中消失，只留下你的装备。若如此做，你的身体将在</t>
    </r>
    <r>
      <rPr>
        <sz val="10"/>
        <color theme="1"/>
        <rFont val="Times New Roman"/>
        <charset val="134"/>
      </rPr>
      <t>1d6</t>
    </r>
    <r>
      <rPr>
        <sz val="10"/>
        <color theme="1"/>
        <rFont val="宋体"/>
        <charset val="134"/>
      </rPr>
      <t>日后在九狱的某处重新生成。身体重生后，你将复活并恢复全部生命值。
此特性一经使用，直至完成长休你都无法再次使用。</t>
    </r>
  </si>
  <si>
    <t>咸涩礼敬</t>
  </si>
  <si>
    <r>
      <rPr>
        <sz val="10"/>
        <color theme="1"/>
        <rFont val="宋体"/>
        <charset val="134"/>
      </rPr>
      <t>你对侮辱他人有着艺术般的技巧。你能以附赠动作挑衅一名</t>
    </r>
    <r>
      <rPr>
        <sz val="10"/>
        <color theme="1"/>
        <rFont val="Times New Roman"/>
        <charset val="134"/>
      </rPr>
      <t>60</t>
    </r>
    <r>
      <rPr>
        <sz val="10"/>
        <color theme="1"/>
        <rFont val="宋体"/>
        <charset val="134"/>
      </rPr>
      <t>尺内的能看见或听见你的生物。该生物必须成功通过一次感知豁免检定，否则受到等于掷一次你的拳斗骰加你的体质调整值的心灵伤害，且其对除你以外的生物进行的任意攻击检定具有劣势，持续至你的下个回合开始。
该豁免以及本子职其他特性的</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你的体质调整值</t>
    </r>
    <r>
      <rPr>
        <sz val="10"/>
        <color theme="1"/>
        <rFont val="Times New Roman"/>
        <charset val="134"/>
      </rPr>
      <t>+</t>
    </r>
    <r>
      <rPr>
        <sz val="10"/>
        <color theme="1"/>
        <rFont val="宋体"/>
        <charset val="134"/>
      </rPr>
      <t>熟练加值。</t>
    </r>
  </si>
  <si>
    <r>
      <rPr>
        <sz val="10"/>
        <color theme="1"/>
        <rFont val="宋体"/>
        <charset val="134"/>
      </rPr>
      <t>坟墓领域</t>
    </r>
  </si>
  <si>
    <r>
      <rPr>
        <sz val="10"/>
        <color theme="1"/>
        <rFont val="宋体"/>
        <charset val="134"/>
      </rPr>
      <t>神之勇者</t>
    </r>
  </si>
  <si>
    <r>
      <rPr>
        <sz val="10"/>
        <color theme="1"/>
        <rFont val="宋体"/>
        <charset val="134"/>
      </rPr>
      <t>某个神圣实体对你施以援手以确保你总能继续战斗。你获得一个有着</t>
    </r>
    <r>
      <rPr>
        <sz val="10"/>
        <color theme="1"/>
        <rFont val="Times New Roman"/>
        <charset val="134"/>
      </rPr>
      <t>4</t>
    </r>
    <r>
      <rPr>
        <sz val="10"/>
        <color theme="1"/>
        <rFont val="宋体"/>
        <charset val="134"/>
      </rPr>
      <t>枚</t>
    </r>
    <r>
      <rPr>
        <sz val="10"/>
        <color theme="1"/>
        <rFont val="Times New Roman"/>
        <charset val="134"/>
      </rPr>
      <t>d12</t>
    </r>
    <r>
      <rPr>
        <sz val="10"/>
        <color theme="1"/>
        <rFont val="宋体"/>
        <charset val="134"/>
      </rPr>
      <t>的治疗池，你可以用其中的骰子治愈自身。以一个附赠动作，你可以消耗治疗池中任意枚骰子来恢复你的生命值。投掷所有你消耗的骰子，将它们相加，即是你以此恢复的生命值。
当你完成一次长休时，你的治疗池重获所有已消耗的骰子。
治疗池中骰子的最大数量将会在你到达特定野蛮人等级时增加，分别为</t>
    </r>
    <r>
      <rPr>
        <sz val="10"/>
        <color theme="1"/>
        <rFont val="Times New Roman"/>
        <charset val="134"/>
      </rPr>
      <t>6</t>
    </r>
    <r>
      <rPr>
        <sz val="10"/>
        <color theme="1"/>
        <rFont val="宋体"/>
        <charset val="134"/>
      </rPr>
      <t>级时增加至</t>
    </r>
    <r>
      <rPr>
        <sz val="10"/>
        <color theme="1"/>
        <rFont val="Times New Roman"/>
        <charset val="134"/>
      </rPr>
      <t>5</t>
    </r>
    <r>
      <rPr>
        <sz val="10"/>
        <color theme="1"/>
        <rFont val="宋体"/>
        <charset val="134"/>
      </rPr>
      <t>枚，</t>
    </r>
    <r>
      <rPr>
        <sz val="10"/>
        <color theme="1"/>
        <rFont val="Times New Roman"/>
        <charset val="134"/>
      </rPr>
      <t>12</t>
    </r>
    <r>
      <rPr>
        <sz val="10"/>
        <color theme="1"/>
        <rFont val="宋体"/>
        <charset val="134"/>
      </rPr>
      <t>级时增加至</t>
    </r>
    <r>
      <rPr>
        <sz val="10"/>
        <color theme="1"/>
        <rFont val="Times New Roman"/>
        <charset val="134"/>
      </rPr>
      <t>6</t>
    </r>
    <r>
      <rPr>
        <sz val="10"/>
        <color theme="1"/>
        <rFont val="宋体"/>
        <charset val="134"/>
      </rPr>
      <t>枚，</t>
    </r>
    <r>
      <rPr>
        <sz val="10"/>
        <color theme="1"/>
        <rFont val="Times New Roman"/>
        <charset val="134"/>
      </rPr>
      <t>17</t>
    </r>
    <r>
      <rPr>
        <sz val="10"/>
        <color theme="1"/>
        <rFont val="宋体"/>
        <charset val="134"/>
      </rPr>
      <t>级时增加至</t>
    </r>
    <r>
      <rPr>
        <sz val="10"/>
        <color theme="1"/>
        <rFont val="Times New Roman"/>
        <charset val="134"/>
      </rPr>
      <t>7</t>
    </r>
    <r>
      <rPr>
        <sz val="10"/>
        <color theme="1"/>
        <rFont val="宋体"/>
        <charset val="134"/>
      </rPr>
      <t>枚。</t>
    </r>
    <r>
      <rPr>
        <sz val="10"/>
        <color theme="1"/>
        <rFont val="Times New Roman"/>
        <charset val="134"/>
      </rPr>
      <t xml:space="preserve"> </t>
    </r>
  </si>
  <si>
    <r>
      <rPr>
        <sz val="10"/>
        <color theme="1"/>
        <rFont val="宋体"/>
        <charset val="134"/>
      </rPr>
      <t>附赠熟练项</t>
    </r>
  </si>
  <si>
    <r>
      <rPr>
        <sz val="10"/>
        <color theme="1"/>
        <rFont val="宋体"/>
        <charset val="134"/>
      </rPr>
      <t>当你加入剑舞学院时，你得到中甲和弯刀的熟练项。
若你熟练于一把简易近战武器或者军用近战武器，你就可以将其作为你诗人法术的法器使用。</t>
    </r>
  </si>
  <si>
    <r>
      <rPr>
        <sz val="10"/>
        <color theme="1"/>
        <rFont val="宋体"/>
        <charset val="134"/>
      </rPr>
      <t>导引打击</t>
    </r>
  </si>
  <si>
    <r>
      <rPr>
        <sz val="10"/>
        <color theme="1"/>
        <rFont val="宋体"/>
        <charset val="134"/>
      </rPr>
      <t>当你或者距离你</t>
    </r>
    <r>
      <rPr>
        <sz val="10"/>
        <color theme="1"/>
        <rFont val="Times New Roman"/>
        <charset val="134"/>
      </rPr>
      <t>30</t>
    </r>
    <r>
      <rPr>
        <sz val="10"/>
        <color theme="1"/>
        <rFont val="宋体"/>
        <charset val="134"/>
      </rPr>
      <t>尺内的一个生物在一次攻击检定中失手时，你可以消耗一次引导神力次数来让这次攻击检定获得</t>
    </r>
    <r>
      <rPr>
        <sz val="10"/>
        <color theme="1"/>
        <rFont val="Times New Roman"/>
        <charset val="134"/>
      </rPr>
      <t>+10</t>
    </r>
    <r>
      <rPr>
        <sz val="10"/>
        <color theme="1"/>
        <rFont val="宋体"/>
        <charset val="134"/>
      </rPr>
      <t>加值，这可能导致该次攻击命中。当你使用此特性让另一个生物的攻击检定获得此增益时，你必须使用你的反应。</t>
    </r>
  </si>
  <si>
    <r>
      <rPr>
        <sz val="10"/>
        <color theme="1"/>
        <rFont val="宋体"/>
        <charset val="134"/>
      </rPr>
      <t>瀚海之怒</t>
    </r>
  </si>
  <si>
    <r>
      <rPr>
        <sz val="10"/>
        <color theme="1"/>
        <rFont val="宋体"/>
        <charset val="134"/>
      </rPr>
      <t>以一个附赠动作，你可以消耗一次你的荒野变形次数来在自己周围显现出海浪形态的</t>
    </r>
    <r>
      <rPr>
        <sz val="10"/>
        <color theme="1"/>
        <rFont val="Times New Roman"/>
        <charset val="134"/>
      </rPr>
      <t>5</t>
    </r>
    <r>
      <rPr>
        <sz val="10"/>
        <color theme="1"/>
        <rFont val="宋体"/>
        <charset val="134"/>
      </rPr>
      <t>尺光环。光环会持续存在</t>
    </r>
    <r>
      <rPr>
        <sz val="10"/>
        <color theme="1"/>
        <rFont val="Times New Roman"/>
        <charset val="134"/>
      </rPr>
      <t>10</t>
    </r>
    <r>
      <rPr>
        <sz val="10"/>
        <color theme="1"/>
        <rFont val="宋体"/>
        <charset val="134"/>
      </rPr>
      <t>分钟。当你解除它（无需任何动作）、再度显现光环或陷入失能时，它会提前结束。
当你显现出光环时，以及在之后的回合中以一个附赠动作，你可以选择另一个在你光环范围内你可见的生物。该生物必须成功通过一次对抗你的法术豁免</t>
    </r>
    <r>
      <rPr>
        <sz val="10"/>
        <color theme="1"/>
        <rFont val="Times New Roman"/>
        <charset val="134"/>
      </rPr>
      <t>DC</t>
    </r>
    <r>
      <rPr>
        <sz val="10"/>
        <color theme="1"/>
        <rFont val="宋体"/>
        <charset val="134"/>
      </rPr>
      <t>的体质豁免，否则受到寒冷伤害，如果该生物是大型或更小体型，它会被从你身边推离至多</t>
    </r>
    <r>
      <rPr>
        <sz val="10"/>
        <color theme="1"/>
        <rFont val="Times New Roman"/>
        <charset val="134"/>
      </rPr>
      <t>15</t>
    </r>
    <r>
      <rPr>
        <sz val="10"/>
        <color theme="1"/>
        <rFont val="宋体"/>
        <charset val="134"/>
      </rPr>
      <t>尺距离。投掷等于你感知调整值数量（最少</t>
    </r>
    <r>
      <rPr>
        <sz val="10"/>
        <color theme="1"/>
        <rFont val="Times New Roman"/>
        <charset val="134"/>
      </rPr>
      <t>1</t>
    </r>
    <r>
      <rPr>
        <sz val="10"/>
        <color theme="1"/>
        <rFont val="宋体"/>
        <charset val="134"/>
      </rPr>
      <t>颗）的</t>
    </r>
    <r>
      <rPr>
        <sz val="10"/>
        <color theme="1"/>
        <rFont val="Times New Roman"/>
        <charset val="134"/>
      </rPr>
      <t>d6</t>
    </r>
    <r>
      <rPr>
        <sz val="10"/>
        <color theme="1"/>
        <rFont val="宋体"/>
        <charset val="134"/>
      </rPr>
      <t>骰来决定伤害。</t>
    </r>
  </si>
  <si>
    <r>
      <rPr>
        <sz val="10"/>
        <color theme="1"/>
        <rFont val="宋体"/>
        <charset val="134"/>
      </rPr>
      <t>战术预估</t>
    </r>
  </si>
  <si>
    <r>
      <rPr>
        <sz val="10"/>
        <color theme="1"/>
        <rFont val="宋体"/>
        <charset val="134"/>
      </rPr>
      <t>当你进行一次智力（调查或历史）或感知（洞悉）检定时，你能够消耗一枚卓越骰，将消耗的卓越骰加入此次属性检定中。</t>
    </r>
  </si>
  <si>
    <r>
      <rPr>
        <sz val="10"/>
        <color theme="1"/>
        <rFont val="宋体"/>
        <charset val="134"/>
      </rPr>
      <t>元素爆破拳</t>
    </r>
  </si>
  <si>
    <r>
      <rPr>
        <sz val="10"/>
        <color theme="1"/>
        <rFont val="宋体"/>
        <charset val="134"/>
      </rPr>
      <t>以一个魔法</t>
    </r>
    <r>
      <rPr>
        <sz val="10"/>
        <color theme="1"/>
        <rFont val="Times New Roman"/>
        <charset val="134"/>
      </rPr>
      <t>Magic</t>
    </r>
    <r>
      <rPr>
        <sz val="10"/>
        <color theme="1"/>
        <rFont val="宋体"/>
        <charset val="134"/>
      </rPr>
      <t>动作，你可以消耗</t>
    </r>
    <r>
      <rPr>
        <sz val="10"/>
        <color theme="1"/>
        <rFont val="Times New Roman"/>
        <charset val="134"/>
      </rPr>
      <t>2</t>
    </r>
    <r>
      <rPr>
        <sz val="10"/>
        <color theme="1"/>
        <rFont val="宋体"/>
        <charset val="134"/>
      </rPr>
      <t>点功力，凝聚元素能量，在你周围</t>
    </r>
    <r>
      <rPr>
        <sz val="10"/>
        <color theme="1"/>
        <rFont val="Times New Roman"/>
        <charset val="134"/>
      </rPr>
      <t>120</t>
    </r>
    <r>
      <rPr>
        <sz val="10"/>
        <color theme="1"/>
        <rFont val="宋体"/>
        <charset val="134"/>
      </rPr>
      <t>尺内的一点产生一场半径</t>
    </r>
    <r>
      <rPr>
        <sz val="10"/>
        <color theme="1"/>
        <rFont val="Times New Roman"/>
        <charset val="134"/>
      </rPr>
      <t>20</t>
    </r>
    <r>
      <rPr>
        <sz val="10"/>
        <color theme="1"/>
        <rFont val="宋体"/>
        <charset val="134"/>
      </rPr>
      <t>尺球状区域的能量爆发。你选择一种伤害类型：强酸，寒冷，火焰，闪电或雷鸣。
球状区域内的每个生物必须成功通过进行一次敏捷豁免。若失败，该生物受到相当于你</t>
    </r>
    <r>
      <rPr>
        <sz val="10"/>
        <color theme="1"/>
        <rFont val="Times New Roman"/>
        <charset val="134"/>
      </rPr>
      <t>3</t>
    </r>
    <r>
      <rPr>
        <sz val="10"/>
        <color theme="1"/>
        <rFont val="宋体"/>
        <charset val="134"/>
      </rPr>
      <t>个武艺骰的伤害，其伤害类型为你之前所选择的类型。若成功，则受到一半伤害。</t>
    </r>
  </si>
  <si>
    <r>
      <rPr>
        <sz val="10"/>
        <color theme="1"/>
        <rFont val="宋体"/>
        <charset val="134"/>
      </rPr>
      <t>自然之怒</t>
    </r>
  </si>
  <si>
    <r>
      <rPr>
        <sz val="10"/>
        <color theme="1"/>
        <rFont val="宋体"/>
        <charset val="134"/>
      </rPr>
      <t>以一个魔法动作，你可以消耗一次引导神力次数，唤出灵体藤蔓缠绕周围的生物。你选择你能看到的位于你</t>
    </r>
    <r>
      <rPr>
        <sz val="10"/>
        <color theme="1"/>
        <rFont val="Times New Roman"/>
        <charset val="134"/>
      </rPr>
      <t>15</t>
    </r>
    <r>
      <rPr>
        <sz val="10"/>
        <color theme="1"/>
        <rFont val="宋体"/>
        <charset val="134"/>
      </rPr>
      <t>尺内的任意数量生物，令其必须通过一次力量豁免，失败陷入束缚状态</t>
    </r>
    <r>
      <rPr>
        <sz val="10"/>
        <color theme="1"/>
        <rFont val="Times New Roman"/>
        <charset val="134"/>
      </rPr>
      <t>1</t>
    </r>
    <r>
      <rPr>
        <sz val="10"/>
        <color theme="1"/>
        <rFont val="宋体"/>
        <charset val="134"/>
      </rPr>
      <t>分钟。被束缚的生物可以在其回合结束时重复豁免，成功则不再受到此效应影响。</t>
    </r>
  </si>
  <si>
    <r>
      <rPr>
        <sz val="10"/>
        <color theme="1"/>
        <rFont val="宋体"/>
        <charset val="134"/>
      </rPr>
      <t>阴影视野</t>
    </r>
  </si>
  <si>
    <r>
      <rPr>
        <sz val="10"/>
        <color theme="1"/>
        <rFont val="宋体"/>
        <charset val="134"/>
      </rPr>
      <t>你获得</t>
    </r>
    <r>
      <rPr>
        <sz val="10"/>
        <color theme="1"/>
        <rFont val="Times New Roman"/>
        <charset val="134"/>
      </rPr>
      <t>60</t>
    </r>
    <r>
      <rPr>
        <sz val="10"/>
        <color theme="1"/>
        <rFont val="宋体"/>
        <charset val="134"/>
      </rPr>
      <t>尺黑暗视觉。如果你获得本特性时已拥有了黑暗视觉，那个黑暗视觉的范围增加</t>
    </r>
    <r>
      <rPr>
        <sz val="10"/>
        <color theme="1"/>
        <rFont val="Times New Roman"/>
        <charset val="134"/>
      </rPr>
      <t>60</t>
    </r>
    <r>
      <rPr>
        <sz val="10"/>
        <color theme="1"/>
        <rFont val="宋体"/>
        <charset val="134"/>
      </rPr>
      <t>尺。
你还擅长避开依赖黑暗视觉的角色。完全身处黑暗期间，对于任何依靠黑暗视觉观察黑暗中的你的生物而言，你具有隐形状态。</t>
    </r>
  </si>
  <si>
    <r>
      <rPr>
        <sz val="10"/>
        <color theme="1"/>
        <rFont val="宋体"/>
        <charset val="134"/>
      </rPr>
      <t>你内心蕴含着一股灵能力量，这股能量表现为你拥有数枚灵能骰。你可以使用这些灵能骰来驱动你从这个子职中获得的特定心灵异能。下方的魂刃灵能骰列表展示了你在达到特定游荡者等级时会拥有多少颗灵能骰，该列表同样列出了骰子大小。
魂刃灵能骰</t>
    </r>
    <r>
      <rPr>
        <sz val="10"/>
        <color theme="1"/>
        <rFont val="Times New Roman"/>
        <charset val="134"/>
      </rPr>
      <t xml:space="preserve">Soulknife Energy Dice 
</t>
    </r>
    <r>
      <rPr>
        <sz val="10"/>
        <color theme="1"/>
        <rFont val="宋体"/>
        <charset val="134"/>
      </rPr>
      <t>游荡者等级</t>
    </r>
    <r>
      <rPr>
        <sz val="10"/>
        <color theme="1"/>
        <rFont val="Times New Roman"/>
        <charset val="134"/>
      </rPr>
      <t xml:space="preserve"> </t>
    </r>
    <r>
      <rPr>
        <sz val="10"/>
        <color theme="1"/>
        <rFont val="宋体"/>
        <charset val="134"/>
      </rPr>
      <t>骰面</t>
    </r>
    <r>
      <rPr>
        <sz val="10"/>
        <color theme="1"/>
        <rFont val="Times New Roman"/>
        <charset val="134"/>
      </rPr>
      <t xml:space="preserve"> </t>
    </r>
    <r>
      <rPr>
        <sz val="10"/>
        <color theme="1"/>
        <rFont val="宋体"/>
        <charset val="134"/>
      </rPr>
      <t xml:space="preserve">数量
</t>
    </r>
    <r>
      <rPr>
        <sz val="10"/>
        <color theme="1"/>
        <rFont val="Times New Roman"/>
        <charset val="134"/>
      </rPr>
      <t xml:space="preserve">3 D6 4
5 D8 6
9 D8 8
11 D10 8
13 D10 10
</t>
    </r>
    <r>
      <rPr>
        <sz val="10"/>
        <color theme="1"/>
        <rFont val="宋体"/>
        <charset val="134"/>
      </rPr>
      <t>此子职中所有需要使用灵能骰的特性只能使用你从该子职获得的灵能骰。你在使用某些能力时需要消耗灵能骰，如异能描述中所述，如果某个异能在你的灵能骰全部消耗完后还需要你使用一个灵能骰，你就不能使用该异能。
你可以在完成一次长休时重获所有已消耗的灵能骰。此外，你完成一次短休时也会重获一枚已消耗的灵能骰。
灵振诀窍</t>
    </r>
    <r>
      <rPr>
        <sz val="10"/>
        <color theme="1"/>
        <rFont val="Times New Roman"/>
        <charset val="134"/>
      </rPr>
      <t>Psi—Bolstered Knack</t>
    </r>
    <r>
      <rPr>
        <sz val="10"/>
        <color theme="1"/>
        <rFont val="宋体"/>
        <charset val="134"/>
      </rPr>
      <t>。如果你使用具有熟练项的技能或工具进行一次属性检定但失败，你可以投掷灵能骰，并将掷骰结果加到检定结果中，这可能会让失败的检定变为成功。你只在掷骰结果让检定变为成功时才会消耗那颗灵能骰。
心灵低语</t>
    </r>
    <r>
      <rPr>
        <sz val="10"/>
        <color theme="1"/>
        <rFont val="Times New Roman"/>
        <charset val="134"/>
      </rPr>
      <t>Psychic Whispers</t>
    </r>
    <r>
      <rPr>
        <sz val="10"/>
        <color theme="1"/>
        <rFont val="宋体"/>
        <charset val="134"/>
      </rPr>
      <t>。你能够利用灵能在自己和他人之间建立起基于心灵感应的交流。以一个魔法动作，从可见的生物中选择一到至多等同于你熟练加值数量的生物，掷一枚灵能骰。你在投掷结果数的小时内，你选择的生物能够通过心灵感应与你进行交流，你也能通过心灵感应与他们进行交流。你们在发送或接收信息时（无需动作），你和选择生物之间的距离不可超过一里。生物可以随时终止心灵感应的链接（无需动作）。
在每次长休后你可以免费使用一次这个异能。除此之外，每次使用它你都得消耗一枚灵能骰。</t>
    </r>
  </si>
  <si>
    <r>
      <rPr>
        <sz val="10"/>
        <color theme="1"/>
        <rFont val="宋体"/>
        <charset val="134"/>
      </rPr>
      <t>律令之壁</t>
    </r>
  </si>
  <si>
    <r>
      <rPr>
        <sz val="10"/>
        <color theme="1"/>
        <rFont val="宋体"/>
        <charset val="134"/>
      </rPr>
      <t>你可以利用世界的均衡之力为一个生物激发闪烁的秩序之盾。以一个魔法动作，你可以消耗</t>
    </r>
    <r>
      <rPr>
        <sz val="10"/>
        <color theme="1"/>
        <rFont val="Times New Roman"/>
        <charset val="134"/>
      </rPr>
      <t>1~5</t>
    </r>
    <r>
      <rPr>
        <sz val="10"/>
        <color theme="1"/>
        <rFont val="宋体"/>
        <charset val="134"/>
      </rPr>
      <t>点术法点来创造出一个环绕你或</t>
    </r>
    <r>
      <rPr>
        <sz val="10"/>
        <color theme="1"/>
        <rFont val="Times New Roman"/>
        <charset val="134"/>
      </rPr>
      <t>30</t>
    </r>
    <r>
      <rPr>
        <sz val="10"/>
        <color theme="1"/>
        <rFont val="宋体"/>
        <charset val="134"/>
      </rPr>
      <t>尺内的一个可见生物的魔法屏障。屏障具有等同于你所消耗术法点数量的</t>
    </r>
    <r>
      <rPr>
        <sz val="10"/>
        <color theme="1"/>
        <rFont val="Times New Roman"/>
        <charset val="134"/>
      </rPr>
      <t>d8</t>
    </r>
    <r>
      <rPr>
        <sz val="10"/>
        <color theme="1"/>
        <rFont val="宋体"/>
        <charset val="134"/>
      </rPr>
      <t>骰。当被守护的生物受到伤害时，其可以消耗任意数量的这些</t>
    </r>
    <r>
      <rPr>
        <sz val="10"/>
        <color theme="1"/>
        <rFont val="Times New Roman"/>
        <charset val="134"/>
      </rPr>
      <t>d8</t>
    </r>
    <r>
      <rPr>
        <sz val="10"/>
        <color theme="1"/>
        <rFont val="宋体"/>
        <charset val="134"/>
      </rPr>
      <t>骰，投掷它们，并使该伤害减少掷出结果合计的数值。
此屏障将一直保持存在，直到你完成一次长休或直至你再次使用该特性。</t>
    </r>
  </si>
  <si>
    <r>
      <rPr>
        <sz val="10"/>
        <color theme="1"/>
        <rFont val="宋体"/>
        <charset val="134"/>
      </rPr>
      <t>你获得属性值提升专长（见第五章）或其它你满足条件的专长。如魔契师特性</t>
    </r>
    <r>
      <rPr>
        <sz val="10"/>
        <color theme="1"/>
        <rFont val="Times New Roman"/>
        <charset val="134"/>
      </rPr>
      <t xml:space="preserve"> </t>
    </r>
    <r>
      <rPr>
        <sz val="10"/>
        <color theme="1"/>
        <rFont val="宋体"/>
        <charset val="134"/>
      </rPr>
      <t>表所示，你还会在第</t>
    </r>
    <r>
      <rPr>
        <sz val="10"/>
        <color theme="1"/>
        <rFont val="Times New Roman"/>
        <charset val="134"/>
      </rPr>
      <t>8</t>
    </r>
    <r>
      <rPr>
        <sz val="10"/>
        <color theme="1"/>
        <rFont val="宋体"/>
        <charset val="134"/>
      </rPr>
      <t>，第</t>
    </r>
    <r>
      <rPr>
        <sz val="10"/>
        <color theme="1"/>
        <rFont val="Times New Roman"/>
        <charset val="134"/>
      </rPr>
      <t>12</t>
    </r>
    <r>
      <rPr>
        <sz val="10"/>
        <color theme="1"/>
        <rFont val="宋体"/>
        <charset val="134"/>
      </rPr>
      <t>，第</t>
    </r>
    <r>
      <rPr>
        <sz val="10"/>
        <color theme="1"/>
        <rFont val="Times New Roman"/>
        <charset val="134"/>
      </rPr>
      <t>16</t>
    </r>
    <r>
      <rPr>
        <sz val="10"/>
        <color theme="1"/>
        <rFont val="宋体"/>
        <charset val="134"/>
      </rPr>
      <t>级时再次获得本特性。</t>
    </r>
  </si>
  <si>
    <r>
      <rPr>
        <sz val="10"/>
        <color theme="1"/>
        <rFont val="宋体"/>
        <charset val="134"/>
      </rPr>
      <t>超限导能</t>
    </r>
  </si>
  <si>
    <r>
      <rPr>
        <sz val="10"/>
        <color theme="1"/>
        <rFont val="宋体"/>
        <charset val="134"/>
      </rPr>
      <t>你能增强你法术的力量。当你用一个一至五环的法术位施展一个会造成伤害的法师法术时，你能在施展它的回合中令其造成的伤害取最大值。
你首次这么做时不会承受任何负面效应。但如果你在完成一次长休前再次使用该特性，则你会在施展法术后立即受到每环阶</t>
    </r>
    <r>
      <rPr>
        <sz val="10"/>
        <color theme="1"/>
        <rFont val="Times New Roman"/>
        <charset val="134"/>
      </rPr>
      <t>2d12</t>
    </r>
    <r>
      <rPr>
        <sz val="10"/>
        <color theme="1"/>
        <rFont val="宋体"/>
        <charset val="134"/>
      </rPr>
      <t>暗蚀伤害。该伤害无视任何抗性或免疫。
你在完成一次长休前每多使用此特性一次，每环阶造成的伤害就提升</t>
    </r>
    <r>
      <rPr>
        <sz val="10"/>
        <color theme="1"/>
        <rFont val="Times New Roman"/>
        <charset val="134"/>
      </rPr>
      <t>1d12</t>
    </r>
    <r>
      <rPr>
        <sz val="10"/>
        <color theme="1"/>
        <rFont val="宋体"/>
        <charset val="134"/>
      </rPr>
      <t>。</t>
    </r>
  </si>
  <si>
    <t>守护者</t>
  </si>
  <si>
    <r>
      <rPr>
        <sz val="10"/>
        <color theme="1"/>
        <rFont val="宋体"/>
        <charset val="134"/>
      </rPr>
      <t>你将你的装甲设计为湍流里的顽石。它具有以下特性：</t>
    </r>
    <r>
      <rPr>
        <sz val="10"/>
        <color theme="1"/>
        <rFont val="Times New Roman"/>
        <charset val="134"/>
      </rPr>
      <t xml:space="preserve">
</t>
    </r>
    <r>
      <rPr>
        <sz val="10"/>
        <color theme="1"/>
        <rFont val="宋体"/>
        <charset val="134"/>
      </rPr>
      <t>雷霆脉冲</t>
    </r>
    <r>
      <rPr>
        <sz val="10"/>
        <color theme="1"/>
        <rFont val="Times New Roman"/>
        <charset val="134"/>
      </rPr>
      <t>Thunder Pulse</t>
    </r>
    <r>
      <rPr>
        <sz val="10"/>
        <color theme="1"/>
        <rFont val="宋体"/>
        <charset val="134"/>
      </rPr>
      <t>。你可以利用护甲的打击释放震荡冲击波。这种脉冲被视为一种简易近战武器，且命中时造成</t>
    </r>
    <r>
      <rPr>
        <sz val="10"/>
        <color theme="1"/>
        <rFont val="Times New Roman"/>
        <charset val="134"/>
      </rPr>
      <t>1d8</t>
    </r>
    <r>
      <rPr>
        <sz val="10"/>
        <color theme="1"/>
        <rFont val="宋体"/>
        <charset val="134"/>
      </rPr>
      <t>雷鸣伤害。被脉冲命中的生物在对除你以外的目标进行攻击检定时具有劣势，持续至你的下个回合开始。</t>
    </r>
    <r>
      <rPr>
        <sz val="10"/>
        <color theme="1"/>
        <rFont val="Times New Roman"/>
        <charset val="134"/>
      </rPr>
      <t xml:space="preserve">
</t>
    </r>
    <r>
      <rPr>
        <sz val="10"/>
        <color theme="1"/>
        <rFont val="宋体"/>
        <charset val="134"/>
      </rPr>
      <t>防护场</t>
    </r>
    <r>
      <rPr>
        <sz val="10"/>
        <color theme="1"/>
        <rFont val="Times New Roman"/>
        <charset val="134"/>
      </rPr>
      <t>Defensive Field</t>
    </r>
    <r>
      <rPr>
        <sz val="10"/>
        <color theme="1"/>
        <rFont val="宋体"/>
        <charset val="134"/>
      </rPr>
      <t>。你处于浴血期间，你能以附赠动作获得等于你奇械师等级的临时生命值。你卸除这套装甲时失去这些临时生命值。</t>
    </r>
  </si>
  <si>
    <r>
      <rPr>
        <sz val="10"/>
        <color theme="1"/>
        <rFont val="宋体"/>
        <charset val="134"/>
      </rPr>
      <t>曲命武器</t>
    </r>
  </si>
  <si>
    <r>
      <rPr>
        <sz val="10"/>
        <color theme="1"/>
        <rFont val="宋体"/>
        <charset val="134"/>
      </rPr>
      <t>负能量在你的武器周身萦绕，而你本人则环绕着苏生灵能。你用生体武器的攻击命中一个目标时，投掷一枚灵能骰。那个目标额外受到等同于骰值的暗蚀伤害。这次投掷不会消耗那枚灵能骰。</t>
    </r>
    <r>
      <rPr>
        <sz val="10"/>
        <color theme="1"/>
        <rFont val="Times New Roman"/>
        <charset val="134"/>
      </rPr>
      <t xml:space="preserve"> 
</t>
    </r>
    <r>
      <rPr>
        <sz val="10"/>
        <color theme="1"/>
        <rFont val="宋体"/>
        <charset val="134"/>
      </rPr>
      <t>此外，你用生体武器命中一名生物时，作为代替，你可以消耗并投掷一枚灵能骰。目标额外受到等同于骰值的暗蚀伤害，同时位于以你为原点</t>
    </r>
    <r>
      <rPr>
        <sz val="10"/>
        <color theme="1"/>
        <rFont val="Times New Roman"/>
        <charset val="134"/>
      </rPr>
      <t>10</t>
    </r>
    <r>
      <rPr>
        <sz val="10"/>
        <color theme="1"/>
        <rFont val="宋体"/>
        <charset val="134"/>
      </rPr>
      <t>尺光环内每名你选择的生物恢复等同于骰值加上你智力调整值的生命值。此特性一经使用，直到你下个回合开始前不能再次使用。</t>
    </r>
  </si>
  <si>
    <r>
      <rPr>
        <sz val="10"/>
        <color theme="1"/>
        <rFont val="宋体"/>
        <charset val="134"/>
      </rPr>
      <t>以太步</t>
    </r>
  </si>
  <si>
    <r>
      <rPr>
        <sz val="10"/>
        <color theme="1"/>
        <rFont val="宋体"/>
        <charset val="134"/>
      </rPr>
      <t>在你的回合开始时，只要你未失能，你可以选择魔法性地步入位面之间的帷幕。你可以如同穿过困难地形一样穿过其他生物和物件，并且能够看见并影响以太位面的生物和物件。若你在自己的回合结束时仍处于物件内部，你受到</t>
    </r>
    <r>
      <rPr>
        <sz val="10"/>
        <color theme="1"/>
        <rFont val="Times New Roman"/>
        <charset val="134"/>
      </rPr>
      <t xml:space="preserve"> 1d10 </t>
    </r>
    <r>
      <rPr>
        <sz val="10"/>
        <color theme="1"/>
        <rFont val="宋体"/>
        <charset val="134"/>
      </rPr>
      <t>点力场伤害。
此特性持续时间等同你智力调整值的轮数（至少</t>
    </r>
    <r>
      <rPr>
        <sz val="10"/>
        <color theme="1"/>
        <rFont val="Times New Roman"/>
        <charset val="134"/>
      </rPr>
      <t xml:space="preserve"> 1 </t>
    </r>
    <r>
      <rPr>
        <sz val="10"/>
        <color theme="1"/>
        <rFont val="宋体"/>
        <charset val="134"/>
      </rPr>
      <t>轮）。若你在此特性结束时仍处于一个物件内，你立即被推至最近的、未被占据的、能容纳你的空间，并受到双倍于移动尺数的力场伤害。
你能够使用此特性一次。从第</t>
    </r>
    <r>
      <rPr>
        <sz val="10"/>
        <color theme="1"/>
        <rFont val="Times New Roman"/>
        <charset val="134"/>
      </rPr>
      <t xml:space="preserve"> 15 </t>
    </r>
    <r>
      <rPr>
        <sz val="10"/>
        <color theme="1"/>
        <rFont val="宋体"/>
        <charset val="134"/>
      </rPr>
      <t>级开始，你可以使用此特性两次。完成一次短休或长休后，你将重获所有消耗掉的次数。</t>
    </r>
  </si>
  <si>
    <r>
      <rPr>
        <sz val="10"/>
        <color theme="1"/>
        <rFont val="宋体"/>
        <charset val="134"/>
      </rPr>
      <t>医者谏言</t>
    </r>
  </si>
  <si>
    <r>
      <rPr>
        <sz val="10"/>
        <color theme="1"/>
        <rFont val="宋体"/>
        <charset val="134"/>
      </rPr>
      <t>先决：药剂师等级</t>
    </r>
    <r>
      <rPr>
        <sz val="10"/>
        <color theme="1"/>
        <rFont val="Times New Roman"/>
        <charset val="134"/>
      </rPr>
      <t xml:space="preserve">6+ 
</t>
    </r>
    <r>
      <rPr>
        <sz val="10"/>
        <color theme="1"/>
        <rFont val="宋体"/>
        <charset val="134"/>
      </rPr>
      <t>你可以随意施展法术短讯术</t>
    </r>
    <r>
      <rPr>
        <sz val="10"/>
        <color theme="1"/>
        <rFont val="Times New Roman"/>
        <charset val="134"/>
      </rPr>
      <t>Sending</t>
    </r>
    <r>
      <rPr>
        <sz val="10"/>
        <color theme="1"/>
        <rFont val="宋体"/>
        <charset val="134"/>
      </rPr>
      <t>。你必须完成一次长休才能使用该理论再次联络同一个生物。</t>
    </r>
  </si>
  <si>
    <t>战场记忆</t>
  </si>
  <si>
    <t>你的野战经验赋予你以下增益。
快速变装Quick Change。 以一个附赠动作，你可以使用易容工具制作一套戏服并穿戴之。
巧舌如簧Slick Talker。 每当你进行魅力（欺瞒）或魅力（游说）检定时，你可以将D20投出的9及以下的结果视为10。</t>
  </si>
  <si>
    <t>九狱之主</t>
  </si>
  <si>
    <r>
      <rPr>
        <sz val="10"/>
        <color theme="1"/>
        <rFont val="宋体"/>
        <charset val="134"/>
      </rPr>
      <t>你学会了如何撕开九狱的裂隙向敌人发泄你的狂怒。以一个动作，你以</t>
    </r>
    <r>
      <rPr>
        <sz val="10"/>
        <color theme="1"/>
        <rFont val="Times New Roman"/>
        <charset val="134"/>
      </rPr>
      <t>150</t>
    </r>
    <r>
      <rPr>
        <sz val="10"/>
        <color theme="1"/>
        <rFont val="宋体"/>
        <charset val="134"/>
      </rPr>
      <t>尺内你可见的一点为中心，召唤地狱风暴。风暴充斥以该点为中心半径</t>
    </r>
    <r>
      <rPr>
        <sz val="10"/>
        <color theme="1"/>
        <rFont val="Times New Roman"/>
        <charset val="134"/>
      </rPr>
      <t>50</t>
    </r>
    <r>
      <rPr>
        <sz val="10"/>
        <color theme="1"/>
        <rFont val="宋体"/>
        <charset val="134"/>
      </rPr>
      <t>尺球状区域，选择一种以下效应：
炼狱</t>
    </r>
    <r>
      <rPr>
        <sz val="10"/>
        <color theme="1"/>
        <rFont val="Times New Roman"/>
        <charset val="134"/>
      </rPr>
      <t>Inferno</t>
    </r>
    <r>
      <rPr>
        <sz val="10"/>
        <color theme="1"/>
        <rFont val="宋体"/>
        <charset val="134"/>
      </rPr>
      <t>。地狱火向众敌倾泻而下。区域内每名敌人必须进行一次敏捷豁免。豁免失败则该生物受到</t>
    </r>
    <r>
      <rPr>
        <sz val="10"/>
        <color theme="1"/>
        <rFont val="Times New Roman"/>
        <charset val="134"/>
      </rPr>
      <t>5d10</t>
    </r>
    <r>
      <rPr>
        <sz val="10"/>
        <color theme="1"/>
        <rFont val="宋体"/>
        <charset val="134"/>
      </rPr>
      <t>火焰伤害和</t>
    </r>
    <r>
      <rPr>
        <sz val="10"/>
        <color theme="1"/>
        <rFont val="Times New Roman"/>
        <charset val="134"/>
      </rPr>
      <t>5d10</t>
    </r>
    <r>
      <rPr>
        <sz val="10"/>
        <color theme="1"/>
        <rFont val="宋体"/>
        <charset val="134"/>
      </rPr>
      <t>暗蚀伤害并被点燃，持续一分钟。豁免成功则受到的伤害减半并不会被点燃。因此被点燃的生物在其每个回合结束时，重新进行该豁免，失败则受到</t>
    </r>
    <r>
      <rPr>
        <sz val="10"/>
        <color theme="1"/>
        <rFont val="Times New Roman"/>
        <charset val="134"/>
      </rPr>
      <t>1d10</t>
    </r>
    <r>
      <rPr>
        <sz val="10"/>
        <color theme="1"/>
        <rFont val="宋体"/>
        <charset val="134"/>
      </rPr>
      <t>火焰伤害和</t>
    </r>
    <r>
      <rPr>
        <sz val="10"/>
        <color theme="1"/>
        <rFont val="Times New Roman"/>
        <charset val="134"/>
      </rPr>
      <t>1d10</t>
    </r>
    <r>
      <rPr>
        <sz val="10"/>
        <color theme="1"/>
        <rFont val="宋体"/>
        <charset val="134"/>
      </rPr>
      <t>暗蚀伤害。豁免成功则其身上的该效应提前结束。地狱火无法被非魔法手段扑灭。
瘟疫</t>
    </r>
    <r>
      <rPr>
        <sz val="10"/>
        <color theme="1"/>
        <rFont val="Times New Roman"/>
        <charset val="134"/>
      </rPr>
      <t>Pestilence</t>
    </r>
    <r>
      <rPr>
        <sz val="10"/>
        <color theme="1"/>
        <rFont val="宋体"/>
        <charset val="134"/>
      </rPr>
      <t>。恶臭的瘴气环绕众敌。区域内每名敌人必须进行一次体质豁免。豁免失败则该生物受到</t>
    </r>
    <r>
      <rPr>
        <sz val="10"/>
        <color theme="1"/>
        <rFont val="Times New Roman"/>
        <charset val="134"/>
      </rPr>
      <t>5d10</t>
    </r>
    <r>
      <rPr>
        <sz val="10"/>
        <color theme="1"/>
        <rFont val="宋体"/>
        <charset val="134"/>
      </rPr>
      <t>毒素伤害和</t>
    </r>
    <r>
      <rPr>
        <sz val="10"/>
        <color theme="1"/>
        <rFont val="Times New Roman"/>
        <charset val="134"/>
      </rPr>
      <t>5d10</t>
    </r>
    <r>
      <rPr>
        <sz val="10"/>
        <color theme="1"/>
        <rFont val="宋体"/>
        <charset val="134"/>
      </rPr>
      <t>暗蚀伤害并陷入中毒，持续一分钟。豁免成功则受到的伤害减半并不会陷入中毒。
深暗</t>
    </r>
    <r>
      <rPr>
        <sz val="10"/>
        <color theme="1"/>
        <rFont val="Times New Roman"/>
        <charset val="134"/>
      </rPr>
      <t>Darkness</t>
    </r>
    <r>
      <rPr>
        <sz val="10"/>
        <color theme="1"/>
        <rFont val="宋体"/>
        <charset val="134"/>
      </rPr>
      <t>。残酷的风暴袭击众敌。区域内每名敌人必须进行一次体质豁免。豁免失败则受到</t>
    </r>
    <r>
      <rPr>
        <sz val="10"/>
        <color theme="1"/>
        <rFont val="Times New Roman"/>
        <charset val="134"/>
      </rPr>
      <t>1d10</t>
    </r>
    <r>
      <rPr>
        <sz val="10"/>
        <color theme="1"/>
        <rFont val="宋体"/>
        <charset val="134"/>
      </rPr>
      <t>寒冷伤害，成功则伤害减半。此外，深暗的风暴持续</t>
    </r>
    <r>
      <rPr>
        <sz val="10"/>
        <color theme="1"/>
        <rFont val="Times New Roman"/>
        <charset val="134"/>
      </rPr>
      <t>1</t>
    </r>
    <r>
      <rPr>
        <sz val="10"/>
        <color theme="1"/>
        <rFont val="宋体"/>
        <charset val="134"/>
      </rPr>
      <t>分钟，区域内的敌人在持续时间内陷入目盲，离开区域后，目盲提前结束。
一旦你召唤了地狱风暴，直至完成长休你都无法再次召唤。</t>
    </r>
  </si>
  <si>
    <t>腌臜诡技</t>
  </si>
  <si>
    <r>
      <rPr>
        <sz val="10"/>
        <color theme="1"/>
        <rFont val="宋体"/>
        <charset val="134"/>
      </rPr>
      <t>你有些诡技能让你即使身处逆境也能挽回局势。你能使用以下一种腌臜诡技。你每回合仅能使用一次腌臜诡技，且一旦你使用了某个腌臜诡技，直至完成短休或长休你都无法再次使用该诡技。
踩脚</t>
    </r>
    <r>
      <rPr>
        <sz val="10"/>
        <color theme="1"/>
        <rFont val="Times New Roman"/>
        <charset val="134"/>
      </rPr>
      <t>Heelstomper</t>
    </r>
    <r>
      <rPr>
        <sz val="10"/>
        <color theme="1"/>
        <rFont val="宋体"/>
        <charset val="134"/>
      </rPr>
      <t>。当你以徒手打击或拳斗武器对一名生物造成伤害时，该生物必须成功通过一次敏捷豁免，否则其速度降至</t>
    </r>
    <r>
      <rPr>
        <sz val="10"/>
        <color theme="1"/>
        <rFont val="Times New Roman"/>
        <charset val="134"/>
      </rPr>
      <t>0</t>
    </r>
    <r>
      <rPr>
        <sz val="10"/>
        <color theme="1"/>
        <rFont val="宋体"/>
        <charset val="134"/>
      </rPr>
      <t>，持续</t>
    </r>
    <r>
      <rPr>
        <sz val="10"/>
        <color theme="1"/>
        <rFont val="Times New Roman"/>
        <charset val="134"/>
      </rPr>
      <t>1</t>
    </r>
    <r>
      <rPr>
        <sz val="10"/>
        <color theme="1"/>
        <rFont val="宋体"/>
        <charset val="134"/>
      </rPr>
      <t>分钟。受影响的生物可以在其每个回合结束时重复豁免，成功则终止其身上的该效应。
偷桃</t>
    </r>
    <r>
      <rPr>
        <sz val="10"/>
        <color theme="1"/>
        <rFont val="Times New Roman"/>
        <charset val="134"/>
      </rPr>
      <t>Low Blow</t>
    </r>
    <r>
      <rPr>
        <sz val="10"/>
        <color theme="1"/>
        <rFont val="宋体"/>
        <charset val="134"/>
      </rPr>
      <t>。</t>
    </r>
    <r>
      <rPr>
        <sz val="10"/>
        <color theme="1"/>
        <rFont val="Times New Roman"/>
        <charset val="134"/>
      </rPr>
      <t xml:space="preserve"> </t>
    </r>
    <r>
      <rPr>
        <sz val="10"/>
        <color theme="1"/>
        <rFont val="宋体"/>
        <charset val="134"/>
      </rPr>
      <t>当你以徒手打击或拳斗武器对一名生物造成伤害时，你能猛击该生物的下体。若你如此做，该生物必须成功通过一次力量豁免，否则对该生物发动的攻击具有优势，持续至你的下个回合结束。
抛沙</t>
    </r>
    <r>
      <rPr>
        <sz val="10"/>
        <color theme="1"/>
        <rFont val="Times New Roman"/>
        <charset val="134"/>
      </rPr>
      <t>Pocket Sand</t>
    </r>
    <r>
      <rPr>
        <sz val="10"/>
        <color theme="1"/>
        <rFont val="宋体"/>
        <charset val="134"/>
      </rPr>
      <t>。</t>
    </r>
    <r>
      <rPr>
        <sz val="10"/>
        <color theme="1"/>
        <rFont val="Times New Roman"/>
        <charset val="134"/>
      </rPr>
      <t xml:space="preserve"> </t>
    </r>
    <r>
      <rPr>
        <sz val="10"/>
        <color theme="1"/>
        <rFont val="宋体"/>
        <charset val="134"/>
      </rPr>
      <t>你能以附赠动作对</t>
    </r>
    <r>
      <rPr>
        <sz val="10"/>
        <color theme="1"/>
        <rFont val="Times New Roman"/>
        <charset val="134"/>
      </rPr>
      <t>10</t>
    </r>
    <r>
      <rPr>
        <sz val="10"/>
        <color theme="1"/>
        <rFont val="宋体"/>
        <charset val="134"/>
      </rPr>
      <t>尺内的一名生物的眼睛抛出尘土。该生物必须成功通过一次体质豁免，否则其陷入目盲状态，持续至其下个回合结束。</t>
    </r>
  </si>
  <si>
    <r>
      <rPr>
        <sz val="10"/>
        <color theme="1"/>
        <rFont val="宋体"/>
        <charset val="134"/>
      </rPr>
      <t>秩序领域</t>
    </r>
  </si>
  <si>
    <r>
      <rPr>
        <sz val="10"/>
        <color theme="1"/>
        <rFont val="宋体"/>
        <charset val="134"/>
      </rPr>
      <t>专心炽志</t>
    </r>
  </si>
  <si>
    <r>
      <rPr>
        <sz val="10"/>
        <color theme="1"/>
        <rFont val="宋体"/>
        <charset val="134"/>
      </rPr>
      <t>每次狂暴期间仅一次，若你失败于某次豁免检定，你可以重骰这次检定并在检定中获得等于你的狂暴伤害加值的加值，你必须使用重骰后的结果。</t>
    </r>
    <r>
      <rPr>
        <sz val="10"/>
        <color theme="1"/>
        <rFont val="Times New Roman"/>
        <charset val="134"/>
      </rPr>
      <t xml:space="preserve"> </t>
    </r>
  </si>
  <si>
    <r>
      <rPr>
        <sz val="10"/>
        <color theme="1"/>
        <rFont val="宋体"/>
        <charset val="134"/>
      </rPr>
      <t>你可以选择一种战斗风格作为你的专精。选择下述战斗风格之一。即使你今后仍可有选择战斗风格的机会，你也不能多次选择同一种战斗风格。</t>
    </r>
    <r>
      <rPr>
        <sz val="10"/>
        <color theme="1"/>
        <rFont val="Times New Roman"/>
        <charset val="134"/>
      </rPr>
      <t xml:space="preserve">• </t>
    </r>
    <r>
      <rPr>
        <sz val="10"/>
        <color theme="1"/>
        <rFont val="宋体"/>
        <charset val="134"/>
      </rPr>
      <t>决斗：当你单手持一把近战武器，且不持用其他武器，你使用这把武器的武器伤害骰获得</t>
    </r>
    <r>
      <rPr>
        <sz val="10"/>
        <color theme="1"/>
        <rFont val="Times New Roman"/>
        <charset val="134"/>
      </rPr>
      <t>+2</t>
    </r>
    <r>
      <rPr>
        <sz val="10"/>
        <color theme="1"/>
        <rFont val="宋体"/>
        <charset val="134"/>
      </rPr>
      <t xml:space="preserve">加值。
</t>
    </r>
    <r>
      <rPr>
        <sz val="10"/>
        <color theme="1"/>
        <rFont val="Times New Roman"/>
        <charset val="134"/>
      </rPr>
      <t xml:space="preserve">• </t>
    </r>
    <r>
      <rPr>
        <sz val="10"/>
        <color theme="1"/>
        <rFont val="宋体"/>
        <charset val="134"/>
      </rPr>
      <t>双武器战斗：当以双武器战斗时，你可以将你的属性调整值加到第二次攻击的伤害上。</t>
    </r>
  </si>
  <si>
    <r>
      <rPr>
        <sz val="10"/>
        <color theme="1"/>
        <rFont val="宋体"/>
        <charset val="134"/>
      </rPr>
      <t>战争领域法术</t>
    </r>
  </si>
  <si>
    <r>
      <rPr>
        <sz val="10"/>
        <color theme="1"/>
        <rFont val="宋体"/>
        <charset val="134"/>
      </rPr>
      <t>你与此神圣领域的链接使你始终准备了特定的法术。当你到达战争领域法术表中特定的牧师等级时，你就始终准备了表中对应的法术。
战争领域法术</t>
    </r>
    <r>
      <rPr>
        <sz val="10"/>
        <color theme="1"/>
        <rFont val="Times New Roman"/>
        <charset val="134"/>
      </rPr>
      <t xml:space="preserve"> War Domain Spells
</t>
    </r>
    <r>
      <rPr>
        <sz val="10"/>
        <color theme="1"/>
        <rFont val="宋体"/>
        <charset val="134"/>
      </rPr>
      <t>牧师等级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光导箭</t>
    </r>
    <r>
      <rPr>
        <sz val="10"/>
        <color theme="1"/>
        <rFont val="Times New Roman"/>
        <charset val="134"/>
      </rPr>
      <t>Guiding Bolt</t>
    </r>
    <r>
      <rPr>
        <sz val="10"/>
        <color theme="1"/>
        <rFont val="宋体"/>
        <charset val="134"/>
      </rPr>
      <t>，魔化武器</t>
    </r>
    <r>
      <rPr>
        <sz val="10"/>
        <color theme="1"/>
        <rFont val="Times New Roman"/>
        <charset val="134"/>
      </rPr>
      <t>Magic Weapon</t>
    </r>
    <r>
      <rPr>
        <sz val="10"/>
        <color theme="1"/>
        <rFont val="宋体"/>
        <charset val="134"/>
      </rPr>
      <t>，虔诚护盾</t>
    </r>
    <r>
      <rPr>
        <sz val="10"/>
        <color theme="1"/>
        <rFont val="Times New Roman"/>
        <charset val="134"/>
      </rPr>
      <t>Shield of Faith</t>
    </r>
    <r>
      <rPr>
        <sz val="10"/>
        <color theme="1"/>
        <rFont val="宋体"/>
        <charset val="134"/>
      </rPr>
      <t>，灵体武器</t>
    </r>
    <r>
      <rPr>
        <sz val="10"/>
        <color theme="1"/>
        <rFont val="Times New Roman"/>
        <charset val="134"/>
      </rPr>
      <t xml:space="preserve">Spiritual Weapon
5 </t>
    </r>
    <r>
      <rPr>
        <sz val="10"/>
        <color theme="1"/>
        <rFont val="宋体"/>
        <charset val="134"/>
      </rPr>
      <t>十字军披风</t>
    </r>
    <r>
      <rPr>
        <sz val="10"/>
        <color theme="1"/>
        <rFont val="Times New Roman"/>
        <charset val="134"/>
      </rPr>
      <t>crusader’s mantle</t>
    </r>
    <r>
      <rPr>
        <sz val="10"/>
        <color theme="1"/>
        <rFont val="宋体"/>
        <charset val="134"/>
      </rPr>
      <t>，灵体卫士</t>
    </r>
    <r>
      <rPr>
        <sz val="10"/>
        <color theme="1"/>
        <rFont val="Times New Roman"/>
        <charset val="134"/>
      </rPr>
      <t xml:space="preserve">spirit guardians 
7 </t>
    </r>
    <r>
      <rPr>
        <sz val="10"/>
        <color theme="1"/>
        <rFont val="宋体"/>
        <charset val="134"/>
      </rPr>
      <t>火焰护盾</t>
    </r>
    <r>
      <rPr>
        <sz val="10"/>
        <color theme="1"/>
        <rFont val="Times New Roman"/>
        <charset val="134"/>
      </rPr>
      <t>Fire Shield</t>
    </r>
    <r>
      <rPr>
        <sz val="10"/>
        <color theme="1"/>
        <rFont val="宋体"/>
        <charset val="134"/>
      </rPr>
      <t>，行动自如</t>
    </r>
    <r>
      <rPr>
        <sz val="10"/>
        <color theme="1"/>
        <rFont val="Times New Roman"/>
        <charset val="134"/>
      </rPr>
      <t xml:space="preserve">Freedom of Movement 
9 </t>
    </r>
    <r>
      <rPr>
        <sz val="10"/>
        <color theme="1"/>
        <rFont val="宋体"/>
        <charset val="134"/>
      </rPr>
      <t>怪物定身术</t>
    </r>
    <r>
      <rPr>
        <sz val="10"/>
        <color theme="1"/>
        <rFont val="Times New Roman"/>
        <charset val="134"/>
      </rPr>
      <t>hold monster</t>
    </r>
    <r>
      <rPr>
        <sz val="10"/>
        <color theme="1"/>
        <rFont val="宋体"/>
        <charset val="134"/>
      </rPr>
      <t>，钢风斩</t>
    </r>
    <r>
      <rPr>
        <sz val="10"/>
        <color theme="1"/>
        <rFont val="Times New Roman"/>
        <charset val="134"/>
      </rPr>
      <t xml:space="preserve">Steel Wind Strike </t>
    </r>
  </si>
  <si>
    <r>
      <rPr>
        <sz val="10"/>
        <color theme="1"/>
        <rFont val="宋体"/>
        <charset val="134"/>
      </rPr>
      <t>水生亲和</t>
    </r>
  </si>
  <si>
    <r>
      <rPr>
        <sz val="10"/>
        <color theme="1"/>
        <rFont val="宋体"/>
        <charset val="134"/>
      </rPr>
      <t>你的瀚海之怒创造的光环范围提升至</t>
    </r>
    <r>
      <rPr>
        <sz val="10"/>
        <color theme="1"/>
        <rFont val="Times New Roman"/>
        <charset val="134"/>
      </rPr>
      <t>10</t>
    </r>
    <r>
      <rPr>
        <sz val="10"/>
        <color theme="1"/>
        <rFont val="宋体"/>
        <charset val="134"/>
      </rPr>
      <t>尺。
此外，你获得等于你速度的游泳速度。</t>
    </r>
  </si>
  <si>
    <r>
      <rPr>
        <sz val="10"/>
        <color theme="1"/>
        <rFont val="宋体"/>
        <charset val="134"/>
      </rPr>
      <t>摔绊攻击</t>
    </r>
  </si>
  <si>
    <r>
      <rPr>
        <sz val="10"/>
        <color theme="1"/>
        <rFont val="宋体"/>
        <charset val="134"/>
      </rPr>
      <t>你以武器或徒手打击发动的攻击检定命中一个生物时，可以消耗一枚卓越骰并将所消耗的卓越骰加在此次攻击的伤害掷骰中。如果该目标体型为大型或更小，则必须通过一次力量豁免。豁免失败将陷入倒地状态。</t>
    </r>
  </si>
  <si>
    <r>
      <rPr>
        <sz val="10"/>
        <color theme="1"/>
        <rFont val="宋体"/>
        <charset val="134"/>
      </rPr>
      <t>四象遁术</t>
    </r>
  </si>
  <si>
    <r>
      <rPr>
        <sz val="10"/>
        <color theme="1"/>
        <rFont val="宋体"/>
        <charset val="134"/>
      </rPr>
      <t>当你处于元素同调特性激活期间，你获得相当于你速度的飞行速度与游泳速度。</t>
    </r>
  </si>
  <si>
    <r>
      <rPr>
        <sz val="10"/>
        <color theme="1"/>
        <rFont val="宋体"/>
        <charset val="134"/>
      </rPr>
      <t>古贤之誓法术</t>
    </r>
  </si>
  <si>
    <r>
      <rPr>
        <sz val="10"/>
        <color theme="1"/>
        <rFont val="宋体"/>
        <charset val="134"/>
      </rPr>
      <t>你誓言具有的魔法使你始终准备了特定的法术。当你到达古贤之誓法术表中特定的圣武士等级时，你就始终准备了表中对应的法术。
古贤之誓法术</t>
    </r>
    <r>
      <rPr>
        <sz val="10"/>
        <color theme="1"/>
        <rFont val="Times New Roman"/>
        <charset val="134"/>
      </rPr>
      <t xml:space="preserve">Oath of the Ancients Spells 
</t>
    </r>
    <r>
      <rPr>
        <sz val="10"/>
        <color theme="1"/>
        <rFont val="宋体"/>
        <charset val="134"/>
      </rPr>
      <t>圣武士等级</t>
    </r>
    <r>
      <rPr>
        <sz val="10"/>
        <color theme="1"/>
        <rFont val="Times New Roman"/>
        <charset val="134"/>
      </rPr>
      <t xml:space="preserve"> </t>
    </r>
    <r>
      <rPr>
        <sz val="10"/>
        <color theme="1"/>
        <rFont val="宋体"/>
        <charset val="134"/>
      </rPr>
      <t xml:space="preserve">准备法术
</t>
    </r>
    <r>
      <rPr>
        <sz val="10"/>
        <color theme="1"/>
        <rFont val="Times New Roman"/>
        <charset val="134"/>
      </rPr>
      <t xml:space="preserve">3 </t>
    </r>
    <r>
      <rPr>
        <sz val="10"/>
        <color theme="1"/>
        <rFont val="宋体"/>
        <charset val="134"/>
      </rPr>
      <t>捕获打击</t>
    </r>
    <r>
      <rPr>
        <sz val="10"/>
        <color theme="1"/>
        <rFont val="Times New Roman"/>
        <charset val="134"/>
      </rPr>
      <t>Ensnaring Strike</t>
    </r>
    <r>
      <rPr>
        <sz val="10"/>
        <color theme="1"/>
        <rFont val="宋体"/>
        <charset val="134"/>
      </rPr>
      <t>，动物交谈</t>
    </r>
    <r>
      <rPr>
        <sz val="10"/>
        <color theme="1"/>
        <rFont val="Times New Roman"/>
        <charset val="134"/>
      </rPr>
      <t xml:space="preserve">Speak with Animals 
5 </t>
    </r>
    <r>
      <rPr>
        <sz val="10"/>
        <color theme="1"/>
        <rFont val="宋体"/>
        <charset val="134"/>
      </rPr>
      <t>迷踪步</t>
    </r>
    <r>
      <rPr>
        <sz val="10"/>
        <color theme="1"/>
        <rFont val="Times New Roman"/>
        <charset val="134"/>
      </rPr>
      <t>Misty Step</t>
    </r>
    <r>
      <rPr>
        <sz val="10"/>
        <color theme="1"/>
        <rFont val="宋体"/>
        <charset val="134"/>
      </rPr>
      <t>，月华之光</t>
    </r>
    <r>
      <rPr>
        <sz val="10"/>
        <color theme="1"/>
        <rFont val="Times New Roman"/>
        <charset val="134"/>
      </rPr>
      <t xml:space="preserve">Moonbeam 
9 </t>
    </r>
    <r>
      <rPr>
        <sz val="10"/>
        <color theme="1"/>
        <rFont val="宋体"/>
        <charset val="134"/>
      </rPr>
      <t>植物滋长</t>
    </r>
    <r>
      <rPr>
        <sz val="10"/>
        <color theme="1"/>
        <rFont val="Times New Roman"/>
        <charset val="134"/>
      </rPr>
      <t>Plant Growth</t>
    </r>
    <r>
      <rPr>
        <sz val="10"/>
        <color theme="1"/>
        <rFont val="宋体"/>
        <charset val="134"/>
      </rPr>
      <t>，防护能量伤害</t>
    </r>
    <r>
      <rPr>
        <sz val="10"/>
        <color theme="1"/>
        <rFont val="Times New Roman"/>
        <charset val="134"/>
      </rPr>
      <t xml:space="preserve">Protection form Energy 
13 </t>
    </r>
    <r>
      <rPr>
        <sz val="10"/>
        <color theme="1"/>
        <rFont val="宋体"/>
        <charset val="134"/>
      </rPr>
      <t>冰风暴</t>
    </r>
    <r>
      <rPr>
        <sz val="10"/>
        <color theme="1"/>
        <rFont val="Times New Roman"/>
        <charset val="134"/>
      </rPr>
      <t>Ice Storm</t>
    </r>
    <r>
      <rPr>
        <sz val="10"/>
        <color theme="1"/>
        <rFont val="宋体"/>
        <charset val="134"/>
      </rPr>
      <t>，石肤术</t>
    </r>
    <r>
      <rPr>
        <sz val="10"/>
        <color theme="1"/>
        <rFont val="Times New Roman"/>
        <charset val="134"/>
      </rPr>
      <t xml:space="preserve">Stoneskin 
17 </t>
    </r>
    <r>
      <rPr>
        <sz val="10"/>
        <color theme="1"/>
        <rFont val="宋体"/>
        <charset val="134"/>
      </rPr>
      <t>问道自然</t>
    </r>
    <r>
      <rPr>
        <sz val="10"/>
        <color theme="1"/>
        <rFont val="Times New Roman"/>
        <charset val="134"/>
      </rPr>
      <t>Commune with Nature</t>
    </r>
    <r>
      <rPr>
        <sz val="10"/>
        <color theme="1"/>
        <rFont val="宋体"/>
        <charset val="134"/>
      </rPr>
      <t>，树跃术</t>
    </r>
    <r>
      <rPr>
        <sz val="10"/>
        <color theme="1"/>
        <rFont val="Times New Roman"/>
        <charset val="134"/>
      </rPr>
      <t xml:space="preserve">Tree Stride </t>
    </r>
  </si>
  <si>
    <r>
      <rPr>
        <sz val="10"/>
        <color theme="1"/>
        <rFont val="宋体"/>
        <charset val="134"/>
      </rPr>
      <t>钢铁意志</t>
    </r>
  </si>
  <si>
    <r>
      <rPr>
        <sz val="10"/>
        <color theme="1"/>
        <rFont val="宋体"/>
        <charset val="134"/>
      </rPr>
      <t>你已经磨炼出了抵御精神影响的能力。你获得感知豁免熟练。如果你已经有这项熟练，你可以获得智力或者魅力豁免熟练（由你选择）来代替。</t>
    </r>
  </si>
  <si>
    <r>
      <rPr>
        <sz val="10"/>
        <color theme="1"/>
        <rFont val="宋体"/>
        <charset val="134"/>
      </rPr>
      <t>念刃</t>
    </r>
  </si>
  <si>
    <r>
      <rPr>
        <sz val="10"/>
        <color theme="1"/>
        <rFont val="宋体"/>
        <charset val="134"/>
      </rPr>
      <t>你能将自己的心灵异能塑造为由灵能构成的闪亮刀刃。当你执行攻击动作或者进行一次借机攻击时，你能在空闲的手中塑造出心灵之刃，并使用它来进行攻击。这种魔法刀刃具有以下特性：
武器种类：简易武器
命中伤害：</t>
    </r>
    <r>
      <rPr>
        <sz val="10"/>
        <color theme="1"/>
        <rFont val="Times New Roman"/>
        <charset val="134"/>
      </rPr>
      <t>1d6</t>
    </r>
    <r>
      <rPr>
        <sz val="10"/>
        <color theme="1"/>
        <rFont val="宋体"/>
        <charset val="134"/>
      </rPr>
      <t>点心灵伤害，附加用于该次攻击检定的属性调整值
词条：灵巧，投掷（</t>
    </r>
    <r>
      <rPr>
        <sz val="10"/>
        <color theme="1"/>
        <rFont val="Times New Roman"/>
        <charset val="134"/>
      </rPr>
      <t>60/120</t>
    </r>
    <r>
      <rPr>
        <sz val="10"/>
        <color theme="1"/>
        <rFont val="宋体"/>
        <charset val="134"/>
      </rPr>
      <t>尺射程）
精通：侵扰（你能使用它的精通，而不算作你能使用的武器精通总数中）
念刃会在你进行一次近战或远程攻击后立刻消失，并且即使它造成伤害也不会留下任何痕迹。</t>
    </r>
    <r>
      <rPr>
        <sz val="10"/>
        <color theme="1"/>
        <rFont val="Times New Roman"/>
        <charset val="134"/>
      </rPr>
      <t xml:space="preserve"> 
</t>
    </r>
    <r>
      <rPr>
        <sz val="10"/>
        <color theme="1"/>
        <rFont val="宋体"/>
        <charset val="134"/>
      </rPr>
      <t>当你使用念刃发动攻击后的同一回合中，只要你的另一只手空闲，就能以一个附赠动作在那只手中塑造第二把念刃，并再进行一次近战武器攻击或是远程武器攻击。此附赠攻击的伤害骰为</t>
    </r>
    <r>
      <rPr>
        <sz val="10"/>
        <color theme="1"/>
        <rFont val="Times New Roman"/>
        <charset val="134"/>
      </rPr>
      <t>1d4</t>
    </r>
    <r>
      <rPr>
        <sz val="10"/>
        <color theme="1"/>
        <rFont val="宋体"/>
        <charset val="134"/>
      </rPr>
      <t>，而非</t>
    </r>
    <r>
      <rPr>
        <sz val="10"/>
        <color theme="1"/>
        <rFont val="Times New Roman"/>
        <charset val="134"/>
      </rPr>
      <t>1d6</t>
    </r>
    <r>
      <rPr>
        <sz val="10"/>
        <color theme="1"/>
        <rFont val="宋体"/>
        <charset val="134"/>
      </rPr>
      <t>。</t>
    </r>
  </si>
  <si>
    <r>
      <rPr>
        <sz val="10"/>
        <color theme="1"/>
        <rFont val="宋体"/>
        <charset val="134"/>
      </rPr>
      <t>序列意识</t>
    </r>
  </si>
  <si>
    <r>
      <rPr>
        <sz val="10"/>
        <color theme="1"/>
        <rFont val="宋体"/>
        <charset val="134"/>
      </rPr>
      <t>你获得了将你的意识和机械境无尽的计算达成同步的能力。以一个附赠动作，你可以在</t>
    </r>
    <r>
      <rPr>
        <sz val="10"/>
        <color theme="1"/>
        <rFont val="Times New Roman"/>
        <charset val="134"/>
      </rPr>
      <t>1</t>
    </r>
    <r>
      <rPr>
        <sz val="10"/>
        <color theme="1"/>
        <rFont val="宋体"/>
        <charset val="134"/>
      </rPr>
      <t>分钟内进入此种状态。在此期间，对你进行的攻击免受优势的影响，且每当你进行一次</t>
    </r>
    <r>
      <rPr>
        <sz val="10"/>
        <color theme="1"/>
        <rFont val="Times New Roman"/>
        <charset val="134"/>
      </rPr>
      <t>d20</t>
    </r>
    <r>
      <rPr>
        <sz val="10"/>
        <color theme="1"/>
        <rFont val="宋体"/>
        <charset val="134"/>
      </rPr>
      <t>检定时，你可以将</t>
    </r>
    <r>
      <rPr>
        <sz val="10"/>
        <color theme="1"/>
        <rFont val="Times New Roman"/>
        <charset val="134"/>
      </rPr>
      <t>d20</t>
    </r>
    <r>
      <rPr>
        <sz val="10"/>
        <color theme="1"/>
        <rFont val="宋体"/>
        <charset val="134"/>
      </rPr>
      <t>掷出的</t>
    </r>
    <r>
      <rPr>
        <sz val="10"/>
        <color theme="1"/>
        <rFont val="Times New Roman"/>
        <charset val="134"/>
      </rPr>
      <t>9</t>
    </r>
    <r>
      <rPr>
        <sz val="10"/>
        <color theme="1"/>
        <rFont val="宋体"/>
        <charset val="134"/>
      </rPr>
      <t>或以下的骰值视为</t>
    </r>
    <r>
      <rPr>
        <sz val="10"/>
        <color theme="1"/>
        <rFont val="Times New Roman"/>
        <charset val="134"/>
      </rPr>
      <t>10</t>
    </r>
    <r>
      <rPr>
        <sz val="10"/>
        <color theme="1"/>
        <rFont val="宋体"/>
        <charset val="134"/>
      </rPr>
      <t>。
此特性一经使用，直至完成长休你都无法再次使用。你也可以消耗</t>
    </r>
    <r>
      <rPr>
        <sz val="10"/>
        <color theme="1"/>
        <rFont val="Times New Roman"/>
        <charset val="134"/>
      </rPr>
      <t>5</t>
    </r>
    <r>
      <rPr>
        <sz val="10"/>
        <color theme="1"/>
        <rFont val="宋体"/>
        <charset val="134"/>
      </rPr>
      <t>点术法点（无需动作）重置该特性的使用权。</t>
    </r>
  </si>
  <si>
    <t>5+</t>
  </si>
  <si>
    <r>
      <rPr>
        <sz val="10"/>
        <color theme="1"/>
        <rFont val="宋体"/>
        <charset val="134"/>
      </rPr>
      <t>共视感官</t>
    </r>
  </si>
  <si>
    <r>
      <rPr>
        <sz val="10"/>
        <color theme="1"/>
        <rFont val="宋体"/>
        <charset val="134"/>
      </rPr>
      <t>先决：魔契师等级</t>
    </r>
    <r>
      <rPr>
        <sz val="10"/>
        <color theme="1"/>
        <rFont val="Times New Roman"/>
        <charset val="134"/>
      </rPr>
      <t xml:space="preserve">5+
</t>
    </r>
    <r>
      <rPr>
        <sz val="10"/>
        <color theme="1"/>
        <rFont val="宋体"/>
        <charset val="134"/>
      </rPr>
      <t>你能够以附赠动作触碰一个自愿的生物，并与其建立起感官的连接。连接状态持续到你下回合结束时终止。其间，只要你与该生物还处于同一位面中，你就可以用附赠动作继续维持连接，使其持续时间延长至你下回合结束时终止。如果你不再使用这种方式延续持续时间，这种连接便会结束。
以所连接生物的感官进行观察时，你将拥有该生物所有的特殊感官的增益，且如果你们之间的距离不超过</t>
    </r>
    <r>
      <rPr>
        <sz val="10"/>
        <color theme="1"/>
        <rFont val="Times New Roman"/>
        <charset val="134"/>
      </rPr>
      <t>60</t>
    </r>
    <r>
      <rPr>
        <sz val="10"/>
        <color theme="1"/>
        <rFont val="宋体"/>
        <charset val="134"/>
      </rPr>
      <t>尺，你就可以如同在该生物的位置上般施展法术。</t>
    </r>
    <r>
      <rPr>
        <sz val="10"/>
        <color theme="1"/>
        <rFont val="Times New Roman"/>
        <charset val="134"/>
      </rPr>
      <t xml:space="preserve"> </t>
    </r>
  </si>
  <si>
    <r>
      <rPr>
        <sz val="10"/>
        <color theme="1"/>
        <rFont val="宋体"/>
        <charset val="134"/>
      </rPr>
      <t>幻术学者</t>
    </r>
  </si>
  <si>
    <r>
      <rPr>
        <sz val="10"/>
        <color theme="1"/>
        <rFont val="宋体"/>
        <charset val="134"/>
      </rPr>
      <t>从法师法术列表中选择两道不高于二环的幻术学派法术，并将其免费加入你的法术书中。
此外，每当你在本职业中获得一个新环阶的法术位时，你都能免费将一道法师法术列表中的幻术学派法术加入你的法术书中。你所选的法术都必须是你当前拥有法术位的环阶。</t>
    </r>
  </si>
  <si>
    <t>渗透者</t>
  </si>
  <si>
    <r>
      <rPr>
        <sz val="10"/>
        <color theme="1"/>
        <rFont val="宋体"/>
        <charset val="134"/>
      </rPr>
      <t>你将你的装甲设计为处理一些隐秘的工作。它具有以下特性：</t>
    </r>
    <r>
      <rPr>
        <sz val="10"/>
        <color theme="1"/>
        <rFont val="Times New Roman"/>
        <charset val="134"/>
      </rPr>
      <t xml:space="preserve">
</t>
    </r>
    <r>
      <rPr>
        <sz val="10"/>
        <color theme="1"/>
        <rFont val="宋体"/>
        <charset val="134"/>
      </rPr>
      <t>闪电发射器</t>
    </r>
    <r>
      <rPr>
        <sz val="10"/>
        <color theme="1"/>
        <rFont val="Times New Roman"/>
        <charset val="134"/>
      </rPr>
      <t>Lightning Launcher</t>
    </r>
    <r>
      <rPr>
        <sz val="10"/>
        <color theme="1"/>
        <rFont val="宋体"/>
        <charset val="134"/>
      </rPr>
      <t>。一块宝石样的节点出现在你的护甲上，你可以从此处射出闪电箭。发射器被视为一种常规射程为</t>
    </r>
    <r>
      <rPr>
        <sz val="10"/>
        <color theme="1"/>
        <rFont val="Times New Roman"/>
        <charset val="134"/>
      </rPr>
      <t>90</t>
    </r>
    <r>
      <rPr>
        <sz val="10"/>
        <color theme="1"/>
        <rFont val="宋体"/>
        <charset val="134"/>
      </rPr>
      <t>尺，最大射程为</t>
    </r>
    <r>
      <rPr>
        <sz val="10"/>
        <color theme="1"/>
        <rFont val="Times New Roman"/>
        <charset val="134"/>
      </rPr>
      <t>300</t>
    </r>
    <r>
      <rPr>
        <sz val="10"/>
        <color theme="1"/>
        <rFont val="宋体"/>
        <charset val="134"/>
      </rPr>
      <t>尺的简易远程武器，且命中时造成</t>
    </r>
    <r>
      <rPr>
        <sz val="10"/>
        <color theme="1"/>
        <rFont val="Times New Roman"/>
        <charset val="134"/>
      </rPr>
      <t>1d6</t>
    </r>
    <r>
      <rPr>
        <sz val="10"/>
        <color theme="1"/>
        <rFont val="宋体"/>
        <charset val="134"/>
      </rPr>
      <t>闪电伤害。每个你的回合一次，当你使用发射器命中一个生物，你可以对那个目标额外造成</t>
    </r>
    <r>
      <rPr>
        <sz val="10"/>
        <color theme="1"/>
        <rFont val="Times New Roman"/>
        <charset val="134"/>
      </rPr>
      <t>1d6</t>
    </r>
    <r>
      <rPr>
        <sz val="10"/>
        <color theme="1"/>
        <rFont val="宋体"/>
        <charset val="134"/>
      </rPr>
      <t>闪电伤害。</t>
    </r>
    <r>
      <rPr>
        <sz val="10"/>
        <color theme="1"/>
        <rFont val="Times New Roman"/>
        <charset val="134"/>
      </rPr>
      <t xml:space="preserve">
</t>
    </r>
    <r>
      <rPr>
        <sz val="10"/>
        <color theme="1"/>
        <rFont val="宋体"/>
        <charset val="134"/>
      </rPr>
      <t>动力步伐</t>
    </r>
    <r>
      <rPr>
        <sz val="10"/>
        <color theme="1"/>
        <rFont val="Times New Roman"/>
        <charset val="134"/>
      </rPr>
      <t>Powered Steps</t>
    </r>
    <r>
      <rPr>
        <sz val="10"/>
        <color theme="1"/>
        <rFont val="宋体"/>
        <charset val="134"/>
      </rPr>
      <t>。你的速度提升</t>
    </r>
    <r>
      <rPr>
        <sz val="10"/>
        <color theme="1"/>
        <rFont val="Times New Roman"/>
        <charset val="134"/>
      </rPr>
      <t>5</t>
    </r>
    <r>
      <rPr>
        <sz val="10"/>
        <color theme="1"/>
        <rFont val="宋体"/>
        <charset val="134"/>
      </rPr>
      <t>尺。</t>
    </r>
    <r>
      <rPr>
        <sz val="10"/>
        <color theme="1"/>
        <rFont val="Times New Roman"/>
        <charset val="134"/>
      </rPr>
      <t xml:space="preserve">
</t>
    </r>
    <r>
      <rPr>
        <sz val="10"/>
        <color theme="1"/>
        <rFont val="宋体"/>
        <charset val="134"/>
      </rPr>
      <t>减震场</t>
    </r>
    <r>
      <rPr>
        <sz val="10"/>
        <color theme="1"/>
        <rFont val="Times New Roman"/>
        <charset val="134"/>
      </rPr>
      <t xml:space="preserve"> Dampening Field</t>
    </r>
    <r>
      <rPr>
        <sz val="10"/>
        <color theme="1"/>
        <rFont val="宋体"/>
        <charset val="134"/>
      </rPr>
      <t>。你的敏捷（隐匿）检定具有优势。如果你的盔甲原本会让你在此检定上具有劣势，优势和劣势将会正常抵消。</t>
    </r>
  </si>
  <si>
    <r>
      <rPr>
        <sz val="10"/>
        <color theme="1"/>
        <rFont val="宋体"/>
        <charset val="134"/>
      </rPr>
      <t>念动使法术</t>
    </r>
  </si>
  <si>
    <r>
      <rPr>
        <sz val="10"/>
        <color theme="1"/>
        <rFont val="宋体"/>
        <charset val="134"/>
      </rPr>
      <t>当你到达念动使法术表中特定的灵能使等级时，你就始终准备着表中对应的法术。</t>
    </r>
    <r>
      <rPr>
        <sz val="10"/>
        <color theme="1"/>
        <rFont val="Times New Roman"/>
        <charset val="134"/>
      </rPr>
      <t xml:space="preserve"> 
</t>
    </r>
    <r>
      <rPr>
        <sz val="10"/>
        <color theme="1"/>
        <rFont val="宋体"/>
        <charset val="134"/>
      </rPr>
      <t>念动使法术</t>
    </r>
    <r>
      <rPr>
        <sz val="10"/>
        <color theme="1"/>
        <rFont val="Times New Roman"/>
        <charset val="134"/>
      </rPr>
      <t xml:space="preserve">Psykinetic Spells </t>
    </r>
    <r>
      <rPr>
        <sz val="10"/>
        <color theme="1"/>
        <rFont val="宋体"/>
        <charset val="134"/>
      </rPr>
      <t>灵能使等级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护盾术</t>
    </r>
    <r>
      <rPr>
        <sz val="10"/>
        <color theme="1"/>
        <rFont val="Times New Roman"/>
        <charset val="134"/>
      </rPr>
      <t>Shield</t>
    </r>
    <r>
      <rPr>
        <sz val="10"/>
        <color theme="1"/>
        <rFont val="宋体"/>
        <charset val="134"/>
      </rPr>
      <t>，雷鸣波</t>
    </r>
    <r>
      <rPr>
        <sz val="10"/>
        <color theme="1"/>
        <rFont val="Times New Roman"/>
        <charset val="134"/>
      </rPr>
      <t xml:space="preserve">Thunderwave
</t>
    </r>
    <r>
      <rPr>
        <sz val="10"/>
        <color theme="1"/>
        <rFont val="宋体"/>
        <charset val="134"/>
      </rPr>
      <t>匕首之云</t>
    </r>
    <r>
      <rPr>
        <sz val="10"/>
        <color theme="1"/>
        <rFont val="Times New Roman"/>
        <charset val="134"/>
      </rPr>
      <t>Cloud of Daggers</t>
    </r>
    <r>
      <rPr>
        <sz val="10"/>
        <color theme="1"/>
        <rFont val="宋体"/>
        <charset val="134"/>
      </rPr>
      <t>，浮空术</t>
    </r>
    <r>
      <rPr>
        <sz val="10"/>
        <color theme="1"/>
        <rFont val="Times New Roman"/>
        <charset val="134"/>
      </rPr>
      <t xml:space="preserve">Levitate 
5 </t>
    </r>
    <r>
      <rPr>
        <sz val="10"/>
        <color theme="1"/>
        <rFont val="宋体"/>
        <charset val="134"/>
      </rPr>
      <t>缓慢术</t>
    </r>
    <r>
      <rPr>
        <sz val="10"/>
        <color theme="1"/>
        <rFont val="Times New Roman"/>
        <charset val="134"/>
      </rPr>
      <t>Slow</t>
    </r>
    <r>
      <rPr>
        <sz val="10"/>
        <color theme="1"/>
        <rFont val="宋体"/>
        <charset val="134"/>
      </rPr>
      <t>，念力碾压</t>
    </r>
    <r>
      <rPr>
        <sz val="10"/>
        <color theme="1"/>
        <rFont val="Times New Roman"/>
        <charset val="134"/>
      </rPr>
      <t xml:space="preserve">Telekinetic Crush* 
7 </t>
    </r>
    <r>
      <rPr>
        <sz val="10"/>
        <color theme="1"/>
        <rFont val="宋体"/>
        <charset val="134"/>
      </rPr>
      <t>欧提路克弹力法球</t>
    </r>
    <r>
      <rPr>
        <sz val="10"/>
        <color theme="1"/>
        <rFont val="Times New Roman"/>
        <charset val="134"/>
      </rPr>
      <t>Otiluke's Resilient Sphere</t>
    </r>
    <r>
      <rPr>
        <sz val="10"/>
        <color theme="1"/>
        <rFont val="宋体"/>
        <charset val="134"/>
      </rPr>
      <t>，塑石术</t>
    </r>
    <r>
      <rPr>
        <sz val="10"/>
        <color theme="1"/>
        <rFont val="Times New Roman"/>
        <charset val="134"/>
      </rPr>
      <t xml:space="preserve">Stone Shape 
9 </t>
    </r>
    <r>
      <rPr>
        <sz val="10"/>
        <color theme="1"/>
        <rFont val="宋体"/>
        <charset val="134"/>
      </rPr>
      <t>心灵遥控</t>
    </r>
    <r>
      <rPr>
        <sz val="10"/>
        <color theme="1"/>
        <rFont val="Times New Roman"/>
        <charset val="134"/>
      </rPr>
      <t>Telekinesis</t>
    </r>
    <r>
      <rPr>
        <sz val="10"/>
        <color theme="1"/>
        <rFont val="宋体"/>
        <charset val="134"/>
      </rPr>
      <t>，力场墙</t>
    </r>
    <r>
      <rPr>
        <sz val="10"/>
        <color theme="1"/>
        <rFont val="Times New Roman"/>
        <charset val="134"/>
      </rPr>
      <t xml:space="preserve">Wall of Force </t>
    </r>
  </si>
  <si>
    <r>
      <rPr>
        <sz val="10"/>
        <color theme="1"/>
        <rFont val="宋体"/>
        <charset val="134"/>
      </rPr>
      <t>分离烙印</t>
    </r>
  </si>
  <si>
    <r>
      <rPr>
        <sz val="10"/>
        <color theme="1"/>
        <rFont val="宋体"/>
        <charset val="134"/>
      </rPr>
      <t>你的惩戒烙印可以暴露敌人本质的一块碎片，使他们更容易被你的猩红仪式伤害。当你以有激活猩红仪式的武器命中一个先前已经被猩红仪式武器命中过的，并且被烙印了的生物时，决定伤害时，你可以额外掷一个鲜血秘法骰。此外，若烙印生物有虚体移动或类似的特性，其在被烙印期间其无法穿过生物或物件。</t>
    </r>
  </si>
  <si>
    <r>
      <rPr>
        <sz val="10"/>
        <color theme="1"/>
        <rFont val="宋体"/>
        <charset val="134"/>
      </rPr>
      <t>恶毒血液</t>
    </r>
  </si>
  <si>
    <r>
      <rPr>
        <sz val="10"/>
        <color theme="1"/>
        <rFont val="宋体"/>
        <charset val="134"/>
      </rPr>
      <t>先决：药剂师等级</t>
    </r>
    <r>
      <rPr>
        <sz val="10"/>
        <color theme="1"/>
        <rFont val="Times New Roman"/>
        <charset val="134"/>
      </rPr>
      <t xml:space="preserve">6+ 
</t>
    </r>
    <r>
      <rPr>
        <sz val="10"/>
        <color theme="1"/>
        <rFont val="宋体"/>
        <charset val="134"/>
      </rPr>
      <t>当一个生物在你身边</t>
    </r>
    <r>
      <rPr>
        <sz val="10"/>
        <color theme="1"/>
        <rFont val="Times New Roman"/>
        <charset val="134"/>
      </rPr>
      <t>5</t>
    </r>
    <r>
      <rPr>
        <sz val="10"/>
        <color theme="1"/>
        <rFont val="宋体"/>
        <charset val="134"/>
      </rPr>
      <t>尺范围内以近战攻击命中你时，它会受到</t>
    </r>
    <r>
      <rPr>
        <sz val="10"/>
        <color theme="1"/>
        <rFont val="Times New Roman"/>
        <charset val="134"/>
      </rPr>
      <t>1d6+</t>
    </r>
    <r>
      <rPr>
        <sz val="10"/>
        <color theme="1"/>
        <rFont val="宋体"/>
        <charset val="134"/>
      </rPr>
      <t>你体质调整值的毒素伤害。</t>
    </r>
  </si>
  <si>
    <t>走为上计</t>
  </si>
  <si>
    <t>当你受到伤害时，你能够以反应避免进一步的损害。你可以立即移动至多10尺，且直至你的下个回合开始，你处于隐形状态。
此特性一经使用，直至你完成短休或长休都无法再次使用。</t>
  </si>
  <si>
    <t>毁灭戒律</t>
  </si>
  <si>
    <t>筑灭师在加入墟寂教团时向阿斯蒙蒂斯立下誓言。这些戒律要求他们通过运用魔法、制造恐慌、散播猜疑来摧毁阿斯蒙蒂斯之敌。
心灵的战场。两军对阵时，疑惧之心已生。谈笑间，樯橹灰飞烟灭。
适当的秘密。一旦我知晓了你的秘密，我就掌握了你的弱点。
知识就是力量。传闻与兵器一样强大。我了解敌人的每个细节，预判他们的每步行动，在棋局开始前将他们将死。
魔法由我掌控。诡计亦如兵器一样强大。我运用黑暗奥法操纵你的感官、削弱你的意志、强化我的利刃。你的兵众将因恐惧我的利刃下一次挥出何种黑暗魔法而瑟瑟发抖。</t>
  </si>
  <si>
    <t>老而为贼</t>
  </si>
  <si>
    <r>
      <rPr>
        <sz val="10"/>
        <color theme="1"/>
        <rFont val="宋体"/>
        <charset val="134"/>
      </rPr>
      <t>你只需要用一个手势和几句讥讽就能让整座屋子的生物被你激怒。你能以附赠动作选择一定数量的位于你</t>
    </r>
    <r>
      <rPr>
        <sz val="10"/>
        <color theme="1"/>
        <rFont val="Times New Roman"/>
        <charset val="134"/>
      </rPr>
      <t>30</t>
    </r>
    <r>
      <rPr>
        <sz val="10"/>
        <color theme="1"/>
        <rFont val="宋体"/>
        <charset val="134"/>
      </rPr>
      <t>尺内能看见或听见你的目标，数量至多等于你的拳斗士等级。你选择的每名生物必须成功通过一次感知豁免，否则受到等于掷一次你的拳斗骰加你的体质调整值的心灵伤害，且其对除你以外的生物进行的任意攻击检定具有劣势
此特性一经使用，直至完成长休你都无法再次使用。你也可以消耗</t>
    </r>
    <r>
      <rPr>
        <sz val="10"/>
        <color theme="1"/>
        <rFont val="Times New Roman"/>
        <charset val="134"/>
      </rPr>
      <t>3</t>
    </r>
    <r>
      <rPr>
        <sz val="10"/>
        <color theme="1"/>
        <rFont val="宋体"/>
        <charset val="134"/>
      </rPr>
      <t>点锐气（无需动作）来重置该特性的使用权。</t>
    </r>
  </si>
  <si>
    <r>
      <rPr>
        <sz val="10"/>
        <color theme="1"/>
        <rFont val="宋体"/>
        <charset val="134"/>
      </rPr>
      <t>和平领域</t>
    </r>
  </si>
  <si>
    <r>
      <rPr>
        <sz val="10"/>
        <color theme="1"/>
        <rFont val="宋体"/>
        <charset val="134"/>
      </rPr>
      <t>狂热威仪</t>
    </r>
  </si>
  <si>
    <r>
      <rPr>
        <sz val="10"/>
        <color theme="1"/>
        <rFont val="宋体"/>
        <charset val="134"/>
      </rPr>
      <t>以一个附赠动作，你以满腔神圣能量发出战吼。选择至多十名位于你</t>
    </r>
    <r>
      <rPr>
        <sz val="10"/>
        <color theme="1"/>
        <rFont val="Times New Roman"/>
        <charset val="134"/>
      </rPr>
      <t>60</t>
    </r>
    <r>
      <rPr>
        <sz val="10"/>
        <color theme="1"/>
        <rFont val="宋体"/>
        <charset val="134"/>
      </rPr>
      <t>尺内的生物，直至你的下个回合开始，他们的攻击检定和豁免检定具有优势。
此特性一经使用，直至完成长休你都无法再次使用。你也可以消耗一次狂暴使用次数（无需动作）来重置该特性的使用权。</t>
    </r>
    <r>
      <rPr>
        <sz val="10"/>
        <color theme="1"/>
        <rFont val="Times New Roman"/>
        <charset val="134"/>
      </rPr>
      <t xml:space="preserve"> </t>
    </r>
  </si>
  <si>
    <r>
      <rPr>
        <sz val="10"/>
        <color theme="1"/>
        <rFont val="宋体"/>
        <charset val="134"/>
      </rPr>
      <t>剑舞</t>
    </r>
  </si>
  <si>
    <r>
      <rPr>
        <sz val="10"/>
        <color theme="1"/>
        <rFont val="宋体"/>
        <charset val="134"/>
      </rPr>
      <t>你学会使用你的战斗技巧和速度来进行一场令人赞叹的表演。
当你在自己回合执行攻击动作时，你的步行速度提升</t>
    </r>
    <r>
      <rPr>
        <sz val="10"/>
        <color theme="1"/>
        <rFont val="Times New Roman"/>
        <charset val="134"/>
      </rPr>
      <t>10</t>
    </r>
    <r>
      <rPr>
        <sz val="10"/>
        <color theme="1"/>
        <rFont val="宋体"/>
        <charset val="134"/>
      </rPr>
      <t xml:space="preserve">尺直到该回合结束。当你在该攻击动作中发动的武器攻击命中生物时，你能选择并应用以下剑舞选项之一。每回合你只能使用一种剑舞选项。
</t>
    </r>
    <r>
      <rPr>
        <sz val="10"/>
        <color theme="1"/>
        <rFont val="Times New Roman"/>
        <charset val="134"/>
      </rPr>
      <t xml:space="preserve">• </t>
    </r>
    <r>
      <rPr>
        <sz val="10"/>
        <color theme="1"/>
        <rFont val="宋体"/>
        <charset val="134"/>
      </rPr>
      <t>守御剑舞</t>
    </r>
    <r>
      <rPr>
        <sz val="10"/>
        <color theme="1"/>
        <rFont val="Times New Roman"/>
        <charset val="134"/>
      </rPr>
      <t xml:space="preserve"> Defensive Flourish</t>
    </r>
    <r>
      <rPr>
        <sz val="10"/>
        <color theme="1"/>
        <rFont val="宋体"/>
        <charset val="134"/>
      </rPr>
      <t>。</t>
    </r>
    <r>
      <rPr>
        <sz val="10"/>
        <color theme="1"/>
        <rFont val="Times New Roman"/>
        <charset val="134"/>
      </rPr>
      <t xml:space="preserve"> </t>
    </r>
    <r>
      <rPr>
        <sz val="10"/>
        <color theme="1"/>
        <rFont val="宋体"/>
        <charset val="134"/>
      </rPr>
      <t>你可以消耗一次诗人激励的次数，并使该武器对你命中的目标造成额外的伤害。额外伤害等于你的激励骰掷骰结果。你的</t>
    </r>
    <r>
      <rPr>
        <sz val="10"/>
        <color theme="1"/>
        <rFont val="Times New Roman"/>
        <charset val="134"/>
      </rPr>
      <t>AC</t>
    </r>
    <r>
      <rPr>
        <sz val="10"/>
        <color theme="1"/>
        <rFont val="宋体"/>
        <charset val="134"/>
      </rPr>
      <t xml:space="preserve">也会获得激励骰掷骰结果相等的加值，持续直至你的下回合开始。
</t>
    </r>
    <r>
      <rPr>
        <sz val="10"/>
        <color theme="1"/>
        <rFont val="Times New Roman"/>
        <charset val="134"/>
      </rPr>
      <t xml:space="preserve">• </t>
    </r>
    <r>
      <rPr>
        <sz val="10"/>
        <color theme="1"/>
        <rFont val="宋体"/>
        <charset val="134"/>
      </rPr>
      <t>乱击剑舞</t>
    </r>
    <r>
      <rPr>
        <sz val="10"/>
        <color theme="1"/>
        <rFont val="Times New Roman"/>
        <charset val="134"/>
      </rPr>
      <t xml:space="preserve"> Slashing Flourish</t>
    </r>
    <r>
      <rPr>
        <sz val="10"/>
        <color theme="1"/>
        <rFont val="宋体"/>
        <charset val="134"/>
      </rPr>
      <t>。</t>
    </r>
    <r>
      <rPr>
        <sz val="10"/>
        <color theme="1"/>
        <rFont val="Times New Roman"/>
        <charset val="134"/>
      </rPr>
      <t xml:space="preserve"> </t>
    </r>
    <r>
      <rPr>
        <sz val="10"/>
        <color theme="1"/>
        <rFont val="宋体"/>
        <charset val="134"/>
      </rPr>
      <t>你可以消耗一次诗人激励的次数，并使该武器对你命中的目标造成额外伤害，伤害等于你的激励骰投掷结果。你周围</t>
    </r>
    <r>
      <rPr>
        <sz val="10"/>
        <color theme="1"/>
        <rFont val="Times New Roman"/>
        <charset val="134"/>
      </rPr>
      <t>5</t>
    </r>
    <r>
      <rPr>
        <sz val="10"/>
        <color theme="1"/>
        <rFont val="宋体"/>
        <charset val="134"/>
      </rPr>
      <t xml:space="preserve">尺范围内由你选择的其他可见生物也将受到这一额外伤害。
</t>
    </r>
    <r>
      <rPr>
        <sz val="10"/>
        <color theme="1"/>
        <rFont val="Times New Roman"/>
        <charset val="134"/>
      </rPr>
      <t xml:space="preserve">• </t>
    </r>
    <r>
      <rPr>
        <sz val="10"/>
        <color theme="1"/>
        <rFont val="宋体"/>
        <charset val="134"/>
      </rPr>
      <t>推击剑舞</t>
    </r>
    <r>
      <rPr>
        <sz val="10"/>
        <color theme="1"/>
        <rFont val="Times New Roman"/>
        <charset val="134"/>
      </rPr>
      <t xml:space="preserve"> Mobile Flourish</t>
    </r>
    <r>
      <rPr>
        <sz val="10"/>
        <color theme="1"/>
        <rFont val="宋体"/>
        <charset val="134"/>
      </rPr>
      <t>。你可以消耗一次诗人激励的次数，并使该武器对你命中的目标造成额外的伤害，伤害等于你的激励骰投掷结果。你还能将目标向远离你的方向推动至多</t>
    </r>
    <r>
      <rPr>
        <sz val="10"/>
        <color theme="1"/>
        <rFont val="Times New Roman"/>
        <charset val="134"/>
      </rPr>
      <t xml:space="preserve"> 5</t>
    </r>
    <r>
      <rPr>
        <sz val="10"/>
        <color theme="1"/>
        <rFont val="宋体"/>
        <charset val="134"/>
      </rPr>
      <t>＋你的激励骰掷骰结果</t>
    </r>
    <r>
      <rPr>
        <sz val="10"/>
        <color theme="1"/>
        <rFont val="Times New Roman"/>
        <charset val="134"/>
      </rPr>
      <t xml:space="preserve"> </t>
    </r>
    <r>
      <rPr>
        <sz val="10"/>
        <color theme="1"/>
        <rFont val="宋体"/>
        <charset val="134"/>
      </rPr>
      <t>尺。推动之后，你能立即使用你的反应移动至多等于你步行速度的距离，来到目标周围</t>
    </r>
    <r>
      <rPr>
        <sz val="10"/>
        <color theme="1"/>
        <rFont val="Times New Roman"/>
        <charset val="134"/>
      </rPr>
      <t>5</t>
    </r>
    <r>
      <rPr>
        <sz val="10"/>
        <color theme="1"/>
        <rFont val="宋体"/>
        <charset val="134"/>
      </rPr>
      <t>尺范围内的一处未被占据的空间内。</t>
    </r>
  </si>
  <si>
    <r>
      <rPr>
        <sz val="10"/>
        <color theme="1"/>
        <rFont val="宋体"/>
        <charset val="134"/>
      </rPr>
      <t>战争祭司</t>
    </r>
  </si>
  <si>
    <r>
      <rPr>
        <sz val="10"/>
        <color theme="1"/>
        <rFont val="宋体"/>
        <charset val="134"/>
      </rPr>
      <t>作为一个附赠动作，你可以发动一次武器攻击或者徒手打击。你可以使用该附赠动作的次数等于你的感知调整值（最低为</t>
    </r>
    <r>
      <rPr>
        <sz val="10"/>
        <color theme="1"/>
        <rFont val="Times New Roman"/>
        <charset val="134"/>
      </rPr>
      <t>1</t>
    </r>
    <r>
      <rPr>
        <sz val="10"/>
        <color theme="1"/>
        <rFont val="宋体"/>
        <charset val="134"/>
      </rPr>
      <t>），你在完成一次长休或短休后重新获得所有的使用次数。</t>
    </r>
  </si>
  <si>
    <r>
      <rPr>
        <sz val="10"/>
        <color theme="1"/>
        <rFont val="宋体"/>
        <charset val="134"/>
      </rPr>
      <t>风暴降生</t>
    </r>
  </si>
  <si>
    <r>
      <rPr>
        <sz val="10"/>
        <color theme="1"/>
        <rFont val="宋体"/>
        <charset val="134"/>
      </rPr>
      <t>你的瀚海之怒特性在激活时获得两项额外增益：
飞行</t>
    </r>
    <r>
      <rPr>
        <sz val="10"/>
        <color theme="1"/>
        <rFont val="Times New Roman"/>
        <charset val="134"/>
      </rPr>
      <t>Flight</t>
    </r>
    <r>
      <rPr>
        <sz val="10"/>
        <color theme="1"/>
        <rFont val="宋体"/>
        <charset val="134"/>
      </rPr>
      <t>。你获得等于你的速度的飞行速度。
抗性</t>
    </r>
    <r>
      <rPr>
        <sz val="10"/>
        <color theme="1"/>
        <rFont val="Times New Roman"/>
        <charset val="134"/>
      </rPr>
      <t>Resistance</t>
    </r>
    <r>
      <rPr>
        <sz val="10"/>
        <color theme="1"/>
        <rFont val="宋体"/>
        <charset val="134"/>
      </rPr>
      <t>。你获得对寒冷、闪电和雷鸣伤害的抗性。</t>
    </r>
  </si>
  <si>
    <r>
      <rPr>
        <sz val="10"/>
        <color theme="1"/>
        <rFont val="宋体"/>
        <charset val="134"/>
      </rPr>
      <t>战争学者</t>
    </r>
  </si>
  <si>
    <r>
      <rPr>
        <sz val="10"/>
        <color theme="1"/>
        <rFont val="宋体"/>
        <charset val="134"/>
      </rPr>
      <t>你选择一种工匠工具并获得其熟练。此外，你选择一项战士</t>
    </r>
    <r>
      <rPr>
        <sz val="10"/>
        <color theme="1"/>
        <rFont val="Times New Roman"/>
        <charset val="134"/>
      </rPr>
      <t>1</t>
    </r>
    <r>
      <rPr>
        <sz val="10"/>
        <color theme="1"/>
        <rFont val="宋体"/>
        <charset val="134"/>
      </rPr>
      <t>级可用的技能，并获得该技能的熟练。</t>
    </r>
  </si>
  <si>
    <r>
      <rPr>
        <sz val="10"/>
        <color theme="1"/>
        <rFont val="宋体"/>
        <charset val="134"/>
      </rPr>
      <t>四象神通</t>
    </r>
  </si>
  <si>
    <r>
      <rPr>
        <sz val="10"/>
        <color theme="1"/>
        <rFont val="宋体"/>
        <charset val="134"/>
      </rPr>
      <t>当你处于元素同调特性激活期间，你在持续时间内获得以下增益：
伤害抗性</t>
    </r>
    <r>
      <rPr>
        <sz val="10"/>
        <color theme="1"/>
        <rFont val="Times New Roman"/>
        <charset val="134"/>
      </rPr>
      <t>Damage Resistance</t>
    </r>
    <r>
      <rPr>
        <sz val="10"/>
        <color theme="1"/>
        <rFont val="宋体"/>
        <charset val="134"/>
      </rPr>
      <t>。你选择一种伤害类型：强酸，寒冷，火焰，闪电或雷鸣，你获得该伤害类型的抗性。你在每个你的回合开始时可以改变所选择的伤害类型。
破灭奔行</t>
    </r>
    <r>
      <rPr>
        <sz val="10"/>
        <color theme="1"/>
        <rFont val="Times New Roman"/>
        <charset val="134"/>
      </rPr>
      <t>Destructive Stride</t>
    </r>
    <r>
      <rPr>
        <sz val="10"/>
        <color theme="1"/>
        <rFont val="宋体"/>
        <charset val="134"/>
      </rPr>
      <t>。当你使用疾步如风时，你的速度提升</t>
    </r>
    <r>
      <rPr>
        <sz val="10"/>
        <color theme="1"/>
        <rFont val="Times New Roman"/>
        <charset val="134"/>
      </rPr>
      <t>20</t>
    </r>
    <r>
      <rPr>
        <sz val="10"/>
        <color theme="1"/>
        <rFont val="宋体"/>
        <charset val="134"/>
      </rPr>
      <t>尺，直至这个回合结束。在持续时间内，当你进入到某个生物</t>
    </r>
    <r>
      <rPr>
        <sz val="10"/>
        <color theme="1"/>
        <rFont val="Times New Roman"/>
        <charset val="134"/>
      </rPr>
      <t>5</t>
    </r>
    <r>
      <rPr>
        <sz val="10"/>
        <color theme="1"/>
        <rFont val="宋体"/>
        <charset val="134"/>
      </rPr>
      <t>尺范围内的时候，你可以对其造成相当于你武艺骰的伤害，数量不限。此伤害的类型由你选择：强酸，寒冷，火焰，闪电或雷鸣。一个生物每回合只会受到一次此伤害。
真力注拳</t>
    </r>
    <r>
      <rPr>
        <sz val="10"/>
        <color theme="1"/>
        <rFont val="Times New Roman"/>
        <charset val="134"/>
      </rPr>
      <t>Empowered Strikes</t>
    </r>
    <r>
      <rPr>
        <sz val="10"/>
        <color theme="1"/>
        <rFont val="宋体"/>
        <charset val="134"/>
      </rPr>
      <t>。每个你的回合一次，当你用徒手打击命中一个目标时，你可以对其造成相当于你武艺骰的额外伤害。此伤害的类型与此次徒手打击所造成的的伤害类型相同。</t>
    </r>
  </si>
  <si>
    <r>
      <rPr>
        <sz val="10"/>
        <color theme="1"/>
        <rFont val="宋体"/>
        <charset val="134"/>
      </rPr>
      <t>守御灵光</t>
    </r>
  </si>
  <si>
    <r>
      <rPr>
        <sz val="10"/>
        <color theme="1"/>
        <rFont val="宋体"/>
        <charset val="134"/>
      </rPr>
      <t>强大的远古魔法眷顾着你，以至于在你身边形成了一道神秘的结界，阻挡着来自物质位面外的能量；你和位于你守护灵光内的盟友获得对暗蚀，心灵以及光耀伤害的抗性。</t>
    </r>
  </si>
  <si>
    <r>
      <rPr>
        <sz val="10"/>
        <color theme="1"/>
        <rFont val="宋体"/>
        <charset val="134"/>
      </rPr>
      <t>追猎如风</t>
    </r>
  </si>
  <si>
    <r>
      <rPr>
        <sz val="10"/>
        <color theme="1"/>
        <rFont val="宋体"/>
        <charset val="134"/>
      </rPr>
      <t>你的恐惧打击造成的心灵伤害变为</t>
    </r>
    <r>
      <rPr>
        <sz val="10"/>
        <color theme="1"/>
        <rFont val="Times New Roman"/>
        <charset val="134"/>
      </rPr>
      <t>2d8</t>
    </r>
    <r>
      <rPr>
        <sz val="10"/>
        <color theme="1"/>
        <rFont val="宋体"/>
        <charset val="134"/>
      </rPr>
      <t>。另外，当你使用恐惧伏击的恐惧打击特性时，你可以创造出以下的额外效应之一。
瞬杀</t>
    </r>
    <r>
      <rPr>
        <sz val="10"/>
        <color theme="1"/>
        <rFont val="Times New Roman"/>
        <charset val="134"/>
      </rPr>
      <t>Sudden Strike</t>
    </r>
    <r>
      <rPr>
        <sz val="10"/>
        <color theme="1"/>
        <rFont val="宋体"/>
        <charset val="134"/>
      </rPr>
      <t>。你可以用同一把武器，对位于原目标</t>
    </r>
    <r>
      <rPr>
        <sz val="10"/>
        <color theme="1"/>
        <rFont val="Times New Roman"/>
        <charset val="134"/>
      </rPr>
      <t>5</t>
    </r>
    <r>
      <rPr>
        <sz val="10"/>
        <color theme="1"/>
        <rFont val="宋体"/>
        <charset val="134"/>
      </rPr>
      <t>尺范围内的另一生物再发动一次攻击，新目标必须处于你武器的触及或射程内。
群慌</t>
    </r>
    <r>
      <rPr>
        <sz val="10"/>
        <color theme="1"/>
        <rFont val="Times New Roman"/>
        <charset val="134"/>
      </rPr>
      <t>Mass Fear</t>
    </r>
    <r>
      <rPr>
        <sz val="10"/>
        <color theme="1"/>
        <rFont val="宋体"/>
        <charset val="134"/>
      </rPr>
      <t>。目标与位于目标</t>
    </r>
    <r>
      <rPr>
        <sz val="10"/>
        <color theme="1"/>
        <rFont val="Times New Roman"/>
        <charset val="134"/>
      </rPr>
      <t>10</t>
    </r>
    <r>
      <rPr>
        <sz val="10"/>
        <color theme="1"/>
        <rFont val="宋体"/>
        <charset val="134"/>
      </rPr>
      <t>尺范围内的每个生物都必须通过一次对抗你法术豁免</t>
    </r>
    <r>
      <rPr>
        <sz val="10"/>
        <color theme="1"/>
        <rFont val="Times New Roman"/>
        <charset val="134"/>
      </rPr>
      <t>DC</t>
    </r>
    <r>
      <rPr>
        <sz val="10"/>
        <color theme="1"/>
        <rFont val="宋体"/>
        <charset val="134"/>
      </rPr>
      <t>的感知豁免。若豁免失败，生物将会陷入恐慌状态，持续至你的下一回合开始。</t>
    </r>
  </si>
  <si>
    <r>
      <rPr>
        <sz val="10"/>
        <color theme="1"/>
        <rFont val="宋体"/>
        <charset val="134"/>
      </rPr>
      <t>灵魂之刃</t>
    </r>
  </si>
  <si>
    <r>
      <rPr>
        <sz val="10"/>
        <color theme="1"/>
        <rFont val="宋体"/>
        <charset val="134"/>
      </rPr>
      <t>你现在能能够通过念刃使用以下能力：
寻的斩击</t>
    </r>
    <r>
      <rPr>
        <sz val="10"/>
        <color theme="1"/>
        <rFont val="Times New Roman"/>
        <charset val="134"/>
      </rPr>
      <t>Homing Strikes</t>
    </r>
    <r>
      <rPr>
        <sz val="10"/>
        <color theme="1"/>
        <rFont val="宋体"/>
        <charset val="134"/>
      </rPr>
      <t>。如果你在使用念刃进行攻击检定时没有命中目标，你可以掷一枚灵能骰，并将掷骰结果加到这次攻击检定中。如果这使攻击变为了命中，那枚灵能骰将被消耗。
心灵传送</t>
    </r>
    <r>
      <rPr>
        <sz val="10"/>
        <color theme="1"/>
        <rFont val="Times New Roman"/>
        <charset val="134"/>
      </rPr>
      <t>Psychic Teleportation</t>
    </r>
    <r>
      <rPr>
        <sz val="10"/>
        <color theme="1"/>
        <rFont val="宋体"/>
        <charset val="134"/>
      </rPr>
      <t>。以一个附赠动作，你塑造一把念刃，消耗并投掷一枚灵能骰，将心灵之刃投掷到至多距离灵能骰结果数字十倍尺数的一处可见的未占据空间内。你传送到目标位置，同时那把念刃将消失。</t>
    </r>
  </si>
  <si>
    <r>
      <rPr>
        <sz val="10"/>
        <color theme="1"/>
        <rFont val="宋体"/>
        <charset val="134"/>
      </rPr>
      <t>时械矩阵</t>
    </r>
  </si>
  <si>
    <r>
      <rPr>
        <sz val="10"/>
        <color theme="1"/>
        <rFont val="宋体"/>
        <charset val="134"/>
      </rPr>
      <t>你召唤出秩序的精魂以抹除周遭的混乱。以一个魔法动作，你在以你为源点的</t>
    </r>
    <r>
      <rPr>
        <sz val="10"/>
        <color theme="1"/>
        <rFont val="Times New Roman"/>
        <charset val="134"/>
      </rPr>
      <t>30</t>
    </r>
    <r>
      <rPr>
        <sz val="10"/>
        <color theme="1"/>
        <rFont val="宋体"/>
        <charset val="134"/>
      </rPr>
      <t>尺立方空间范围内召唤出一些精魂。这些精魂看起来像是魔冢或你选择的其他构装，其没有实体也无法被摧毁，并在消失前使立方范围内产生以下效应。此特性一经使用，直到完成一次长休前都不能再次使用。你也可以消耗</t>
    </r>
    <r>
      <rPr>
        <sz val="10"/>
        <color theme="1"/>
        <rFont val="Times New Roman"/>
        <charset val="134"/>
      </rPr>
      <t>7</t>
    </r>
    <r>
      <rPr>
        <sz val="10"/>
        <color theme="1"/>
        <rFont val="宋体"/>
        <charset val="134"/>
      </rPr>
      <t>点术法点（无需动作）以恢复此特性的使用次数。
治愈</t>
    </r>
    <r>
      <rPr>
        <sz val="10"/>
        <color theme="1"/>
        <rFont val="Times New Roman"/>
        <charset val="134"/>
      </rPr>
      <t>Heal</t>
    </r>
    <r>
      <rPr>
        <sz val="10"/>
        <color theme="1"/>
        <rFont val="宋体"/>
        <charset val="134"/>
      </rPr>
      <t>。精魂合计提供至多回复</t>
    </r>
    <r>
      <rPr>
        <sz val="10"/>
        <color theme="1"/>
        <rFont val="Times New Roman"/>
        <charset val="134"/>
      </rPr>
      <t>100</t>
    </r>
    <r>
      <rPr>
        <sz val="10"/>
        <color theme="1"/>
        <rFont val="宋体"/>
        <charset val="134"/>
      </rPr>
      <t>生命值，由你随意分配给范围内任意数量的生物。
修复</t>
    </r>
    <r>
      <rPr>
        <sz val="10"/>
        <color theme="1"/>
        <rFont val="Times New Roman"/>
        <charset val="134"/>
      </rPr>
      <t>Repair</t>
    </r>
    <r>
      <rPr>
        <sz val="10"/>
        <color theme="1"/>
        <rFont val="宋体"/>
        <charset val="134"/>
      </rPr>
      <t>。范围内损坏的物件将被立即修复。
破法</t>
    </r>
    <r>
      <rPr>
        <sz val="10"/>
        <color theme="1"/>
        <rFont val="Times New Roman"/>
        <charset val="134"/>
      </rPr>
      <t>Dispel</t>
    </r>
    <r>
      <rPr>
        <sz val="10"/>
        <color theme="1"/>
        <rFont val="宋体"/>
        <charset val="134"/>
      </rPr>
      <t>。你选择范围内任意数量的生物或物件，其承受的任何六环或以下的法术结束。</t>
    </r>
  </si>
  <si>
    <r>
      <rPr>
        <sz val="10"/>
        <color theme="1"/>
        <rFont val="宋体"/>
        <charset val="134"/>
      </rPr>
      <t>深海馈赠</t>
    </r>
  </si>
  <si>
    <r>
      <rPr>
        <sz val="10"/>
        <color theme="1"/>
        <rFont val="宋体"/>
        <charset val="134"/>
      </rPr>
      <t>先决：魔契师等级</t>
    </r>
    <r>
      <rPr>
        <sz val="10"/>
        <color theme="1"/>
        <rFont val="Times New Roman"/>
        <charset val="134"/>
      </rPr>
      <t xml:space="preserve">5+
</t>
    </r>
    <r>
      <rPr>
        <sz val="10"/>
        <color theme="1"/>
        <rFont val="宋体"/>
        <charset val="134"/>
      </rPr>
      <t>你可以在水下呼吸，且你具有等于你速度的游泳速度。
此外，你还可以施展一次水下呼吸</t>
    </r>
    <r>
      <rPr>
        <sz val="10"/>
        <color theme="1"/>
        <rFont val="Times New Roman"/>
        <charset val="134"/>
      </rPr>
      <t>Water Breathing</t>
    </r>
    <r>
      <rPr>
        <sz val="10"/>
        <color theme="1"/>
        <rFont val="宋体"/>
        <charset val="134"/>
      </rPr>
      <t>且无需消耗法术位。完成一次长休后，你重获以此法施展该法术的能力。</t>
    </r>
    <r>
      <rPr>
        <sz val="10"/>
        <color theme="1"/>
        <rFont val="Times New Roman"/>
        <charset val="134"/>
      </rPr>
      <t xml:space="preserve"> </t>
    </r>
  </si>
  <si>
    <r>
      <rPr>
        <sz val="10"/>
        <color theme="1"/>
        <rFont val="宋体"/>
        <charset val="134"/>
      </rPr>
      <t>强化幻术</t>
    </r>
  </si>
  <si>
    <r>
      <rPr>
        <sz val="10"/>
        <color theme="1"/>
        <rFont val="宋体"/>
        <charset val="134"/>
      </rPr>
      <t>你施展幻术学派法术时无需言语成分，且若你施展的幻术学派法术的施法距离不小于</t>
    </r>
    <r>
      <rPr>
        <sz val="10"/>
        <color theme="1"/>
        <rFont val="Times New Roman"/>
        <charset val="134"/>
      </rPr>
      <t>10</t>
    </r>
    <r>
      <rPr>
        <sz val="10"/>
        <color theme="1"/>
        <rFont val="宋体"/>
        <charset val="134"/>
      </rPr>
      <t>尺，则其施法距离增加</t>
    </r>
    <r>
      <rPr>
        <sz val="10"/>
        <color theme="1"/>
        <rFont val="Times New Roman"/>
        <charset val="134"/>
      </rPr>
      <t>60</t>
    </r>
    <r>
      <rPr>
        <sz val="10"/>
        <color theme="1"/>
        <rFont val="宋体"/>
        <charset val="134"/>
      </rPr>
      <t>尺。
你同时已知次级幻象</t>
    </r>
    <r>
      <rPr>
        <sz val="10"/>
        <color theme="1"/>
        <rFont val="Times New Roman"/>
        <charset val="134"/>
      </rPr>
      <t>Minor Illusion</t>
    </r>
    <r>
      <rPr>
        <sz val="10"/>
        <color theme="1"/>
        <rFont val="宋体"/>
        <charset val="134"/>
      </rPr>
      <t>戏法。如果你已经已知了此戏法，则你习得另一道你选择的法师戏法。此戏法不计入你的已知戏法数。当你施展次级幻象时，可以在一次施法中同时创造出声音和影像，并且你能以一个附赠动作施展它。</t>
    </r>
  </si>
  <si>
    <t>每当你在自己回合内执行攻击动作时，可以发动两次攻击而非一次。</t>
  </si>
  <si>
    <t>强化念力</t>
  </si>
  <si>
    <r>
      <rPr>
        <sz val="10"/>
        <color theme="1"/>
        <rFont val="宋体"/>
        <charset val="134"/>
      </rPr>
      <t>当你施展法师之手时，其施法距离增加</t>
    </r>
    <r>
      <rPr>
        <sz val="10"/>
        <color theme="1"/>
        <rFont val="Times New Roman"/>
        <charset val="134"/>
      </rPr>
      <t>30</t>
    </r>
    <r>
      <rPr>
        <sz val="10"/>
        <color theme="1"/>
        <rFont val="宋体"/>
        <charset val="134"/>
      </rPr>
      <t>尺，且该法师之手可以承载至多</t>
    </r>
    <r>
      <rPr>
        <sz val="10"/>
        <color theme="1"/>
        <rFont val="Times New Roman"/>
        <charset val="134"/>
      </rPr>
      <t>20</t>
    </r>
    <r>
      <rPr>
        <sz val="10"/>
        <color theme="1"/>
        <rFont val="宋体"/>
        <charset val="134"/>
      </rPr>
      <t>磅重。</t>
    </r>
  </si>
  <si>
    <r>
      <rPr>
        <sz val="10"/>
        <color theme="1"/>
        <rFont val="宋体"/>
        <charset val="134"/>
      </rPr>
      <t>你磨练了你的鲜血秘法，可以以其撕碎你同伴身上的邪恶影响，并惩罚渗透他们身体与意志的存在。你学会驱魔血咒，且不计入你的已知血咒数量。</t>
    </r>
  </si>
  <si>
    <r>
      <rPr>
        <sz val="10"/>
        <color theme="1"/>
        <rFont val="宋体"/>
        <charset val="134"/>
      </rPr>
      <t>外科打击</t>
    </r>
  </si>
  <si>
    <r>
      <rPr>
        <sz val="10"/>
        <color theme="1"/>
        <rFont val="宋体"/>
        <charset val="134"/>
      </rPr>
      <t>先决：药剂师等级</t>
    </r>
    <r>
      <rPr>
        <sz val="10"/>
        <color theme="1"/>
        <rFont val="Times New Roman"/>
        <charset val="134"/>
      </rPr>
      <t xml:space="preserve">6+ 
</t>
    </r>
    <r>
      <rPr>
        <sz val="10"/>
        <color theme="1"/>
        <rFont val="宋体"/>
        <charset val="134"/>
      </rPr>
      <t>你在自己回合内执行攻击动作时可以发动两次攻击而非一次。</t>
    </r>
  </si>
  <si>
    <t>杀戮许可</t>
  </si>
  <si>
    <t>每当你使用远程武器造成伤害时，你可以消耗一或两枚风险骰加入伤害掷骰中。若你的风险骰掷出最高点，你可以无消耗地再次掷骰并将其加入伤害中，若仍掷出最高点，则再次掷骰，以此类推。你可以加入伤害中的风险骰数最多等于你的熟练加值。</t>
  </si>
  <si>
    <t>阿斯蒙蒂斯之赐</t>
  </si>
  <si>
    <t>当阿斯蒙蒂斯接纳你成为筑灭师时，你将获得来自炼狱的学识。你获得以下技能之一的熟练：奥秘、历史、自然或宗教。
此外，你现在可以读或写叉舌特性赋予你的语言，而非仅仅是说。</t>
  </si>
  <si>
    <t>龌龊诡技</t>
  </si>
  <si>
    <r>
      <rPr>
        <sz val="10"/>
        <color theme="1"/>
        <rFont val="宋体"/>
        <charset val="134"/>
      </rPr>
      <t>你获得下列额外的腌臜诡技。你每回合仅能使用一次腌臜诡技，且一旦你使用了某个腌臜诡技，直至完成短休或长休你都无法再次使用该诡技。
后脑兔击</t>
    </r>
    <r>
      <rPr>
        <sz val="10"/>
        <color theme="1"/>
        <rFont val="Times New Roman"/>
        <charset val="134"/>
      </rPr>
      <t>Rabbit Punch</t>
    </r>
    <r>
      <rPr>
        <sz val="10"/>
        <color theme="1"/>
        <rFont val="宋体"/>
        <charset val="134"/>
      </rPr>
      <t>。</t>
    </r>
    <r>
      <rPr>
        <sz val="10"/>
        <color theme="1"/>
        <rFont val="Times New Roman"/>
        <charset val="134"/>
      </rPr>
      <t xml:space="preserve"> </t>
    </r>
    <r>
      <rPr>
        <sz val="10"/>
        <color theme="1"/>
        <rFont val="宋体"/>
        <charset val="134"/>
      </rPr>
      <t>当你以徒手打击或拳斗武器命中一名生物时，你猛击其头部。该生物失去其心灵伤害抗性（若有）且其豁免检定具有劣势，持续至你的下个回合结束。
混球暗袭</t>
    </r>
    <r>
      <rPr>
        <sz val="10"/>
        <color theme="1"/>
        <rFont val="Times New Roman"/>
        <charset val="134"/>
      </rPr>
      <t>Sucker Punch</t>
    </r>
    <r>
      <rPr>
        <sz val="10"/>
        <color theme="1"/>
        <rFont val="宋体"/>
        <charset val="134"/>
      </rPr>
      <t>。</t>
    </r>
    <r>
      <rPr>
        <sz val="10"/>
        <color theme="1"/>
        <rFont val="Times New Roman"/>
        <charset val="134"/>
      </rPr>
      <t xml:space="preserve"> </t>
    </r>
    <r>
      <rPr>
        <sz val="10"/>
        <color theme="1"/>
        <rFont val="宋体"/>
        <charset val="134"/>
      </rPr>
      <t>当你以徒手打击或拳斗武器命中一名生物时，你能将命中改为重击命中。对此重击命中，你改为投掷三次该攻击的伤害骰并将其累加，而非平常的两次。</t>
    </r>
  </si>
  <si>
    <r>
      <rPr>
        <sz val="10"/>
        <color theme="1"/>
        <rFont val="宋体"/>
        <charset val="134"/>
      </rPr>
      <t>暮光领域</t>
    </r>
  </si>
  <si>
    <r>
      <rPr>
        <sz val="10"/>
        <color theme="1"/>
        <rFont val="宋体"/>
        <charset val="134"/>
      </rPr>
      <t>神之狂暴</t>
    </r>
  </si>
  <si>
    <r>
      <rPr>
        <sz val="10"/>
        <color theme="1"/>
        <rFont val="宋体"/>
        <charset val="134"/>
      </rPr>
      <t>当你激活狂暴时，你可以呈现出圣斗士姿态。圣斗士姿态持续</t>
    </r>
    <r>
      <rPr>
        <sz val="10"/>
        <color theme="1"/>
        <rFont val="Times New Roman"/>
        <charset val="134"/>
      </rPr>
      <t>1</t>
    </r>
    <r>
      <rPr>
        <sz val="10"/>
        <color theme="1"/>
        <rFont val="宋体"/>
        <charset val="134"/>
      </rPr>
      <t>分钟，且在你生命值降至</t>
    </r>
    <r>
      <rPr>
        <sz val="10"/>
        <color theme="1"/>
        <rFont val="Times New Roman"/>
        <charset val="134"/>
      </rPr>
      <t>0</t>
    </r>
    <r>
      <rPr>
        <sz val="10"/>
        <color theme="1"/>
        <rFont val="宋体"/>
        <charset val="134"/>
      </rPr>
      <t>时提前结束。此特性一经使用，直至完成长休你都无法再次使用。
处于圣斗士姿态期间，你获得以下增益。</t>
    </r>
    <r>
      <rPr>
        <sz val="10"/>
        <color theme="1"/>
        <rFont val="Times New Roman"/>
        <charset val="134"/>
      </rPr>
      <t xml:space="preserve"> 
</t>
    </r>
    <r>
      <rPr>
        <sz val="10"/>
        <color theme="1"/>
        <rFont val="宋体"/>
        <charset val="134"/>
      </rPr>
      <t>飞翔</t>
    </r>
    <r>
      <rPr>
        <sz val="10"/>
        <color theme="1"/>
        <rFont val="Times New Roman"/>
        <charset val="134"/>
      </rPr>
      <t>Flight</t>
    </r>
    <r>
      <rPr>
        <sz val="10"/>
        <color theme="1"/>
        <rFont val="宋体"/>
        <charset val="134"/>
      </rPr>
      <t>。你具有等于你速度的飞行速度，并且可以悬浮。
抗性</t>
    </r>
    <r>
      <rPr>
        <sz val="10"/>
        <color theme="1"/>
        <rFont val="Times New Roman"/>
        <charset val="134"/>
      </rPr>
      <t>Resistance</t>
    </r>
    <r>
      <rPr>
        <sz val="10"/>
        <color theme="1"/>
        <rFont val="宋体"/>
        <charset val="134"/>
      </rPr>
      <t>。你具有对暗蚀、心灵和光耀伤害的抗性。
回春</t>
    </r>
    <r>
      <rPr>
        <sz val="10"/>
        <color theme="1"/>
        <rFont val="Times New Roman"/>
        <charset val="134"/>
      </rPr>
      <t>Revivification</t>
    </r>
    <r>
      <rPr>
        <sz val="10"/>
        <color theme="1"/>
        <rFont val="宋体"/>
        <charset val="134"/>
      </rPr>
      <t>。当位于你</t>
    </r>
    <r>
      <rPr>
        <sz val="10"/>
        <color theme="1"/>
        <rFont val="Times New Roman"/>
        <charset val="134"/>
      </rPr>
      <t>30</t>
    </r>
    <r>
      <rPr>
        <sz val="10"/>
        <color theme="1"/>
        <rFont val="宋体"/>
        <charset val="134"/>
      </rPr>
      <t>尺内的一名生物的生命值将要降至</t>
    </r>
    <r>
      <rPr>
        <sz val="10"/>
        <color theme="1"/>
        <rFont val="Times New Roman"/>
        <charset val="134"/>
      </rPr>
      <t>0</t>
    </r>
    <r>
      <rPr>
        <sz val="10"/>
        <color theme="1"/>
        <rFont val="宋体"/>
        <charset val="134"/>
      </rPr>
      <t>时，你能够以反应消耗一次狂暴使用次数，令目标的生命值变为等于你野蛮人等级的值。</t>
    </r>
  </si>
  <si>
    <r>
      <rPr>
        <sz val="10"/>
        <color theme="1"/>
        <rFont val="宋体"/>
        <charset val="134"/>
      </rPr>
      <t>你在自己回合内执行攻击动作时可以攻击两次而非一次。</t>
    </r>
  </si>
  <si>
    <r>
      <rPr>
        <sz val="10"/>
        <color theme="1"/>
        <rFont val="宋体"/>
        <charset val="134"/>
      </rPr>
      <t>战神祝福</t>
    </r>
  </si>
  <si>
    <r>
      <rPr>
        <sz val="10"/>
        <color theme="1"/>
        <rFont val="宋体"/>
        <charset val="134"/>
      </rPr>
      <t>你可以使用你的引导神力来施展虔诚护盾</t>
    </r>
    <r>
      <rPr>
        <sz val="10"/>
        <color theme="1"/>
        <rFont val="Times New Roman"/>
        <charset val="134"/>
      </rPr>
      <t>Shield of Faith</t>
    </r>
    <r>
      <rPr>
        <sz val="10"/>
        <color theme="1"/>
        <rFont val="宋体"/>
        <charset val="134"/>
      </rPr>
      <t>或者灵体武器</t>
    </r>
    <r>
      <rPr>
        <sz val="10"/>
        <color theme="1"/>
        <rFont val="Times New Roman"/>
        <charset val="134"/>
      </rPr>
      <t>Spiritual Weapon</t>
    </r>
    <r>
      <rPr>
        <sz val="10"/>
        <color theme="1"/>
        <rFont val="宋体"/>
        <charset val="134"/>
      </rPr>
      <t>而无需消耗法术位。当你以这种方式施展其中任何一道法术时，该法术都不需要专注，且其持续时间变为</t>
    </r>
    <r>
      <rPr>
        <sz val="10"/>
        <color theme="1"/>
        <rFont val="Times New Roman"/>
        <charset val="134"/>
      </rPr>
      <t>1</t>
    </r>
    <r>
      <rPr>
        <sz val="10"/>
        <color theme="1"/>
        <rFont val="宋体"/>
        <charset val="134"/>
      </rPr>
      <t>分钟，但会在你再次施展该法术、陷入失能状态或是死亡时提前结束。</t>
    </r>
  </si>
  <si>
    <r>
      <rPr>
        <sz val="10"/>
        <color theme="1"/>
        <rFont val="宋体"/>
        <charset val="134"/>
      </rPr>
      <t>大洋慨赠</t>
    </r>
  </si>
  <si>
    <r>
      <rPr>
        <sz val="10"/>
        <color theme="1"/>
        <rFont val="宋体"/>
        <charset val="134"/>
      </rPr>
      <t>当你使用瀚海之怒时，你可以让</t>
    </r>
    <r>
      <rPr>
        <sz val="10"/>
        <color theme="1"/>
        <rFont val="Times New Roman"/>
        <charset val="134"/>
      </rPr>
      <t>60</t>
    </r>
    <r>
      <rPr>
        <sz val="10"/>
        <color theme="1"/>
        <rFont val="宋体"/>
        <charset val="134"/>
      </rPr>
      <t>尺内一个自愿生物而非你自己身上显现出光环。该生物获得光环的所有增益，并在特性中使用你的法术豁免</t>
    </r>
    <r>
      <rPr>
        <sz val="10"/>
        <color theme="1"/>
        <rFont val="Times New Roman"/>
        <charset val="134"/>
      </rPr>
      <t>DC</t>
    </r>
    <r>
      <rPr>
        <sz val="10"/>
        <color theme="1"/>
        <rFont val="宋体"/>
        <charset val="134"/>
      </rPr>
      <t>和感知调整值。
此外，如果你消耗两次而非一次荒野变形使用次数，你可以同时在你自己和另一个生物身上显现出光环。</t>
    </r>
  </si>
  <si>
    <r>
      <rPr>
        <sz val="10"/>
        <color theme="1"/>
        <rFont val="宋体"/>
        <charset val="134"/>
      </rPr>
      <t>料敌机先</t>
    </r>
  </si>
  <si>
    <r>
      <rPr>
        <sz val="10"/>
        <color theme="1"/>
        <rFont val="宋体"/>
        <charset val="134"/>
      </rPr>
      <t>以一个附赠动作，你可以获知一名位于你</t>
    </r>
    <r>
      <rPr>
        <sz val="10"/>
        <color theme="1"/>
        <rFont val="Times New Roman"/>
        <charset val="134"/>
      </rPr>
      <t>30</t>
    </r>
    <r>
      <rPr>
        <sz val="10"/>
        <color theme="1"/>
        <rFont val="宋体"/>
        <charset val="134"/>
      </rPr>
      <t>尺内你可见的生物的长处和短处。你知晓该生物是否具有抗性、免疫或易伤，若有，则你知晓其具体内容是什么。
此特性一经使用，直至完成长休你都无法再次使用。你也可以消耗</t>
    </r>
    <r>
      <rPr>
        <sz val="10"/>
        <color theme="1"/>
        <rFont val="Times New Roman"/>
        <charset val="134"/>
      </rPr>
      <t>1</t>
    </r>
    <r>
      <rPr>
        <sz val="10"/>
        <color theme="1"/>
        <rFont val="宋体"/>
        <charset val="134"/>
      </rPr>
      <t>粒卓越骰（无需动作）重置该特性的使用权。</t>
    </r>
  </si>
  <si>
    <r>
      <rPr>
        <sz val="10"/>
        <color theme="1"/>
        <rFont val="宋体"/>
        <charset val="134"/>
      </rPr>
      <t>散打技巧</t>
    </r>
  </si>
  <si>
    <r>
      <rPr>
        <sz val="10"/>
        <color theme="1"/>
        <rFont val="宋体"/>
        <charset val="134"/>
      </rPr>
      <t>每当你疾风连击中的一次攻击命中一个生物时，你可以迫使其承受下列效应之一：
慌神</t>
    </r>
    <r>
      <rPr>
        <sz val="10"/>
        <color theme="1"/>
        <rFont val="Times New Roman"/>
        <charset val="134"/>
      </rPr>
      <t>Addle</t>
    </r>
    <r>
      <rPr>
        <sz val="10"/>
        <color theme="1"/>
        <rFont val="宋体"/>
        <charset val="134"/>
      </rPr>
      <t>。目标直至他的下个回合开始不能使用借机攻击。
推离</t>
    </r>
    <r>
      <rPr>
        <sz val="10"/>
        <color theme="1"/>
        <rFont val="Times New Roman"/>
        <charset val="134"/>
      </rPr>
      <t>Push</t>
    </r>
    <r>
      <rPr>
        <sz val="10"/>
        <color theme="1"/>
        <rFont val="宋体"/>
        <charset val="134"/>
      </rPr>
      <t>。目标必须成功通过一次力量豁免，否则被你推离</t>
    </r>
    <r>
      <rPr>
        <sz val="10"/>
        <color theme="1"/>
        <rFont val="Times New Roman"/>
        <charset val="134"/>
      </rPr>
      <t>15</t>
    </r>
    <r>
      <rPr>
        <sz val="10"/>
        <color theme="1"/>
        <rFont val="宋体"/>
        <charset val="134"/>
      </rPr>
      <t>尺。
失衡</t>
    </r>
    <r>
      <rPr>
        <sz val="10"/>
        <color theme="1"/>
        <rFont val="Times New Roman"/>
        <charset val="134"/>
      </rPr>
      <t>Topple</t>
    </r>
    <r>
      <rPr>
        <sz val="10"/>
        <color theme="1"/>
        <rFont val="宋体"/>
        <charset val="134"/>
      </rPr>
      <t>。</t>
    </r>
    <r>
      <rPr>
        <sz val="10"/>
        <color theme="1"/>
        <rFont val="Times New Roman"/>
        <charset val="134"/>
      </rPr>
      <t xml:space="preserve"> </t>
    </r>
    <r>
      <rPr>
        <sz val="10"/>
        <color theme="1"/>
        <rFont val="宋体"/>
        <charset val="134"/>
      </rPr>
      <t>目标必须成功通过一次敏捷豁免，否则陷入倒地状态。</t>
    </r>
  </si>
  <si>
    <r>
      <rPr>
        <sz val="10"/>
        <color theme="1"/>
        <rFont val="宋体"/>
        <charset val="134"/>
      </rPr>
      <t>不灭哨卫</t>
    </r>
  </si>
  <si>
    <r>
      <rPr>
        <sz val="10"/>
        <color theme="1"/>
        <rFont val="宋体"/>
        <charset val="134"/>
      </rPr>
      <t>当你生命值降至</t>
    </r>
    <r>
      <rPr>
        <sz val="10"/>
        <color theme="1"/>
        <rFont val="Times New Roman"/>
        <charset val="134"/>
      </rPr>
      <t>0</t>
    </r>
    <r>
      <rPr>
        <sz val="10"/>
        <color theme="1"/>
        <rFont val="宋体"/>
        <charset val="134"/>
      </rPr>
      <t>点，但尚未被直接杀死时，可以选择让你的生命值降到</t>
    </r>
    <r>
      <rPr>
        <sz val="10"/>
        <color theme="1"/>
        <rFont val="Times New Roman"/>
        <charset val="134"/>
      </rPr>
      <t>1</t>
    </r>
    <r>
      <rPr>
        <sz val="10"/>
        <color theme="1"/>
        <rFont val="宋体"/>
        <charset val="134"/>
      </rPr>
      <t>点而不是</t>
    </r>
    <r>
      <rPr>
        <sz val="10"/>
        <color theme="1"/>
        <rFont val="Times New Roman"/>
        <charset val="134"/>
      </rPr>
      <t>0</t>
    </r>
    <r>
      <rPr>
        <sz val="10"/>
        <color theme="1"/>
        <rFont val="宋体"/>
        <charset val="134"/>
      </rPr>
      <t>点，然后你再恢复相当于你圣武士等级三倍的生命值。你必须完成一次长休后才能再次使用该能力。
此外，你不会因为魔法效应而衰老，你的外表也会停止老去。</t>
    </r>
  </si>
  <si>
    <r>
      <rPr>
        <sz val="10"/>
        <color theme="1"/>
        <rFont val="宋体"/>
        <charset val="134"/>
      </rPr>
      <t>如影随行</t>
    </r>
  </si>
  <si>
    <r>
      <rPr>
        <sz val="10"/>
        <color theme="1"/>
        <rFont val="宋体"/>
        <charset val="134"/>
      </rPr>
      <t>当一个生物对你发动了一次攻击检定时，你能用反应对这次检定施加劣势。不管那次攻击命中或失手，你都能在那之后传送至你</t>
    </r>
    <r>
      <rPr>
        <sz val="10"/>
        <color theme="1"/>
        <rFont val="Times New Roman"/>
        <charset val="134"/>
      </rPr>
      <t>30</t>
    </r>
    <r>
      <rPr>
        <sz val="10"/>
        <color theme="1"/>
        <rFont val="宋体"/>
        <charset val="134"/>
      </rPr>
      <t>尺范围内的一处未被占据的、你可见的空间。</t>
    </r>
  </si>
  <si>
    <r>
      <rPr>
        <sz val="10"/>
        <color theme="1"/>
        <rFont val="宋体"/>
        <charset val="134"/>
      </rPr>
      <t>灵能面纱</t>
    </r>
  </si>
  <si>
    <r>
      <rPr>
        <sz val="10"/>
        <color theme="1"/>
        <rFont val="宋体"/>
        <charset val="134"/>
      </rPr>
      <t>你可以编织一层灵能面纱来掩盖你。以一个魔法动作，你获得隐形状态持续至多</t>
    </r>
    <r>
      <rPr>
        <sz val="10"/>
        <color theme="1"/>
        <rFont val="Times New Roman"/>
        <charset val="134"/>
      </rPr>
      <t>1</t>
    </r>
    <r>
      <rPr>
        <sz val="10"/>
        <color theme="1"/>
        <rFont val="宋体"/>
        <charset val="134"/>
      </rPr>
      <t>小时或直到你主动解除隐形（无需动作）。造成伤害或迫使一个生物进行豁免检定会导致隐形状态立刻结束。
此特性一经使用，直至完成长休你都无法再次使用。你也可以消耗一枚灵能骰（无需动作）重置该特性的使用权。</t>
    </r>
  </si>
  <si>
    <r>
      <rPr>
        <sz val="10"/>
        <color theme="1"/>
        <rFont val="宋体"/>
        <charset val="134"/>
      </rPr>
      <t>龙族体魄</t>
    </r>
  </si>
  <si>
    <r>
      <rPr>
        <sz val="10"/>
        <color theme="1"/>
        <rFont val="宋体"/>
        <charset val="134"/>
      </rPr>
      <t>魔法在你的体内流动，外化为龙族赠礼体现出的生理特质。你的生命值上限提升</t>
    </r>
    <r>
      <rPr>
        <sz val="10"/>
        <color theme="1"/>
        <rFont val="Times New Roman"/>
        <charset val="134"/>
      </rPr>
      <t>3</t>
    </r>
    <r>
      <rPr>
        <sz val="10"/>
        <color theme="1"/>
        <rFont val="宋体"/>
        <charset val="134"/>
      </rPr>
      <t>，此后每提升一个术士等级，都将再次提升</t>
    </r>
    <r>
      <rPr>
        <sz val="10"/>
        <color theme="1"/>
        <rFont val="Times New Roman"/>
        <charset val="134"/>
      </rPr>
      <t>1</t>
    </r>
    <r>
      <rPr>
        <sz val="10"/>
        <color theme="1"/>
        <rFont val="宋体"/>
        <charset val="134"/>
      </rPr>
      <t>。
你部分皮肤覆盖着龙鳞样式的柔鳞。未着装护甲时，你的基础</t>
    </r>
    <r>
      <rPr>
        <sz val="10"/>
        <color theme="1"/>
        <rFont val="Times New Roman"/>
        <charset val="134"/>
      </rPr>
      <t>AC</t>
    </r>
    <r>
      <rPr>
        <sz val="10"/>
        <color theme="1"/>
        <rFont val="宋体"/>
        <charset val="134"/>
      </rPr>
      <t>等于</t>
    </r>
    <r>
      <rPr>
        <sz val="10"/>
        <color theme="1"/>
        <rFont val="Times New Roman"/>
        <charset val="134"/>
      </rPr>
      <t>10+</t>
    </r>
    <r>
      <rPr>
        <sz val="10"/>
        <color theme="1"/>
        <rFont val="宋体"/>
        <charset val="134"/>
      </rPr>
      <t>你的敏捷调整值＋你的魅力调整值。</t>
    </r>
  </si>
  <si>
    <r>
      <rPr>
        <sz val="10"/>
        <color theme="1"/>
        <rFont val="宋体"/>
        <charset val="134"/>
      </rPr>
      <t>链主赋能</t>
    </r>
  </si>
  <si>
    <r>
      <rPr>
        <sz val="10"/>
        <color theme="1"/>
        <rFont val="宋体"/>
        <charset val="134"/>
      </rPr>
      <t>先决：魔契师等级</t>
    </r>
    <r>
      <rPr>
        <sz val="10"/>
        <color theme="1"/>
        <rFont val="Times New Roman"/>
        <charset val="134"/>
      </rPr>
      <t>5+</t>
    </r>
    <r>
      <rPr>
        <sz val="10"/>
        <color theme="1"/>
        <rFont val="宋体"/>
        <charset val="134"/>
      </rPr>
      <t>，具有链之魔契祈唤
当你施展寻获魔宠</t>
    </r>
    <r>
      <rPr>
        <sz val="10"/>
        <color theme="1"/>
        <rFont val="Times New Roman"/>
        <charset val="134"/>
      </rPr>
      <t xml:space="preserve">Find Familiar </t>
    </r>
    <r>
      <rPr>
        <sz val="10"/>
        <color theme="1"/>
        <rFont val="宋体"/>
        <charset val="134"/>
      </rPr>
      <t>时，你将一定程度的魔能力量灌注给被召唤的魔宠，给予这个生物以下增益：</t>
    </r>
    <r>
      <rPr>
        <sz val="10"/>
        <color theme="1"/>
        <rFont val="Times New Roman"/>
        <charset val="134"/>
      </rPr>
      <t xml:space="preserve"> 
</t>
    </r>
    <r>
      <rPr>
        <sz val="10"/>
        <color theme="1"/>
        <rFont val="宋体"/>
        <charset val="134"/>
      </rPr>
      <t>翔空</t>
    </r>
    <r>
      <rPr>
        <sz val="10"/>
        <color theme="1"/>
        <rFont val="Times New Roman"/>
        <charset val="134"/>
      </rPr>
      <t>/</t>
    </r>
    <r>
      <rPr>
        <sz val="10"/>
        <color theme="1"/>
        <rFont val="宋体"/>
        <charset val="134"/>
      </rPr>
      <t>潜渊</t>
    </r>
    <r>
      <rPr>
        <sz val="10"/>
        <color theme="1"/>
        <rFont val="Times New Roman"/>
        <charset val="134"/>
      </rPr>
      <t>Aerial or Aquatic</t>
    </r>
    <r>
      <rPr>
        <sz val="10"/>
        <color theme="1"/>
        <rFont val="宋体"/>
        <charset val="134"/>
      </rPr>
      <t>。</t>
    </r>
    <r>
      <rPr>
        <sz val="10"/>
        <color theme="1"/>
        <rFont val="Times New Roman"/>
        <charset val="134"/>
      </rPr>
      <t xml:space="preserve"> </t>
    </r>
    <r>
      <rPr>
        <sz val="10"/>
        <color theme="1"/>
        <rFont val="宋体"/>
        <charset val="134"/>
      </rPr>
      <t>该魔宠获得</t>
    </r>
    <r>
      <rPr>
        <sz val="10"/>
        <color theme="1"/>
        <rFont val="Times New Roman"/>
        <charset val="134"/>
      </rPr>
      <t>40</t>
    </r>
    <r>
      <rPr>
        <sz val="10"/>
        <color theme="1"/>
        <rFont val="宋体"/>
        <charset val="134"/>
      </rPr>
      <t>尺的飞行速度或游泳速度（由你选择）。
迅捷打击</t>
    </r>
    <r>
      <rPr>
        <sz val="10"/>
        <color theme="1"/>
        <rFont val="Times New Roman"/>
        <charset val="134"/>
      </rPr>
      <t>Quick Attack</t>
    </r>
    <r>
      <rPr>
        <sz val="10"/>
        <color theme="1"/>
        <rFont val="宋体"/>
        <charset val="134"/>
      </rPr>
      <t>。</t>
    </r>
    <r>
      <rPr>
        <sz val="10"/>
        <color theme="1"/>
        <rFont val="Times New Roman"/>
        <charset val="134"/>
      </rPr>
      <t xml:space="preserve"> </t>
    </r>
    <r>
      <rPr>
        <sz val="10"/>
        <color theme="1"/>
        <rFont val="宋体"/>
        <charset val="134"/>
      </rPr>
      <t>你可以使用一个附赠动作，指挥你的魔宠执行攻击动作。
光影注能</t>
    </r>
    <r>
      <rPr>
        <sz val="10"/>
        <color theme="1"/>
        <rFont val="Times New Roman"/>
        <charset val="134"/>
      </rPr>
      <t>Necrotic or Radiant Damage</t>
    </r>
    <r>
      <rPr>
        <sz val="10"/>
        <color theme="1"/>
        <rFont val="宋体"/>
        <charset val="134"/>
      </rPr>
      <t>。</t>
    </r>
    <r>
      <rPr>
        <sz val="10"/>
        <color theme="1"/>
        <rFont val="Times New Roman"/>
        <charset val="134"/>
      </rPr>
      <t xml:space="preserve"> </t>
    </r>
    <r>
      <rPr>
        <sz val="10"/>
        <color theme="1"/>
        <rFont val="宋体"/>
        <charset val="134"/>
      </rPr>
      <t>该魔宠造成钝击、穿刺或挥砍伤害时，你可以改为令其造成光耀或暗蚀伤害。
你的豁免</t>
    </r>
    <r>
      <rPr>
        <sz val="10"/>
        <color theme="1"/>
        <rFont val="Times New Roman"/>
        <charset val="134"/>
      </rPr>
      <t>DC Your Save DC</t>
    </r>
    <r>
      <rPr>
        <sz val="10"/>
        <color theme="1"/>
        <rFont val="宋体"/>
        <charset val="134"/>
      </rPr>
      <t>。</t>
    </r>
    <r>
      <rPr>
        <sz val="10"/>
        <color theme="1"/>
        <rFont val="Times New Roman"/>
        <charset val="134"/>
      </rPr>
      <t xml:space="preserve"> </t>
    </r>
    <r>
      <rPr>
        <sz val="10"/>
        <color theme="1"/>
        <rFont val="宋体"/>
        <charset val="134"/>
      </rPr>
      <t>若该魔宠强迫一个生物进行豁免检定，则它改为使用你的法术豁免</t>
    </r>
    <r>
      <rPr>
        <sz val="10"/>
        <color theme="1"/>
        <rFont val="Times New Roman"/>
        <charset val="134"/>
      </rPr>
      <t>DC</t>
    </r>
    <r>
      <rPr>
        <sz val="10"/>
        <color theme="1"/>
        <rFont val="宋体"/>
        <charset val="134"/>
      </rPr>
      <t>。
抗性</t>
    </r>
    <r>
      <rPr>
        <sz val="10"/>
        <color theme="1"/>
        <rFont val="Times New Roman"/>
        <charset val="134"/>
      </rPr>
      <t>Resistance</t>
    </r>
    <r>
      <rPr>
        <sz val="10"/>
        <color theme="1"/>
        <rFont val="宋体"/>
        <charset val="134"/>
      </rPr>
      <t>。若该魔宠受到伤害，则你可以使用反应给予它对于那次伤害的抗性。</t>
    </r>
  </si>
  <si>
    <r>
      <rPr>
        <sz val="10"/>
        <color theme="1"/>
        <rFont val="宋体"/>
        <charset val="134"/>
      </rPr>
      <t>魅影生灵</t>
    </r>
  </si>
  <si>
    <r>
      <rPr>
        <sz val="10"/>
        <color theme="1"/>
        <rFont val="宋体"/>
        <charset val="134"/>
      </rPr>
      <t>你总是准备了野兽召唤术</t>
    </r>
    <r>
      <rPr>
        <sz val="10"/>
        <color theme="1"/>
        <rFont val="Times New Roman"/>
        <charset val="134"/>
      </rPr>
      <t>Summon Beast</t>
    </r>
    <r>
      <rPr>
        <sz val="10"/>
        <color theme="1"/>
        <rFont val="宋体"/>
        <charset val="134"/>
      </rPr>
      <t>和妖精召唤术</t>
    </r>
    <r>
      <rPr>
        <sz val="10"/>
        <color theme="1"/>
        <rFont val="Times New Roman"/>
        <charset val="134"/>
      </rPr>
      <t>Summon Fey</t>
    </r>
    <r>
      <rPr>
        <sz val="10"/>
        <color theme="1"/>
        <rFont val="宋体"/>
        <charset val="134"/>
      </rPr>
      <t>。你施展其中任意一道法术时，可以选择将其学派变为幻术学派，这会使召唤出的生物变得虚幻。你可以不消耗法术位地施展这两道法术的幻术版本各一次，但无需法术位地施展这两道法术会使其召唤出的生物只有一半生命值。一旦你无需法术位地施展了其中任意一道法术，直至完成长休你都无法再以此法施展那道法术。</t>
    </r>
  </si>
  <si>
    <t>精进装甲师</t>
  </si>
  <si>
    <r>
      <rPr>
        <sz val="10"/>
        <color theme="1"/>
        <rFont val="宋体"/>
        <charset val="134"/>
      </rPr>
      <t>你获得以下增益。</t>
    </r>
    <r>
      <rPr>
        <sz val="10"/>
        <color theme="1"/>
        <rFont val="Times New Roman"/>
        <charset val="134"/>
      </rPr>
      <t xml:space="preserve">
</t>
    </r>
    <r>
      <rPr>
        <sz val="10"/>
        <color theme="1"/>
        <rFont val="宋体"/>
        <charset val="134"/>
      </rPr>
      <t>装甲仿制</t>
    </r>
    <r>
      <rPr>
        <sz val="10"/>
        <color theme="1"/>
        <rFont val="Times New Roman"/>
        <charset val="134"/>
      </rPr>
      <t>Armor Replication</t>
    </r>
    <r>
      <rPr>
        <sz val="10"/>
        <color theme="1"/>
        <rFont val="宋体"/>
        <charset val="134"/>
      </rPr>
      <t>。你为你的仿制魔法物品特性知晓了一种额外的方案，该方案类别必须是护甲。若你替换该方案，则你必须将其替换为另一种护甲方案。</t>
    </r>
    <r>
      <rPr>
        <sz val="10"/>
        <color theme="1"/>
        <rFont val="Times New Roman"/>
        <charset val="134"/>
      </rPr>
      <t xml:space="preserve">
</t>
    </r>
    <r>
      <rPr>
        <sz val="10"/>
        <color theme="1"/>
        <rFont val="宋体"/>
        <charset val="134"/>
      </rPr>
      <t>此外，你可以用那个特性创造一件额外的物品，且这件物品类别必须是护甲。</t>
    </r>
    <r>
      <rPr>
        <sz val="10"/>
        <color theme="1"/>
        <rFont val="Times New Roman"/>
        <charset val="134"/>
      </rPr>
      <t xml:space="preserve">
</t>
    </r>
    <r>
      <rPr>
        <sz val="10"/>
        <color theme="1"/>
        <rFont val="宋体"/>
        <charset val="134"/>
      </rPr>
      <t>增强武库</t>
    </r>
    <r>
      <rPr>
        <sz val="10"/>
        <color theme="1"/>
        <rFont val="Times New Roman"/>
        <charset val="134"/>
      </rPr>
      <t>Improved Arsenal</t>
    </r>
    <r>
      <rPr>
        <sz val="10"/>
        <color theme="1"/>
        <rFont val="宋体"/>
        <charset val="134"/>
      </rPr>
      <t>。</t>
    </r>
    <r>
      <rPr>
        <sz val="10"/>
        <color theme="1"/>
        <rFont val="Times New Roman"/>
        <charset val="134"/>
      </rPr>
      <t xml:space="preserve"> </t>
    </r>
    <r>
      <rPr>
        <sz val="10"/>
        <color theme="1"/>
        <rFont val="宋体"/>
        <charset val="134"/>
      </rPr>
      <t>你使用你的奥能装甲型号的特殊武器进行的攻击检定和伤害掷骰具有</t>
    </r>
    <r>
      <rPr>
        <sz val="10"/>
        <color theme="1"/>
        <rFont val="Times New Roman"/>
        <charset val="134"/>
      </rPr>
      <t>+1</t>
    </r>
    <r>
      <rPr>
        <sz val="10"/>
        <color theme="1"/>
        <rFont val="宋体"/>
        <charset val="134"/>
      </rPr>
      <t>加值。</t>
    </r>
  </si>
  <si>
    <r>
      <rPr>
        <sz val="10"/>
        <color theme="1"/>
        <rFont val="宋体"/>
        <charset val="134"/>
      </rPr>
      <t>念力技巧</t>
    </r>
  </si>
  <si>
    <r>
      <rPr>
        <sz val="10"/>
        <color theme="1"/>
        <rFont val="宋体"/>
        <charset val="134"/>
      </rPr>
      <t>当你使用你的念力驱使时，</t>
    </r>
    <r>
      <rPr>
        <sz val="10"/>
        <color theme="1"/>
        <rFont val="Times New Roman"/>
        <charset val="134"/>
      </rPr>
      <t xml:space="preserve"> </t>
    </r>
    <r>
      <rPr>
        <sz val="10"/>
        <color theme="1"/>
        <rFont val="宋体"/>
        <charset val="134"/>
      </rPr>
      <t>你可以掷</t>
    </r>
    <r>
      <rPr>
        <sz val="10"/>
        <color theme="1"/>
        <rFont val="Times New Roman"/>
        <charset val="134"/>
      </rPr>
      <t>1d4</t>
    </r>
    <r>
      <rPr>
        <sz val="10"/>
        <color theme="1"/>
        <rFont val="宋体"/>
        <charset val="134"/>
      </rPr>
      <t>并使用掷骰结果而非消耗一个灵能骰。</t>
    </r>
    <r>
      <rPr>
        <sz val="10"/>
        <color theme="1"/>
        <rFont val="Times New Roman"/>
        <charset val="134"/>
      </rPr>
      <t xml:space="preserve"> 
</t>
    </r>
    <r>
      <rPr>
        <sz val="10"/>
        <color theme="1"/>
        <rFont val="宋体"/>
        <charset val="134"/>
      </rPr>
      <t>此外，当一个目标在对抗你念力驱使的豁免中失败时，你可以对目标施加以下效果之一。</t>
    </r>
    <r>
      <rPr>
        <sz val="10"/>
        <color theme="1"/>
        <rFont val="Times New Roman"/>
        <charset val="134"/>
      </rPr>
      <t xml:space="preserve">
</t>
    </r>
    <r>
      <rPr>
        <sz val="10"/>
        <color theme="1"/>
        <rFont val="宋体"/>
        <charset val="134"/>
      </rPr>
      <t>提速</t>
    </r>
    <r>
      <rPr>
        <sz val="10"/>
        <color theme="1"/>
        <rFont val="Times New Roman"/>
        <charset val="134"/>
      </rPr>
      <t>Boost</t>
    </r>
    <r>
      <rPr>
        <sz val="10"/>
        <color theme="1"/>
        <rFont val="宋体"/>
        <charset val="134"/>
      </rPr>
      <t>。</t>
    </r>
    <r>
      <rPr>
        <sz val="10"/>
        <color theme="1"/>
        <rFont val="Times New Roman"/>
        <charset val="134"/>
      </rPr>
      <t xml:space="preserve"> </t>
    </r>
    <r>
      <rPr>
        <sz val="10"/>
        <color theme="1"/>
        <rFont val="宋体"/>
        <charset val="134"/>
      </rPr>
      <t>目标的速度增加</t>
    </r>
    <r>
      <rPr>
        <sz val="10"/>
        <color theme="1"/>
        <rFont val="Times New Roman"/>
        <charset val="134"/>
      </rPr>
      <t>10</t>
    </r>
    <r>
      <rPr>
        <sz val="10"/>
        <color theme="1"/>
        <rFont val="宋体"/>
        <charset val="134"/>
      </rPr>
      <t>尺，直至你的下个回合开始。</t>
    </r>
    <r>
      <rPr>
        <sz val="10"/>
        <color theme="1"/>
        <rFont val="Times New Roman"/>
        <charset val="134"/>
      </rPr>
      <t xml:space="preserve">
</t>
    </r>
    <r>
      <rPr>
        <sz val="10"/>
        <color theme="1"/>
        <rFont val="宋体"/>
        <charset val="134"/>
      </rPr>
      <t>迷惘</t>
    </r>
    <r>
      <rPr>
        <sz val="10"/>
        <color theme="1"/>
        <rFont val="Times New Roman"/>
        <charset val="134"/>
      </rPr>
      <t>Disorient</t>
    </r>
    <r>
      <rPr>
        <sz val="10"/>
        <color theme="1"/>
        <rFont val="宋体"/>
        <charset val="134"/>
      </rPr>
      <t>。</t>
    </r>
    <r>
      <rPr>
        <sz val="10"/>
        <color theme="1"/>
        <rFont val="Times New Roman"/>
        <charset val="134"/>
      </rPr>
      <t xml:space="preserve"> </t>
    </r>
    <r>
      <rPr>
        <sz val="10"/>
        <color theme="1"/>
        <rFont val="宋体"/>
        <charset val="134"/>
      </rPr>
      <t>目标无法进行借机攻击，直至其下个回合开始。</t>
    </r>
    <r>
      <rPr>
        <sz val="10"/>
        <color theme="1"/>
        <rFont val="Times New Roman"/>
        <charset val="134"/>
      </rPr>
      <t xml:space="preserve">
</t>
    </r>
    <r>
      <rPr>
        <sz val="10"/>
        <color theme="1"/>
        <rFont val="宋体"/>
        <charset val="134"/>
      </rPr>
      <t>念力箭</t>
    </r>
    <r>
      <rPr>
        <sz val="10"/>
        <color theme="1"/>
        <rFont val="Times New Roman"/>
        <charset val="134"/>
      </rPr>
      <t>Telekinetic Bolt</t>
    </r>
    <r>
      <rPr>
        <sz val="10"/>
        <color theme="1"/>
        <rFont val="宋体"/>
        <charset val="134"/>
      </rPr>
      <t>。目标受到等同于灵能骰结果的力场伤害。</t>
    </r>
    <r>
      <rPr>
        <sz val="10"/>
        <color theme="1"/>
        <rFont val="Times New Roman"/>
        <charset val="134"/>
      </rPr>
      <t xml:space="preserve"> </t>
    </r>
  </si>
  <si>
    <r>
      <rPr>
        <sz val="10"/>
        <color theme="1"/>
        <rFont val="宋体"/>
        <charset val="134"/>
      </rPr>
      <t>血仪重生</t>
    </r>
  </si>
  <si>
    <r>
      <rPr>
        <sz val="10"/>
        <color theme="1"/>
        <rFont val="宋体"/>
        <charset val="134"/>
      </rPr>
      <t>你学会吸收你的血仪来保护你消逝的生命。当你在激活血仪期间生命值降至</t>
    </r>
    <r>
      <rPr>
        <sz val="10"/>
        <color theme="1"/>
        <rFont val="Times New Roman"/>
        <charset val="134"/>
      </rPr>
      <t xml:space="preserve"> 0 </t>
    </r>
    <r>
      <rPr>
        <sz val="10"/>
        <color theme="1"/>
        <rFont val="宋体"/>
        <charset val="134"/>
      </rPr>
      <t>点，且没有立即死亡，则结束所有激活的血仪且你的生命值变为降至</t>
    </r>
    <r>
      <rPr>
        <sz val="10"/>
        <color theme="1"/>
        <rFont val="Times New Roman"/>
        <charset val="134"/>
      </rPr>
      <t xml:space="preserve"> 1 </t>
    </r>
    <r>
      <rPr>
        <sz val="10"/>
        <color theme="1"/>
        <rFont val="宋体"/>
        <charset val="134"/>
      </rPr>
      <t>点。</t>
    </r>
  </si>
  <si>
    <r>
      <rPr>
        <sz val="10"/>
        <color theme="1"/>
        <rFont val="宋体"/>
        <charset val="134"/>
      </rPr>
      <t>毒理学</t>
    </r>
  </si>
  <si>
    <r>
      <rPr>
        <sz val="10"/>
        <color theme="1"/>
        <rFont val="宋体"/>
        <charset val="134"/>
      </rPr>
      <t>先决：药剂师等级</t>
    </r>
    <r>
      <rPr>
        <sz val="10"/>
        <color theme="1"/>
        <rFont val="Times New Roman"/>
        <charset val="134"/>
      </rPr>
      <t xml:space="preserve">6+ 
</t>
    </r>
    <r>
      <rPr>
        <sz val="10"/>
        <color theme="1"/>
        <rFont val="宋体"/>
        <charset val="134"/>
      </rPr>
      <t>你可以将你的智力调整值加到造成毒素伤害的法术的伤害掷骰上。</t>
    </r>
  </si>
  <si>
    <t>施法</t>
  </si>
  <si>
    <t>你获得以法术辅助你的子弹的能力。</t>
  </si>
  <si>
    <t xml:space="preserve">筑灭师法术列表
以下是你需要习得一道筑灭师法术时使用的法术列表。列表以法术环位而非角色等级排序。下列法术大部分来自核心部分，带有星号的法术在职业末尾的邪狱使法术中有所详述。
戏法Cantrip 一环 1st Level  二环 2nd Level  三环 3rd Level  四环 4th Level  
颤栗之触Chill Touch  灾祸术Bane 涅斯图魔法灵光Nystul's Magic Aura  降咒Bestow Curse  亵渎灵光Aura of Desecration*  
舞光术Dancing Lights  燃烧之手Burning Hands  卜筮术Augury 解除魔法Dispel Magic  放逐术Banishment 
火焰箭Fire Bolt  魅惑类人Charm Person  朦胧术Blur 恐惧术Fear 枯萎术Blight 
地狱火Hellfire* 七彩喷射Color Spray  黑暗术Darkness 飞行术Fly 强迫术Compulsion 
传讯术Message 命令术Command 侦测思想Detect Thoughts  加速术Haste 防死结界Death Ward  
次级幻象Minor Illusion  侦测魔法Detect Magic  注目术Enthrall 高级幻影Major Image  任意门Dimension Door  
冷冻射线Ray of Frost  易容术Disguise Self  灼热金属Heat Metal  炼狱之尘Mote of Hell*  支配野兽Dominate Beast  
电爪Shocking Grasp  狱之笞Hell's Lash*  定身类人Hold Person  魅影驹Phantom Steed  高等隐形术Greater Invisibility  
奇术Thaumaturgy 炼狱叱喝Hellish Rebuke  戕狱对决Infernal Challenge*  移除诅咒Remove Curse  幻景Hallucinatory Terrain  
仇杀剑Vengeful Blade*  护盾术Shield 隐形术Invisibility 回生术Revivify 生物定位术Locate Creature  
恶言相加Vicious Mockery  虔诚护盾Shield of Faith  次等复原术Lesser Restoration  缓慢术Slow 邪秽武器Maligned Weapon*  
 无声幻影Silent Image  镜影术Mirror Image   魅影撒手Phantasmal Killer  
  衰弱射线Ray of Enfeeblement   死灭墙Wall of Death*  
  灼热射线Scorching Ray    
  沉默术Silence   
  暗示术Suggestion   </t>
  </si>
  <si>
    <t>引导神力</t>
  </si>
  <si>
    <r>
      <rPr>
        <sz val="10"/>
        <color theme="1"/>
        <rFont val="宋体"/>
        <charset val="134"/>
      </rPr>
      <t>你能直接从外层位面引导神圣力量用以释放魔法效应。你起始时具有两种效应选项：信实之拳和诸神恩典，其效果如下所示。每当你使用本子职的引导神力时，你选择要创造哪种来自本子职的效应。
一旦使用了本职业的引导神力，直至完成短休或长休你才能再次使用该引导神力。
信实之拳</t>
    </r>
    <r>
      <rPr>
        <sz val="10"/>
        <color theme="1"/>
        <rFont val="Times New Roman"/>
        <charset val="134"/>
      </rPr>
      <t>Fists of Faith</t>
    </r>
    <r>
      <rPr>
        <sz val="10"/>
        <color theme="1"/>
        <rFont val="宋体"/>
        <charset val="134"/>
      </rPr>
      <t>。你能以附赠动作将正义的怒火注入双拳。在接下来的</t>
    </r>
    <r>
      <rPr>
        <sz val="10"/>
        <color theme="1"/>
        <rFont val="Times New Roman"/>
        <charset val="134"/>
      </rPr>
      <t>1</t>
    </r>
    <r>
      <rPr>
        <sz val="10"/>
        <color theme="1"/>
        <rFont val="宋体"/>
        <charset val="134"/>
      </rPr>
      <t>分钟内，你的徒手打击额外造成</t>
    </r>
    <r>
      <rPr>
        <sz val="10"/>
        <color theme="1"/>
        <rFont val="Times New Roman"/>
        <charset val="134"/>
      </rPr>
      <t>1d4</t>
    </r>
    <r>
      <rPr>
        <sz val="10"/>
        <color theme="1"/>
        <rFont val="宋体"/>
        <charset val="134"/>
      </rPr>
      <t>光耀伤害，若目标为邪魔或亡灵，则为</t>
    </r>
    <r>
      <rPr>
        <sz val="10"/>
        <color theme="1"/>
        <rFont val="Times New Roman"/>
        <charset val="134"/>
      </rPr>
      <t>2d4</t>
    </r>
    <r>
      <rPr>
        <sz val="10"/>
        <color theme="1"/>
        <rFont val="宋体"/>
        <charset val="134"/>
      </rPr>
      <t>。
诸神恩典</t>
    </r>
    <r>
      <rPr>
        <sz val="10"/>
        <color theme="1"/>
        <rFont val="Times New Roman"/>
        <charset val="134"/>
      </rPr>
      <t>Grace of the Gods</t>
    </r>
    <r>
      <rPr>
        <sz val="10"/>
        <color theme="1"/>
        <rFont val="宋体"/>
        <charset val="134"/>
      </rPr>
      <t>。你能以附赠动作祈求神明的恩典，在接下来的</t>
    </r>
    <r>
      <rPr>
        <sz val="10"/>
        <color theme="1"/>
        <rFont val="Times New Roman"/>
        <charset val="134"/>
      </rPr>
      <t>1</t>
    </r>
    <r>
      <rPr>
        <sz val="10"/>
        <color theme="1"/>
        <rFont val="宋体"/>
        <charset val="134"/>
      </rPr>
      <t>分钟内，你获得对暗蚀伤害的抗性，且当你进行豁免检定时，掷</t>
    </r>
    <r>
      <rPr>
        <sz val="10"/>
        <color theme="1"/>
        <rFont val="Times New Roman"/>
        <charset val="134"/>
      </rPr>
      <t>1d4</t>
    </r>
    <r>
      <rPr>
        <sz val="10"/>
        <color theme="1"/>
        <rFont val="宋体"/>
        <charset val="134"/>
      </rPr>
      <t>并将骰值加入检定。</t>
    </r>
  </si>
  <si>
    <r>
      <rPr>
        <sz val="10"/>
        <color theme="1"/>
        <rFont val="宋体"/>
        <charset val="134"/>
      </rPr>
      <t>天启领域</t>
    </r>
  </si>
  <si>
    <r>
      <rPr>
        <sz val="10"/>
        <color theme="1"/>
        <rFont val="宋体"/>
        <charset val="134"/>
      </rPr>
      <t>先祖护卫</t>
    </r>
  </si>
  <si>
    <r>
      <rPr>
        <sz val="10"/>
        <color theme="1"/>
        <rFont val="宋体"/>
        <charset val="134"/>
      </rPr>
      <t>从你选择此道途开始，你进入狂暴时一名精魂战士将出现在你身旁。狂暴期间，在每个你的回合中你攻击命中的第一个生物将成为这名精魂战士的目标，战士将阻挠目标对它人的攻击。直到你的下一个回合开始前，战士的目标对你以外的目标发动的攻击检定具有劣势，而若其在一次攻击中击中了除你以外的生物，该生物对那次攻击的伤害具有抗性。你的狂暴结束时，此效果也随之提前结束。</t>
    </r>
  </si>
  <si>
    <r>
      <rPr>
        <sz val="10"/>
        <color theme="1"/>
        <rFont val="宋体"/>
        <charset val="134"/>
      </rPr>
      <t>剑舞大师</t>
    </r>
  </si>
  <si>
    <r>
      <rPr>
        <sz val="10"/>
        <color theme="1"/>
        <rFont val="宋体"/>
        <charset val="134"/>
      </rPr>
      <t>当你使用剑舞选项时，你可以不消耗诗人激励次数，并投掷</t>
    </r>
    <r>
      <rPr>
        <sz val="10"/>
        <color theme="1"/>
        <rFont val="Times New Roman"/>
        <charset val="134"/>
      </rPr>
      <t>d6</t>
    </r>
    <r>
      <rPr>
        <sz val="10"/>
        <color theme="1"/>
        <rFont val="宋体"/>
        <charset val="134"/>
      </rPr>
      <t>以代替选项中诗人激励骰使用。</t>
    </r>
  </si>
  <si>
    <r>
      <rPr>
        <sz val="10"/>
        <color theme="1"/>
        <rFont val="宋体"/>
        <charset val="134"/>
      </rPr>
      <t>战争化身</t>
    </r>
  </si>
  <si>
    <r>
      <rPr>
        <sz val="10"/>
        <color theme="1"/>
        <rFont val="宋体"/>
        <charset val="134"/>
      </rPr>
      <t>你获得对钝击、穿刺、挥砍伤害的抗性。</t>
    </r>
  </si>
  <si>
    <r>
      <rPr>
        <sz val="10"/>
        <color theme="1"/>
        <rFont val="宋体"/>
        <charset val="134"/>
      </rPr>
      <t>星图</t>
    </r>
  </si>
  <si>
    <r>
      <rPr>
        <sz val="10"/>
        <color theme="1"/>
        <rFont val="宋体"/>
        <charset val="134"/>
      </rPr>
      <t>作为你天文学研究的一部分，你创造了一张星图。它是一个微型物体，可以用作你施展德鲁伊法术时的法器。你通过在星图列表上掷骰或选择一个来确定它的形态。
当你持握这件星图时，你视作总是准备着神导术</t>
    </r>
    <r>
      <rPr>
        <sz val="10"/>
        <color theme="1"/>
        <rFont val="Times New Roman"/>
        <charset val="134"/>
      </rPr>
      <t>Guidance</t>
    </r>
    <r>
      <rPr>
        <sz val="10"/>
        <color theme="1"/>
        <rFont val="宋体"/>
        <charset val="134"/>
      </rPr>
      <t>和光导箭</t>
    </r>
    <r>
      <rPr>
        <sz val="10"/>
        <color theme="1"/>
        <rFont val="Times New Roman"/>
        <charset val="134"/>
      </rPr>
      <t>Guiding bolt</t>
    </r>
    <r>
      <rPr>
        <sz val="10"/>
        <color theme="1"/>
        <rFont val="宋体"/>
        <charset val="134"/>
      </rPr>
      <t>这两个法术，并且你可以施展光导箭而无需消耗法术位。其次数等同于你的感知调整值（最小为</t>
    </r>
    <r>
      <rPr>
        <sz val="10"/>
        <color theme="1"/>
        <rFont val="Times New Roman"/>
        <charset val="134"/>
      </rPr>
      <t>1</t>
    </r>
    <r>
      <rPr>
        <sz val="10"/>
        <color theme="1"/>
        <rFont val="宋体"/>
        <charset val="134"/>
      </rPr>
      <t>），当你完成一次长休时，你重获全部已消耗的使用次数。
如果你丢失了星图，你可以举行一场为时一小时的仪式来使用魔法创造一个替代品。这一仪式可以在一场短休或长休时举行，并会摧毁先前的星图。
星图</t>
    </r>
    <r>
      <rPr>
        <sz val="10"/>
        <color theme="1"/>
        <rFont val="Times New Roman"/>
        <charset val="134"/>
      </rPr>
      <t xml:space="preserve"> Star Map 
1d6 </t>
    </r>
    <r>
      <rPr>
        <sz val="10"/>
        <color theme="1"/>
        <rFont val="宋体"/>
        <charset val="134"/>
      </rPr>
      <t xml:space="preserve">星图形态
</t>
    </r>
    <r>
      <rPr>
        <sz val="10"/>
        <color theme="1"/>
        <rFont val="Times New Roman"/>
        <charset val="134"/>
      </rPr>
      <t xml:space="preserve">1 </t>
    </r>
    <r>
      <rPr>
        <sz val="10"/>
        <color theme="1"/>
        <rFont val="宋体"/>
        <charset val="134"/>
      </rPr>
      <t xml:space="preserve">一张布满星座图列的卷轴
</t>
    </r>
    <r>
      <rPr>
        <sz val="10"/>
        <color theme="1"/>
        <rFont val="Times New Roman"/>
        <charset val="134"/>
      </rPr>
      <t xml:space="preserve">2 </t>
    </r>
    <r>
      <rPr>
        <sz val="10"/>
        <color theme="1"/>
        <rFont val="宋体"/>
        <charset val="134"/>
      </rPr>
      <t xml:space="preserve">一块钻有细孔的石板
</t>
    </r>
    <r>
      <rPr>
        <sz val="10"/>
        <color theme="1"/>
        <rFont val="Times New Roman"/>
        <charset val="134"/>
      </rPr>
      <t xml:space="preserve">3 </t>
    </r>
    <r>
      <rPr>
        <sz val="10"/>
        <color theme="1"/>
        <rFont val="宋体"/>
        <charset val="134"/>
      </rPr>
      <t xml:space="preserve">一张枭熊皮，上面标有星星的符号
</t>
    </r>
    <r>
      <rPr>
        <sz val="10"/>
        <color theme="1"/>
        <rFont val="Times New Roman"/>
        <charset val="134"/>
      </rPr>
      <t xml:space="preserve">4 </t>
    </r>
    <r>
      <rPr>
        <sz val="10"/>
        <color theme="1"/>
        <rFont val="宋体"/>
        <charset val="134"/>
      </rPr>
      <t xml:space="preserve">一套黑檀木封皮的星图集
</t>
    </r>
    <r>
      <rPr>
        <sz val="10"/>
        <color theme="1"/>
        <rFont val="Times New Roman"/>
        <charset val="134"/>
      </rPr>
      <t xml:space="preserve">5 </t>
    </r>
    <r>
      <rPr>
        <sz val="10"/>
        <color theme="1"/>
        <rFont val="宋体"/>
        <charset val="134"/>
      </rPr>
      <t xml:space="preserve">一块遇光会投射出星辰轨迹的水晶
</t>
    </r>
    <r>
      <rPr>
        <sz val="10"/>
        <color theme="1"/>
        <rFont val="Times New Roman"/>
        <charset val="134"/>
      </rPr>
      <t xml:space="preserve">6 </t>
    </r>
    <r>
      <rPr>
        <sz val="10"/>
        <color theme="1"/>
        <rFont val="宋体"/>
        <charset val="134"/>
      </rPr>
      <t>一面描绘星座排列的玻璃圆盘</t>
    </r>
  </si>
  <si>
    <r>
      <rPr>
        <sz val="10"/>
        <color theme="1"/>
        <rFont val="宋体"/>
        <charset val="134"/>
      </rPr>
      <t>精通战技</t>
    </r>
  </si>
  <si>
    <r>
      <rPr>
        <sz val="10"/>
        <color theme="1"/>
        <rFont val="宋体"/>
        <charset val="134"/>
      </rPr>
      <t>你的卓越骰变为</t>
    </r>
    <r>
      <rPr>
        <sz val="10"/>
        <color theme="1"/>
        <rFont val="Times New Roman"/>
        <charset val="134"/>
      </rPr>
      <t>d10</t>
    </r>
    <r>
      <rPr>
        <sz val="10"/>
        <color theme="1"/>
        <rFont val="宋体"/>
        <charset val="134"/>
      </rPr>
      <t>。</t>
    </r>
  </si>
  <si>
    <r>
      <rPr>
        <sz val="10"/>
        <color theme="1"/>
        <rFont val="宋体"/>
        <charset val="134"/>
      </rPr>
      <t>混元体</t>
    </r>
  </si>
  <si>
    <r>
      <rPr>
        <sz val="10"/>
        <color theme="1"/>
        <rFont val="宋体"/>
        <charset val="134"/>
      </rPr>
      <t>你获得治愈己身的能力。你能够以一个附赠动作掷你的武艺骰。你恢复相当于掷骰结果</t>
    </r>
    <r>
      <rPr>
        <sz val="10"/>
        <color theme="1"/>
        <rFont val="Times New Roman"/>
        <charset val="134"/>
      </rPr>
      <t>+</t>
    </r>
    <r>
      <rPr>
        <sz val="10"/>
        <color theme="1"/>
        <rFont val="宋体"/>
        <charset val="134"/>
      </rPr>
      <t>你的感知调整值数量的生命值（至少恢复</t>
    </r>
    <r>
      <rPr>
        <sz val="10"/>
        <color theme="1"/>
        <rFont val="Times New Roman"/>
        <charset val="134"/>
      </rPr>
      <t>1</t>
    </r>
    <r>
      <rPr>
        <sz val="10"/>
        <color theme="1"/>
        <rFont val="宋体"/>
        <charset val="134"/>
      </rPr>
      <t>点生命值）。
你可以使用这个特性的次数相当于你的感知调整值（至少一次），在你完成一次长休时，你重获全部已消耗使用次数。</t>
    </r>
  </si>
  <si>
    <r>
      <rPr>
        <sz val="10"/>
        <color theme="1"/>
        <rFont val="宋体"/>
        <charset val="134"/>
      </rPr>
      <t>上古斗士</t>
    </r>
  </si>
  <si>
    <r>
      <rPr>
        <sz val="10"/>
        <color theme="1"/>
        <rFont val="宋体"/>
        <charset val="134"/>
      </rPr>
      <t>以一个附赠动作，你可以用原力盈满你的守护灵光，灵光获得下列的增益。持续</t>
    </r>
    <r>
      <rPr>
        <sz val="10"/>
        <color theme="1"/>
        <rFont val="Times New Roman"/>
        <charset val="134"/>
      </rPr>
      <t>1</t>
    </r>
    <r>
      <rPr>
        <sz val="10"/>
        <color theme="1"/>
        <rFont val="宋体"/>
        <charset val="134"/>
      </rPr>
      <t>分钟或直到你将之提前结束（无需动作）。此特性一经使用，直至完成长休你都无法再次使用。你也可以消耗一个五环法术位（无需动作）重置该特性的使用权。
瓦解反抗</t>
    </r>
    <r>
      <rPr>
        <sz val="10"/>
        <color theme="1"/>
        <rFont val="Times New Roman"/>
        <charset val="134"/>
      </rPr>
      <t>Diminish Defiance</t>
    </r>
    <r>
      <rPr>
        <sz val="10"/>
        <color theme="1"/>
        <rFont val="宋体"/>
        <charset val="134"/>
      </rPr>
      <t>。位于你灵光范围内的敌人在对抗你法术或引导神力选项的豁免上具有劣势。
复生</t>
    </r>
    <r>
      <rPr>
        <sz val="10"/>
        <color theme="1"/>
        <rFont val="Times New Roman"/>
        <charset val="134"/>
      </rPr>
      <t>Regeneration</t>
    </r>
    <r>
      <rPr>
        <sz val="10"/>
        <color theme="1"/>
        <rFont val="宋体"/>
        <charset val="134"/>
      </rPr>
      <t>。你在每个自己的回合开始时，恢复</t>
    </r>
    <r>
      <rPr>
        <sz val="10"/>
        <color theme="1"/>
        <rFont val="Times New Roman"/>
        <charset val="134"/>
      </rPr>
      <t>10</t>
    </r>
    <r>
      <rPr>
        <sz val="10"/>
        <color theme="1"/>
        <rFont val="宋体"/>
        <charset val="134"/>
      </rPr>
      <t>点生命值。
迅捷法术</t>
    </r>
    <r>
      <rPr>
        <sz val="10"/>
        <color theme="1"/>
        <rFont val="Times New Roman"/>
        <charset val="134"/>
      </rPr>
      <t>Swift Spells</t>
    </r>
    <r>
      <rPr>
        <sz val="10"/>
        <color theme="1"/>
        <rFont val="宋体"/>
        <charset val="134"/>
      </rPr>
      <t>。每当你施展一道施法动作为</t>
    </r>
    <r>
      <rPr>
        <sz val="10"/>
        <color theme="1"/>
        <rFont val="Times New Roman"/>
        <charset val="134"/>
      </rPr>
      <t>1</t>
    </r>
    <r>
      <rPr>
        <sz val="10"/>
        <color theme="1"/>
        <rFont val="宋体"/>
        <charset val="134"/>
      </rPr>
      <t>动作的法术时，你可以将其改为一个附赠动作施展。</t>
    </r>
  </si>
  <si>
    <r>
      <rPr>
        <sz val="10"/>
        <color theme="1"/>
        <rFont val="宋体"/>
        <charset val="134"/>
      </rPr>
      <t>猎人学识</t>
    </r>
  </si>
  <si>
    <r>
      <rPr>
        <sz val="10"/>
        <color theme="1"/>
        <rFont val="宋体"/>
        <charset val="134"/>
      </rPr>
      <t>你可以呼唤自然的力量以揭晓猎物的强弱。在一个生物被你的猎人印记标记的期间，你知道那个生物是否拥有任何免疫、抗性或易伤，并且能够得知其具体的项目是什么。</t>
    </r>
  </si>
  <si>
    <r>
      <rPr>
        <sz val="10"/>
        <color theme="1"/>
        <rFont val="宋体"/>
        <charset val="134"/>
      </rPr>
      <t>撕裂心智</t>
    </r>
  </si>
  <si>
    <r>
      <rPr>
        <sz val="10"/>
        <color theme="1"/>
        <rFont val="宋体"/>
        <charset val="134"/>
      </rPr>
      <t>你能让你的念刃直接切削一个生物的心智。当你使用念刃对一个生物造成偷袭攻击伤害时，你能迫使其进行一次感知豁免（</t>
    </r>
    <r>
      <rPr>
        <sz val="10"/>
        <color theme="1"/>
        <rFont val="Times New Roman"/>
        <charset val="134"/>
      </rPr>
      <t>DC=8+</t>
    </r>
    <r>
      <rPr>
        <sz val="10"/>
        <color theme="1"/>
        <rFont val="宋体"/>
        <charset val="134"/>
      </rPr>
      <t>你的熟练加值</t>
    </r>
    <r>
      <rPr>
        <sz val="10"/>
        <color theme="1"/>
        <rFont val="Times New Roman"/>
        <charset val="134"/>
      </rPr>
      <t>+</t>
    </r>
    <r>
      <rPr>
        <sz val="10"/>
        <color theme="1"/>
        <rFont val="宋体"/>
        <charset val="134"/>
      </rPr>
      <t>你的敏捷调整值）。若豁免失败，目标将在陷入长达一分钟的震慑。被震慑的目标可以在他的回合结束时重复豁免，如果成功这一效应将结束。
此特性一经使用，直至完成长休你都无法再次使用。你也可以消耗三枚灵能骰（无需动作）重置该特性的使用权。</t>
    </r>
  </si>
  <si>
    <r>
      <rPr>
        <sz val="10"/>
        <color theme="1"/>
        <rFont val="宋体"/>
        <charset val="134"/>
      </rPr>
      <t>龙族法术</t>
    </r>
  </si>
  <si>
    <r>
      <rPr>
        <sz val="10"/>
        <color theme="1"/>
        <rFont val="宋体"/>
        <charset val="134"/>
      </rPr>
      <t>当你到达龙族法术表中特定的术士等级时，你就始终准备了表中对应的法术。
龙族法术</t>
    </r>
    <r>
      <rPr>
        <sz val="10"/>
        <color theme="1"/>
        <rFont val="Times New Roman"/>
        <charset val="134"/>
      </rPr>
      <t xml:space="preserve">Draconic Spells 
</t>
    </r>
    <r>
      <rPr>
        <sz val="10"/>
        <color theme="1"/>
        <rFont val="宋体"/>
        <charset val="134"/>
      </rPr>
      <t>术士等级</t>
    </r>
    <r>
      <rPr>
        <sz val="10"/>
        <color theme="1"/>
        <rFont val="Times New Roman"/>
        <charset val="134"/>
      </rPr>
      <t xml:space="preserve"> </t>
    </r>
    <r>
      <rPr>
        <sz val="10"/>
        <color theme="1"/>
        <rFont val="宋体"/>
        <charset val="134"/>
      </rPr>
      <t xml:space="preserve">准备法术
</t>
    </r>
    <r>
      <rPr>
        <sz val="10"/>
        <color theme="1"/>
        <rFont val="Times New Roman"/>
        <charset val="134"/>
      </rPr>
      <t xml:space="preserve">3 </t>
    </r>
    <r>
      <rPr>
        <sz val="10"/>
        <color theme="1"/>
        <rFont val="宋体"/>
        <charset val="134"/>
      </rPr>
      <t>繁彩球</t>
    </r>
    <r>
      <rPr>
        <sz val="10"/>
        <color theme="1"/>
        <rFont val="Times New Roman"/>
        <charset val="134"/>
      </rPr>
      <t>Chromatic Orb</t>
    </r>
    <r>
      <rPr>
        <sz val="10"/>
        <color theme="1"/>
        <rFont val="宋体"/>
        <charset val="134"/>
      </rPr>
      <t>，命令术</t>
    </r>
    <r>
      <rPr>
        <sz val="10"/>
        <color theme="1"/>
        <rFont val="Times New Roman"/>
        <charset val="134"/>
      </rPr>
      <t>Command</t>
    </r>
    <r>
      <rPr>
        <sz val="10"/>
        <color theme="1"/>
        <rFont val="宋体"/>
        <charset val="134"/>
      </rPr>
      <t>，龙息术</t>
    </r>
    <r>
      <rPr>
        <sz val="10"/>
        <color theme="1"/>
        <rFont val="Times New Roman"/>
        <charset val="134"/>
      </rPr>
      <t>Dragon’s Breath</t>
    </r>
    <r>
      <rPr>
        <sz val="10"/>
        <color theme="1"/>
        <rFont val="宋体"/>
        <charset val="134"/>
      </rPr>
      <t>，变身术</t>
    </r>
    <r>
      <rPr>
        <sz val="10"/>
        <color theme="1"/>
        <rFont val="Times New Roman"/>
        <charset val="134"/>
      </rPr>
      <t>Alter Self</t>
    </r>
    <r>
      <rPr>
        <sz val="10"/>
        <color theme="1"/>
        <rFont val="宋体"/>
        <charset val="134"/>
      </rPr>
      <t>，</t>
    </r>
    <r>
      <rPr>
        <sz val="10"/>
        <color theme="1"/>
        <rFont val="Times New Roman"/>
        <charset val="134"/>
      </rPr>
      <t xml:space="preserve"> 
5 </t>
    </r>
    <r>
      <rPr>
        <sz val="10"/>
        <color theme="1"/>
        <rFont val="宋体"/>
        <charset val="134"/>
      </rPr>
      <t>恐惧术</t>
    </r>
    <r>
      <rPr>
        <sz val="10"/>
        <color theme="1"/>
        <rFont val="Times New Roman"/>
        <charset val="134"/>
      </rPr>
      <t>Fear</t>
    </r>
    <r>
      <rPr>
        <sz val="10"/>
        <color theme="1"/>
        <rFont val="宋体"/>
        <charset val="134"/>
      </rPr>
      <t>，飞行术</t>
    </r>
    <r>
      <rPr>
        <sz val="10"/>
        <color theme="1"/>
        <rFont val="Times New Roman"/>
        <charset val="134"/>
      </rPr>
      <t xml:space="preserve">Fly
7 </t>
    </r>
    <r>
      <rPr>
        <sz val="10"/>
        <color theme="1"/>
        <rFont val="宋体"/>
        <charset val="134"/>
      </rPr>
      <t>秘法眼</t>
    </r>
    <r>
      <rPr>
        <sz val="10"/>
        <color theme="1"/>
        <rFont val="Times New Roman"/>
        <charset val="134"/>
      </rPr>
      <t>Arcane Eye</t>
    </r>
    <r>
      <rPr>
        <sz val="10"/>
        <color theme="1"/>
        <rFont val="宋体"/>
        <charset val="134"/>
      </rPr>
      <t>，魅惑怪物</t>
    </r>
    <r>
      <rPr>
        <sz val="10"/>
        <color theme="1"/>
        <rFont val="Times New Roman"/>
        <charset val="134"/>
      </rPr>
      <t xml:space="preserve">Charm Monster 
9 </t>
    </r>
    <r>
      <rPr>
        <sz val="10"/>
        <color theme="1"/>
        <rFont val="宋体"/>
        <charset val="134"/>
      </rPr>
      <t>通晓传奇</t>
    </r>
    <r>
      <rPr>
        <sz val="10"/>
        <color theme="1"/>
        <rFont val="Times New Roman"/>
        <charset val="134"/>
      </rPr>
      <t>Legend Lore</t>
    </r>
    <r>
      <rPr>
        <sz val="10"/>
        <color theme="1"/>
        <rFont val="宋体"/>
        <charset val="134"/>
      </rPr>
      <t>，龙类召唤术</t>
    </r>
    <r>
      <rPr>
        <sz val="10"/>
        <color theme="1"/>
        <rFont val="Times New Roman"/>
        <charset val="134"/>
      </rPr>
      <t xml:space="preserve">Summon Dragon </t>
    </r>
  </si>
  <si>
    <r>
      <rPr>
        <sz val="10"/>
        <color theme="1"/>
        <rFont val="宋体"/>
        <charset val="134"/>
      </rPr>
      <t>万形之主</t>
    </r>
  </si>
  <si>
    <r>
      <rPr>
        <sz val="10"/>
        <color theme="1"/>
        <rFont val="宋体"/>
        <charset val="134"/>
      </rPr>
      <t>先决：魔契师等级</t>
    </r>
    <r>
      <rPr>
        <sz val="10"/>
        <color theme="1"/>
        <rFont val="Times New Roman"/>
        <charset val="134"/>
      </rPr>
      <t xml:space="preserve">5+
</t>
    </r>
    <r>
      <rPr>
        <sz val="10"/>
        <color theme="1"/>
        <rFont val="宋体"/>
        <charset val="134"/>
      </rPr>
      <t>你可以施展变身术</t>
    </r>
    <r>
      <rPr>
        <sz val="10"/>
        <color theme="1"/>
        <rFont val="Times New Roman"/>
        <charset val="134"/>
      </rPr>
      <t xml:space="preserve">Alter Self </t>
    </r>
    <r>
      <rPr>
        <sz val="10"/>
        <color theme="1"/>
        <rFont val="宋体"/>
        <charset val="134"/>
      </rPr>
      <t>且无需消耗法术位。</t>
    </r>
  </si>
  <si>
    <r>
      <rPr>
        <sz val="10"/>
        <color theme="1"/>
        <rFont val="宋体"/>
        <charset val="134"/>
      </rPr>
      <t>幻影化形</t>
    </r>
  </si>
  <si>
    <r>
      <rPr>
        <sz val="10"/>
        <color theme="1"/>
        <rFont val="宋体"/>
        <charset val="134"/>
      </rPr>
      <t>当一名生物对你进行的一次攻击检定命中时，你可以使用你的反应在攻击者与你之间插入幻象分身。这次攻击对你自动失手，随后幻象分身消失。
此特性一经使用，直至完成长休你都无法再次使用。你也可以消耗一个二环或更高环阶的法术位（无需动作）重置该特性的使用权。</t>
    </r>
  </si>
  <si>
    <r>
      <rPr>
        <sz val="10"/>
        <color theme="1"/>
        <rFont val="宋体"/>
        <charset val="134"/>
      </rPr>
      <t>完美装甲</t>
    </r>
  </si>
  <si>
    <r>
      <rPr>
        <sz val="10"/>
        <color theme="1"/>
        <rFont val="宋体"/>
        <charset val="134"/>
      </rPr>
      <t>基于奥能装甲类型，你的装甲获得了额外的增益，如下述所叙。</t>
    </r>
    <r>
      <rPr>
        <sz val="10"/>
        <color theme="1"/>
        <rFont val="Times New Roman"/>
        <charset val="134"/>
      </rPr>
      <t xml:space="preserve">
</t>
    </r>
    <r>
      <rPr>
        <sz val="10"/>
        <color theme="1"/>
        <rFont val="宋体"/>
        <charset val="134"/>
      </rPr>
      <t>无畏者</t>
    </r>
    <r>
      <rPr>
        <sz val="10"/>
        <color theme="1"/>
        <rFont val="Times New Roman"/>
        <charset val="134"/>
      </rPr>
      <t>Dreadnaught</t>
    </r>
    <r>
      <rPr>
        <sz val="10"/>
        <color theme="1"/>
        <rFont val="宋体"/>
        <charset val="134"/>
      </rPr>
      <t>。你的力场破坏器的伤害骰提升至</t>
    </r>
    <r>
      <rPr>
        <sz val="10"/>
        <color theme="1"/>
        <rFont val="Times New Roman"/>
        <charset val="134"/>
      </rPr>
      <t>2d6</t>
    </r>
    <r>
      <rPr>
        <sz val="10"/>
        <color theme="1"/>
        <rFont val="宋体"/>
        <charset val="134"/>
      </rPr>
      <t>力场伤害。</t>
    </r>
    <r>
      <rPr>
        <sz val="10"/>
        <color theme="1"/>
        <rFont val="Times New Roman"/>
        <charset val="134"/>
      </rPr>
      <t xml:space="preserve">
</t>
    </r>
    <r>
      <rPr>
        <sz val="10"/>
        <color theme="1"/>
        <rFont val="宋体"/>
        <charset val="134"/>
      </rPr>
      <t>另外，当你使用你的伟岸身姿时，你的触及提升</t>
    </r>
    <r>
      <rPr>
        <sz val="10"/>
        <color theme="1"/>
        <rFont val="Times New Roman"/>
        <charset val="134"/>
      </rPr>
      <t>10</t>
    </r>
    <r>
      <rPr>
        <sz val="10"/>
        <color theme="1"/>
        <rFont val="宋体"/>
        <charset val="134"/>
      </rPr>
      <t>尺，你的体型可以提升至大型或巨型（由你选择），且你在持续期间获得力量检定和力量豁免的优势。</t>
    </r>
    <r>
      <rPr>
        <sz val="10"/>
        <color theme="1"/>
        <rFont val="Times New Roman"/>
        <charset val="134"/>
      </rPr>
      <t xml:space="preserve">
</t>
    </r>
    <r>
      <rPr>
        <sz val="10"/>
        <color theme="1"/>
        <rFont val="宋体"/>
        <charset val="134"/>
      </rPr>
      <t>守护者</t>
    </r>
    <r>
      <rPr>
        <sz val="10"/>
        <color theme="1"/>
        <rFont val="Times New Roman"/>
        <charset val="134"/>
      </rPr>
      <t>Guardian</t>
    </r>
    <r>
      <rPr>
        <sz val="10"/>
        <color theme="1"/>
        <rFont val="宋体"/>
        <charset val="134"/>
      </rPr>
      <t>。你的雷鸣脉冲的伤害骰提升至</t>
    </r>
    <r>
      <rPr>
        <sz val="10"/>
        <color theme="1"/>
        <rFont val="Times New Roman"/>
        <charset val="134"/>
      </rPr>
      <t>1d10</t>
    </r>
    <r>
      <rPr>
        <sz val="10"/>
        <color theme="1"/>
        <rFont val="宋体"/>
        <charset val="134"/>
      </rPr>
      <t>雷鸣伤害。</t>
    </r>
    <r>
      <rPr>
        <sz val="10"/>
        <color theme="1"/>
        <rFont val="Times New Roman"/>
        <charset val="134"/>
      </rPr>
      <t xml:space="preserve">
</t>
    </r>
    <r>
      <rPr>
        <sz val="10"/>
        <color theme="1"/>
        <rFont val="宋体"/>
        <charset val="134"/>
      </rPr>
      <t>另外，当一名不超过巨型的你可见的生物在你</t>
    </r>
    <r>
      <rPr>
        <sz val="10"/>
        <color theme="1"/>
        <rFont val="Times New Roman"/>
        <charset val="134"/>
      </rPr>
      <t>30</t>
    </r>
    <r>
      <rPr>
        <sz val="10"/>
        <color theme="1"/>
        <rFont val="宋体"/>
        <charset val="134"/>
      </rPr>
      <t>尺内结束其回合时，你能以反应魔法性地迫使该生物进行一次对抗你法术豁免</t>
    </r>
    <r>
      <rPr>
        <sz val="10"/>
        <color theme="1"/>
        <rFont val="Times New Roman"/>
        <charset val="134"/>
      </rPr>
      <t>DC</t>
    </r>
    <r>
      <rPr>
        <sz val="10"/>
        <color theme="1"/>
        <rFont val="宋体"/>
        <charset val="134"/>
      </rPr>
      <t>的力量豁免。豁免失败则你将该生物直线牵引至</t>
    </r>
    <r>
      <rPr>
        <sz val="10"/>
        <color theme="1"/>
        <rFont val="Times New Roman"/>
        <charset val="134"/>
      </rPr>
      <t>25</t>
    </r>
    <r>
      <rPr>
        <sz val="10"/>
        <color theme="1"/>
        <rFont val="宋体"/>
        <charset val="134"/>
      </rPr>
      <t>尺内一处未占据空间。若你将该目标牵引至你</t>
    </r>
    <r>
      <rPr>
        <sz val="10"/>
        <color theme="1"/>
        <rFont val="Times New Roman"/>
        <charset val="134"/>
      </rPr>
      <t>5</t>
    </r>
    <r>
      <rPr>
        <sz val="10"/>
        <color theme="1"/>
        <rFont val="宋体"/>
        <charset val="134"/>
      </rPr>
      <t>尺内的空间，作为该反应的一部分，你还可以对其发动一次近战武器攻击。</t>
    </r>
    <r>
      <rPr>
        <sz val="10"/>
        <color theme="1"/>
        <rFont val="Times New Roman"/>
        <charset val="134"/>
      </rPr>
      <t xml:space="preserve">
</t>
    </r>
    <r>
      <rPr>
        <sz val="10"/>
        <color theme="1"/>
        <rFont val="宋体"/>
        <charset val="134"/>
      </rPr>
      <t>你可以执行该反应的次数等于你的智力调整值（至少</t>
    </r>
    <r>
      <rPr>
        <sz val="10"/>
        <color theme="1"/>
        <rFont val="Times New Roman"/>
        <charset val="134"/>
      </rPr>
      <t>1</t>
    </r>
    <r>
      <rPr>
        <sz val="10"/>
        <color theme="1"/>
        <rFont val="宋体"/>
        <charset val="134"/>
      </rPr>
      <t>次），你在完成长休时重获所有已消耗的使用次数。</t>
    </r>
    <r>
      <rPr>
        <sz val="10"/>
        <color theme="1"/>
        <rFont val="Times New Roman"/>
        <charset val="134"/>
      </rPr>
      <t xml:space="preserve">
</t>
    </r>
    <r>
      <rPr>
        <sz val="10"/>
        <color theme="1"/>
        <rFont val="宋体"/>
        <charset val="134"/>
      </rPr>
      <t>渗透者</t>
    </r>
    <r>
      <rPr>
        <sz val="10"/>
        <color theme="1"/>
        <rFont val="Times New Roman"/>
        <charset val="134"/>
      </rPr>
      <t>Infiltrator</t>
    </r>
    <r>
      <rPr>
        <sz val="10"/>
        <color theme="1"/>
        <rFont val="宋体"/>
        <charset val="134"/>
      </rPr>
      <t>。你的闪电发射器的伤害骰提升至</t>
    </r>
    <r>
      <rPr>
        <sz val="10"/>
        <color theme="1"/>
        <rFont val="Times New Roman"/>
        <charset val="134"/>
      </rPr>
      <t>2d6</t>
    </r>
    <r>
      <rPr>
        <sz val="10"/>
        <color theme="1"/>
        <rFont val="宋体"/>
        <charset val="134"/>
      </rPr>
      <t>闪电伤害。任何因你的闪电发射器受到闪电伤害的生物微弱地发出着魔法的光芒，直至你的下个回合开始。任何发微光的生物会散发半径</t>
    </r>
    <r>
      <rPr>
        <sz val="10"/>
        <color theme="1"/>
        <rFont val="Times New Roman"/>
        <charset val="134"/>
      </rPr>
      <t>5</t>
    </r>
    <r>
      <rPr>
        <sz val="10"/>
        <color theme="1"/>
        <rFont val="宋体"/>
        <charset val="134"/>
      </rPr>
      <t>尺的微光光照，光线会在它攻击你时造成干扰，使其对你的攻击检定具有劣势。</t>
    </r>
    <r>
      <rPr>
        <sz val="10"/>
        <color theme="1"/>
        <rFont val="Times New Roman"/>
        <charset val="134"/>
      </rPr>
      <t xml:space="preserve">
</t>
    </r>
    <r>
      <rPr>
        <sz val="10"/>
        <color theme="1"/>
        <rFont val="宋体"/>
        <charset val="134"/>
      </rPr>
      <t>另外，你能以附赠动作获得等于你速度两倍的飞行速度，持续至当前回合结束。你可以执行该附赠动作的次数等于你的智力调整值（至少</t>
    </r>
    <r>
      <rPr>
        <sz val="10"/>
        <color theme="1"/>
        <rFont val="Times New Roman"/>
        <charset val="134"/>
      </rPr>
      <t>1</t>
    </r>
    <r>
      <rPr>
        <sz val="10"/>
        <color theme="1"/>
        <rFont val="宋体"/>
        <charset val="134"/>
      </rPr>
      <t>次），你在完成长休时重获所有已消耗的使用次数。</t>
    </r>
  </si>
  <si>
    <t>毁灭迷狂</t>
  </si>
  <si>
    <r>
      <rPr>
        <sz val="10"/>
        <color theme="1"/>
        <rFont val="宋体"/>
        <charset val="134"/>
      </rPr>
      <t>在你的回合开始时，你可以消耗一个灵能骰进入毁灭状态。接下来</t>
    </r>
    <r>
      <rPr>
        <sz val="10"/>
        <color theme="1"/>
        <rFont val="Times New Roman"/>
        <charset val="134"/>
      </rPr>
      <t>10</t>
    </r>
    <r>
      <rPr>
        <sz val="10"/>
        <color theme="1"/>
        <rFont val="宋体"/>
        <charset val="134"/>
      </rPr>
      <t>分钟内，你获得</t>
    </r>
    <r>
      <rPr>
        <sz val="10"/>
        <color theme="1"/>
        <rFont val="Times New Roman"/>
        <charset val="134"/>
      </rPr>
      <t>20</t>
    </r>
    <r>
      <rPr>
        <sz val="10"/>
        <color theme="1"/>
        <rFont val="宋体"/>
        <charset val="134"/>
      </rPr>
      <t>尺飞行速度并可以悬浮。且当你施展一个消耗法术位的灵能法术时，你可以掷你的灵能骰，并将掷骰结果加入到该法术的一次伤害掷骰中。该掷骰不会额外消耗灵能骰。</t>
    </r>
    <r>
      <rPr>
        <sz val="10"/>
        <color theme="1"/>
        <rFont val="Times New Roman"/>
        <charset val="134"/>
      </rPr>
      <t xml:space="preserve"> </t>
    </r>
  </si>
  <si>
    <r>
      <rPr>
        <sz val="10"/>
        <color theme="1"/>
        <rFont val="宋体"/>
        <charset val="134"/>
      </rPr>
      <t>狼人之负担</t>
    </r>
  </si>
  <si>
    <r>
      <rPr>
        <sz val="10"/>
        <color theme="1"/>
        <rFont val="宋体"/>
        <charset val="134"/>
      </rPr>
      <t>入选化狼圣约的人坚定地选择了这条道路，清楚这对他们将施加怎样的可怕负担，如何的艰难挑战。虽然绝大多数受狼化诅咒折磨的人都变得邪恶、疯狂甚至凶残，化狼圣约的血猎手接受了兽性的馈赠，通过高强度训练和鲜血魔法的力量来维持掌控控制。除非他们愿意，否则化狼圣约的成员不能通过血液传播他们的诅咒，教团最神圣的誓言之一就是在没有得到教团批准的情况下，永远不准感染其他生物。
化狼圣约的成员如果治愈了他们的狼人诅咒，会给自己和教团带来可怕的耻辱。被迫净化的成员很容易回到教团接受新的驯服，将诅咒重新引入他们的身体并恢复他们的荣誉。
狼人的外貌有多种类别，每种与特定的野兽有关。其中最著名的变种是狼、熊、老虎、野猪和老鼠。诅咒的具体类型决定了狼人血猎手混种变形时的身体特征，即使诅咒赋予的好处大差不多。</t>
    </r>
  </si>
  <si>
    <r>
      <rPr>
        <sz val="10"/>
        <color theme="1"/>
        <rFont val="宋体"/>
        <charset val="134"/>
      </rPr>
      <t>全神贯注</t>
    </r>
  </si>
  <si>
    <r>
      <rPr>
        <sz val="10"/>
        <color theme="1"/>
        <rFont val="宋体"/>
        <charset val="134"/>
      </rPr>
      <t>先决：药剂师等级</t>
    </r>
    <r>
      <rPr>
        <sz val="10"/>
        <color theme="1"/>
        <rFont val="Times New Roman"/>
        <charset val="134"/>
      </rPr>
      <t xml:space="preserve">6+ 
</t>
    </r>
    <r>
      <rPr>
        <sz val="10"/>
        <color theme="1"/>
        <rFont val="宋体"/>
        <charset val="134"/>
      </rPr>
      <t>当你未能通过一次体质豁免来维持你的一个药剂师法术专注时，你可以选择将其改为成功。一旦你使用过该特性，你不能再次使用它直到完成一次短休或长休。</t>
    </r>
  </si>
  <si>
    <r>
      <rPr>
        <sz val="10"/>
        <color theme="1"/>
        <rFont val="宋体"/>
        <charset val="134"/>
      </rPr>
      <t>你知晓两道你选择的法师戏法。推荐选择火焰箭</t>
    </r>
    <r>
      <rPr>
        <sz val="10"/>
        <color theme="1"/>
        <rFont val="Times New Roman"/>
        <charset val="134"/>
      </rPr>
      <t>Fire Bolt</t>
    </r>
    <r>
      <rPr>
        <sz val="10"/>
        <color theme="1"/>
        <rFont val="宋体"/>
        <charset val="134"/>
      </rPr>
      <t>和传讯术</t>
    </r>
    <r>
      <rPr>
        <sz val="10"/>
        <color theme="1"/>
        <rFont val="Times New Roman"/>
        <charset val="134"/>
      </rPr>
      <t>Message</t>
    </r>
    <r>
      <rPr>
        <sz val="10"/>
        <color theme="1"/>
        <rFont val="宋体"/>
        <charset val="134"/>
      </rPr>
      <t>。</t>
    </r>
    <r>
      <rPr>
        <sz val="10"/>
        <color theme="1"/>
        <rFont val="Times New Roman"/>
        <charset val="134"/>
      </rPr>
      <t xml:space="preserve">
</t>
    </r>
    <r>
      <rPr>
        <sz val="10"/>
        <color theme="1"/>
        <rFont val="宋体"/>
        <charset val="134"/>
      </rPr>
      <t>每当你获得一个铳士等级时，你都能从此特性的戏法中选择其一替换为另一道你所选择的法师戏法。</t>
    </r>
    <r>
      <rPr>
        <sz val="10"/>
        <color theme="1"/>
        <rFont val="Times New Roman"/>
        <charset val="134"/>
      </rPr>
      <t xml:space="preserve">
</t>
    </r>
    <r>
      <rPr>
        <sz val="10"/>
        <color theme="1"/>
        <rFont val="宋体"/>
        <charset val="134"/>
      </rPr>
      <t>当你的铳士等级到达</t>
    </r>
    <r>
      <rPr>
        <sz val="10"/>
        <color theme="1"/>
        <rFont val="Times New Roman"/>
        <charset val="134"/>
      </rPr>
      <t>10</t>
    </r>
    <r>
      <rPr>
        <sz val="10"/>
        <color theme="1"/>
        <rFont val="宋体"/>
        <charset val="134"/>
      </rPr>
      <t>级时，你能另选一道法师戏法并习得。</t>
    </r>
  </si>
  <si>
    <r>
      <rPr>
        <sz val="10"/>
        <color theme="1"/>
        <rFont val="宋体"/>
        <charset val="134"/>
      </rPr>
      <t>你已知两道你选择的筑灭师戏法（筑灭师法术列表见子职末）。当你的邪狱使等级到达</t>
    </r>
    <r>
      <rPr>
        <sz val="10"/>
        <color theme="1"/>
        <rFont val="Times New Roman"/>
        <charset val="134"/>
      </rPr>
      <t>10</t>
    </r>
    <r>
      <rPr>
        <sz val="10"/>
        <color theme="1"/>
        <rFont val="宋体"/>
        <charset val="134"/>
      </rPr>
      <t>级时，另选一道筑灭师戏法并习得。</t>
    </r>
    <r>
      <rPr>
        <sz val="10"/>
        <color theme="1"/>
        <rFont val="Times New Roman"/>
        <charset val="134"/>
      </rPr>
      <t xml:space="preserve"> 
</t>
    </r>
    <r>
      <rPr>
        <sz val="10"/>
        <color theme="1"/>
        <rFont val="宋体"/>
        <charset val="134"/>
      </rPr>
      <t>法术位</t>
    </r>
    <r>
      <rPr>
        <sz val="10"/>
        <color theme="1"/>
        <rFont val="Times New Roman"/>
        <charset val="134"/>
      </rPr>
      <t>Spell Slots</t>
    </r>
    <r>
      <rPr>
        <sz val="10"/>
        <color theme="1"/>
        <rFont val="宋体"/>
        <charset val="134"/>
      </rPr>
      <t>。筑灭师施法表显示了你可用于施展一环及以上邪狱使法术的法术位数量。施展邪狱使法术时，你必须同时消耗其对应环阶的法术位。当你完成长休时，你重获所有已消耗的法术位。</t>
    </r>
    <r>
      <rPr>
        <sz val="10"/>
        <color theme="1"/>
        <rFont val="Times New Roman"/>
        <charset val="134"/>
      </rPr>
      <t xml:space="preserve"> 
</t>
    </r>
    <r>
      <rPr>
        <sz val="10"/>
        <color theme="1"/>
        <rFont val="宋体"/>
        <charset val="134"/>
      </rPr>
      <t>例如，若你已知一环法术炼狱叱喝</t>
    </r>
    <r>
      <rPr>
        <sz val="10"/>
        <color theme="1"/>
        <rFont val="Times New Roman"/>
        <charset val="134"/>
      </rPr>
      <t>Hellish Rebuke</t>
    </r>
    <r>
      <rPr>
        <sz val="10"/>
        <color theme="1"/>
        <rFont val="宋体"/>
        <charset val="134"/>
      </rPr>
      <t>，并且有一枚可用的一环法术位和一枚可用的二环法术位，则这两个法术位都可以用来施展该法术。</t>
    </r>
  </si>
  <si>
    <t>圣疗</t>
  </si>
  <si>
    <r>
      <rPr>
        <sz val="10"/>
        <color theme="1"/>
        <rFont val="宋体"/>
        <charset val="134"/>
      </rPr>
      <t>你的触碰带有祝福，可以医治伤口。你获得一个治疗能量池，其内的治疗能量在每次完成长休时补满。治疗能量池储备的可恢复生命值总值等于你的拳斗士等级的三倍。
你能够以附赠动作触碰一名生物（可以是你自己），并抽取治疗能量池中的能量恢复该生物的生命值，其恢复量最多等于你治疗能量池中剩余的治疗量。
此外，你也可以使用</t>
    </r>
    <r>
      <rPr>
        <sz val="10"/>
        <color theme="1"/>
        <rFont val="Times New Roman"/>
        <charset val="134"/>
      </rPr>
      <t>5</t>
    </r>
    <r>
      <rPr>
        <sz val="10"/>
        <color theme="1"/>
        <rFont val="宋体"/>
        <charset val="134"/>
      </rPr>
      <t>点治疗量来移除目标身上的中毒状态，这些点数不会同时恢复生物的生命值。</t>
    </r>
  </si>
  <si>
    <t>暗影领域-德城</t>
  </si>
  <si>
    <r>
      <rPr>
        <sz val="10"/>
        <color theme="1"/>
        <rFont val="宋体"/>
        <charset val="134"/>
      </rPr>
      <t>精魂之盾</t>
    </r>
  </si>
  <si>
    <r>
      <rPr>
        <sz val="10"/>
        <color theme="1"/>
        <rFont val="宋体"/>
        <charset val="134"/>
      </rPr>
      <t>卫士之魂会帮助你为你的盟友提供超自然保护。
狂暴期间，若一个处于你周围</t>
    </r>
    <r>
      <rPr>
        <sz val="10"/>
        <color theme="1"/>
        <rFont val="Times New Roman"/>
        <charset val="134"/>
      </rPr>
      <t>30</t>
    </r>
    <r>
      <rPr>
        <sz val="10"/>
        <color theme="1"/>
        <rFont val="宋体"/>
        <charset val="134"/>
      </rPr>
      <t>尺内的、你能看到的其他生物受到伤害时，你可以用反应来为其降低</t>
    </r>
    <r>
      <rPr>
        <sz val="10"/>
        <color theme="1"/>
        <rFont val="Times New Roman"/>
        <charset val="134"/>
      </rPr>
      <t>2d6</t>
    </r>
    <r>
      <rPr>
        <sz val="10"/>
        <color theme="1"/>
        <rFont val="宋体"/>
        <charset val="134"/>
      </rPr>
      <t>点的伤害。
当你此职业上达到特定等级后，你将可以减免更多的伤害：</t>
    </r>
    <r>
      <rPr>
        <sz val="10"/>
        <color theme="1"/>
        <rFont val="Times New Roman"/>
        <charset val="134"/>
      </rPr>
      <t>10</t>
    </r>
    <r>
      <rPr>
        <sz val="10"/>
        <color theme="1"/>
        <rFont val="宋体"/>
        <charset val="134"/>
      </rPr>
      <t>级后</t>
    </r>
    <r>
      <rPr>
        <sz val="10"/>
        <color theme="1"/>
        <rFont val="Times New Roman"/>
        <charset val="134"/>
      </rPr>
      <t>3d6</t>
    </r>
    <r>
      <rPr>
        <sz val="10"/>
        <color theme="1"/>
        <rFont val="宋体"/>
        <charset val="134"/>
      </rPr>
      <t>，</t>
    </r>
    <r>
      <rPr>
        <sz val="10"/>
        <color theme="1"/>
        <rFont val="Times New Roman"/>
        <charset val="134"/>
      </rPr>
      <t>14</t>
    </r>
    <r>
      <rPr>
        <sz val="10"/>
        <color theme="1"/>
        <rFont val="宋体"/>
        <charset val="134"/>
      </rPr>
      <t>级后</t>
    </r>
    <r>
      <rPr>
        <sz val="10"/>
        <color theme="1"/>
        <rFont val="Times New Roman"/>
        <charset val="134"/>
      </rPr>
      <t>4d6</t>
    </r>
    <r>
      <rPr>
        <sz val="10"/>
        <color theme="1"/>
        <rFont val="宋体"/>
        <charset val="134"/>
      </rPr>
      <t>。</t>
    </r>
  </si>
  <si>
    <r>
      <rPr>
        <sz val="10"/>
        <color theme="1"/>
        <rFont val="宋体"/>
        <charset val="134"/>
      </rPr>
      <t>心灵之刃</t>
    </r>
  </si>
  <si>
    <r>
      <rPr>
        <sz val="10"/>
        <color theme="1"/>
        <rFont val="宋体"/>
        <charset val="134"/>
      </rPr>
      <t>你加入低语学院起，你得到了让你的武器攻击毒害生物精神的魔法能力。
当你以一次武器攻击命中一个生物时，你可以消耗一次吟游激励的次数并对目标造成额外的</t>
    </r>
    <r>
      <rPr>
        <sz val="10"/>
        <color theme="1"/>
        <rFont val="Times New Roman"/>
        <charset val="134"/>
      </rPr>
      <t>2d6</t>
    </r>
    <r>
      <rPr>
        <sz val="10"/>
        <color theme="1"/>
        <rFont val="宋体"/>
        <charset val="134"/>
      </rPr>
      <t>点心灵伤害。你每轮在你的回合中只能这么做一次。
在你达到此职业的特定等级后，额外心灵伤害的值将提高，在</t>
    </r>
    <r>
      <rPr>
        <sz val="10"/>
        <color theme="1"/>
        <rFont val="Times New Roman"/>
        <charset val="134"/>
      </rPr>
      <t>5</t>
    </r>
    <r>
      <rPr>
        <sz val="10"/>
        <color theme="1"/>
        <rFont val="宋体"/>
        <charset val="134"/>
      </rPr>
      <t>级后提高到</t>
    </r>
    <r>
      <rPr>
        <sz val="10"/>
        <color theme="1"/>
        <rFont val="Times New Roman"/>
        <charset val="134"/>
      </rPr>
      <t>3d6</t>
    </r>
    <r>
      <rPr>
        <sz val="10"/>
        <color theme="1"/>
        <rFont val="宋体"/>
        <charset val="134"/>
      </rPr>
      <t>，</t>
    </r>
    <r>
      <rPr>
        <sz val="10"/>
        <color theme="1"/>
        <rFont val="Times New Roman"/>
        <charset val="134"/>
      </rPr>
      <t>10</t>
    </r>
    <r>
      <rPr>
        <sz val="10"/>
        <color theme="1"/>
        <rFont val="宋体"/>
        <charset val="134"/>
      </rPr>
      <t>级后</t>
    </r>
    <r>
      <rPr>
        <sz val="10"/>
        <color theme="1"/>
        <rFont val="Times New Roman"/>
        <charset val="134"/>
      </rPr>
      <t>5d6</t>
    </r>
    <r>
      <rPr>
        <sz val="10"/>
        <color theme="1"/>
        <rFont val="宋体"/>
        <charset val="134"/>
      </rPr>
      <t>，</t>
    </r>
    <r>
      <rPr>
        <sz val="10"/>
        <color theme="1"/>
        <rFont val="Times New Roman"/>
        <charset val="134"/>
      </rPr>
      <t>15</t>
    </r>
    <r>
      <rPr>
        <sz val="10"/>
        <color theme="1"/>
        <rFont val="宋体"/>
        <charset val="134"/>
      </rPr>
      <t>级后</t>
    </r>
    <r>
      <rPr>
        <sz val="10"/>
        <color theme="1"/>
        <rFont val="Times New Roman"/>
        <charset val="134"/>
      </rPr>
      <t>8d6</t>
    </r>
    <r>
      <rPr>
        <sz val="10"/>
        <color theme="1"/>
        <rFont val="宋体"/>
        <charset val="134"/>
      </rPr>
      <t>。</t>
    </r>
  </si>
  <si>
    <r>
      <rPr>
        <sz val="10"/>
        <color theme="1"/>
        <rFont val="宋体"/>
        <charset val="134"/>
      </rPr>
      <t>锻造领域法术</t>
    </r>
  </si>
  <si>
    <r>
      <rPr>
        <sz val="10"/>
        <color theme="1"/>
        <rFont val="宋体"/>
        <charset val="134"/>
      </rPr>
      <t>牧师等级</t>
    </r>
    <r>
      <rPr>
        <sz val="10"/>
        <color theme="1"/>
        <rFont val="Times New Roman"/>
        <charset val="134"/>
      </rPr>
      <t>——</t>
    </r>
    <r>
      <rPr>
        <sz val="10"/>
        <color theme="1"/>
        <rFont val="宋体"/>
        <charset val="134"/>
      </rPr>
      <t xml:space="preserve">法术
</t>
    </r>
    <r>
      <rPr>
        <sz val="10"/>
        <color theme="1"/>
        <rFont val="Times New Roman"/>
        <charset val="134"/>
      </rPr>
      <t>1st——</t>
    </r>
    <r>
      <rPr>
        <sz val="10"/>
        <color theme="1"/>
        <rFont val="宋体"/>
        <charset val="134"/>
      </rPr>
      <t xml:space="preserve">鉴定术，炽焰斩
</t>
    </r>
    <r>
      <rPr>
        <sz val="10"/>
        <color theme="1"/>
        <rFont val="Times New Roman"/>
        <charset val="134"/>
      </rPr>
      <t>3rd——</t>
    </r>
    <r>
      <rPr>
        <sz val="10"/>
        <color theme="1"/>
        <rFont val="宋体"/>
        <charset val="134"/>
      </rPr>
      <t xml:space="preserve">灼热金属，魔化武器
</t>
    </r>
    <r>
      <rPr>
        <sz val="10"/>
        <color theme="1"/>
        <rFont val="Times New Roman"/>
        <charset val="134"/>
      </rPr>
      <t>5th——</t>
    </r>
    <r>
      <rPr>
        <sz val="10"/>
        <color theme="1"/>
        <rFont val="宋体"/>
        <charset val="134"/>
      </rPr>
      <t xml:space="preserve">元素武器，防护能量伤害
</t>
    </r>
    <r>
      <rPr>
        <sz val="10"/>
        <color theme="1"/>
        <rFont val="Times New Roman"/>
        <charset val="134"/>
      </rPr>
      <t>7th——</t>
    </r>
    <r>
      <rPr>
        <sz val="10"/>
        <color theme="1"/>
        <rFont val="宋体"/>
        <charset val="134"/>
      </rPr>
      <t xml:space="preserve">鬼斧神工，火墙术
</t>
    </r>
    <r>
      <rPr>
        <sz val="10"/>
        <color theme="1"/>
        <rFont val="Times New Roman"/>
        <charset val="134"/>
      </rPr>
      <t>9th——</t>
    </r>
    <r>
      <rPr>
        <sz val="10"/>
        <color theme="1"/>
        <rFont val="宋体"/>
        <charset val="134"/>
      </rPr>
      <t>活化物件，造物术</t>
    </r>
  </si>
  <si>
    <r>
      <rPr>
        <sz val="10"/>
        <color theme="1"/>
        <rFont val="宋体"/>
        <charset val="134"/>
      </rPr>
      <t>星耀形态</t>
    </r>
  </si>
  <si>
    <r>
      <rPr>
        <sz val="10"/>
        <color theme="1"/>
        <rFont val="宋体"/>
        <charset val="134"/>
      </rPr>
      <t>以一个附赠动作，你可以消耗一次荒野变形特性使用次数以呈现一个星耀形态，而非变化为野兽形态。
处于星耀形态期间，你保留你的游戏数据，但你的身体变得明亮；你的关节星光熠熠并有如星图一般由亮线连接。这一形态散发出</t>
    </r>
    <r>
      <rPr>
        <sz val="10"/>
        <color theme="1"/>
        <rFont val="Times New Roman"/>
        <charset val="134"/>
      </rPr>
      <t>10</t>
    </r>
    <r>
      <rPr>
        <sz val="10"/>
        <color theme="1"/>
        <rFont val="宋体"/>
        <charset val="134"/>
      </rPr>
      <t>尺半径的明亮光照以及其外</t>
    </r>
    <r>
      <rPr>
        <sz val="10"/>
        <color theme="1"/>
        <rFont val="Times New Roman"/>
        <charset val="134"/>
      </rPr>
      <t>10</t>
    </r>
    <r>
      <rPr>
        <sz val="10"/>
        <color theme="1"/>
        <rFont val="宋体"/>
        <charset val="134"/>
      </rPr>
      <t>尺的昏暗光照。这一形态持续</t>
    </r>
    <r>
      <rPr>
        <sz val="10"/>
        <color theme="1"/>
        <rFont val="Times New Roman"/>
        <charset val="134"/>
      </rPr>
      <t>10</t>
    </r>
    <r>
      <rPr>
        <sz val="10"/>
        <color theme="1"/>
        <rFont val="宋体"/>
        <charset val="134"/>
      </rPr>
      <t>分钟。如果你解除它（无需动作）、失能、死亡、或再次使用此特性，它就会提前结束。
每当你化身星耀形态时，你选择以下在星座之一在你身上亮起；你的选择将为你在形态中提供特定的增益：
射手座</t>
    </r>
    <r>
      <rPr>
        <sz val="10"/>
        <color theme="1"/>
        <rFont val="Times New Roman"/>
        <charset val="134"/>
      </rPr>
      <t>Archer</t>
    </r>
    <r>
      <rPr>
        <sz val="10"/>
        <color theme="1"/>
        <rFont val="宋体"/>
        <charset val="134"/>
      </rPr>
      <t>。</t>
    </r>
    <r>
      <rPr>
        <sz val="10"/>
        <color theme="1"/>
        <rFont val="Times New Roman"/>
        <charset val="134"/>
      </rPr>
      <t xml:space="preserve"> </t>
    </r>
    <r>
      <rPr>
        <sz val="10"/>
        <color theme="1"/>
        <rFont val="宋体"/>
        <charset val="134"/>
      </rPr>
      <t>一个弓箭射手的星座于你身上浮现。当你激活这个形态时你可以进行一次远程法术攻击，对你</t>
    </r>
    <r>
      <rPr>
        <sz val="10"/>
        <color theme="1"/>
        <rFont val="Times New Roman"/>
        <charset val="134"/>
      </rPr>
      <t>60</t>
    </r>
    <r>
      <rPr>
        <sz val="10"/>
        <color theme="1"/>
        <rFont val="宋体"/>
        <charset val="134"/>
      </rPr>
      <t>尺内的一个生物射出一发光箭，在形态持续的后续回合中你也能够以一个附赠动作如此做。命中时，此攻击将造成等同于</t>
    </r>
    <r>
      <rPr>
        <sz val="10"/>
        <color theme="1"/>
        <rFont val="Times New Roman"/>
        <charset val="134"/>
      </rPr>
      <t>1d8+</t>
    </r>
    <r>
      <rPr>
        <sz val="10"/>
        <color theme="1"/>
        <rFont val="宋体"/>
        <charset val="134"/>
      </rPr>
      <t>你的感知调整值点的光耀伤害。
圣杯座</t>
    </r>
    <r>
      <rPr>
        <sz val="10"/>
        <color theme="1"/>
        <rFont val="Times New Roman"/>
        <charset val="134"/>
      </rPr>
      <t>Chalice</t>
    </r>
    <r>
      <rPr>
        <sz val="10"/>
        <color theme="1"/>
        <rFont val="宋体"/>
        <charset val="134"/>
      </rPr>
      <t>。一个予命圣杯的星座于你身上浮现。当你消耗法术位施展一个为生物恢复生命值的法术时，你或你周围</t>
    </r>
    <r>
      <rPr>
        <sz val="10"/>
        <color theme="1"/>
        <rFont val="Times New Roman"/>
        <charset val="134"/>
      </rPr>
      <t>30</t>
    </r>
    <r>
      <rPr>
        <sz val="10"/>
        <color theme="1"/>
        <rFont val="宋体"/>
        <charset val="134"/>
      </rPr>
      <t>尺内的另一生物可以恢复等同于</t>
    </r>
    <r>
      <rPr>
        <sz val="10"/>
        <color theme="1"/>
        <rFont val="Times New Roman"/>
        <charset val="134"/>
      </rPr>
      <t xml:space="preserve"> 1d8+</t>
    </r>
    <r>
      <rPr>
        <sz val="10"/>
        <color theme="1"/>
        <rFont val="宋体"/>
        <charset val="134"/>
      </rPr>
      <t>你的感知调整值点的生命值。
巨龙座</t>
    </r>
    <r>
      <rPr>
        <sz val="10"/>
        <color theme="1"/>
        <rFont val="Times New Roman"/>
        <charset val="134"/>
      </rPr>
      <t>Dragon</t>
    </r>
    <r>
      <rPr>
        <sz val="10"/>
        <color theme="1"/>
        <rFont val="宋体"/>
        <charset val="134"/>
      </rPr>
      <t>。</t>
    </r>
    <r>
      <rPr>
        <sz val="10"/>
        <color theme="1"/>
        <rFont val="Times New Roman"/>
        <charset val="134"/>
      </rPr>
      <t xml:space="preserve"> </t>
    </r>
    <r>
      <rPr>
        <sz val="10"/>
        <color theme="1"/>
        <rFont val="宋体"/>
        <charset val="134"/>
      </rPr>
      <t>一个智慧巨龙的星座于你身上浮现。当你进行一次智力或感知检定，或是进行一次体质豁免来维持法术专注时，你可以将</t>
    </r>
    <r>
      <rPr>
        <sz val="10"/>
        <color theme="1"/>
        <rFont val="Times New Roman"/>
        <charset val="134"/>
      </rPr>
      <t xml:space="preserve">d20 </t>
    </r>
    <r>
      <rPr>
        <sz val="10"/>
        <color theme="1"/>
        <rFont val="宋体"/>
        <charset val="134"/>
      </rPr>
      <t>中</t>
    </r>
    <r>
      <rPr>
        <sz val="10"/>
        <color theme="1"/>
        <rFont val="Times New Roman"/>
        <charset val="134"/>
      </rPr>
      <t>9</t>
    </r>
    <r>
      <rPr>
        <sz val="10"/>
        <color theme="1"/>
        <rFont val="宋体"/>
        <charset val="134"/>
      </rPr>
      <t>或以下的骰值视为</t>
    </r>
    <r>
      <rPr>
        <sz val="10"/>
        <color theme="1"/>
        <rFont val="Times New Roman"/>
        <charset val="134"/>
      </rPr>
      <t>10</t>
    </r>
    <r>
      <rPr>
        <sz val="10"/>
        <color theme="1"/>
        <rFont val="宋体"/>
        <charset val="134"/>
      </rPr>
      <t>。</t>
    </r>
  </si>
  <si>
    <r>
      <rPr>
        <sz val="10"/>
        <color theme="1"/>
        <rFont val="宋体"/>
        <charset val="134"/>
      </rPr>
      <t>坚韧</t>
    </r>
  </si>
  <si>
    <r>
      <rPr>
        <sz val="10"/>
        <color theme="1"/>
        <rFont val="宋体"/>
        <charset val="134"/>
      </rPr>
      <t>每回合一次，当你使用一项战技时，你可以不消耗卓越骰，而是掷</t>
    </r>
    <r>
      <rPr>
        <sz val="10"/>
        <color theme="1"/>
        <rFont val="Times New Roman"/>
        <charset val="134"/>
      </rPr>
      <t>d8</t>
    </r>
    <r>
      <rPr>
        <sz val="10"/>
        <color theme="1"/>
        <rFont val="宋体"/>
        <charset val="134"/>
      </rPr>
      <t>并使用结果作为代替。</t>
    </r>
  </si>
  <si>
    <r>
      <rPr>
        <sz val="10"/>
        <color theme="1"/>
        <rFont val="宋体"/>
        <charset val="134"/>
      </rPr>
      <t>流星步</t>
    </r>
  </si>
  <si>
    <r>
      <rPr>
        <sz val="10"/>
        <color theme="1"/>
        <rFont val="宋体"/>
        <charset val="134"/>
      </rPr>
      <t>当你使用疾步如风以外的附赠动作时，你可以在该附赠动作完成后立即使用疾步如风。</t>
    </r>
  </si>
  <si>
    <r>
      <rPr>
        <sz val="10"/>
        <color theme="1"/>
        <rFont val="宋体"/>
        <charset val="134"/>
      </rPr>
      <t>复仇之誓法术</t>
    </r>
  </si>
  <si>
    <r>
      <rPr>
        <sz val="10"/>
        <color theme="1"/>
        <rFont val="宋体"/>
        <charset val="134"/>
      </rPr>
      <t>你誓言具有的魔法使你始终准备了特定的法术。当你到达复仇之誓法术表中特定的圣武士等级时，你就始终准备了表中对应的法术。
复仇之誓法术</t>
    </r>
    <r>
      <rPr>
        <sz val="10"/>
        <color theme="1"/>
        <rFont val="Times New Roman"/>
        <charset val="134"/>
      </rPr>
      <t xml:space="preserve">Oath of Vengeance Spells 
</t>
    </r>
    <r>
      <rPr>
        <sz val="10"/>
        <color theme="1"/>
        <rFont val="宋体"/>
        <charset val="134"/>
      </rPr>
      <t>圣武士等级</t>
    </r>
    <r>
      <rPr>
        <sz val="10"/>
        <color theme="1"/>
        <rFont val="Times New Roman"/>
        <charset val="134"/>
      </rPr>
      <t xml:space="preserve"> </t>
    </r>
    <r>
      <rPr>
        <sz val="10"/>
        <color theme="1"/>
        <rFont val="宋体"/>
        <charset val="134"/>
      </rPr>
      <t xml:space="preserve">准备法术
</t>
    </r>
    <r>
      <rPr>
        <sz val="10"/>
        <color theme="1"/>
        <rFont val="Times New Roman"/>
        <charset val="134"/>
      </rPr>
      <t xml:space="preserve">3 </t>
    </r>
    <r>
      <rPr>
        <sz val="10"/>
        <color theme="1"/>
        <rFont val="宋体"/>
        <charset val="134"/>
      </rPr>
      <t>灾祸术</t>
    </r>
    <r>
      <rPr>
        <sz val="10"/>
        <color theme="1"/>
        <rFont val="Times New Roman"/>
        <charset val="134"/>
      </rPr>
      <t>Bane</t>
    </r>
    <r>
      <rPr>
        <sz val="10"/>
        <color theme="1"/>
        <rFont val="宋体"/>
        <charset val="134"/>
      </rPr>
      <t>，猎人印记</t>
    </r>
    <r>
      <rPr>
        <sz val="10"/>
        <color theme="1"/>
        <rFont val="Times New Roman"/>
        <charset val="134"/>
      </rPr>
      <t xml:space="preserve">Hunter's Mark 
5 </t>
    </r>
    <r>
      <rPr>
        <sz val="10"/>
        <color theme="1"/>
        <rFont val="宋体"/>
        <charset val="134"/>
      </rPr>
      <t>定身类人</t>
    </r>
    <r>
      <rPr>
        <sz val="10"/>
        <color theme="1"/>
        <rFont val="Times New Roman"/>
        <charset val="134"/>
      </rPr>
      <t>hold person</t>
    </r>
    <r>
      <rPr>
        <sz val="10"/>
        <color theme="1"/>
        <rFont val="宋体"/>
        <charset val="134"/>
      </rPr>
      <t>，迷踪步</t>
    </r>
    <r>
      <rPr>
        <sz val="10"/>
        <color theme="1"/>
        <rFont val="Times New Roman"/>
        <charset val="134"/>
      </rPr>
      <t xml:space="preserve">misty step 
9 </t>
    </r>
    <r>
      <rPr>
        <sz val="10"/>
        <color theme="1"/>
        <rFont val="宋体"/>
        <charset val="134"/>
      </rPr>
      <t>加速术</t>
    </r>
    <r>
      <rPr>
        <sz val="10"/>
        <color theme="1"/>
        <rFont val="Times New Roman"/>
        <charset val="134"/>
      </rPr>
      <t>haste</t>
    </r>
    <r>
      <rPr>
        <sz val="10"/>
        <color theme="1"/>
        <rFont val="宋体"/>
        <charset val="134"/>
      </rPr>
      <t>，防护能量伤害</t>
    </r>
    <r>
      <rPr>
        <sz val="10"/>
        <color theme="1"/>
        <rFont val="Times New Roman"/>
        <charset val="134"/>
      </rPr>
      <t xml:space="preserve">protection from energy 
13 </t>
    </r>
    <r>
      <rPr>
        <sz val="10"/>
        <color theme="1"/>
        <rFont val="宋体"/>
        <charset val="134"/>
      </rPr>
      <t>放逐术</t>
    </r>
    <r>
      <rPr>
        <sz val="10"/>
        <color theme="1"/>
        <rFont val="Times New Roman"/>
        <charset val="134"/>
      </rPr>
      <t>banishment</t>
    </r>
    <r>
      <rPr>
        <sz val="10"/>
        <color theme="1"/>
        <rFont val="宋体"/>
        <charset val="134"/>
      </rPr>
      <t>，任意门</t>
    </r>
    <r>
      <rPr>
        <sz val="10"/>
        <color theme="1"/>
        <rFont val="Times New Roman"/>
        <charset val="134"/>
      </rPr>
      <t xml:space="preserve">dimension door 
17 </t>
    </r>
    <r>
      <rPr>
        <sz val="10"/>
        <color theme="1"/>
        <rFont val="宋体"/>
        <charset val="134"/>
      </rPr>
      <t>定身怪物</t>
    </r>
    <r>
      <rPr>
        <sz val="10"/>
        <color theme="1"/>
        <rFont val="Times New Roman"/>
        <charset val="134"/>
      </rPr>
      <t>hold monster</t>
    </r>
    <r>
      <rPr>
        <sz val="10"/>
        <color theme="1"/>
        <rFont val="宋体"/>
        <charset val="134"/>
      </rPr>
      <t>，探知</t>
    </r>
    <r>
      <rPr>
        <sz val="10"/>
        <color theme="1"/>
        <rFont val="Times New Roman"/>
        <charset val="134"/>
      </rPr>
      <t xml:space="preserve">scrying </t>
    </r>
  </si>
  <si>
    <r>
      <rPr>
        <sz val="10"/>
        <color theme="1"/>
        <rFont val="宋体"/>
        <charset val="134"/>
      </rPr>
      <t>猎杀技艺</t>
    </r>
  </si>
  <si>
    <r>
      <rPr>
        <sz val="10"/>
        <color theme="1"/>
        <rFont val="宋体"/>
        <charset val="134"/>
      </rPr>
      <t>你选择并获得以下特性选项之一。当你完成一次短休或长休时，你可以将所选的选项替换为另一个。
巨像屠夫</t>
    </r>
    <r>
      <rPr>
        <sz val="10"/>
        <color theme="1"/>
        <rFont val="Times New Roman"/>
        <charset val="134"/>
      </rPr>
      <t>Colossus Slayer</t>
    </r>
    <r>
      <rPr>
        <sz val="10"/>
        <color theme="1"/>
        <rFont val="宋体"/>
        <charset val="134"/>
      </rPr>
      <t>。你强而有力的攻击可以击倒最强壮的对手。当你用武器命中生物时，如果该敌人生命值不满，则该武器额外对目标造成</t>
    </r>
    <r>
      <rPr>
        <sz val="10"/>
        <color theme="1"/>
        <rFont val="Times New Roman"/>
        <charset val="134"/>
      </rPr>
      <t>1d8</t>
    </r>
    <r>
      <rPr>
        <sz val="10"/>
        <color theme="1"/>
        <rFont val="宋体"/>
        <charset val="134"/>
      </rPr>
      <t>点伤害。你每回合只能造成一次这种额外伤害。
灭族者</t>
    </r>
    <r>
      <rPr>
        <sz val="10"/>
        <color theme="1"/>
        <rFont val="Times New Roman"/>
        <charset val="134"/>
      </rPr>
      <t>Horde Breaker</t>
    </r>
    <r>
      <rPr>
        <sz val="10"/>
        <color theme="1"/>
        <rFont val="宋体"/>
        <charset val="134"/>
      </rPr>
      <t>。每个你的回合一次，当你用武器进行攻击时，你可以用该武器对位于目标</t>
    </r>
    <r>
      <rPr>
        <sz val="10"/>
        <color theme="1"/>
        <rFont val="Times New Roman"/>
        <charset val="134"/>
      </rPr>
      <t>5</t>
    </r>
    <r>
      <rPr>
        <sz val="10"/>
        <color theme="1"/>
        <rFont val="宋体"/>
        <charset val="134"/>
      </rPr>
      <t>尺内的另一生物发动另一次攻击。额外攻击的目标必须处于你武器射程或范围内，且是你这回合没有攻击过的目标。</t>
    </r>
  </si>
  <si>
    <r>
      <rPr>
        <sz val="10"/>
        <color theme="1"/>
        <rFont val="宋体"/>
        <charset val="134"/>
      </rPr>
      <t>快手</t>
    </r>
  </si>
  <si>
    <r>
      <rPr>
        <sz val="10"/>
        <color theme="1"/>
        <rFont val="宋体"/>
        <charset val="134"/>
      </rPr>
      <t>你可以通过附赠动作来进行下列行为中的一个：</t>
    </r>
    <r>
      <rPr>
        <sz val="10"/>
        <color theme="1"/>
        <rFont val="Times New Roman"/>
        <charset val="134"/>
      </rPr>
      <t xml:space="preserve"> 
</t>
    </r>
    <r>
      <rPr>
        <sz val="10"/>
        <color theme="1"/>
        <rFont val="宋体"/>
        <charset val="134"/>
      </rPr>
      <t>巧手</t>
    </r>
    <r>
      <rPr>
        <sz val="10"/>
        <color theme="1"/>
        <rFont val="Times New Roman"/>
        <charset val="134"/>
      </rPr>
      <t>Sleight of Hand</t>
    </r>
    <r>
      <rPr>
        <sz val="10"/>
        <color theme="1"/>
        <rFont val="宋体"/>
        <charset val="134"/>
      </rPr>
      <t>。进行一次敏捷（巧手）检定来利用盗贼工具解开一个锁或解除陷阱，或是使用这个检定进行扒窃。
使用物件</t>
    </r>
    <r>
      <rPr>
        <sz val="10"/>
        <color theme="1"/>
        <rFont val="Times New Roman"/>
        <charset val="134"/>
      </rPr>
      <t>Use an Object</t>
    </r>
    <r>
      <rPr>
        <sz val="10"/>
        <color theme="1"/>
        <rFont val="宋体"/>
        <charset val="134"/>
      </rPr>
      <t>。执行利用动作，或是执行魔法动作来使用一个要求该动作的魔法物品。</t>
    </r>
  </si>
  <si>
    <r>
      <rPr>
        <sz val="10"/>
        <color theme="1"/>
        <rFont val="宋体"/>
        <charset val="134"/>
      </rPr>
      <t>元素亲和</t>
    </r>
  </si>
  <si>
    <r>
      <rPr>
        <sz val="10"/>
        <color theme="1"/>
        <rFont val="宋体"/>
        <charset val="134"/>
      </rPr>
      <t>你的龙族魔法与龙族相关的伤害类型有较强的亲和力。选择以下伤害类型之一：强酸、寒冷、火焰、闪电、或毒素。
你获得对所选伤害类型的抗性，且当你施放造成那种伤害的法术时，你可以将你的魅力</t>
    </r>
    <r>
      <rPr>
        <sz val="10"/>
        <color theme="1"/>
        <rFont val="Times New Roman"/>
        <charset val="134"/>
      </rPr>
      <t xml:space="preserve"> </t>
    </r>
    <r>
      <rPr>
        <sz val="10"/>
        <color theme="1"/>
        <rFont val="宋体"/>
        <charset val="134"/>
      </rPr>
      <t>调整值加到那个法术的其中一次伤害掷骰中。</t>
    </r>
  </si>
  <si>
    <r>
      <rPr>
        <sz val="10"/>
        <color theme="1"/>
        <rFont val="宋体"/>
        <charset val="134"/>
      </rPr>
      <t>融身入影</t>
    </r>
  </si>
  <si>
    <r>
      <rPr>
        <sz val="10"/>
        <color theme="1"/>
        <rFont val="宋体"/>
        <charset val="134"/>
      </rPr>
      <t>先决：魔契师等级</t>
    </r>
    <r>
      <rPr>
        <sz val="10"/>
        <color theme="1"/>
        <rFont val="Times New Roman"/>
        <charset val="134"/>
      </rPr>
      <t xml:space="preserve">5+
</t>
    </r>
    <r>
      <rPr>
        <sz val="10"/>
        <color theme="1"/>
        <rFont val="宋体"/>
        <charset val="134"/>
      </rPr>
      <t>身处微光或黑暗环境时，你可以对自身施展隐身术</t>
    </r>
    <r>
      <rPr>
        <sz val="10"/>
        <color theme="1"/>
        <rFont val="Times New Roman"/>
        <charset val="134"/>
      </rPr>
      <t xml:space="preserve">Invisibility </t>
    </r>
    <r>
      <rPr>
        <sz val="10"/>
        <color theme="1"/>
        <rFont val="宋体"/>
        <charset val="134"/>
      </rPr>
      <t>且无需消耗法术位。</t>
    </r>
  </si>
  <si>
    <r>
      <rPr>
        <sz val="10"/>
        <color theme="1"/>
        <rFont val="宋体"/>
        <charset val="134"/>
      </rPr>
      <t>亦真亦幻</t>
    </r>
  </si>
  <si>
    <r>
      <rPr>
        <sz val="10"/>
        <color theme="1"/>
        <rFont val="宋体"/>
        <charset val="134"/>
      </rPr>
      <t>你习得借由将暗影魔法编入你的幻术，从而使其获得半真实效果的秘密。当你用法术位施展一道幻术学派法术时，你能选择一个属于幻象一部分的非活化非魔法物件，并让该物件化作真实。你可以在法术持续过程中在自己的回合以一个附赠动作这样做。该物件将在接下来</t>
    </r>
    <r>
      <rPr>
        <sz val="10"/>
        <color theme="1"/>
        <rFont val="Times New Roman"/>
        <charset val="134"/>
      </rPr>
      <t>1</t>
    </r>
    <r>
      <rPr>
        <sz val="10"/>
        <color theme="1"/>
        <rFont val="宋体"/>
        <charset val="134"/>
      </rPr>
      <t>分钟内保持真实，它在此期间无法造成伤害或赋予任何状态。例如，你可以创造一座横跨峡谷的桥梁幻象，而后将之化作真实，使你的队友能从桥上跨越峡谷。</t>
    </r>
  </si>
  <si>
    <t>魔炮师行业工具</t>
  </si>
  <si>
    <r>
      <rPr>
        <sz val="10"/>
        <color theme="1"/>
        <rFont val="宋体"/>
        <charset val="134"/>
      </rPr>
      <t>你获得以下增益。</t>
    </r>
    <r>
      <rPr>
        <sz val="10"/>
        <color theme="1"/>
        <rFont val="Times New Roman"/>
        <charset val="134"/>
      </rPr>
      <t xml:space="preserve">
</t>
    </r>
    <r>
      <rPr>
        <sz val="10"/>
        <color theme="1"/>
        <rFont val="宋体"/>
        <charset val="134"/>
      </rPr>
      <t>远程武器组</t>
    </r>
    <r>
      <rPr>
        <sz val="10"/>
        <color theme="1"/>
        <rFont val="Times New Roman"/>
        <charset val="134"/>
      </rPr>
      <t>Ranged Weaponry</t>
    </r>
    <r>
      <rPr>
        <sz val="10"/>
        <color theme="1"/>
        <rFont val="宋体"/>
        <charset val="134"/>
      </rPr>
      <t>。你获得军用远程武器的熟练。</t>
    </r>
    <r>
      <rPr>
        <sz val="10"/>
        <color theme="1"/>
        <rFont val="Times New Roman"/>
        <charset val="134"/>
      </rPr>
      <t xml:space="preserve">
</t>
    </r>
    <r>
      <rPr>
        <sz val="10"/>
        <color theme="1"/>
        <rFont val="宋体"/>
        <charset val="134"/>
      </rPr>
      <t>工具熟练</t>
    </r>
    <r>
      <rPr>
        <sz val="10"/>
        <color theme="1"/>
        <rFont val="Times New Roman"/>
        <charset val="134"/>
      </rPr>
      <t>Tool Proficiency</t>
    </r>
    <r>
      <rPr>
        <sz val="10"/>
        <color theme="1"/>
        <rFont val="宋体"/>
        <charset val="134"/>
      </rPr>
      <t>。你获得木雕工具的熟练。如果你已经拥有此工具的熟练，则你获得另一种你选择的工匠工具的熟练。</t>
    </r>
    <r>
      <rPr>
        <sz val="10"/>
        <color theme="1"/>
        <rFont val="Times New Roman"/>
        <charset val="134"/>
      </rPr>
      <t xml:space="preserve">
</t>
    </r>
    <r>
      <rPr>
        <sz val="10"/>
        <color theme="1"/>
        <rFont val="宋体"/>
        <charset val="134"/>
      </rPr>
      <t>魔杖制作</t>
    </r>
    <r>
      <rPr>
        <sz val="10"/>
        <color theme="1"/>
        <rFont val="Times New Roman"/>
        <charset val="134"/>
      </rPr>
      <t>Armor Crafting</t>
    </r>
    <r>
      <rPr>
        <sz val="10"/>
        <color theme="1"/>
        <rFont val="宋体"/>
        <charset val="134"/>
      </rPr>
      <t>。当你制造一根魔法魔杖，制造所需花费的时间减半。</t>
    </r>
  </si>
  <si>
    <r>
      <rPr>
        <sz val="10"/>
        <color theme="1"/>
        <rFont val="宋体"/>
        <charset val="134"/>
      </rPr>
      <t>反弹力场</t>
    </r>
  </si>
  <si>
    <r>
      <rPr>
        <sz val="10"/>
        <color theme="1"/>
        <rFont val="宋体"/>
        <charset val="134"/>
      </rPr>
      <t>当你因被一次攻击检定命中时而施展护盾术</t>
    </r>
    <r>
      <rPr>
        <sz val="10"/>
        <color theme="1"/>
        <rFont val="Times New Roman"/>
        <charset val="134"/>
      </rPr>
      <t xml:space="preserve">Shield </t>
    </r>
    <r>
      <rPr>
        <sz val="10"/>
        <color theme="1"/>
        <rFont val="宋体"/>
        <charset val="134"/>
      </rPr>
      <t>，并使该次攻击失手时，你可以消耗一个灵能骰将这股力返还给攻击者。攻击者进行一次敏捷豁免。掷一次灵能骰。若豁免失败，攻击者受到等同于掷骰结果</t>
    </r>
    <r>
      <rPr>
        <sz val="10"/>
        <color theme="1"/>
        <rFont val="Times New Roman"/>
        <charset val="134"/>
      </rPr>
      <t>+</t>
    </r>
    <r>
      <rPr>
        <sz val="10"/>
        <color theme="1"/>
        <rFont val="宋体"/>
        <charset val="134"/>
      </rPr>
      <t>你的智力调整值的力场伤害，豁免成功则攻击者仅受半伤。</t>
    </r>
  </si>
  <si>
    <r>
      <rPr>
        <sz val="10"/>
        <color theme="1"/>
        <rFont val="宋体"/>
        <charset val="134"/>
      </rPr>
      <t>增强感官</t>
    </r>
  </si>
  <si>
    <r>
      <rPr>
        <sz val="10"/>
        <color theme="1"/>
        <rFont val="宋体"/>
        <charset val="134"/>
      </rPr>
      <t>从你选择此范型开始，你接受天生掠食者的能力改进自身。你在依靠听觉或嗅觉的感知（察觉）检定中得到优势。</t>
    </r>
  </si>
  <si>
    <r>
      <rPr>
        <sz val="10"/>
        <color theme="1"/>
        <rFont val="宋体"/>
        <charset val="134"/>
      </rPr>
      <t>活体解剖</t>
    </r>
  </si>
  <si>
    <r>
      <rPr>
        <sz val="10"/>
        <color theme="1"/>
        <rFont val="宋体"/>
        <charset val="134"/>
      </rPr>
      <t>先决：药剂师等级</t>
    </r>
    <r>
      <rPr>
        <sz val="10"/>
        <color theme="1"/>
        <rFont val="Times New Roman"/>
        <charset val="134"/>
      </rPr>
      <t xml:space="preserve">6+ 
</t>
    </r>
    <r>
      <rPr>
        <sz val="10"/>
        <color theme="1"/>
        <rFont val="宋体"/>
        <charset val="134"/>
      </rPr>
      <t>你的武器攻击命中在掷出</t>
    </r>
    <r>
      <rPr>
        <sz val="10"/>
        <color theme="1"/>
        <rFont val="Times New Roman"/>
        <charset val="134"/>
      </rPr>
      <t>19-20</t>
    </r>
    <r>
      <rPr>
        <sz val="10"/>
        <color theme="1"/>
        <rFont val="宋体"/>
        <charset val="134"/>
      </rPr>
      <t>时暴击。</t>
    </r>
  </si>
  <si>
    <t>魔弹客施法表显示了你可用于施展一环及以上法术的法术位数量。你在完成一次长休时恢复所有已消耗的法术位。</t>
  </si>
  <si>
    <t>已知法术</t>
  </si>
  <si>
    <r>
      <rPr>
        <sz val="10"/>
        <color theme="1"/>
        <rFont val="Times New Roman"/>
        <charset val="134"/>
      </rPr>
      <t>3</t>
    </r>
    <r>
      <rPr>
        <sz val="10"/>
        <color theme="1"/>
        <rFont val="宋体"/>
        <charset val="134"/>
      </rPr>
      <t>级时，你已知三道你选择的一环筑灭师法术（筑灭师法术列表见子职末）。
筑灭师施法表中已知法术一栏记录了你获得更多已知法术时的相应等级。你获得法术的环阶不能超过你所拥有的最高法术位环阶。例如，如果你在本职业达到第</t>
    </r>
    <r>
      <rPr>
        <sz val="10"/>
        <color theme="1"/>
        <rFont val="Times New Roman"/>
        <charset val="134"/>
      </rPr>
      <t>7</t>
    </r>
    <r>
      <rPr>
        <sz val="10"/>
        <color theme="1"/>
        <rFont val="宋体"/>
        <charset val="134"/>
      </rPr>
      <t>级，则可以学习一个新的一环法术或二环法术。
每当你获得本职业等级时，可以将一道已知的邪狱使法术替换为另一道邪狱使法术。新替换的法术必须是你拥有法术位的法术。</t>
    </r>
  </si>
  <si>
    <t>磨难成圣</t>
  </si>
  <si>
    <t>当你使用浴血奋战时，你能补满你的圣疗能量池。
此特性一经使用，直至完成长休你都无法再次使用。</t>
  </si>
  <si>
    <t>月亮领域</t>
  </si>
  <si>
    <r>
      <rPr>
        <sz val="10"/>
        <color theme="1"/>
        <rFont val="宋体"/>
        <charset val="134"/>
      </rPr>
      <t>问道精魂</t>
    </r>
  </si>
  <si>
    <r>
      <rPr>
        <sz val="10"/>
        <color theme="1"/>
        <rFont val="宋体"/>
        <charset val="134"/>
      </rPr>
      <t>你获得了和你的先祖之魂进行交流的能力。当你想这么做时，你可以施展</t>
    </r>
    <r>
      <rPr>
        <sz val="10"/>
        <color theme="1"/>
        <rFont val="Times New Roman"/>
        <charset val="134"/>
      </rPr>
      <t xml:space="preserve"> </t>
    </r>
    <r>
      <rPr>
        <sz val="10"/>
        <color theme="1"/>
        <rFont val="宋体"/>
        <charset val="134"/>
      </rPr>
      <t>卜筮术</t>
    </r>
    <r>
      <rPr>
        <sz val="10"/>
        <color theme="1"/>
        <rFont val="Times New Roman"/>
        <charset val="134"/>
      </rPr>
      <t xml:space="preserve">Augury </t>
    </r>
    <r>
      <rPr>
        <sz val="10"/>
        <color theme="1"/>
        <rFont val="宋体"/>
        <charset val="134"/>
      </rPr>
      <t>或</t>
    </r>
    <r>
      <rPr>
        <sz val="10"/>
        <color theme="1"/>
        <rFont val="Times New Roman"/>
        <charset val="134"/>
      </rPr>
      <t xml:space="preserve"> </t>
    </r>
    <r>
      <rPr>
        <sz val="10"/>
        <color theme="1"/>
        <rFont val="宋体"/>
        <charset val="134"/>
      </rPr>
      <t>鹰眼术</t>
    </r>
    <r>
      <rPr>
        <sz val="10"/>
        <color theme="1"/>
        <rFont val="Times New Roman"/>
        <charset val="134"/>
      </rPr>
      <t xml:space="preserve">Clairvoyance </t>
    </r>
    <r>
      <rPr>
        <sz val="10"/>
        <color theme="1"/>
        <rFont val="宋体"/>
        <charset val="134"/>
      </rPr>
      <t>，且无需法术位与材料成分。这两个法术的施法属性为感知。以此施展的</t>
    </r>
    <r>
      <rPr>
        <sz val="10"/>
        <color theme="1"/>
        <rFont val="Times New Roman"/>
        <charset val="134"/>
      </rPr>
      <t xml:space="preserve"> </t>
    </r>
    <r>
      <rPr>
        <sz val="10"/>
        <color theme="1"/>
        <rFont val="宋体"/>
        <charset val="134"/>
      </rPr>
      <t>鹰眼术</t>
    </r>
    <r>
      <rPr>
        <sz val="10"/>
        <color theme="1"/>
        <rFont val="Times New Roman"/>
        <charset val="134"/>
      </rPr>
      <t xml:space="preserve">Clairvoyance </t>
    </r>
    <r>
      <rPr>
        <sz val="10"/>
        <color theme="1"/>
        <rFont val="宋体"/>
        <charset val="134"/>
      </rPr>
      <t>中，作为法术描述中提及的球形探测器的代替，这个法术会在指定位置创造一个无形的先祖之魂。
一旦你使用这个特性施展了上述两者之一，直到你完成一次短休或长休为止你都不能再次使用这一特性。</t>
    </r>
  </si>
  <si>
    <r>
      <rPr>
        <sz val="10"/>
        <color theme="1"/>
        <rFont val="宋体"/>
        <charset val="134"/>
      </rPr>
      <t>惊骇之语</t>
    </r>
  </si>
  <si>
    <r>
      <rPr>
        <sz val="10"/>
        <color theme="1"/>
        <rFont val="宋体"/>
        <charset val="134"/>
      </rPr>
      <t>你学会了将险恶的魔法混入看似无害的语言中。一个听到你说话的生物可能会因此陷入恐惧或妄想。
若你单独的对一个类人生物交谈了至少</t>
    </r>
    <r>
      <rPr>
        <sz val="10"/>
        <color theme="1"/>
        <rFont val="Times New Roman"/>
        <charset val="134"/>
      </rPr>
      <t>1</t>
    </r>
    <r>
      <rPr>
        <sz val="10"/>
        <color theme="1"/>
        <rFont val="宋体"/>
        <charset val="134"/>
      </rPr>
      <t>分钟，你可以尝试在其心灵中埋下多疑与恐惧的种子。在这次谈话的结束时，该目标必须通过一次对抗你的法术豁免</t>
    </r>
    <r>
      <rPr>
        <sz val="10"/>
        <color theme="1"/>
        <rFont val="Times New Roman"/>
        <charset val="134"/>
      </rPr>
      <t>DC</t>
    </r>
    <r>
      <rPr>
        <sz val="10"/>
        <color theme="1"/>
        <rFont val="宋体"/>
        <charset val="134"/>
      </rPr>
      <t>的感知豁免，豁免失败将陷入对你或者你指定的某一生物的</t>
    </r>
    <r>
      <rPr>
        <sz val="10"/>
        <color theme="1"/>
        <rFont val="Times New Roman"/>
        <charset val="134"/>
      </rPr>
      <t xml:space="preserve"> </t>
    </r>
    <r>
      <rPr>
        <sz val="10"/>
        <color theme="1"/>
        <rFont val="宋体"/>
        <charset val="134"/>
      </rPr>
      <t>恐慌</t>
    </r>
    <r>
      <rPr>
        <sz val="10"/>
        <color theme="1"/>
        <rFont val="Times New Roman"/>
        <charset val="134"/>
      </rPr>
      <t xml:space="preserve">Frightened </t>
    </r>
    <r>
      <rPr>
        <sz val="10"/>
        <color theme="1"/>
        <rFont val="宋体"/>
        <charset val="134"/>
      </rPr>
      <t>，持续</t>
    </r>
    <r>
      <rPr>
        <sz val="10"/>
        <color theme="1"/>
        <rFont val="Times New Roman"/>
        <charset val="134"/>
      </rPr>
      <t>1</t>
    </r>
    <r>
      <rPr>
        <sz val="10"/>
        <color theme="1"/>
        <rFont val="宋体"/>
        <charset val="134"/>
      </rPr>
      <t>小时。如果它被攻击或伤害、它目击其盟友被攻击或伤害，这一效应将提前终止。
若一个目标对抗此效应的豁免成功，该目标不会察觉到你曾试图惊吓他的行为。
一旦你使用了此特性，直到你完成一次短休或长休前你都不能再次使用它。</t>
    </r>
  </si>
  <si>
    <r>
      <rPr>
        <sz val="10"/>
        <color theme="1"/>
        <rFont val="宋体"/>
        <charset val="134"/>
      </rPr>
      <t>你获得重甲熟练和铁匠工具熟练。</t>
    </r>
  </si>
  <si>
    <r>
      <rPr>
        <sz val="10"/>
        <color theme="1"/>
        <rFont val="宋体"/>
        <charset val="134"/>
      </rPr>
      <t>宇宙预兆</t>
    </r>
  </si>
  <si>
    <r>
      <rPr>
        <sz val="10"/>
        <color theme="1"/>
        <rFont val="宋体"/>
        <charset val="134"/>
      </rPr>
      <t>每当你完成一次长休时，你可以参照你的星图来寻找预兆。此时，掷一枚骰子。直到你完成下一次长休为止，你获得一个基于此掷骰结果奇偶性的特殊反应能力。
吉兆</t>
    </r>
    <r>
      <rPr>
        <sz val="10"/>
        <color theme="1"/>
        <rFont val="Times New Roman"/>
        <charset val="134"/>
      </rPr>
      <t>Weal</t>
    </r>
    <r>
      <rPr>
        <sz val="10"/>
        <color theme="1"/>
        <rFont val="宋体"/>
        <charset val="134"/>
      </rPr>
      <t>（偶数）。</t>
    </r>
    <r>
      <rPr>
        <sz val="10"/>
        <color theme="1"/>
        <rFont val="Times New Roman"/>
        <charset val="134"/>
      </rPr>
      <t xml:space="preserve"> </t>
    </r>
    <r>
      <rPr>
        <sz val="10"/>
        <color theme="1"/>
        <rFont val="宋体"/>
        <charset val="134"/>
      </rPr>
      <t>当你周围</t>
    </r>
    <r>
      <rPr>
        <sz val="10"/>
        <color theme="1"/>
        <rFont val="Times New Roman"/>
        <charset val="134"/>
      </rPr>
      <t>30</t>
    </r>
    <r>
      <rPr>
        <sz val="10"/>
        <color theme="1"/>
        <rFont val="宋体"/>
        <charset val="134"/>
      </rPr>
      <t>尺内的一个可见生物将要进行一次</t>
    </r>
    <r>
      <rPr>
        <sz val="10"/>
        <color theme="1"/>
        <rFont val="Times New Roman"/>
        <charset val="134"/>
      </rPr>
      <t>d20</t>
    </r>
    <r>
      <rPr>
        <sz val="10"/>
        <color theme="1"/>
        <rFont val="宋体"/>
        <charset val="134"/>
      </rPr>
      <t>检定时，你可以使用你的反应来投一个</t>
    </r>
    <r>
      <rPr>
        <sz val="10"/>
        <color theme="1"/>
        <rFont val="Times New Roman"/>
        <charset val="134"/>
      </rPr>
      <t>d6</t>
    </r>
    <r>
      <rPr>
        <sz val="10"/>
        <color theme="1"/>
        <rFont val="宋体"/>
        <charset val="134"/>
      </rPr>
      <t>，并将结果加入到检定结果中。
凶兆</t>
    </r>
    <r>
      <rPr>
        <sz val="10"/>
        <color theme="1"/>
        <rFont val="Times New Roman"/>
        <charset val="134"/>
      </rPr>
      <t>Woe</t>
    </r>
    <r>
      <rPr>
        <sz val="10"/>
        <color theme="1"/>
        <rFont val="宋体"/>
        <charset val="134"/>
      </rPr>
      <t>（奇数）。</t>
    </r>
    <r>
      <rPr>
        <sz val="10"/>
        <color theme="1"/>
        <rFont val="Times New Roman"/>
        <charset val="134"/>
      </rPr>
      <t xml:space="preserve"> </t>
    </r>
    <r>
      <rPr>
        <sz val="10"/>
        <color theme="1"/>
        <rFont val="宋体"/>
        <charset val="134"/>
      </rPr>
      <t>当你周围</t>
    </r>
    <r>
      <rPr>
        <sz val="10"/>
        <color theme="1"/>
        <rFont val="Times New Roman"/>
        <charset val="134"/>
      </rPr>
      <t>30</t>
    </r>
    <r>
      <rPr>
        <sz val="10"/>
        <color theme="1"/>
        <rFont val="宋体"/>
        <charset val="134"/>
      </rPr>
      <t>尺内的一个可见生物将要进行一次</t>
    </r>
    <r>
      <rPr>
        <sz val="10"/>
        <color theme="1"/>
        <rFont val="Times New Roman"/>
        <charset val="134"/>
      </rPr>
      <t>d20</t>
    </r>
    <r>
      <rPr>
        <sz val="10"/>
        <color theme="1"/>
        <rFont val="宋体"/>
        <charset val="134"/>
      </rPr>
      <t>检定时，你可以使用你的反应来投一个</t>
    </r>
    <r>
      <rPr>
        <sz val="10"/>
        <color theme="1"/>
        <rFont val="Times New Roman"/>
        <charset val="134"/>
      </rPr>
      <t>d6</t>
    </r>
    <r>
      <rPr>
        <sz val="10"/>
        <color theme="1"/>
        <rFont val="宋体"/>
        <charset val="134"/>
      </rPr>
      <t>，并将结果从检定结果中减去。
你可以使用这一反应能力的次数等同于你的感知调整值（至少一次），在你完成一次长休后，你会重获所有已消耗的使用次数。</t>
    </r>
  </si>
  <si>
    <r>
      <rPr>
        <sz val="10"/>
        <color theme="1"/>
        <rFont val="宋体"/>
        <charset val="134"/>
      </rPr>
      <t>究极战技</t>
    </r>
  </si>
  <si>
    <r>
      <rPr>
        <sz val="10"/>
        <color theme="1"/>
        <rFont val="宋体"/>
        <charset val="134"/>
      </rPr>
      <t>你的卓越骰变为</t>
    </r>
    <r>
      <rPr>
        <sz val="10"/>
        <color theme="1"/>
        <rFont val="Times New Roman"/>
        <charset val="134"/>
      </rPr>
      <t>d12</t>
    </r>
    <r>
      <rPr>
        <sz val="10"/>
        <color theme="1"/>
        <rFont val="宋体"/>
        <charset val="134"/>
      </rPr>
      <t>。</t>
    </r>
  </si>
  <si>
    <r>
      <rPr>
        <sz val="10"/>
        <color theme="1"/>
        <rFont val="宋体"/>
        <charset val="134"/>
      </rPr>
      <t>渗透劲</t>
    </r>
  </si>
  <si>
    <r>
      <rPr>
        <sz val="10"/>
        <color theme="1"/>
        <rFont val="宋体"/>
        <charset val="134"/>
      </rPr>
      <t>你获得了将内劲击入他人体内的能力。当你以徒手打击命中一个生物时，可以消耗</t>
    </r>
    <r>
      <rPr>
        <sz val="10"/>
        <color theme="1"/>
        <rFont val="Times New Roman"/>
        <charset val="134"/>
      </rPr>
      <t>4</t>
    </r>
    <r>
      <rPr>
        <sz val="10"/>
        <color theme="1"/>
        <rFont val="宋体"/>
        <charset val="134"/>
      </rPr>
      <t>点功力打入暗劲，其持续相当于你武僧等级的天数。在你使用你的动作将之结束前，暗劲是无害的。此外，当你在自己的回合执行攻击动作时，你可以将其中一次攻击替换为这个动作使暗劲结束。若你如此做，你和目标必须处于同一个存在位面。
当你结束暗劲时，目标必须进行一次体质豁免，失败则受到</t>
    </r>
    <r>
      <rPr>
        <sz val="10"/>
        <color theme="1"/>
        <rFont val="Times New Roman"/>
        <charset val="134"/>
      </rPr>
      <t>10d12</t>
    </r>
    <r>
      <rPr>
        <sz val="10"/>
        <color theme="1"/>
        <rFont val="宋体"/>
        <charset val="134"/>
      </rPr>
      <t>力场伤害，成功则只受到一半伤害。
在同一时间你只能用这个特性使一个生物处于此效应中。你可以结束某人身上的暗劲而不造成伤害（不需要动作）。</t>
    </r>
  </si>
  <si>
    <r>
      <rPr>
        <sz val="10"/>
        <color theme="1"/>
        <rFont val="宋体"/>
        <charset val="134"/>
      </rPr>
      <t>仇敌誓言</t>
    </r>
  </si>
  <si>
    <r>
      <rPr>
        <sz val="10"/>
        <color theme="1"/>
        <rFont val="宋体"/>
        <charset val="134"/>
      </rPr>
      <t>当你执行攻击动作时，你可以消耗一次你的引导神力次数，对一个你能看见的位于你</t>
    </r>
    <r>
      <rPr>
        <sz val="10"/>
        <color theme="1"/>
        <rFont val="Times New Roman"/>
        <charset val="134"/>
      </rPr>
      <t>30</t>
    </r>
    <r>
      <rPr>
        <sz val="10"/>
        <color theme="1"/>
        <rFont val="宋体"/>
        <charset val="134"/>
      </rPr>
      <t>尺内的生物立下仇敌誓言。你在接下来</t>
    </r>
    <r>
      <rPr>
        <sz val="10"/>
        <color theme="1"/>
        <rFont val="Times New Roman"/>
        <charset val="134"/>
      </rPr>
      <t>1</t>
    </r>
    <r>
      <rPr>
        <sz val="10"/>
        <color theme="1"/>
        <rFont val="宋体"/>
        <charset val="134"/>
      </rPr>
      <t>分钟内，对该生物的攻击检定具有优势。
如果在誓言结束前，该生物的生命值就降至</t>
    </r>
    <r>
      <rPr>
        <sz val="10"/>
        <color theme="1"/>
        <rFont val="Times New Roman"/>
        <charset val="134"/>
      </rPr>
      <t>0</t>
    </r>
    <r>
      <rPr>
        <sz val="10"/>
        <color theme="1"/>
        <rFont val="宋体"/>
        <charset val="134"/>
      </rPr>
      <t>，你可以将誓言的目标换为另一个你可见的位于你</t>
    </r>
    <r>
      <rPr>
        <sz val="10"/>
        <color theme="1"/>
        <rFont val="Times New Roman"/>
        <charset val="134"/>
      </rPr>
      <t>30</t>
    </r>
    <r>
      <rPr>
        <sz val="10"/>
        <color theme="1"/>
        <rFont val="宋体"/>
        <charset val="134"/>
      </rPr>
      <t>尺的生物（无需动作）。</t>
    </r>
    <r>
      <rPr>
        <sz val="10"/>
        <color theme="1"/>
        <rFont val="Times New Roman"/>
        <charset val="134"/>
      </rPr>
      <t xml:space="preserve"> </t>
    </r>
  </si>
  <si>
    <r>
      <rPr>
        <sz val="10"/>
        <color theme="1"/>
        <rFont val="宋体"/>
        <charset val="134"/>
      </rPr>
      <t>防守战术</t>
    </r>
  </si>
  <si>
    <r>
      <rPr>
        <sz val="10"/>
        <color theme="1"/>
        <rFont val="宋体"/>
        <charset val="134"/>
      </rPr>
      <t>你选择并获得以下特性选项之一。当你完成一次短休或长休时，你可以将所选的选项替换为另一个。
冲出重围</t>
    </r>
    <r>
      <rPr>
        <sz val="10"/>
        <color theme="1"/>
        <rFont val="Times New Roman"/>
        <charset val="134"/>
      </rPr>
      <t>Escape the Horde</t>
    </r>
    <r>
      <rPr>
        <sz val="10"/>
        <color theme="1"/>
        <rFont val="宋体"/>
        <charset val="134"/>
      </rPr>
      <t>。对你发动的借机攻击具有劣势。
多重防御</t>
    </r>
    <r>
      <rPr>
        <sz val="10"/>
        <color theme="1"/>
        <rFont val="Times New Roman"/>
        <charset val="134"/>
      </rPr>
      <t>Multiattack Defense</t>
    </r>
    <r>
      <rPr>
        <sz val="10"/>
        <color theme="1"/>
        <rFont val="宋体"/>
        <charset val="134"/>
      </rPr>
      <t>。当一个生物的攻击检定命中你时，该生物在本回合内对你进行的其他攻击检定具有劣势。</t>
    </r>
  </si>
  <si>
    <r>
      <rPr>
        <sz val="10"/>
        <color theme="1"/>
        <rFont val="宋体"/>
        <charset val="134"/>
      </rPr>
      <t>梁上君子</t>
    </r>
  </si>
  <si>
    <r>
      <rPr>
        <sz val="10"/>
        <color theme="1"/>
        <rFont val="宋体"/>
        <charset val="134"/>
      </rPr>
      <t>你的训练使你擅长抵达那些难以到达的地方。你获得以下增益：</t>
    </r>
    <r>
      <rPr>
        <sz val="10"/>
        <color theme="1"/>
        <rFont val="Times New Roman"/>
        <charset val="134"/>
      </rPr>
      <t xml:space="preserve"> 
</t>
    </r>
    <r>
      <rPr>
        <sz val="10"/>
        <color theme="1"/>
        <rFont val="宋体"/>
        <charset val="134"/>
      </rPr>
      <t>攀爬者</t>
    </r>
    <r>
      <rPr>
        <sz val="10"/>
        <color theme="1"/>
        <rFont val="Times New Roman"/>
        <charset val="134"/>
      </rPr>
      <t>Climber</t>
    </r>
    <r>
      <rPr>
        <sz val="10"/>
        <color theme="1"/>
        <rFont val="宋体"/>
        <charset val="134"/>
      </rPr>
      <t>。你获得等同于你的速度的攀爬速度。
跳跃者</t>
    </r>
    <r>
      <rPr>
        <sz val="10"/>
        <color theme="1"/>
        <rFont val="Times New Roman"/>
        <charset val="134"/>
      </rPr>
      <t>Jumper</t>
    </r>
    <r>
      <rPr>
        <sz val="10"/>
        <color theme="1"/>
        <rFont val="宋体"/>
        <charset val="134"/>
      </rPr>
      <t>。你的跳跃距离能由你的敏捷决定而不是你的力量决定。</t>
    </r>
  </si>
  <si>
    <r>
      <rPr>
        <sz val="10"/>
        <color theme="1"/>
        <rFont val="宋体"/>
        <charset val="134"/>
      </rPr>
      <t>龙翼</t>
    </r>
  </si>
  <si>
    <r>
      <rPr>
        <sz val="10"/>
        <color theme="1"/>
        <rFont val="宋体"/>
        <charset val="134"/>
      </rPr>
      <t>以一个附赠动作，你可以在背后张开一对龙翼。龙翼持续</t>
    </r>
    <r>
      <rPr>
        <sz val="10"/>
        <color theme="1"/>
        <rFont val="Times New Roman"/>
        <charset val="134"/>
      </rPr>
      <t>1</t>
    </r>
    <r>
      <rPr>
        <sz val="10"/>
        <color theme="1"/>
        <rFont val="宋体"/>
        <charset val="134"/>
      </rPr>
      <t>小时，若你选择将其解散（无需动作）则会提前终止，在龙翼持续期间你获得</t>
    </r>
    <r>
      <rPr>
        <sz val="10"/>
        <color theme="1"/>
        <rFont val="Times New Roman"/>
        <charset val="134"/>
      </rPr>
      <t>60</t>
    </r>
    <r>
      <rPr>
        <sz val="10"/>
        <color theme="1"/>
        <rFont val="宋体"/>
        <charset val="134"/>
      </rPr>
      <t>尺飞行速度。
此特性一经使用，直至完成长休你都无法再次使用。你也可以消耗</t>
    </r>
    <r>
      <rPr>
        <sz val="10"/>
        <color theme="1"/>
        <rFont val="Times New Roman"/>
        <charset val="134"/>
      </rPr>
      <t>3</t>
    </r>
    <r>
      <rPr>
        <sz val="10"/>
        <color theme="1"/>
        <rFont val="宋体"/>
        <charset val="134"/>
      </rPr>
      <t>点术法点（无需动作）重置该特性的使用权。</t>
    </r>
  </si>
  <si>
    <r>
      <rPr>
        <sz val="10"/>
        <color theme="1"/>
        <rFont val="宋体"/>
        <charset val="134"/>
      </rPr>
      <t>饥渴魔刃</t>
    </r>
  </si>
  <si>
    <r>
      <rPr>
        <sz val="10"/>
        <color theme="1"/>
        <rFont val="宋体"/>
        <charset val="134"/>
      </rPr>
      <t>先决：魔契师等级</t>
    </r>
    <r>
      <rPr>
        <sz val="10"/>
        <color theme="1"/>
        <rFont val="Times New Roman"/>
        <charset val="134"/>
      </rPr>
      <t>5+</t>
    </r>
    <r>
      <rPr>
        <sz val="10"/>
        <color theme="1"/>
        <rFont val="宋体"/>
        <charset val="134"/>
      </rPr>
      <t>，具有刃之魔契祈唤
你获得额外攻击特性（仅可使用你的契约武器）。此特性令你在自己的回合内执行攻击动作时可以用该武器攻击两次而非一次。</t>
    </r>
  </si>
  <si>
    <r>
      <rPr>
        <sz val="10"/>
        <color theme="1"/>
        <rFont val="宋体"/>
        <charset val="134"/>
      </rPr>
      <t>奥术偏斜</t>
    </r>
  </si>
  <si>
    <r>
      <rPr>
        <sz val="10"/>
        <color theme="1"/>
        <rFont val="宋体"/>
        <charset val="134"/>
      </rPr>
      <t>你学会了编织魔法以更强韧的面对伤害。
当你被一次攻击击中，或未通过一次豁免时，你可以使用你的反应来在对抗那次攻击的</t>
    </r>
    <r>
      <rPr>
        <sz val="10"/>
        <color theme="1"/>
        <rFont val="Times New Roman"/>
        <charset val="134"/>
      </rPr>
      <t>AC</t>
    </r>
    <r>
      <rPr>
        <sz val="10"/>
        <color theme="1"/>
        <rFont val="宋体"/>
        <charset val="134"/>
      </rPr>
      <t>上获得</t>
    </r>
    <r>
      <rPr>
        <sz val="10"/>
        <color theme="1"/>
        <rFont val="Times New Roman"/>
        <charset val="134"/>
      </rPr>
      <t>+2</t>
    </r>
    <r>
      <rPr>
        <sz val="10"/>
        <color theme="1"/>
        <rFont val="宋体"/>
        <charset val="134"/>
      </rPr>
      <t>加值，或在那次豁免检定中得到</t>
    </r>
    <r>
      <rPr>
        <sz val="10"/>
        <color theme="1"/>
        <rFont val="Times New Roman"/>
        <charset val="134"/>
      </rPr>
      <t>+4</t>
    </r>
    <r>
      <rPr>
        <sz val="10"/>
        <color theme="1"/>
        <rFont val="宋体"/>
        <charset val="134"/>
      </rPr>
      <t>加值。
当你使用此特性时，你不能施展戏法之外的法术，直到你下个回合结束。</t>
    </r>
  </si>
  <si>
    <t>魔炮师法术</t>
  </si>
  <si>
    <r>
      <rPr>
        <sz val="10"/>
        <color theme="1"/>
        <rFont val="宋体"/>
        <charset val="134"/>
      </rPr>
      <t>在达到下方魔炮师法术列表中列出特定奇械师等级时，你将始终准备着等级对应的法术。</t>
    </r>
    <r>
      <rPr>
        <sz val="10"/>
        <color theme="1"/>
        <rFont val="Times New Roman"/>
        <charset val="134"/>
      </rPr>
      <t xml:space="preserve"> 
</t>
    </r>
    <r>
      <rPr>
        <sz val="10"/>
        <color theme="1"/>
        <rFont val="宋体"/>
        <charset val="134"/>
      </rPr>
      <t>魔炮师法术</t>
    </r>
    <r>
      <rPr>
        <sz val="10"/>
        <color theme="1"/>
        <rFont val="Times New Roman"/>
        <charset val="134"/>
      </rPr>
      <t xml:space="preserve">Artillerist Spells </t>
    </r>
    <r>
      <rPr>
        <sz val="10"/>
        <color theme="1"/>
        <rFont val="宋体"/>
        <charset val="134"/>
      </rPr>
      <t>奇械师等级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护盾术</t>
    </r>
    <r>
      <rPr>
        <sz val="10"/>
        <color theme="1"/>
        <rFont val="Times New Roman"/>
        <charset val="134"/>
      </rPr>
      <t>shield</t>
    </r>
    <r>
      <rPr>
        <sz val="10"/>
        <color theme="1"/>
        <rFont val="宋体"/>
        <charset val="134"/>
      </rPr>
      <t>，雷鸣波</t>
    </r>
    <r>
      <rPr>
        <sz val="10"/>
        <color theme="1"/>
        <rFont val="Times New Roman"/>
        <charset val="134"/>
      </rPr>
      <t xml:space="preserve">thunderwave  
5 </t>
    </r>
    <r>
      <rPr>
        <sz val="10"/>
        <color theme="1"/>
        <rFont val="宋体"/>
        <charset val="134"/>
      </rPr>
      <t>灼热射线</t>
    </r>
    <r>
      <rPr>
        <sz val="10"/>
        <color theme="1"/>
        <rFont val="Times New Roman"/>
        <charset val="134"/>
      </rPr>
      <t>scorching ray</t>
    </r>
    <r>
      <rPr>
        <sz val="10"/>
        <color theme="1"/>
        <rFont val="宋体"/>
        <charset val="134"/>
      </rPr>
      <t>，粉碎音波</t>
    </r>
    <r>
      <rPr>
        <sz val="10"/>
        <color theme="1"/>
        <rFont val="Times New Roman"/>
        <charset val="134"/>
      </rPr>
      <t xml:space="preserve">shatter  
9 </t>
    </r>
    <r>
      <rPr>
        <sz val="10"/>
        <color theme="1"/>
        <rFont val="宋体"/>
        <charset val="134"/>
      </rPr>
      <t>火球术</t>
    </r>
    <r>
      <rPr>
        <sz val="10"/>
        <color theme="1"/>
        <rFont val="Times New Roman"/>
        <charset val="134"/>
      </rPr>
      <t>fireball</t>
    </r>
    <r>
      <rPr>
        <sz val="10"/>
        <color theme="1"/>
        <rFont val="宋体"/>
        <charset val="134"/>
      </rPr>
      <t>，风墙术</t>
    </r>
    <r>
      <rPr>
        <sz val="10"/>
        <color theme="1"/>
        <rFont val="Times New Roman"/>
        <charset val="134"/>
      </rPr>
      <t xml:space="preserve">wind wall  
13 </t>
    </r>
    <r>
      <rPr>
        <sz val="10"/>
        <color theme="1"/>
        <rFont val="宋体"/>
        <charset val="134"/>
      </rPr>
      <t>冰风暴</t>
    </r>
    <r>
      <rPr>
        <sz val="10"/>
        <color theme="1"/>
        <rFont val="Times New Roman"/>
        <charset val="134"/>
      </rPr>
      <t>ice storm</t>
    </r>
    <r>
      <rPr>
        <sz val="10"/>
        <color theme="1"/>
        <rFont val="宋体"/>
        <charset val="134"/>
      </rPr>
      <t>，火墙术</t>
    </r>
    <r>
      <rPr>
        <sz val="10"/>
        <color theme="1"/>
        <rFont val="Times New Roman"/>
        <charset val="134"/>
      </rPr>
      <t xml:space="preserve">wall of fire  
17 </t>
    </r>
    <r>
      <rPr>
        <sz val="10"/>
        <color theme="1"/>
        <rFont val="宋体"/>
        <charset val="134"/>
      </rPr>
      <t>寒冰锥</t>
    </r>
    <r>
      <rPr>
        <sz val="10"/>
        <color theme="1"/>
        <rFont val="Times New Roman"/>
        <charset val="134"/>
      </rPr>
      <t>cone of cold</t>
    </r>
    <r>
      <rPr>
        <sz val="10"/>
        <color theme="1"/>
        <rFont val="宋体"/>
        <charset val="134"/>
      </rPr>
      <t>，力场墙</t>
    </r>
    <r>
      <rPr>
        <sz val="10"/>
        <color theme="1"/>
        <rFont val="Times New Roman"/>
        <charset val="134"/>
      </rPr>
      <t xml:space="preserve">wall of force  </t>
    </r>
  </si>
  <si>
    <r>
      <rPr>
        <sz val="10"/>
        <color theme="1"/>
        <rFont val="宋体"/>
        <charset val="134"/>
      </rPr>
      <t>强化念力碾压</t>
    </r>
  </si>
  <si>
    <r>
      <rPr>
        <sz val="10"/>
        <color theme="1"/>
        <rFont val="宋体"/>
        <charset val="134"/>
      </rPr>
      <t>当你施展法术念力碾压</t>
    </r>
    <r>
      <rPr>
        <sz val="10"/>
        <color theme="1"/>
        <rFont val="Times New Roman"/>
        <charset val="134"/>
      </rPr>
      <t xml:space="preserve">Telekinetic Crush </t>
    </r>
    <r>
      <rPr>
        <sz val="10"/>
        <color theme="1"/>
        <rFont val="宋体"/>
        <charset val="134"/>
      </rPr>
      <t>时，你可以消耗一个灵能骰来增强该法术，无论生物在对抗该法术的豁免成功与否，其速度都会减半，直至你的下回合开始。此外，你可以掷消耗的灵能骰，并将掷骰结果加入到该法术的一次伤害掷骰中。</t>
    </r>
    <r>
      <rPr>
        <sz val="10"/>
        <color theme="1"/>
        <rFont val="Times New Roman"/>
        <charset val="134"/>
      </rPr>
      <t xml:space="preserve"> </t>
    </r>
  </si>
  <si>
    <r>
      <rPr>
        <sz val="10"/>
        <color theme="1"/>
        <rFont val="宋体"/>
        <charset val="134"/>
      </rPr>
      <t>混种变形</t>
    </r>
  </si>
  <si>
    <r>
      <rPr>
        <sz val="10"/>
        <color theme="1"/>
        <rFont val="宋体"/>
        <charset val="134"/>
      </rPr>
      <t>你开始学会如何控制栖息在你血液中的兽化诅咒。以一个附赠动作，你可以变形为你的混种形态至多</t>
    </r>
    <r>
      <rPr>
        <sz val="10"/>
        <color theme="1"/>
        <rFont val="Times New Roman"/>
        <charset val="134"/>
      </rPr>
      <t xml:space="preserve"> 1 </t>
    </r>
    <r>
      <rPr>
        <sz val="10"/>
        <color theme="1"/>
        <rFont val="宋体"/>
        <charset val="134"/>
      </rPr>
      <t>小时。你可以在这个形态下说话，使用装备和穿戴护甲。
以一个附赠动作，你可以提前恢复到自己的正常形态。若你昏迷、生命值降低为</t>
    </r>
    <r>
      <rPr>
        <sz val="10"/>
        <color theme="1"/>
        <rFont val="Times New Roman"/>
        <charset val="134"/>
      </rPr>
      <t xml:space="preserve"> 0 </t>
    </r>
    <r>
      <rPr>
        <sz val="10"/>
        <color theme="1"/>
        <rFont val="宋体"/>
        <charset val="134"/>
      </rPr>
      <t>或者死亡，你自动恢复到你的正常形态。
此特性将取代怪物图鉴中的兽化症规则。使用此特性后，你必须完成一次短休或长休才能再次使用。</t>
    </r>
  </si>
  <si>
    <r>
      <rPr>
        <sz val="10"/>
        <color theme="1"/>
        <rFont val="宋体"/>
        <charset val="134"/>
      </rPr>
      <t>剂量加倍</t>
    </r>
  </si>
  <si>
    <r>
      <rPr>
        <sz val="10"/>
        <color theme="1"/>
        <rFont val="宋体"/>
        <charset val="134"/>
      </rPr>
      <t>先决：药剂师等级</t>
    </r>
    <r>
      <rPr>
        <sz val="10"/>
        <color theme="1"/>
        <rFont val="Times New Roman"/>
        <charset val="134"/>
      </rPr>
      <t xml:space="preserve">10+ 
</t>
    </r>
    <r>
      <rPr>
        <sz val="10"/>
        <color theme="1"/>
        <rFont val="宋体"/>
        <charset val="134"/>
      </rPr>
      <t>当你消耗一个药剂师法术位施展一个针对单一目标的药剂师法术，并为其恢复生命值时，你可以额外选择范围内的另一个生物。</t>
    </r>
  </si>
  <si>
    <t>一环及以上的准备法术</t>
  </si>
  <si>
    <r>
      <rPr>
        <sz val="10"/>
        <color theme="1"/>
        <rFont val="宋体"/>
        <charset val="134"/>
      </rPr>
      <t>你准备可供你以此特性施展的一环及更高环阶的法术列表。为此，选择三道来自法师法术列表的法术。推荐选择繁彩球</t>
    </r>
    <r>
      <rPr>
        <sz val="10"/>
        <color theme="1"/>
        <rFont val="Times New Roman"/>
        <charset val="134"/>
      </rPr>
      <t>Chromatic Orb</t>
    </r>
    <r>
      <rPr>
        <sz val="10"/>
        <color theme="1"/>
        <rFont val="宋体"/>
        <charset val="134"/>
      </rPr>
      <t>、跳跃术</t>
    </r>
    <r>
      <rPr>
        <sz val="10"/>
        <color theme="1"/>
        <rFont val="Times New Roman"/>
        <charset val="134"/>
      </rPr>
      <t>Jump</t>
    </r>
    <r>
      <rPr>
        <sz val="10"/>
        <color theme="1"/>
        <rFont val="宋体"/>
        <charset val="134"/>
      </rPr>
      <t>和护盾术</t>
    </r>
    <r>
      <rPr>
        <sz val="10"/>
        <color theme="1"/>
        <rFont val="Times New Roman"/>
        <charset val="134"/>
      </rPr>
      <t>Shield</t>
    </r>
    <r>
      <rPr>
        <sz val="10"/>
        <color theme="1"/>
        <rFont val="宋体"/>
        <charset val="134"/>
      </rPr>
      <t>。</t>
    </r>
    <r>
      <rPr>
        <sz val="10"/>
        <color theme="1"/>
        <rFont val="Times New Roman"/>
        <charset val="134"/>
      </rPr>
      <t xml:space="preserve">
</t>
    </r>
    <r>
      <rPr>
        <sz val="10"/>
        <color theme="1"/>
        <rFont val="宋体"/>
        <charset val="134"/>
      </rPr>
      <t>已准备法术数量会随你铳士等级的提升而增加，如魔弹客施法表中的准备法术一列所示。每当这一列的数字增加时，从法师法术列表中选择额外法术准备，直至已准备法术的数量与表格中的数字一致。你所选择法术的环阶必须是你所拥有法术位对应的环阶。</t>
    </r>
    <r>
      <rPr>
        <sz val="10"/>
        <color theme="1"/>
        <rFont val="Times New Roman"/>
        <charset val="134"/>
      </rPr>
      <t xml:space="preserve">
</t>
    </r>
    <r>
      <rPr>
        <sz val="10"/>
        <color theme="1"/>
        <rFont val="宋体"/>
        <charset val="134"/>
      </rPr>
      <t>例如，如果你是一位</t>
    </r>
    <r>
      <rPr>
        <sz val="10"/>
        <color theme="1"/>
        <rFont val="Times New Roman"/>
        <charset val="134"/>
      </rPr>
      <t>7</t>
    </r>
    <r>
      <rPr>
        <sz val="10"/>
        <color theme="1"/>
        <rFont val="宋体"/>
        <charset val="134"/>
      </rPr>
      <t>级铳士，则你的准备法术列表能包括五道一环或二环的法师法术，随意组合。</t>
    </r>
  </si>
  <si>
    <t>施法属性</t>
  </si>
  <si>
    <r>
      <rPr>
        <sz val="10"/>
        <color theme="1"/>
        <rFont val="宋体"/>
        <charset val="134"/>
      </rPr>
      <t>你法术的施法属性是魅力。每当你的法术需要施法属性时均指向你的魅力。而你法术的豁免</t>
    </r>
    <r>
      <rPr>
        <sz val="10"/>
        <color theme="1"/>
        <rFont val="Times New Roman"/>
        <charset val="134"/>
      </rPr>
      <t>DC</t>
    </r>
    <r>
      <rPr>
        <sz val="10"/>
        <color theme="1"/>
        <rFont val="宋体"/>
        <charset val="134"/>
      </rPr>
      <t>和攻击检定，则使用你的魅力调整值。</t>
    </r>
  </si>
  <si>
    <t>抗性灵光</t>
  </si>
  <si>
    <r>
      <rPr>
        <sz val="10"/>
        <color theme="1"/>
        <rFont val="宋体"/>
        <charset val="134"/>
      </rPr>
      <t>当你使用反求诸己时，你能在源自你的</t>
    </r>
    <r>
      <rPr>
        <sz val="10"/>
        <color theme="1"/>
        <rFont val="Times New Roman"/>
        <charset val="134"/>
      </rPr>
      <t>10</t>
    </r>
    <r>
      <rPr>
        <sz val="10"/>
        <color theme="1"/>
        <rFont val="宋体"/>
        <charset val="134"/>
      </rPr>
      <t>尺光环区域内散发出一道不可见的庇护灵光，持续</t>
    </r>
    <r>
      <rPr>
        <sz val="10"/>
        <color theme="1"/>
        <rFont val="Times New Roman"/>
        <charset val="134"/>
      </rPr>
      <t>10</t>
    </r>
    <r>
      <rPr>
        <sz val="10"/>
        <color theme="1"/>
        <rFont val="宋体"/>
        <charset val="134"/>
      </rPr>
      <t>分钟。灵光在你陷入失能期间失效。灵光内你的盟友获得对钝击、穿刺和挥砍伤害的抗性。
此特性一经使用，直至完成长休你都无法再次使用。</t>
    </r>
  </si>
  <si>
    <t>鲜血领域</t>
  </si>
  <si>
    <r>
      <rPr>
        <sz val="10"/>
        <color theme="1"/>
        <rFont val="宋体"/>
        <charset val="134"/>
      </rPr>
      <t>先祖复仇</t>
    </r>
  </si>
  <si>
    <r>
      <rPr>
        <sz val="10"/>
        <color theme="1"/>
        <rFont val="宋体"/>
        <charset val="134"/>
      </rPr>
      <t>你的先祖之魂变得强大到足以打击伤害你所保护之人的敌人。当你使用</t>
    </r>
    <r>
      <rPr>
        <sz val="10"/>
        <color theme="1"/>
        <rFont val="Times New Roman"/>
        <charset val="134"/>
      </rPr>
      <t xml:space="preserve"> </t>
    </r>
    <r>
      <rPr>
        <sz val="10"/>
        <color theme="1"/>
        <rFont val="宋体"/>
        <charset val="134"/>
      </rPr>
      <t>精魂之盾</t>
    </r>
    <r>
      <rPr>
        <sz val="10"/>
        <color theme="1"/>
        <rFont val="Times New Roman"/>
        <charset val="134"/>
      </rPr>
      <t xml:space="preserve">Spirit Shield </t>
    </r>
    <r>
      <rPr>
        <sz val="10"/>
        <color theme="1"/>
        <rFont val="宋体"/>
        <charset val="134"/>
      </rPr>
      <t>保护生物、降低一次攻击的伤害时，攻击者还将受到精魂之盾所降低伤害等量的力场伤害。</t>
    </r>
  </si>
  <si>
    <r>
      <rPr>
        <sz val="10"/>
        <color theme="1"/>
        <rFont val="宋体"/>
        <charset val="134"/>
      </rPr>
      <t>低语光环</t>
    </r>
  </si>
  <si>
    <r>
      <rPr>
        <sz val="10"/>
        <color theme="1"/>
        <rFont val="宋体"/>
        <charset val="134"/>
      </rPr>
      <t>你得到了吸取类人生物的人格的能力。当一个类人生物在你周围</t>
    </r>
    <r>
      <rPr>
        <sz val="10"/>
        <color theme="1"/>
        <rFont val="Times New Roman"/>
        <charset val="134"/>
      </rPr>
      <t>30</t>
    </r>
    <r>
      <rPr>
        <sz val="10"/>
        <color theme="1"/>
        <rFont val="宋体"/>
        <charset val="134"/>
      </rPr>
      <t>尺内死去时，你可以使用你的反应，魔法性的捕获其影。直到你完成了一次长休或你使用掉它为止你能一直抓住这道影子。
你可以以一个动作使用这道影子。当你这么做时，影子将消散，并化作一具完美的伪装覆盖在你的身上。现在，你看起来就像是那个死去的人物生前健康活着的状态一样。伪装效应将持续</t>
    </r>
    <r>
      <rPr>
        <sz val="10"/>
        <color theme="1"/>
        <rFont val="Times New Roman"/>
        <charset val="134"/>
      </rPr>
      <t>1</t>
    </r>
    <r>
      <rPr>
        <sz val="10"/>
        <color theme="1"/>
        <rFont val="宋体"/>
        <charset val="134"/>
      </rPr>
      <t>小时。你可以以一个附赠动作提前结束此效应。
当你处于伪装中，你会获得所有该生物会与他人分享的信息。这包括了其背景和人生的一般细节，但不包括秘密。这些信息足够你借用它的记忆来伪装成该生物。
其他生物可以通过进行一次感知（洞悉）检定对抗你的魅力（欺瞒）检定，以此来看穿此伪装。不过你在你的这一检定中具有</t>
    </r>
    <r>
      <rPr>
        <sz val="10"/>
        <color theme="1"/>
        <rFont val="Times New Roman"/>
        <charset val="134"/>
      </rPr>
      <t>+5</t>
    </r>
    <r>
      <rPr>
        <sz val="10"/>
        <color theme="1"/>
        <rFont val="宋体"/>
        <charset val="134"/>
      </rPr>
      <t>加值。
一旦你使用此特性捕获了一道影子，直到你完成一次短休或长休前你都不能再捕获另一道影子。</t>
    </r>
  </si>
  <si>
    <r>
      <rPr>
        <sz val="10"/>
        <color theme="1"/>
        <rFont val="宋体"/>
        <charset val="134"/>
      </rPr>
      <t>锻造祝福</t>
    </r>
  </si>
  <si>
    <r>
      <rPr>
        <sz val="10"/>
        <color theme="1"/>
        <rFont val="宋体"/>
        <charset val="134"/>
      </rPr>
      <t>你获得将魔法灌输到武器或护甲中的能力。
在长休的结束，你可以触摸一件非魔法护甲或者简易或军用武器，直到你下一次长休或者你死亡，若是护甲，其</t>
    </r>
    <r>
      <rPr>
        <sz val="10"/>
        <color theme="1"/>
        <rFont val="Times New Roman"/>
        <charset val="134"/>
      </rPr>
      <t>AC</t>
    </r>
    <r>
      <rPr>
        <sz val="10"/>
        <color theme="1"/>
        <rFont val="宋体"/>
        <charset val="134"/>
      </rPr>
      <t>获得</t>
    </r>
    <r>
      <rPr>
        <sz val="10"/>
        <color theme="1"/>
        <rFont val="Times New Roman"/>
        <charset val="134"/>
      </rPr>
      <t>+1</t>
    </r>
    <r>
      <rPr>
        <sz val="10"/>
        <color theme="1"/>
        <rFont val="宋体"/>
        <charset val="134"/>
      </rPr>
      <t>加值；若是武器，其攻击骰和伤害骰获得</t>
    </r>
    <r>
      <rPr>
        <sz val="10"/>
        <color theme="1"/>
        <rFont val="Times New Roman"/>
        <charset val="134"/>
      </rPr>
      <t>+1</t>
    </r>
    <r>
      <rPr>
        <sz val="10"/>
        <color theme="1"/>
        <rFont val="宋体"/>
        <charset val="134"/>
      </rPr>
      <t>加值。
一旦你使用过此特性，直到你完成一次长休，你无法再次使用它。</t>
    </r>
  </si>
  <si>
    <r>
      <rPr>
        <sz val="10"/>
        <color theme="1"/>
        <rFont val="宋体"/>
        <charset val="134"/>
      </rPr>
      <t>闪烁星座</t>
    </r>
  </si>
  <si>
    <r>
      <rPr>
        <sz val="10"/>
        <color theme="1"/>
        <rFont val="宋体"/>
        <charset val="134"/>
      </rPr>
      <t>你的星耀形态星座增强了。射手座和圣杯座中的</t>
    </r>
    <r>
      <rPr>
        <sz val="10"/>
        <color theme="1"/>
        <rFont val="Times New Roman"/>
        <charset val="134"/>
      </rPr>
      <t>1d8</t>
    </r>
    <r>
      <rPr>
        <sz val="10"/>
        <color theme="1"/>
        <rFont val="宋体"/>
        <charset val="134"/>
      </rPr>
      <t>都变成了</t>
    </r>
    <r>
      <rPr>
        <sz val="10"/>
        <color theme="1"/>
        <rFont val="Times New Roman"/>
        <charset val="134"/>
      </rPr>
      <t>2d8</t>
    </r>
    <r>
      <rPr>
        <sz val="10"/>
        <color theme="1"/>
        <rFont val="宋体"/>
        <charset val="134"/>
      </rPr>
      <t>，而在巨龙座激活期间，你将获得</t>
    </r>
    <r>
      <rPr>
        <sz val="10"/>
        <color theme="1"/>
        <rFont val="Times New Roman"/>
        <charset val="134"/>
      </rPr>
      <t>20</t>
    </r>
    <r>
      <rPr>
        <sz val="10"/>
        <color theme="1"/>
        <rFont val="宋体"/>
        <charset val="134"/>
      </rPr>
      <t>尺的飞行速度，并且可以悬浮。
此外，每个你的回合开始时，若此时你处于在星耀形态下，你可以更改当前身上闪耀的星座。</t>
    </r>
  </si>
  <si>
    <r>
      <rPr>
        <sz val="10"/>
        <color theme="1"/>
        <rFont val="宋体"/>
        <charset val="134"/>
      </rPr>
      <t>精通重击</t>
    </r>
  </si>
  <si>
    <r>
      <rPr>
        <sz val="10"/>
        <color theme="1"/>
        <rFont val="宋体"/>
        <charset val="134"/>
      </rPr>
      <t>你使用武器或徒手打击进行的攻击检定在</t>
    </r>
    <r>
      <rPr>
        <sz val="10"/>
        <color theme="1"/>
        <rFont val="Times New Roman"/>
        <charset val="134"/>
      </rPr>
      <t>d20</t>
    </r>
    <r>
      <rPr>
        <sz val="10"/>
        <color theme="1"/>
        <rFont val="宋体"/>
        <charset val="134"/>
      </rPr>
      <t>中掷出</t>
    </r>
    <r>
      <rPr>
        <sz val="10"/>
        <color theme="1"/>
        <rFont val="Times New Roman"/>
        <charset val="134"/>
      </rPr>
      <t>19</t>
    </r>
    <r>
      <rPr>
        <sz val="10"/>
        <color theme="1"/>
        <rFont val="宋体"/>
        <charset val="134"/>
      </rPr>
      <t>或</t>
    </r>
    <r>
      <rPr>
        <sz val="10"/>
        <color theme="1"/>
        <rFont val="Times New Roman"/>
        <charset val="134"/>
      </rPr>
      <t>20</t>
    </r>
    <r>
      <rPr>
        <sz val="10"/>
        <color theme="1"/>
        <rFont val="宋体"/>
        <charset val="134"/>
      </rPr>
      <t>时即可造成重击。</t>
    </r>
  </si>
  <si>
    <r>
      <rPr>
        <sz val="10"/>
        <color theme="1"/>
        <rFont val="宋体"/>
        <charset val="134"/>
      </rPr>
      <t>额外熟练</t>
    </r>
  </si>
  <si>
    <r>
      <rPr>
        <sz val="10"/>
        <color theme="1"/>
        <rFont val="宋体"/>
        <charset val="134"/>
      </rPr>
      <t>若你还没有获得表演技能项熟练，则你熟练之。
你的武术技巧将战斗与舞者的精确及小丑的滑稽混合在一起。
你同时也能得到啤酒酿造工具的熟练如果你还未获得。</t>
    </r>
  </si>
  <si>
    <r>
      <rPr>
        <sz val="10"/>
        <color theme="1"/>
        <rFont val="宋体"/>
        <charset val="134"/>
      </rPr>
      <t>坚韧复仇</t>
    </r>
  </si>
  <si>
    <r>
      <rPr>
        <sz val="10"/>
        <color theme="1"/>
        <rFont val="宋体"/>
        <charset val="134"/>
      </rPr>
      <t>你超自然的专注力使你可以拦截敌人撤退。你以借机攻击中命中一个生物时，可以将其速度降为</t>
    </r>
    <r>
      <rPr>
        <sz val="10"/>
        <color theme="1"/>
        <rFont val="Times New Roman"/>
        <charset val="134"/>
      </rPr>
      <t>0</t>
    </r>
    <r>
      <rPr>
        <sz val="10"/>
        <color theme="1"/>
        <rFont val="宋体"/>
        <charset val="134"/>
      </rPr>
      <t>，直到当前回合结束为止。且你在该攻击后立刻移动至多相当于你速度一半的距离，本次移动是原反应的一部分，且不引发借机攻击。</t>
    </r>
    <r>
      <rPr>
        <sz val="10"/>
        <color theme="1"/>
        <rFont val="Times New Roman"/>
        <charset val="134"/>
      </rPr>
      <t xml:space="preserve"> </t>
    </r>
  </si>
  <si>
    <r>
      <rPr>
        <sz val="10"/>
        <color theme="1"/>
        <rFont val="宋体"/>
        <charset val="134"/>
      </rPr>
      <t>高阶猎杀技艺</t>
    </r>
  </si>
  <si>
    <r>
      <rPr>
        <sz val="10"/>
        <color theme="1"/>
        <rFont val="宋体"/>
        <charset val="134"/>
      </rPr>
      <t>每回合一次，当你对被你的猎人印记所标记的生物造成伤害时，你可以对位于这个生物</t>
    </r>
    <r>
      <rPr>
        <sz val="10"/>
        <color theme="1"/>
        <rFont val="Times New Roman"/>
        <charset val="134"/>
      </rPr>
      <t>30</t>
    </r>
    <r>
      <rPr>
        <sz val="10"/>
        <color theme="1"/>
        <rFont val="宋体"/>
        <charset val="134"/>
      </rPr>
      <t>尺范围内的一个你能看见的另一名生物，同样施加由猎人印记造成的额外伤害。</t>
    </r>
  </si>
  <si>
    <r>
      <rPr>
        <sz val="10"/>
        <color theme="1"/>
        <rFont val="宋体"/>
        <charset val="134"/>
      </rPr>
      <t>极效潜行</t>
    </r>
  </si>
  <si>
    <r>
      <rPr>
        <sz val="10"/>
        <color theme="1"/>
        <rFont val="宋体"/>
        <charset val="134"/>
      </rPr>
      <t>你获得以下诡诈打击选项：
无声袭击</t>
    </r>
    <r>
      <rPr>
        <sz val="10"/>
        <color theme="1"/>
        <rFont val="Times New Roman"/>
        <charset val="134"/>
      </rPr>
      <t>Stealth Attack (</t>
    </r>
    <r>
      <rPr>
        <sz val="10"/>
        <color theme="1"/>
        <rFont val="宋体"/>
        <charset val="134"/>
      </rPr>
      <t>花费：</t>
    </r>
    <r>
      <rPr>
        <sz val="10"/>
        <color theme="1"/>
        <rFont val="Times New Roman"/>
        <charset val="134"/>
      </rPr>
      <t>1d6)</t>
    </r>
    <r>
      <rPr>
        <sz val="10"/>
        <color theme="1"/>
        <rFont val="宋体"/>
        <charset val="134"/>
      </rPr>
      <t>。如果你通过执行躲藏动作获得了隐形状态，并且你在结束回合时仍然处于四分之三掩护或是全身掩护之后，那么本次攻击不会导致这个状态结束。</t>
    </r>
  </si>
  <si>
    <r>
      <rPr>
        <sz val="10"/>
        <color theme="1"/>
        <rFont val="宋体"/>
        <charset val="134"/>
      </rPr>
      <t>龙族伙伴</t>
    </r>
  </si>
  <si>
    <r>
      <rPr>
        <sz val="10"/>
        <color theme="1"/>
        <rFont val="宋体"/>
        <charset val="134"/>
      </rPr>
      <t>你可以无需材料成分施放龙类召唤术</t>
    </r>
    <r>
      <rPr>
        <sz val="10"/>
        <color theme="1"/>
        <rFont val="Times New Roman"/>
        <charset val="134"/>
      </rPr>
      <t>Summon Dragon</t>
    </r>
    <r>
      <rPr>
        <sz val="10"/>
        <color theme="1"/>
        <rFont val="宋体"/>
        <charset val="134"/>
      </rPr>
      <t>。你可以无需法术位施放它一次，随后你在完成一次长休后重获以此法施放它的能力。
你开始施放这一法术时，都可以微调这一法术使无需专注。以此法施展时，该法术的持续时间将变为</t>
    </r>
    <r>
      <rPr>
        <sz val="10"/>
        <color theme="1"/>
        <rFont val="Times New Roman"/>
        <charset val="134"/>
      </rPr>
      <t>1</t>
    </r>
    <r>
      <rPr>
        <sz val="10"/>
        <color theme="1"/>
        <rFont val="宋体"/>
        <charset val="134"/>
      </rPr>
      <t>分钟。</t>
    </r>
  </si>
  <si>
    <r>
      <rPr>
        <sz val="10"/>
        <color theme="1"/>
        <rFont val="宋体"/>
        <charset val="134"/>
      </rPr>
      <t>星移步法</t>
    </r>
  </si>
  <si>
    <r>
      <rPr>
        <sz val="10"/>
        <color theme="1"/>
        <rFont val="宋体"/>
        <charset val="134"/>
      </rPr>
      <t>先决：魔契师等级</t>
    </r>
    <r>
      <rPr>
        <sz val="10"/>
        <color theme="1"/>
        <rFont val="Times New Roman"/>
        <charset val="134"/>
      </rPr>
      <t xml:space="preserve">5+
</t>
    </r>
    <r>
      <rPr>
        <sz val="10"/>
        <color theme="1"/>
        <rFont val="宋体"/>
        <charset val="134"/>
      </rPr>
      <t>你可以随意以自身为目标施展浮空术</t>
    </r>
    <r>
      <rPr>
        <sz val="10"/>
        <color theme="1"/>
        <rFont val="Times New Roman"/>
        <charset val="134"/>
      </rPr>
      <t xml:space="preserve">Levitate </t>
    </r>
    <r>
      <rPr>
        <sz val="10"/>
        <color theme="1"/>
        <rFont val="宋体"/>
        <charset val="134"/>
      </rPr>
      <t>且无需消耗法术位。</t>
    </r>
  </si>
  <si>
    <r>
      <rPr>
        <sz val="10"/>
        <color theme="1"/>
        <rFont val="宋体"/>
        <charset val="134"/>
      </rPr>
      <t>你对于战略格局的急速把控让你能在战斗中快速的反应。
你在先攻检定中获得等于你智力调整值的加值。</t>
    </r>
  </si>
  <si>
    <r>
      <rPr>
        <sz val="10"/>
        <color theme="1"/>
        <rFont val="宋体"/>
        <charset val="134"/>
      </rPr>
      <t>魔能炮台</t>
    </r>
  </si>
  <si>
    <r>
      <rPr>
        <sz val="10"/>
        <color theme="1"/>
        <rFont val="宋体"/>
        <charset val="134"/>
      </rPr>
      <t>你可以使用木雕工具或铁匠工具，以魔法动作，在你</t>
    </r>
    <r>
      <rPr>
        <sz val="10"/>
        <color theme="1"/>
        <rFont val="Times New Roman"/>
        <charset val="134"/>
      </rPr>
      <t>5</t>
    </r>
    <r>
      <rPr>
        <sz val="10"/>
        <color theme="1"/>
        <rFont val="宋体"/>
        <charset val="134"/>
      </rPr>
      <t>尺内的水平平面上一处未占据空间里创造一门小型或微型的魔能炮台。炮台的游戏数据如下。你决定它的外观，包括选择你携带还是不携带它（以及选择后者时，是带腿还是轮子）。它会在</t>
    </r>
    <r>
      <rPr>
        <sz val="10"/>
        <color theme="1"/>
        <rFont val="Times New Roman"/>
        <charset val="134"/>
      </rPr>
      <t>1</t>
    </r>
    <r>
      <rPr>
        <sz val="10"/>
        <color theme="1"/>
        <rFont val="宋体"/>
        <charset val="134"/>
      </rPr>
      <t>小时后消失，或在生命值降至</t>
    </r>
    <r>
      <rPr>
        <sz val="10"/>
        <color theme="1"/>
        <rFont val="Times New Roman"/>
        <charset val="134"/>
      </rPr>
      <t>0</t>
    </r>
    <r>
      <rPr>
        <sz val="10"/>
        <color theme="1"/>
        <rFont val="宋体"/>
        <charset val="134"/>
      </rPr>
      <t>时提前消失。你能以魔法动作将其提前解散。</t>
    </r>
    <r>
      <rPr>
        <sz val="10"/>
        <color theme="1"/>
        <rFont val="Times New Roman"/>
        <charset val="134"/>
      </rPr>
      <t xml:space="preserve">
</t>
    </r>
    <r>
      <rPr>
        <sz val="10"/>
        <color theme="1"/>
        <rFont val="宋体"/>
        <charset val="134"/>
      </rPr>
      <t xml:space="preserve">一旦你创造了一门炮台，直至完成长休你都无法再这么做，你也可以消耗一个法术位创造一门炮台。同一时间，你只能拥有一门炮台，若你已拥有炮台，你不能创造新的炮台。
</t>
    </r>
    <r>
      <rPr>
        <sz val="10"/>
        <color theme="1"/>
        <rFont val="Times New Roman"/>
        <charset val="134"/>
      </rPr>
      <t xml:space="preserve">
</t>
    </r>
    <r>
      <rPr>
        <sz val="10"/>
        <color theme="1"/>
        <rFont val="宋体"/>
        <charset val="134"/>
      </rPr>
      <t>魔能炮台</t>
    </r>
    <r>
      <rPr>
        <sz val="10"/>
        <color theme="1"/>
        <rFont val="Times New Roman"/>
        <charset val="134"/>
      </rPr>
      <t xml:space="preserve">Eldritch Cannon
</t>
    </r>
    <r>
      <rPr>
        <sz val="10"/>
        <color theme="1"/>
        <rFont val="宋体"/>
        <charset val="134"/>
      </rPr>
      <t>小型或微型物件</t>
    </r>
    <r>
      <rPr>
        <sz val="10"/>
        <color theme="1"/>
        <rFont val="Times New Roman"/>
        <charset val="134"/>
      </rPr>
      <t xml:space="preserve">
</t>
    </r>
    <r>
      <rPr>
        <sz val="10"/>
        <color theme="1"/>
        <rFont val="宋体"/>
        <charset val="134"/>
      </rPr>
      <t>护甲等级：</t>
    </r>
    <r>
      <rPr>
        <sz val="10"/>
        <color theme="1"/>
        <rFont val="Times New Roman"/>
        <charset val="134"/>
      </rPr>
      <t xml:space="preserve">18
</t>
    </r>
    <r>
      <rPr>
        <sz val="10"/>
        <color theme="1"/>
        <rFont val="宋体"/>
        <charset val="134"/>
      </rPr>
      <t>生命值：你奇械师等级的五倍（向炮台施展修复术</t>
    </r>
    <r>
      <rPr>
        <sz val="10"/>
        <color theme="1"/>
        <rFont val="Times New Roman"/>
        <charset val="134"/>
      </rPr>
      <t xml:space="preserve">Mending </t>
    </r>
    <r>
      <rPr>
        <sz val="10"/>
        <color theme="1"/>
        <rFont val="宋体"/>
        <charset val="134"/>
      </rPr>
      <t>会使其恢复</t>
    </r>
    <r>
      <rPr>
        <sz val="10"/>
        <color theme="1"/>
        <rFont val="Times New Roman"/>
        <charset val="134"/>
      </rPr>
      <t>2d6</t>
    </r>
    <r>
      <rPr>
        <sz val="10"/>
        <color theme="1"/>
        <rFont val="宋体"/>
        <charset val="134"/>
      </rPr>
      <t>生命）</t>
    </r>
    <r>
      <rPr>
        <sz val="10"/>
        <color theme="1"/>
        <rFont val="Times New Roman"/>
        <charset val="134"/>
      </rPr>
      <t xml:space="preserve">
</t>
    </r>
    <r>
      <rPr>
        <sz val="10"/>
        <color theme="1"/>
        <rFont val="宋体"/>
        <charset val="134"/>
      </rPr>
      <t>免疫：毒素，心灵</t>
    </r>
    <r>
      <rPr>
        <sz val="10"/>
        <color theme="1"/>
        <rFont val="Times New Roman"/>
        <charset val="134"/>
      </rPr>
      <t xml:space="preserve">
</t>
    </r>
    <r>
      <rPr>
        <sz val="10"/>
        <color theme="1"/>
        <rFont val="宋体"/>
        <charset val="134"/>
      </rPr>
      <t>激活炮台</t>
    </r>
    <r>
      <rPr>
        <sz val="10"/>
        <color theme="1"/>
        <rFont val="Times New Roman"/>
        <charset val="134"/>
      </rPr>
      <t>Activate Cannon</t>
    </r>
    <r>
      <rPr>
        <sz val="10"/>
        <color theme="1"/>
        <rFont val="宋体"/>
        <charset val="134"/>
      </rPr>
      <t>（需要你在炮台</t>
    </r>
    <r>
      <rPr>
        <sz val="10"/>
        <color theme="1"/>
        <rFont val="Times New Roman"/>
        <charset val="134"/>
      </rPr>
      <t>60</t>
    </r>
    <r>
      <rPr>
        <sz val="10"/>
        <color theme="1"/>
        <rFont val="宋体"/>
        <charset val="134"/>
      </rPr>
      <t>尺内）。以一个附赠动作，你命令你的炮台使用投火机，力场弩炮或防御者选项；你可以在该选项之前或之后指挥炮台移动至多</t>
    </r>
    <r>
      <rPr>
        <sz val="10"/>
        <color theme="1"/>
        <rFont val="Times New Roman"/>
        <charset val="134"/>
      </rPr>
      <t>15</t>
    </r>
    <r>
      <rPr>
        <sz val="10"/>
        <color theme="1"/>
        <rFont val="宋体"/>
        <charset val="134"/>
      </rPr>
      <t>尺：</t>
    </r>
    <r>
      <rPr>
        <sz val="10"/>
        <color theme="1"/>
        <rFont val="Times New Roman"/>
        <charset val="134"/>
      </rPr>
      <t xml:space="preserve">
</t>
    </r>
    <r>
      <rPr>
        <sz val="10"/>
        <color theme="1"/>
        <rFont val="宋体"/>
        <charset val="134"/>
      </rPr>
      <t>投火机</t>
    </r>
    <r>
      <rPr>
        <sz val="10"/>
        <color theme="1"/>
        <rFont val="Times New Roman"/>
        <charset val="134"/>
      </rPr>
      <t>Flamethrower</t>
    </r>
    <r>
      <rPr>
        <sz val="10"/>
        <color theme="1"/>
        <rFont val="宋体"/>
        <charset val="134"/>
      </rPr>
      <t>。炮台喷出</t>
    </r>
    <r>
      <rPr>
        <sz val="10"/>
        <color theme="1"/>
        <rFont val="Times New Roman"/>
        <charset val="134"/>
      </rPr>
      <t>15</t>
    </r>
    <r>
      <rPr>
        <sz val="10"/>
        <color theme="1"/>
        <rFont val="宋体"/>
        <charset val="134"/>
      </rPr>
      <t>尺锥状火焰。区域内的每个生物进行一次对抗你法术豁免</t>
    </r>
    <r>
      <rPr>
        <sz val="10"/>
        <color theme="1"/>
        <rFont val="Times New Roman"/>
        <charset val="134"/>
      </rPr>
      <t>DC</t>
    </r>
    <r>
      <rPr>
        <sz val="10"/>
        <color theme="1"/>
        <rFont val="宋体"/>
        <charset val="134"/>
      </rPr>
      <t>的敏捷豁免，失败则受到</t>
    </r>
    <r>
      <rPr>
        <sz val="10"/>
        <color theme="1"/>
        <rFont val="Times New Roman"/>
        <charset val="134"/>
      </rPr>
      <t>2d8</t>
    </r>
    <r>
      <rPr>
        <sz val="10"/>
        <color theme="1"/>
        <rFont val="宋体"/>
        <charset val="134"/>
      </rPr>
      <t>火焰伤害，成功受半伤。锥状内未被着装或携带的易燃物品将会开始燃烧。</t>
    </r>
    <r>
      <rPr>
        <sz val="10"/>
        <color theme="1"/>
        <rFont val="Times New Roman"/>
        <charset val="134"/>
      </rPr>
      <t xml:space="preserve">
</t>
    </r>
    <r>
      <rPr>
        <sz val="10"/>
        <color theme="1"/>
        <rFont val="宋体"/>
        <charset val="134"/>
      </rPr>
      <t>力场弩炮</t>
    </r>
    <r>
      <rPr>
        <sz val="10"/>
        <color theme="1"/>
        <rFont val="Times New Roman"/>
        <charset val="134"/>
      </rPr>
      <t>Force Ballista</t>
    </r>
    <r>
      <rPr>
        <sz val="10"/>
        <color theme="1"/>
        <rFont val="宋体"/>
        <charset val="134"/>
      </rPr>
      <t>。以炮台为源点对</t>
    </r>
    <r>
      <rPr>
        <sz val="10"/>
        <color theme="1"/>
        <rFont val="Times New Roman"/>
        <charset val="134"/>
      </rPr>
      <t>120</t>
    </r>
    <r>
      <rPr>
        <sz val="10"/>
        <color theme="1"/>
        <rFont val="宋体"/>
        <charset val="134"/>
      </rPr>
      <t>尺内的一个生物或物品进行一次远程法术攻击。命中时，目标受到</t>
    </r>
    <r>
      <rPr>
        <sz val="10"/>
        <color theme="1"/>
        <rFont val="Times New Roman"/>
        <charset val="134"/>
      </rPr>
      <t>2d8</t>
    </r>
    <r>
      <rPr>
        <sz val="10"/>
        <color theme="1"/>
        <rFont val="宋体"/>
        <charset val="134"/>
      </rPr>
      <t>力场伤害，且如果目标是一个生物，它会被炮台推离至多</t>
    </r>
    <r>
      <rPr>
        <sz val="10"/>
        <color theme="1"/>
        <rFont val="Times New Roman"/>
        <charset val="134"/>
      </rPr>
      <t>5</t>
    </r>
    <r>
      <rPr>
        <sz val="10"/>
        <color theme="1"/>
        <rFont val="宋体"/>
        <charset val="134"/>
      </rPr>
      <t>尺。</t>
    </r>
    <r>
      <rPr>
        <sz val="10"/>
        <color theme="1"/>
        <rFont val="Times New Roman"/>
        <charset val="134"/>
      </rPr>
      <t xml:space="preserve">
</t>
    </r>
    <r>
      <rPr>
        <sz val="10"/>
        <color theme="1"/>
        <rFont val="宋体"/>
        <charset val="134"/>
      </rPr>
      <t>防御者</t>
    </r>
    <r>
      <rPr>
        <sz val="10"/>
        <color theme="1"/>
        <rFont val="Times New Roman"/>
        <charset val="134"/>
      </rPr>
      <t>Protector</t>
    </r>
    <r>
      <rPr>
        <sz val="10"/>
        <color theme="1"/>
        <rFont val="宋体"/>
        <charset val="134"/>
      </rPr>
      <t>。炮台释放出一股正能量，赋予它自己和其</t>
    </r>
    <r>
      <rPr>
        <sz val="10"/>
        <color theme="1"/>
        <rFont val="Times New Roman"/>
        <charset val="134"/>
      </rPr>
      <t>10</t>
    </r>
    <r>
      <rPr>
        <sz val="10"/>
        <color theme="1"/>
        <rFont val="宋体"/>
        <charset val="134"/>
      </rPr>
      <t>尺内的每个你选择的生物等于</t>
    </r>
    <r>
      <rPr>
        <sz val="10"/>
        <color theme="1"/>
        <rFont val="Times New Roman"/>
        <charset val="134"/>
      </rPr>
      <t>1d8</t>
    </r>
    <r>
      <rPr>
        <sz val="10"/>
        <color theme="1"/>
        <rFont val="宋体"/>
        <charset val="134"/>
      </rPr>
      <t>加你的智力调整值（最少为</t>
    </r>
    <r>
      <rPr>
        <sz val="10"/>
        <color theme="1"/>
        <rFont val="Times New Roman"/>
        <charset val="134"/>
      </rPr>
      <t>1</t>
    </r>
    <r>
      <rPr>
        <sz val="10"/>
        <color theme="1"/>
        <rFont val="宋体"/>
        <charset val="134"/>
      </rPr>
      <t>）的临时生命值。</t>
    </r>
  </si>
  <si>
    <r>
      <rPr>
        <sz val="10"/>
        <color theme="1"/>
        <rFont val="宋体"/>
        <charset val="134"/>
      </rPr>
      <t>升阶心灵遥控</t>
    </r>
  </si>
  <si>
    <r>
      <rPr>
        <sz val="10"/>
        <color theme="1"/>
        <rFont val="宋体"/>
        <charset val="134"/>
      </rPr>
      <t>你可以通过消耗四个灵能骰而非法术位来施展法术心灵遥控</t>
    </r>
    <r>
      <rPr>
        <sz val="10"/>
        <color theme="1"/>
        <rFont val="Times New Roman"/>
        <charset val="134"/>
      </rPr>
      <t>Telekinesis</t>
    </r>
    <r>
      <rPr>
        <sz val="10"/>
        <color theme="1"/>
        <rFont val="宋体"/>
        <charset val="134"/>
      </rPr>
      <t>。当你用此特性无需法术位地施展心灵遥控</t>
    </r>
    <r>
      <rPr>
        <sz val="10"/>
        <color theme="1"/>
        <rFont val="Times New Roman"/>
        <charset val="134"/>
      </rPr>
      <t>Telekinesis</t>
    </r>
    <r>
      <rPr>
        <sz val="10"/>
        <color theme="1"/>
        <rFont val="宋体"/>
        <charset val="134"/>
      </rPr>
      <t>时。你可以调整该法术，使其无需专注。若你如此做，本次施展的该法术持续时间变为</t>
    </r>
    <r>
      <rPr>
        <sz val="10"/>
        <color theme="1"/>
        <rFont val="Times New Roman"/>
        <charset val="134"/>
      </rPr>
      <t>1</t>
    </r>
    <r>
      <rPr>
        <sz val="10"/>
        <color theme="1"/>
        <rFont val="宋体"/>
        <charset val="134"/>
      </rPr>
      <t>分钟，并且你能够以超巨型生物和物件为目标。</t>
    </r>
  </si>
  <si>
    <r>
      <rPr>
        <sz val="10"/>
        <color theme="1"/>
        <rFont val="宋体"/>
        <charset val="134"/>
      </rPr>
      <t>混种变形特性</t>
    </r>
  </si>
  <si>
    <r>
      <rPr>
        <sz val="10"/>
        <color theme="1"/>
        <rFont val="宋体"/>
        <charset val="134"/>
      </rPr>
      <t>变形期间，你获得以下好处和坏处。
野性之力</t>
    </r>
    <r>
      <rPr>
        <sz val="10"/>
        <color theme="1"/>
        <rFont val="Times New Roman"/>
        <charset val="134"/>
      </rPr>
      <t xml:space="preserve"> Feral Might</t>
    </r>
    <r>
      <rPr>
        <sz val="10"/>
        <color theme="1"/>
        <rFont val="宋体"/>
        <charset val="134"/>
      </rPr>
      <t>。你在力量检定及力量豁免中得到优势。你在近战伤害骰上得到</t>
    </r>
    <r>
      <rPr>
        <sz val="10"/>
        <color theme="1"/>
        <rFont val="Times New Roman"/>
        <charset val="134"/>
      </rPr>
      <t xml:space="preserve">+1 </t>
    </r>
    <r>
      <rPr>
        <sz val="10"/>
        <color theme="1"/>
        <rFont val="宋体"/>
        <charset val="134"/>
      </rPr>
      <t>加值。此加值在第</t>
    </r>
    <r>
      <rPr>
        <sz val="10"/>
        <color theme="1"/>
        <rFont val="Times New Roman"/>
        <charset val="134"/>
      </rPr>
      <t xml:space="preserve"> 11 </t>
    </r>
    <r>
      <rPr>
        <sz val="10"/>
        <color theme="1"/>
        <rFont val="宋体"/>
        <charset val="134"/>
      </rPr>
      <t>级变为</t>
    </r>
    <r>
      <rPr>
        <sz val="10"/>
        <color theme="1"/>
        <rFont val="Times New Roman"/>
        <charset val="134"/>
      </rPr>
      <t>+2</t>
    </r>
    <r>
      <rPr>
        <sz val="10"/>
        <color theme="1"/>
        <rFont val="宋体"/>
        <charset val="134"/>
      </rPr>
      <t>，第</t>
    </r>
    <r>
      <rPr>
        <sz val="10"/>
        <color theme="1"/>
        <rFont val="Times New Roman"/>
        <charset val="134"/>
      </rPr>
      <t xml:space="preserve"> 18 </t>
    </r>
    <r>
      <rPr>
        <sz val="10"/>
        <color theme="1"/>
        <rFont val="宋体"/>
        <charset val="134"/>
      </rPr>
      <t>级变为</t>
    </r>
    <r>
      <rPr>
        <sz val="10"/>
        <color theme="1"/>
        <rFont val="Times New Roman"/>
        <charset val="134"/>
      </rPr>
      <t>+3</t>
    </r>
    <r>
      <rPr>
        <sz val="10"/>
        <color theme="1"/>
        <rFont val="宋体"/>
        <charset val="134"/>
      </rPr>
      <t>。
坚韧毛皮</t>
    </r>
    <r>
      <rPr>
        <sz val="10"/>
        <color theme="1"/>
        <rFont val="Times New Roman"/>
        <charset val="134"/>
      </rPr>
      <t xml:space="preserve"> Resilient Hide</t>
    </r>
    <r>
      <rPr>
        <sz val="10"/>
        <color theme="1"/>
        <rFont val="宋体"/>
        <charset val="134"/>
      </rPr>
      <t>。你对非银质且非魔法的武器造成的钝击、穿刺、挥砍具有抗性。额外地，当你没有穿着重甲时，你的</t>
    </r>
    <r>
      <rPr>
        <sz val="10"/>
        <color theme="1"/>
        <rFont val="Times New Roman"/>
        <charset val="134"/>
      </rPr>
      <t xml:space="preserve"> AC </t>
    </r>
    <r>
      <rPr>
        <sz val="10"/>
        <color theme="1"/>
        <rFont val="宋体"/>
        <charset val="134"/>
      </rPr>
      <t>获得</t>
    </r>
    <r>
      <rPr>
        <sz val="10"/>
        <color theme="1"/>
        <rFont val="Times New Roman"/>
        <charset val="134"/>
      </rPr>
      <t xml:space="preserve">+1 </t>
    </r>
    <r>
      <rPr>
        <sz val="10"/>
        <color theme="1"/>
        <rFont val="宋体"/>
        <charset val="134"/>
      </rPr>
      <t>加值。
掠食打击</t>
    </r>
    <r>
      <rPr>
        <sz val="10"/>
        <color theme="1"/>
        <rFont val="Times New Roman"/>
        <charset val="134"/>
      </rPr>
      <t xml:space="preserve"> Predatory Strikes</t>
    </r>
    <r>
      <rPr>
        <sz val="10"/>
        <color theme="1"/>
        <rFont val="宋体"/>
        <charset val="134"/>
      </rPr>
      <t>。你可以将猩红仪式特性应用于你的徒手打击，并视作一种武器。你可以用敏捷来代替力量来进行徒手打击的攻击及伤害骰。你的徒手打击造成</t>
    </r>
    <r>
      <rPr>
        <sz val="10"/>
        <color theme="1"/>
        <rFont val="Times New Roman"/>
        <charset val="134"/>
      </rPr>
      <t xml:space="preserve"> 1d6 </t>
    </r>
    <r>
      <rPr>
        <sz val="10"/>
        <color theme="1"/>
        <rFont val="宋体"/>
        <charset val="134"/>
      </rPr>
      <t>点挥砍伤害，此伤害在</t>
    </r>
    <r>
      <rPr>
        <sz val="10"/>
        <color theme="1"/>
        <rFont val="Times New Roman"/>
        <charset val="134"/>
      </rPr>
      <t xml:space="preserve"> 11 </t>
    </r>
    <r>
      <rPr>
        <sz val="10"/>
        <color theme="1"/>
        <rFont val="宋体"/>
        <charset val="134"/>
      </rPr>
      <t>级时增加到</t>
    </r>
    <r>
      <rPr>
        <sz val="10"/>
        <color theme="1"/>
        <rFont val="Times New Roman"/>
        <charset val="134"/>
      </rPr>
      <t xml:space="preserve"> 1d8</t>
    </r>
    <r>
      <rPr>
        <sz val="10"/>
        <color theme="1"/>
        <rFont val="宋体"/>
        <charset val="134"/>
      </rPr>
      <t>。额外地，当你以徒手打击执行一次攻击动作时，你可以用一个附赠动作发动一次徒手打击。
嗜血</t>
    </r>
    <r>
      <rPr>
        <sz val="10"/>
        <color theme="1"/>
        <rFont val="Times New Roman"/>
        <charset val="134"/>
      </rPr>
      <t xml:space="preserve"> Bloodlust</t>
    </r>
    <r>
      <rPr>
        <sz val="10"/>
        <color theme="1"/>
        <rFont val="宋体"/>
        <charset val="134"/>
      </rPr>
      <t>。若你开始回合时生命值不到上限的一半，你必须通过一次难度为</t>
    </r>
    <r>
      <rPr>
        <sz val="10"/>
        <color theme="1"/>
        <rFont val="Times New Roman"/>
        <charset val="134"/>
      </rPr>
      <t xml:space="preserve"> 8 </t>
    </r>
    <r>
      <rPr>
        <sz val="10"/>
        <color theme="1"/>
        <rFont val="宋体"/>
        <charset val="134"/>
      </rPr>
      <t>的感知豁免，否则你向距你最近的生物直线移动，并且对其进行攻击动作。你可以选择在这次狂暴攻击中是否使用额外攻击特性。若有超过一个潜在目标，掷骰以随机决定目标。攻击完成后，你恢复控制。若你在专注，或被无法专注的效果影响（如野蛮人的狂暴特性），你在此豁免中自动失败。</t>
    </r>
  </si>
  <si>
    <r>
      <rPr>
        <sz val="10"/>
        <color theme="1"/>
        <rFont val="宋体"/>
        <charset val="134"/>
      </rPr>
      <t>切实复苏</t>
    </r>
  </si>
  <si>
    <r>
      <rPr>
        <sz val="10"/>
        <color theme="1"/>
        <rFont val="宋体"/>
        <charset val="134"/>
      </rPr>
      <t>先决：药剂师等级</t>
    </r>
    <r>
      <rPr>
        <sz val="10"/>
        <color theme="1"/>
        <rFont val="Times New Roman"/>
        <charset val="134"/>
      </rPr>
      <t xml:space="preserve">10+ 
</t>
    </r>
    <r>
      <rPr>
        <sz val="10"/>
        <color theme="1"/>
        <rFont val="宋体"/>
        <charset val="134"/>
      </rPr>
      <t>当你施展一个仅能使生物复活（但不是转化为不死生物）的法术，如死者复活</t>
    </r>
    <r>
      <rPr>
        <sz val="10"/>
        <color theme="1"/>
        <rFont val="Times New Roman"/>
        <charset val="134"/>
      </rPr>
      <t>Raise Dead</t>
    </r>
    <r>
      <rPr>
        <sz val="10"/>
        <color theme="1"/>
        <rFont val="宋体"/>
        <charset val="134"/>
      </rPr>
      <t>，此时只要该生物死亡时间不超过一个小时，你便可以无需法术耗材地施展法术。</t>
    </r>
  </si>
  <si>
    <t>改变你的准备法术</t>
  </si>
  <si>
    <t>每当你获得一个铳士等级，就可以将你准备列表上的一道法术替换为另一道法师法术，你必须拥有替换后法术对应环阶的法术位才可以替换。</t>
  </si>
  <si>
    <t>施法法器</t>
  </si>
  <si>
    <t>你有一枚邪徽，例如象征你大魔鬼的护身符、渎神遗物的碎片或是盛有大魔鬼血液的玻璃球。你可以使用邪徽作为你邪狱使法术的施法法器。你必须有一只空闲的手以拿取邪徽，但拿邪徽的手可以和摆出施法姿势的是同一只手。</t>
  </si>
  <si>
    <t>神圣之手</t>
  </si>
  <si>
    <t>每个你的回合一次，当你以徒手打击或拳斗武器命中一名生物时，你能消耗一定点数的治疗能量来对目标造成额外的光耀伤害，至多消耗等于你拳斗士等级的治疗能量。额外伤害值等于你消耗的治疗能量点数，若目标为邪魔或亡灵，则为你消耗点数的两倍。</t>
  </si>
  <si>
    <t>丰收领域</t>
  </si>
  <si>
    <r>
      <rPr>
        <sz val="10"/>
        <color theme="1"/>
        <rFont val="宋体"/>
        <charset val="134"/>
      </rPr>
      <t>风暴灵光</t>
    </r>
  </si>
  <si>
    <r>
      <rPr>
        <sz val="10"/>
        <color theme="1"/>
        <rFont val="宋体"/>
        <charset val="134"/>
      </rPr>
      <t>在你狂暴期间，你会散发出一阵魔法性的灵光。它以你为中心向四周延展</t>
    </r>
    <r>
      <rPr>
        <sz val="10"/>
        <color theme="1"/>
        <rFont val="Times New Roman"/>
        <charset val="134"/>
      </rPr>
      <t>10</t>
    </r>
    <r>
      <rPr>
        <sz val="10"/>
        <color theme="1"/>
        <rFont val="宋体"/>
        <charset val="134"/>
      </rPr>
      <t>尺，灵光无法穿透全掩护。
这一灵光在你进入狂暴时会激活一种效应，而你在后续的每个自己的回合中也可以用一个附赠动作再次来激活该效应。从以下三种环境中选择其一，你选择的环境类型将决定你灵光激活时会产生的效应。每当你此职业的等级获得提升时，你可以更换你选择的环境。
如果你灵光的效应需要生物进行豁免，其豁免</t>
    </r>
    <r>
      <rPr>
        <sz val="10"/>
        <color theme="1"/>
        <rFont val="Times New Roman"/>
        <charset val="134"/>
      </rPr>
      <t>DC</t>
    </r>
    <r>
      <rPr>
        <sz val="10"/>
        <color theme="1"/>
        <rFont val="宋体"/>
        <charset val="134"/>
      </rPr>
      <t>等同于</t>
    </r>
    <r>
      <rPr>
        <sz val="10"/>
        <color theme="1"/>
        <rFont val="Times New Roman"/>
        <charset val="134"/>
      </rPr>
      <t xml:space="preserve"> 8+</t>
    </r>
    <r>
      <rPr>
        <sz val="10"/>
        <color theme="1"/>
        <rFont val="宋体"/>
        <charset val="134"/>
      </rPr>
      <t>你的熟练加值</t>
    </r>
    <r>
      <rPr>
        <sz val="10"/>
        <color theme="1"/>
        <rFont val="Times New Roman"/>
        <charset val="134"/>
      </rPr>
      <t>+</t>
    </r>
    <r>
      <rPr>
        <sz val="10"/>
        <color theme="1"/>
        <rFont val="宋体"/>
        <charset val="134"/>
      </rPr>
      <t xml:space="preserve">你的体质调整值。
</t>
    </r>
    <r>
      <rPr>
        <sz val="10"/>
        <color theme="1"/>
        <rFont val="Times New Roman"/>
        <charset val="134"/>
      </rPr>
      <t xml:space="preserve">• </t>
    </r>
    <r>
      <rPr>
        <sz val="10"/>
        <color theme="1"/>
        <rFont val="宋体"/>
        <charset val="134"/>
      </rPr>
      <t>荒漠</t>
    </r>
    <r>
      <rPr>
        <sz val="10"/>
        <color theme="1"/>
        <rFont val="Times New Roman"/>
        <charset val="134"/>
      </rPr>
      <t>Desert</t>
    </r>
    <r>
      <rPr>
        <sz val="10"/>
        <color theme="1"/>
        <rFont val="宋体"/>
        <charset val="134"/>
      </rPr>
      <t>。此效应激活时，你的灵光中所有其他生物都会受到</t>
    </r>
    <r>
      <rPr>
        <sz val="10"/>
        <color theme="1"/>
        <rFont val="Times New Roman"/>
        <charset val="134"/>
      </rPr>
      <t>2</t>
    </r>
    <r>
      <rPr>
        <sz val="10"/>
        <color theme="1"/>
        <rFont val="宋体"/>
        <charset val="134"/>
      </rPr>
      <t>点火焰伤害。当你在这个职业达到特定等级后，这一灵光的伤害将增加：在</t>
    </r>
    <r>
      <rPr>
        <sz val="10"/>
        <color theme="1"/>
        <rFont val="Times New Roman"/>
        <charset val="134"/>
      </rPr>
      <t>5</t>
    </r>
    <r>
      <rPr>
        <sz val="10"/>
        <color theme="1"/>
        <rFont val="宋体"/>
        <charset val="134"/>
      </rPr>
      <t>级后变为</t>
    </r>
    <r>
      <rPr>
        <sz val="10"/>
        <color theme="1"/>
        <rFont val="Times New Roman"/>
        <charset val="134"/>
      </rPr>
      <t>3</t>
    </r>
    <r>
      <rPr>
        <sz val="10"/>
        <color theme="1"/>
        <rFont val="宋体"/>
        <charset val="134"/>
      </rPr>
      <t>点，</t>
    </r>
    <r>
      <rPr>
        <sz val="10"/>
        <color theme="1"/>
        <rFont val="Times New Roman"/>
        <charset val="134"/>
      </rPr>
      <t>10</t>
    </r>
    <r>
      <rPr>
        <sz val="10"/>
        <color theme="1"/>
        <rFont val="宋体"/>
        <charset val="134"/>
      </rPr>
      <t>级后</t>
    </r>
    <r>
      <rPr>
        <sz val="10"/>
        <color theme="1"/>
        <rFont val="Times New Roman"/>
        <charset val="134"/>
      </rPr>
      <t>4</t>
    </r>
    <r>
      <rPr>
        <sz val="10"/>
        <color theme="1"/>
        <rFont val="宋体"/>
        <charset val="134"/>
      </rPr>
      <t>点，</t>
    </r>
    <r>
      <rPr>
        <sz val="10"/>
        <color theme="1"/>
        <rFont val="Times New Roman"/>
        <charset val="134"/>
      </rPr>
      <t>15</t>
    </r>
    <r>
      <rPr>
        <sz val="10"/>
        <color theme="1"/>
        <rFont val="宋体"/>
        <charset val="134"/>
      </rPr>
      <t>级后</t>
    </r>
    <r>
      <rPr>
        <sz val="10"/>
        <color theme="1"/>
        <rFont val="Times New Roman"/>
        <charset val="134"/>
      </rPr>
      <t>5</t>
    </r>
    <r>
      <rPr>
        <sz val="10"/>
        <color theme="1"/>
        <rFont val="宋体"/>
        <charset val="134"/>
      </rPr>
      <t>点，</t>
    </r>
    <r>
      <rPr>
        <sz val="10"/>
        <color theme="1"/>
        <rFont val="Times New Roman"/>
        <charset val="134"/>
      </rPr>
      <t>20</t>
    </r>
    <r>
      <rPr>
        <sz val="10"/>
        <color theme="1"/>
        <rFont val="宋体"/>
        <charset val="134"/>
      </rPr>
      <t>级后</t>
    </r>
    <r>
      <rPr>
        <sz val="10"/>
        <color theme="1"/>
        <rFont val="Times New Roman"/>
        <charset val="134"/>
      </rPr>
      <t>6</t>
    </r>
    <r>
      <rPr>
        <sz val="10"/>
        <color theme="1"/>
        <rFont val="宋体"/>
        <charset val="134"/>
      </rPr>
      <t xml:space="preserve">点。
</t>
    </r>
    <r>
      <rPr>
        <sz val="10"/>
        <color theme="1"/>
        <rFont val="Times New Roman"/>
        <charset val="134"/>
      </rPr>
      <t xml:space="preserve">• </t>
    </r>
    <r>
      <rPr>
        <sz val="10"/>
        <color theme="1"/>
        <rFont val="宋体"/>
        <charset val="134"/>
      </rPr>
      <t>海洋</t>
    </r>
    <r>
      <rPr>
        <sz val="10"/>
        <color theme="1"/>
        <rFont val="Times New Roman"/>
        <charset val="134"/>
      </rPr>
      <t>Sea</t>
    </r>
    <r>
      <rPr>
        <sz val="10"/>
        <color theme="1"/>
        <rFont val="宋体"/>
        <charset val="134"/>
      </rPr>
      <t>。当这个效果被激活时，你可以选择一个处于灵光中且你能看到的其他生物。目标必须通过一次敏捷豁免，豁免失败受到</t>
    </r>
    <r>
      <rPr>
        <sz val="10"/>
        <color theme="1"/>
        <rFont val="Times New Roman"/>
        <charset val="134"/>
      </rPr>
      <t>1d6</t>
    </r>
    <r>
      <rPr>
        <sz val="10"/>
        <color theme="1"/>
        <rFont val="宋体"/>
        <charset val="134"/>
      </rPr>
      <t>闪电伤害，豁免成功则只受半数伤害。当你在这个职业达到特定等级后，这一灵光的伤害将增加：</t>
    </r>
    <r>
      <rPr>
        <sz val="10"/>
        <color theme="1"/>
        <rFont val="Times New Roman"/>
        <charset val="134"/>
      </rPr>
      <t>10</t>
    </r>
    <r>
      <rPr>
        <sz val="10"/>
        <color theme="1"/>
        <rFont val="宋体"/>
        <charset val="134"/>
      </rPr>
      <t>级后变为</t>
    </r>
    <r>
      <rPr>
        <sz val="10"/>
        <color theme="1"/>
        <rFont val="Times New Roman"/>
        <charset val="134"/>
      </rPr>
      <t>2d6</t>
    </r>
    <r>
      <rPr>
        <sz val="10"/>
        <color theme="1"/>
        <rFont val="宋体"/>
        <charset val="134"/>
      </rPr>
      <t>，</t>
    </r>
    <r>
      <rPr>
        <sz val="10"/>
        <color theme="1"/>
        <rFont val="Times New Roman"/>
        <charset val="134"/>
      </rPr>
      <t>15</t>
    </r>
    <r>
      <rPr>
        <sz val="10"/>
        <color theme="1"/>
        <rFont val="宋体"/>
        <charset val="134"/>
      </rPr>
      <t>级后</t>
    </r>
    <r>
      <rPr>
        <sz val="10"/>
        <color theme="1"/>
        <rFont val="Times New Roman"/>
        <charset val="134"/>
      </rPr>
      <t>3d6</t>
    </r>
    <r>
      <rPr>
        <sz val="10"/>
        <color theme="1"/>
        <rFont val="宋体"/>
        <charset val="134"/>
      </rPr>
      <t>，</t>
    </r>
    <r>
      <rPr>
        <sz val="10"/>
        <color theme="1"/>
        <rFont val="Times New Roman"/>
        <charset val="134"/>
      </rPr>
      <t>20</t>
    </r>
    <r>
      <rPr>
        <sz val="10"/>
        <color theme="1"/>
        <rFont val="宋体"/>
        <charset val="134"/>
      </rPr>
      <t>级后</t>
    </r>
    <r>
      <rPr>
        <sz val="10"/>
        <color theme="1"/>
        <rFont val="Times New Roman"/>
        <charset val="134"/>
      </rPr>
      <t>4d6</t>
    </r>
    <r>
      <rPr>
        <sz val="10"/>
        <color theme="1"/>
        <rFont val="宋体"/>
        <charset val="134"/>
      </rPr>
      <t xml:space="preserve">。
</t>
    </r>
    <r>
      <rPr>
        <sz val="10"/>
        <color theme="1"/>
        <rFont val="Times New Roman"/>
        <charset val="134"/>
      </rPr>
      <t xml:space="preserve">• </t>
    </r>
    <r>
      <rPr>
        <sz val="10"/>
        <color theme="1"/>
        <rFont val="宋体"/>
        <charset val="134"/>
      </rPr>
      <t>冻原</t>
    </r>
    <r>
      <rPr>
        <sz val="10"/>
        <color theme="1"/>
        <rFont val="Times New Roman"/>
        <charset val="134"/>
      </rPr>
      <t>Tundra</t>
    </r>
    <r>
      <rPr>
        <sz val="10"/>
        <color theme="1"/>
        <rFont val="宋体"/>
        <charset val="134"/>
      </rPr>
      <t>。当这个效果被激活时，寒冰精魂加护于灵光中每个你选择的生物，令他们得以忍受伤害。它们获得</t>
    </r>
    <r>
      <rPr>
        <sz val="10"/>
        <color theme="1"/>
        <rFont val="Times New Roman"/>
        <charset val="134"/>
      </rPr>
      <t>2</t>
    </r>
    <r>
      <rPr>
        <sz val="10"/>
        <color theme="1"/>
        <rFont val="宋体"/>
        <charset val="134"/>
      </rPr>
      <t>点临时生命值。当你在这个职业达到特定等级后，这一灵光给予的临时生命值将增加：在</t>
    </r>
    <r>
      <rPr>
        <sz val="10"/>
        <color theme="1"/>
        <rFont val="Times New Roman"/>
        <charset val="134"/>
      </rPr>
      <t>5</t>
    </r>
    <r>
      <rPr>
        <sz val="10"/>
        <color theme="1"/>
        <rFont val="宋体"/>
        <charset val="134"/>
      </rPr>
      <t>级后变为</t>
    </r>
    <r>
      <rPr>
        <sz val="10"/>
        <color theme="1"/>
        <rFont val="Times New Roman"/>
        <charset val="134"/>
      </rPr>
      <t>3</t>
    </r>
    <r>
      <rPr>
        <sz val="10"/>
        <color theme="1"/>
        <rFont val="宋体"/>
        <charset val="134"/>
      </rPr>
      <t>点，</t>
    </r>
    <r>
      <rPr>
        <sz val="10"/>
        <color theme="1"/>
        <rFont val="Times New Roman"/>
        <charset val="134"/>
      </rPr>
      <t>10</t>
    </r>
    <r>
      <rPr>
        <sz val="10"/>
        <color theme="1"/>
        <rFont val="宋体"/>
        <charset val="134"/>
      </rPr>
      <t>级后变为</t>
    </r>
    <r>
      <rPr>
        <sz val="10"/>
        <color theme="1"/>
        <rFont val="Times New Roman"/>
        <charset val="134"/>
      </rPr>
      <t>4</t>
    </r>
    <r>
      <rPr>
        <sz val="10"/>
        <color theme="1"/>
        <rFont val="宋体"/>
        <charset val="134"/>
      </rPr>
      <t>点，</t>
    </r>
    <r>
      <rPr>
        <sz val="10"/>
        <color theme="1"/>
        <rFont val="Times New Roman"/>
        <charset val="134"/>
      </rPr>
      <t>15</t>
    </r>
    <r>
      <rPr>
        <sz val="10"/>
        <color theme="1"/>
        <rFont val="宋体"/>
        <charset val="134"/>
      </rPr>
      <t>级后变为</t>
    </r>
    <r>
      <rPr>
        <sz val="10"/>
        <color theme="1"/>
        <rFont val="Times New Roman"/>
        <charset val="134"/>
      </rPr>
      <t>5</t>
    </r>
    <r>
      <rPr>
        <sz val="10"/>
        <color theme="1"/>
        <rFont val="宋体"/>
        <charset val="134"/>
      </rPr>
      <t>点，</t>
    </r>
    <r>
      <rPr>
        <sz val="10"/>
        <color theme="1"/>
        <rFont val="Times New Roman"/>
        <charset val="134"/>
      </rPr>
      <t>20</t>
    </r>
    <r>
      <rPr>
        <sz val="10"/>
        <color theme="1"/>
        <rFont val="宋体"/>
        <charset val="134"/>
      </rPr>
      <t>级后变为</t>
    </r>
    <r>
      <rPr>
        <sz val="10"/>
        <color theme="1"/>
        <rFont val="Times New Roman"/>
        <charset val="134"/>
      </rPr>
      <t>6</t>
    </r>
    <r>
      <rPr>
        <sz val="10"/>
        <color theme="1"/>
        <rFont val="宋体"/>
        <charset val="134"/>
      </rPr>
      <t>点。</t>
    </r>
  </si>
  <si>
    <r>
      <rPr>
        <sz val="10"/>
        <color theme="1"/>
        <rFont val="宋体"/>
        <charset val="134"/>
      </rPr>
      <t>阴暗学识</t>
    </r>
  </si>
  <si>
    <r>
      <rPr>
        <sz val="10"/>
        <color theme="1"/>
        <rFont val="宋体"/>
        <charset val="134"/>
      </rPr>
      <t>你学会了在言语中织入黑暗魔法激发一个生物内心最深处的恐惧。
以一个动作，你对一个</t>
    </r>
    <r>
      <rPr>
        <sz val="10"/>
        <color theme="1"/>
        <rFont val="Times New Roman"/>
        <charset val="134"/>
      </rPr>
      <t>30</t>
    </r>
    <r>
      <rPr>
        <sz val="10"/>
        <color theme="1"/>
        <rFont val="宋体"/>
        <charset val="134"/>
      </rPr>
      <t>尺内，能听见你的声音的生物发出一段魔法低语。目标必须进行一次对抗你的法术豁免</t>
    </r>
    <r>
      <rPr>
        <sz val="10"/>
        <color theme="1"/>
        <rFont val="Times New Roman"/>
        <charset val="134"/>
      </rPr>
      <t>DC</t>
    </r>
    <r>
      <rPr>
        <sz val="10"/>
        <color theme="1"/>
        <rFont val="宋体"/>
        <charset val="134"/>
      </rPr>
      <t>的感知豁免。若它与你没有共通的语言、或是它不能听见你的声音，它的豁免将自动成功。豁免成功时，你的低语声听起来就像是一段不知所云的呢喃，且没有任何效果。
豁免失败时，他将被你</t>
    </r>
    <r>
      <rPr>
        <sz val="10"/>
        <color theme="1"/>
        <rFont val="Times New Roman"/>
        <charset val="134"/>
      </rPr>
      <t xml:space="preserve"> </t>
    </r>
    <r>
      <rPr>
        <sz val="10"/>
        <color theme="1"/>
        <rFont val="宋体"/>
        <charset val="134"/>
      </rPr>
      <t>魅惑</t>
    </r>
    <r>
      <rPr>
        <sz val="10"/>
        <color theme="1"/>
        <rFont val="Times New Roman"/>
        <charset val="134"/>
      </rPr>
      <t xml:space="preserve">Charmed </t>
    </r>
    <r>
      <rPr>
        <sz val="10"/>
        <color theme="1"/>
        <rFont val="宋体"/>
        <charset val="134"/>
      </rPr>
      <t>，持续</t>
    </r>
    <r>
      <rPr>
        <sz val="10"/>
        <color theme="1"/>
        <rFont val="Times New Roman"/>
        <charset val="134"/>
      </rPr>
      <t>8</t>
    </r>
    <r>
      <rPr>
        <sz val="10"/>
        <color theme="1"/>
        <rFont val="宋体"/>
        <charset val="134"/>
      </rPr>
      <t>小时。如果你或你的盟友攻击了它、伤害了它、或是迫使它进行一次豁免检定这一状态也将提前结束。他认为这段低语描述了他最为困窘的秘密。尽管你并不会因此了解到这个秘密是什么，但是目标会坚信你已经知道了。
当被以此法魅惑时，该生物因为畏惧你会公开他的秘密而遵循你的命令。不过它不会为了你而进行危及自身性命的事，也不会为你战斗（除非他已经倾向于这么做了）。它会视你为挚友，并会像密友那样提供关爱和恩惠。
当此效应结束时，该生物将无法明白为何他会对你如此恐惧。
一旦你使用了此特性，直到你完成一次长休前你都不能再次使用它。</t>
    </r>
  </si>
  <si>
    <r>
      <rPr>
        <sz val="10"/>
        <color theme="1"/>
        <rFont val="宋体"/>
        <charset val="134"/>
      </rPr>
      <t>引导神力</t>
    </r>
    <r>
      <rPr>
        <sz val="10"/>
        <color theme="1"/>
        <rFont val="Times New Roman"/>
        <charset val="134"/>
      </rPr>
      <t>:</t>
    </r>
    <r>
      <rPr>
        <sz val="10"/>
        <color theme="1"/>
        <rFont val="宋体"/>
        <charset val="134"/>
      </rPr>
      <t>铁匠祝福</t>
    </r>
  </si>
  <si>
    <r>
      <rPr>
        <sz val="10"/>
        <color theme="1"/>
        <rFont val="宋体"/>
        <charset val="134"/>
      </rPr>
      <t>你可以用你的引导神力来创造出简易的物品。
你需要花费一小时来完成这个仪式以创造出包含有金属的非魔法物件：一把简易或军用武器、一件护甲、十份弹药、一套工具、或是其他的非魔法物件（参考《玩家手册》的装备一章）。仪式完成后，物件将被在由你周围</t>
    </r>
    <r>
      <rPr>
        <sz val="10"/>
        <color theme="1"/>
        <rFont val="Times New Roman"/>
        <charset val="134"/>
      </rPr>
      <t>5</t>
    </r>
    <r>
      <rPr>
        <sz val="10"/>
        <color theme="1"/>
        <rFont val="宋体"/>
        <charset val="134"/>
      </rPr>
      <t>尺范围内由你选择的一次未被占据的空间内形成实体。
你创造的物品的价值必须低于</t>
    </r>
    <r>
      <rPr>
        <sz val="10"/>
        <color theme="1"/>
        <rFont val="Times New Roman"/>
        <charset val="134"/>
      </rPr>
      <t>100gp</t>
    </r>
    <r>
      <rPr>
        <sz val="10"/>
        <color theme="1"/>
        <rFont val="宋体"/>
        <charset val="134"/>
      </rPr>
      <t>。作为仪式的一部分，你必须提供与那物品价值等同的金属物品，这包括了各类钱币。仪式完成时，这些物品会不可逆地变成你创造的物品，甚至会被魔法转化为非金属的部分。
这一仪式可以用于创造包括金属的非魔法物品的复制品，例如钥匙。不过你必须在仪式过程中持有复制用的原件。</t>
    </r>
  </si>
  <si>
    <r>
      <rPr>
        <sz val="10"/>
        <color theme="1"/>
        <rFont val="宋体"/>
        <charset val="134"/>
      </rPr>
      <t>灿若繁星</t>
    </r>
  </si>
  <si>
    <r>
      <rPr>
        <sz val="10"/>
        <color theme="1"/>
        <rFont val="宋体"/>
        <charset val="134"/>
      </rPr>
      <t>处于星耀形态期间，你的身体部分无实质化，使你获得钝击、穿刺与挥砍伤害的抗性。</t>
    </r>
  </si>
  <si>
    <r>
      <rPr>
        <sz val="10"/>
        <color theme="1"/>
        <rFont val="宋体"/>
        <charset val="134"/>
      </rPr>
      <t>运动健将</t>
    </r>
  </si>
  <si>
    <r>
      <rPr>
        <sz val="10"/>
        <color theme="1"/>
        <rFont val="宋体"/>
        <charset val="134"/>
      </rPr>
      <t>得益于你平日的体育锻炼，你在先攻检定和力量（运动）检定中具有优势。
此外，当你造成一次重击时，你可立即移动至多等于你速度一半的距离，这次移动不会引发借机攻击。</t>
    </r>
  </si>
  <si>
    <r>
      <rPr>
        <sz val="10"/>
        <color theme="1"/>
        <rFont val="宋体"/>
        <charset val="134"/>
      </rPr>
      <t>醉拳法门</t>
    </r>
  </si>
  <si>
    <r>
      <rPr>
        <sz val="10"/>
        <color theme="1"/>
        <rFont val="宋体"/>
        <charset val="134"/>
      </rPr>
      <t>选择了这个范型的武僧使得你学会了如何在疾风连打中快速的扭转与行动躯体。
每当你使用疾风连击时，你将获得撤离动作的好处，而你的步行速度增加</t>
    </r>
    <r>
      <rPr>
        <sz val="10"/>
        <color theme="1"/>
        <rFont val="Times New Roman"/>
        <charset val="134"/>
      </rPr>
      <t>10</t>
    </r>
    <r>
      <rPr>
        <sz val="10"/>
        <color theme="1"/>
        <rFont val="宋体"/>
        <charset val="134"/>
      </rPr>
      <t>英尺直到当前回合结束。</t>
    </r>
  </si>
  <si>
    <r>
      <rPr>
        <sz val="10"/>
        <color theme="1"/>
        <rFont val="宋体"/>
        <charset val="134"/>
      </rPr>
      <t>复仇之魂</t>
    </r>
  </si>
  <si>
    <r>
      <rPr>
        <sz val="10"/>
        <color theme="1"/>
        <rFont val="宋体"/>
        <charset val="134"/>
      </rPr>
      <t>受你仇敌誓言影响的生物在发动一次攻击以后，无论是否命中，只要其位于你的触及内，你就能够立即以反应对其进行一次近战攻击。</t>
    </r>
    <r>
      <rPr>
        <sz val="10"/>
        <color theme="1"/>
        <rFont val="Times New Roman"/>
        <charset val="134"/>
      </rPr>
      <t xml:space="preserve"> </t>
    </r>
  </si>
  <si>
    <r>
      <rPr>
        <sz val="10"/>
        <color theme="1"/>
        <rFont val="宋体"/>
        <charset val="134"/>
      </rPr>
      <t>高阶防守战术</t>
    </r>
  </si>
  <si>
    <r>
      <rPr>
        <sz val="10"/>
        <color theme="1"/>
        <rFont val="宋体"/>
        <charset val="134"/>
      </rPr>
      <t>当你受到伤害时，你可以用你的反应使你获得对该伤害以及相同伤害类型的抗性</t>
    </r>
    <r>
      <rPr>
        <sz val="10"/>
        <color theme="1"/>
        <rFont val="Times New Roman"/>
        <charset val="134"/>
      </rPr>
      <t xml:space="preserve">, </t>
    </r>
    <r>
      <rPr>
        <sz val="10"/>
        <color theme="1"/>
        <rFont val="宋体"/>
        <charset val="134"/>
      </rPr>
      <t>直至当前回合结束。</t>
    </r>
    <r>
      <rPr>
        <sz val="10"/>
        <color theme="1"/>
        <rFont val="Times New Roman"/>
        <charset val="134"/>
      </rPr>
      <t xml:space="preserve"> </t>
    </r>
  </si>
  <si>
    <r>
      <rPr>
        <sz val="10"/>
        <color theme="1"/>
        <rFont val="宋体"/>
        <charset val="134"/>
      </rPr>
      <t>使用魔法装置</t>
    </r>
  </si>
  <si>
    <r>
      <rPr>
        <sz val="10"/>
        <color theme="1"/>
        <rFont val="宋体"/>
        <charset val="134"/>
      </rPr>
      <t>在你的寻宝历险生涯中，你学会了如何最大化利用魔法装置。你获得以下增益：</t>
    </r>
    <r>
      <rPr>
        <sz val="10"/>
        <color theme="1"/>
        <rFont val="Times New Roman"/>
        <charset val="134"/>
      </rPr>
      <t xml:space="preserve"> 
</t>
    </r>
    <r>
      <rPr>
        <sz val="10"/>
        <color theme="1"/>
        <rFont val="宋体"/>
        <charset val="134"/>
      </rPr>
      <t>同调</t>
    </r>
    <r>
      <rPr>
        <sz val="10"/>
        <color theme="1"/>
        <rFont val="Times New Roman"/>
        <charset val="134"/>
      </rPr>
      <t>Attunement</t>
    </r>
    <r>
      <rPr>
        <sz val="10"/>
        <color theme="1"/>
        <rFont val="宋体"/>
        <charset val="134"/>
      </rPr>
      <t>。你可以一次性同调最多四件魔法物品。
充能</t>
    </r>
    <r>
      <rPr>
        <sz val="10"/>
        <color theme="1"/>
        <rFont val="Times New Roman"/>
        <charset val="134"/>
      </rPr>
      <t>Charges</t>
    </r>
    <r>
      <rPr>
        <sz val="10"/>
        <color theme="1"/>
        <rFont val="宋体"/>
        <charset val="134"/>
      </rPr>
      <t>。每当你使用一个魔法物品的消耗充能的特性时，投一个</t>
    </r>
    <r>
      <rPr>
        <sz val="10"/>
        <color theme="1"/>
        <rFont val="Times New Roman"/>
        <charset val="134"/>
      </rPr>
      <t>d6</t>
    </r>
    <r>
      <rPr>
        <sz val="10"/>
        <color theme="1"/>
        <rFont val="宋体"/>
        <charset val="134"/>
      </rPr>
      <t>，如果结果为</t>
    </r>
    <r>
      <rPr>
        <sz val="10"/>
        <color theme="1"/>
        <rFont val="Times New Roman"/>
        <charset val="134"/>
      </rPr>
      <t>6</t>
    </r>
    <r>
      <rPr>
        <sz val="10"/>
        <color theme="1"/>
        <rFont val="宋体"/>
        <charset val="134"/>
      </rPr>
      <t>，本次使用不消耗充能。
卷轴</t>
    </r>
    <r>
      <rPr>
        <sz val="10"/>
        <color theme="1"/>
        <rFont val="Times New Roman"/>
        <charset val="134"/>
      </rPr>
      <t>Scrolls</t>
    </r>
    <r>
      <rPr>
        <sz val="10"/>
        <color theme="1"/>
        <rFont val="宋体"/>
        <charset val="134"/>
      </rPr>
      <t>。你可以使用任何法术卷轴，并以智力作为你施展那个法术的施法关键属性。你可以稳定使用戏法或是一环的法术卷轴。如果这个法术卷轴记载了更高等级的法术，你必须通过一次成功的智力（奥秘）检定（</t>
    </r>
    <r>
      <rPr>
        <sz val="10"/>
        <color theme="1"/>
        <rFont val="Times New Roman"/>
        <charset val="134"/>
      </rPr>
      <t>DC</t>
    </r>
    <r>
      <rPr>
        <sz val="10"/>
        <color theme="1"/>
        <rFont val="宋体"/>
        <charset val="134"/>
      </rPr>
      <t>为</t>
    </r>
    <r>
      <rPr>
        <sz val="10"/>
        <color theme="1"/>
        <rFont val="Times New Roman"/>
        <charset val="134"/>
      </rPr>
      <t>10+</t>
    </r>
    <r>
      <rPr>
        <sz val="10"/>
        <color theme="1"/>
        <rFont val="宋体"/>
        <charset val="134"/>
      </rPr>
      <t>该法术的等级）。检定成功时，你能够使用卷轴施展该法术。如果失败，卷轴化为尘埃。</t>
    </r>
  </si>
  <si>
    <r>
      <rPr>
        <sz val="10"/>
        <color theme="1"/>
        <rFont val="宋体"/>
        <charset val="134"/>
      </rPr>
      <t>狂野魔法浪涌</t>
    </r>
  </si>
  <si>
    <r>
      <rPr>
        <sz val="10"/>
        <color theme="1"/>
        <rFont val="宋体"/>
        <charset val="134"/>
      </rPr>
      <t>你施法时会释放出未经塑造的魔法浪涌。一回合一次，你每次施展一个不低于一环的术士法术后，可以立刻骰一次</t>
    </r>
    <r>
      <rPr>
        <sz val="10"/>
        <color theme="1"/>
        <rFont val="Times New Roman"/>
        <charset val="134"/>
      </rPr>
      <t>d20</t>
    </r>
    <r>
      <rPr>
        <sz val="10"/>
        <color theme="1"/>
        <rFont val="宋体"/>
        <charset val="134"/>
      </rPr>
      <t>。如果你骰出</t>
    </r>
    <r>
      <rPr>
        <sz val="10"/>
        <color theme="1"/>
        <rFont val="Times New Roman"/>
        <charset val="134"/>
      </rPr>
      <t>20</t>
    </r>
    <r>
      <rPr>
        <sz val="10"/>
        <color theme="1"/>
        <rFont val="宋体"/>
        <charset val="134"/>
      </rPr>
      <t>，则在狂野魔法浪涌表上掷骰以确定随机魔法效应。
若该效果是一道法术，则其因过于狂野而无法受你的超魔法影响。</t>
    </r>
  </si>
  <si>
    <r>
      <rPr>
        <sz val="10"/>
        <color theme="1"/>
        <rFont val="宋体"/>
        <charset val="134"/>
      </rPr>
      <t>魔能斩</t>
    </r>
  </si>
  <si>
    <r>
      <rPr>
        <sz val="10"/>
        <color theme="1"/>
        <rFont val="宋体"/>
        <charset val="134"/>
      </rPr>
      <t>先决：魔契师等级</t>
    </r>
    <r>
      <rPr>
        <sz val="10"/>
        <color theme="1"/>
        <rFont val="Times New Roman"/>
        <charset val="134"/>
      </rPr>
      <t>5+</t>
    </r>
    <r>
      <rPr>
        <sz val="10"/>
        <color theme="1"/>
        <rFont val="宋体"/>
        <charset val="134"/>
      </rPr>
      <t>，具有刃之魔契祈唤
每回合一次，当你用契约武器命中一个生物时，你可以消耗一枚契约魔法特性的法术位，以此对目标造成额外</t>
    </r>
    <r>
      <rPr>
        <sz val="10"/>
        <color theme="1"/>
        <rFont val="Times New Roman"/>
        <charset val="134"/>
      </rPr>
      <t xml:space="preserve"> 1d8+</t>
    </r>
    <r>
      <rPr>
        <sz val="10"/>
        <color theme="1"/>
        <rFont val="宋体"/>
        <charset val="134"/>
      </rPr>
      <t>每法术位环阶</t>
    </r>
    <r>
      <rPr>
        <sz val="10"/>
        <color theme="1"/>
        <rFont val="Times New Roman"/>
        <charset val="134"/>
      </rPr>
      <t xml:space="preserve">1d8 </t>
    </r>
    <r>
      <rPr>
        <sz val="10"/>
        <color theme="1"/>
        <rFont val="宋体"/>
        <charset val="134"/>
      </rPr>
      <t>点的力场伤害，如果目标的体型在巨型或以下，则你还可以令目标陷入倒地状态。</t>
    </r>
    <r>
      <rPr>
        <sz val="10"/>
        <color theme="1"/>
        <rFont val="Times New Roman"/>
        <charset val="134"/>
      </rPr>
      <t xml:space="preserve"> </t>
    </r>
  </si>
  <si>
    <r>
      <rPr>
        <sz val="10"/>
        <color theme="1"/>
        <rFont val="宋体"/>
        <charset val="134"/>
      </rPr>
      <t>力量涌动</t>
    </r>
  </si>
  <si>
    <r>
      <rPr>
        <sz val="10"/>
        <color theme="1"/>
        <rFont val="宋体"/>
        <charset val="134"/>
      </rPr>
      <t>你可以将魔法能量存于体内并于之后增幅你危险异常的法术。
在这一存储模式中，这一能量被称为力量涌动。
你不能储存超过你智力调整值（至少</t>
    </r>
    <r>
      <rPr>
        <sz val="10"/>
        <color theme="1"/>
        <rFont val="Times New Roman"/>
        <charset val="134"/>
      </rPr>
      <t>1</t>
    </r>
    <r>
      <rPr>
        <sz val="10"/>
        <color theme="1"/>
        <rFont val="宋体"/>
        <charset val="134"/>
      </rPr>
      <t>）的力量涌动。
当你完成一次长休息，你的力量涌动数重置为</t>
    </r>
    <r>
      <rPr>
        <sz val="10"/>
        <color theme="1"/>
        <rFont val="Times New Roman"/>
        <charset val="134"/>
      </rPr>
      <t>1</t>
    </r>
    <r>
      <rPr>
        <sz val="10"/>
        <color theme="1"/>
        <rFont val="宋体"/>
        <charset val="134"/>
      </rPr>
      <t>。
当你成功用解除魔法或反制法术终结一个法术时，你获得</t>
    </r>
    <r>
      <rPr>
        <sz val="10"/>
        <color theme="1"/>
        <rFont val="Times New Roman"/>
        <charset val="134"/>
      </rPr>
      <t>1</t>
    </r>
    <r>
      <rPr>
        <sz val="10"/>
        <color theme="1"/>
        <rFont val="宋体"/>
        <charset val="134"/>
      </rPr>
      <t>点力量涌动，因为你从你挫败的法术中窃得魔力。
当你在没有力量涌动次数时完成一次短休息，你获得</t>
    </r>
    <r>
      <rPr>
        <sz val="10"/>
        <color theme="1"/>
        <rFont val="Times New Roman"/>
        <charset val="134"/>
      </rPr>
      <t>1</t>
    </r>
    <r>
      <rPr>
        <sz val="10"/>
        <color theme="1"/>
        <rFont val="宋体"/>
        <charset val="134"/>
      </rPr>
      <t>点力量涌动。
每回合一次，当你用一个法师法术对一生物或物体造成伤害时，你可以消耗</t>
    </r>
    <r>
      <rPr>
        <sz val="10"/>
        <color theme="1"/>
        <rFont val="Times New Roman"/>
        <charset val="134"/>
      </rPr>
      <t>1</t>
    </r>
    <r>
      <rPr>
        <sz val="10"/>
        <color theme="1"/>
        <rFont val="宋体"/>
        <charset val="134"/>
      </rPr>
      <t>点力量涌动来对目标造成额外的力场伤害。
额外伤害值等于你的法师等级的一半。</t>
    </r>
  </si>
  <si>
    <r>
      <rPr>
        <sz val="10"/>
        <color theme="1"/>
        <rFont val="宋体"/>
        <charset val="134"/>
      </rPr>
      <t>奥法火器</t>
    </r>
  </si>
  <si>
    <r>
      <rPr>
        <sz val="10"/>
        <color theme="1"/>
        <rFont val="宋体"/>
        <charset val="134"/>
      </rPr>
      <t>当你完成一次长休时，你可以使用木雕工具在一根权杖、法杖，或魔杖上雕刻特殊的符文，并将其转变为你的奥法火器。印记会在你为不同的物件雕刻消失。否则印记将会持续存在。</t>
    </r>
    <r>
      <rPr>
        <sz val="10"/>
        <color theme="1"/>
        <rFont val="Times New Roman"/>
        <charset val="134"/>
      </rPr>
      <t xml:space="preserve">
</t>
    </r>
    <r>
      <rPr>
        <sz val="10"/>
        <color theme="1"/>
        <rFont val="宋体"/>
        <charset val="134"/>
      </rPr>
      <t>你可以将你的奥法火器作为你施展奇械师法术的施法法器。当你用这把枪械施展奇械师法术时，投掷</t>
    </r>
    <r>
      <rPr>
        <sz val="10"/>
        <color theme="1"/>
        <rFont val="Times New Roman"/>
        <charset val="134"/>
      </rPr>
      <t>1d8</t>
    </r>
    <r>
      <rPr>
        <sz val="10"/>
        <color theme="1"/>
        <rFont val="宋体"/>
        <charset val="134"/>
      </rPr>
      <t>，你在该法术的其中一次伤害掷骰中加入等于骰值的加值。</t>
    </r>
  </si>
  <si>
    <r>
      <rPr>
        <sz val="10"/>
        <color theme="1"/>
        <rFont val="宋体"/>
        <charset val="134"/>
      </rPr>
      <t>传心使法术</t>
    </r>
  </si>
  <si>
    <r>
      <rPr>
        <sz val="10"/>
        <color theme="1"/>
        <rFont val="宋体"/>
        <charset val="134"/>
      </rPr>
      <t>当你到达传心使法术表中特定的灵能使时，你就始终准备着表中对应的法术。</t>
    </r>
    <r>
      <rPr>
        <sz val="10"/>
        <color theme="1"/>
        <rFont val="Times New Roman"/>
        <charset val="134"/>
      </rPr>
      <t xml:space="preserve"> 
</t>
    </r>
    <r>
      <rPr>
        <sz val="10"/>
        <color theme="1"/>
        <rFont val="宋体"/>
        <charset val="134"/>
      </rPr>
      <t>传心使法术</t>
    </r>
    <r>
      <rPr>
        <sz val="10"/>
        <color theme="1"/>
        <rFont val="Times New Roman"/>
        <charset val="134"/>
      </rPr>
      <t xml:space="preserve">Telepath Spells </t>
    </r>
    <r>
      <rPr>
        <sz val="10"/>
        <color theme="1"/>
        <rFont val="宋体"/>
        <charset val="134"/>
      </rPr>
      <t>灵能使等级</t>
    </r>
    <r>
      <rPr>
        <sz val="10"/>
        <color theme="1"/>
        <rFont val="Times New Roman"/>
        <charset val="134"/>
      </rPr>
      <t xml:space="preserve"> 
</t>
    </r>
    <r>
      <rPr>
        <sz val="10"/>
        <color theme="1"/>
        <rFont val="宋体"/>
        <charset val="134"/>
      </rPr>
      <t>灵能使等级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灾祸术</t>
    </r>
    <r>
      <rPr>
        <sz val="10"/>
        <color theme="1"/>
        <rFont val="Times New Roman"/>
        <charset val="134"/>
      </rPr>
      <t xml:space="preserve"> Bane</t>
    </r>
    <r>
      <rPr>
        <sz val="10"/>
        <color theme="1"/>
        <rFont val="宋体"/>
        <charset val="134"/>
      </rPr>
      <t>，命令术</t>
    </r>
    <r>
      <rPr>
        <sz val="10"/>
        <color theme="1"/>
        <rFont val="Times New Roman"/>
        <charset val="134"/>
      </rPr>
      <t xml:space="preserve"> Command
</t>
    </r>
    <r>
      <rPr>
        <sz val="10"/>
        <color theme="1"/>
        <rFont val="宋体"/>
        <charset val="134"/>
      </rPr>
      <t>侦测思想</t>
    </r>
    <r>
      <rPr>
        <sz val="10"/>
        <color theme="1"/>
        <rFont val="Times New Roman"/>
        <charset val="134"/>
      </rPr>
      <t xml:space="preserve"> Detect Thoughts</t>
    </r>
    <r>
      <rPr>
        <sz val="10"/>
        <color theme="1"/>
        <rFont val="宋体"/>
        <charset val="134"/>
      </rPr>
      <t>，心灵尖刺</t>
    </r>
    <r>
      <rPr>
        <sz val="10"/>
        <color theme="1"/>
        <rFont val="Times New Roman"/>
        <charset val="134"/>
      </rPr>
      <t xml:space="preserve">Mind Spike 
5 </t>
    </r>
    <r>
      <rPr>
        <sz val="10"/>
        <color theme="1"/>
        <rFont val="宋体"/>
        <charset val="134"/>
      </rPr>
      <t>法术反制</t>
    </r>
    <r>
      <rPr>
        <sz val="10"/>
        <color theme="1"/>
        <rFont val="Times New Roman"/>
        <charset val="134"/>
      </rPr>
      <t xml:space="preserve">Counterspell, </t>
    </r>
    <r>
      <rPr>
        <sz val="10"/>
        <color theme="1"/>
        <rFont val="宋体"/>
        <charset val="134"/>
      </rPr>
      <t>缓慢术</t>
    </r>
    <r>
      <rPr>
        <sz val="10"/>
        <color theme="1"/>
        <rFont val="Times New Roman"/>
        <charset val="134"/>
      </rPr>
      <t xml:space="preserve">Slow  
7 </t>
    </r>
    <r>
      <rPr>
        <sz val="10"/>
        <color theme="1"/>
        <rFont val="宋体"/>
        <charset val="134"/>
      </rPr>
      <t>强迫术</t>
    </r>
    <r>
      <rPr>
        <sz val="10"/>
        <color theme="1"/>
        <rFont val="Times New Roman"/>
        <charset val="134"/>
      </rPr>
      <t xml:space="preserve"> Compulsion, </t>
    </r>
    <r>
      <rPr>
        <sz val="10"/>
        <color theme="1"/>
        <rFont val="宋体"/>
        <charset val="134"/>
      </rPr>
      <t>困惑术</t>
    </r>
    <r>
      <rPr>
        <sz val="10"/>
        <color theme="1"/>
        <rFont val="Times New Roman"/>
        <charset val="134"/>
      </rPr>
      <t xml:space="preserve"> Confusion 
9 </t>
    </r>
    <r>
      <rPr>
        <sz val="10"/>
        <color theme="1"/>
        <rFont val="宋体"/>
        <charset val="134"/>
      </rPr>
      <t>篡改记忆</t>
    </r>
    <r>
      <rPr>
        <sz val="10"/>
        <color theme="1"/>
        <rFont val="Times New Roman"/>
        <charset val="134"/>
      </rPr>
      <t xml:space="preserve"> Modify Memory,</t>
    </r>
    <r>
      <rPr>
        <sz val="10"/>
        <color theme="1"/>
        <rFont val="宋体"/>
        <charset val="134"/>
      </rPr>
      <t>悠兰德王者威仪</t>
    </r>
    <r>
      <rPr>
        <sz val="10"/>
        <color theme="1"/>
        <rFont val="Times New Roman"/>
        <charset val="134"/>
      </rPr>
      <t xml:space="preserve">Yolande's Regal Presence  </t>
    </r>
  </si>
  <si>
    <r>
      <rPr>
        <sz val="10"/>
        <color theme="1"/>
        <rFont val="宋体"/>
        <charset val="134"/>
      </rPr>
      <t>追猎造诣</t>
    </r>
  </si>
  <si>
    <r>
      <rPr>
        <sz val="10"/>
        <color theme="1"/>
        <rFont val="宋体"/>
        <charset val="134"/>
      </rPr>
      <t>你的速度增加</t>
    </r>
    <r>
      <rPr>
        <sz val="10"/>
        <color theme="1"/>
        <rFont val="Times New Roman"/>
        <charset val="134"/>
      </rPr>
      <t xml:space="preserve"> 10 </t>
    </r>
    <r>
      <rPr>
        <sz val="10"/>
        <color theme="1"/>
        <rFont val="宋体"/>
        <charset val="134"/>
      </rPr>
      <t>尺。你也可以增加</t>
    </r>
    <r>
      <rPr>
        <sz val="10"/>
        <color theme="1"/>
        <rFont val="Times New Roman"/>
        <charset val="134"/>
      </rPr>
      <t xml:space="preserve"> 10 </t>
    </r>
    <r>
      <rPr>
        <sz val="10"/>
        <color theme="1"/>
        <rFont val="宋体"/>
        <charset val="134"/>
      </rPr>
      <t>尺跳远距离及</t>
    </r>
    <r>
      <rPr>
        <sz val="10"/>
        <color theme="1"/>
        <rFont val="Times New Roman"/>
        <charset val="134"/>
      </rPr>
      <t xml:space="preserve"> 3 </t>
    </r>
    <r>
      <rPr>
        <sz val="10"/>
        <color theme="1"/>
        <rFont val="宋体"/>
        <charset val="134"/>
      </rPr>
      <t>尺跳高距离。此外，你的混种形态获得进阶掠食打击特性：
进阶掠食打击</t>
    </r>
    <r>
      <rPr>
        <sz val="10"/>
        <color theme="1"/>
        <rFont val="Times New Roman"/>
        <charset val="134"/>
      </rPr>
      <t xml:space="preserve"> Improved Predatory Strikes</t>
    </r>
    <r>
      <rPr>
        <sz val="10"/>
        <color theme="1"/>
        <rFont val="宋体"/>
        <charset val="134"/>
      </rPr>
      <t>。你以徒手打击进行的攻击检定得到</t>
    </r>
    <r>
      <rPr>
        <sz val="10"/>
        <color theme="1"/>
        <rFont val="Times New Roman"/>
        <charset val="134"/>
      </rPr>
      <t xml:space="preserve">+1 </t>
    </r>
    <r>
      <rPr>
        <sz val="10"/>
        <color theme="1"/>
        <rFont val="宋体"/>
        <charset val="134"/>
      </rPr>
      <t>加值，此加值在第</t>
    </r>
    <r>
      <rPr>
        <sz val="10"/>
        <color theme="1"/>
        <rFont val="Times New Roman"/>
        <charset val="134"/>
      </rPr>
      <t xml:space="preserve"> 11 </t>
    </r>
    <r>
      <rPr>
        <sz val="10"/>
        <color theme="1"/>
        <rFont val="宋体"/>
        <charset val="134"/>
      </rPr>
      <t>级变为</t>
    </r>
    <r>
      <rPr>
        <sz val="10"/>
        <color theme="1"/>
        <rFont val="Times New Roman"/>
        <charset val="134"/>
      </rPr>
      <t>+2</t>
    </r>
    <r>
      <rPr>
        <sz val="10"/>
        <color theme="1"/>
        <rFont val="宋体"/>
        <charset val="134"/>
      </rPr>
      <t>，第</t>
    </r>
    <r>
      <rPr>
        <sz val="10"/>
        <color theme="1"/>
        <rFont val="Times New Roman"/>
        <charset val="134"/>
      </rPr>
      <t xml:space="preserve"> 18 </t>
    </r>
    <r>
      <rPr>
        <sz val="10"/>
        <color theme="1"/>
        <rFont val="宋体"/>
        <charset val="134"/>
      </rPr>
      <t>级变为</t>
    </r>
    <r>
      <rPr>
        <sz val="10"/>
        <color theme="1"/>
        <rFont val="Times New Roman"/>
        <charset val="134"/>
      </rPr>
      <t>+3</t>
    </r>
    <r>
      <rPr>
        <sz val="10"/>
        <color theme="1"/>
        <rFont val="宋体"/>
        <charset val="134"/>
      </rPr>
      <t>。此外，当你处于混种形态的同时有激活的猩红仪式，你的徒手打击将在穿透非魔法武器攻击及伤害的抗性与免疫时，被视为魔法武器。</t>
    </r>
  </si>
  <si>
    <r>
      <rPr>
        <sz val="10"/>
        <color theme="1"/>
        <rFont val="宋体"/>
        <charset val="134"/>
      </rPr>
      <t>手术程序化</t>
    </r>
  </si>
  <si>
    <r>
      <rPr>
        <sz val="10"/>
        <color theme="1"/>
        <rFont val="宋体"/>
        <charset val="134"/>
      </rPr>
      <t>先决：药剂师等级</t>
    </r>
    <r>
      <rPr>
        <sz val="10"/>
        <color theme="1"/>
        <rFont val="Times New Roman"/>
        <charset val="134"/>
      </rPr>
      <t xml:space="preserve">10+ 
</t>
    </r>
    <r>
      <rPr>
        <sz val="10"/>
        <color theme="1"/>
        <rFont val="宋体"/>
        <charset val="134"/>
      </rPr>
      <t>你可以随意施展法术次级复原术</t>
    </r>
    <r>
      <rPr>
        <sz val="10"/>
        <color theme="1"/>
        <rFont val="Times New Roman"/>
        <charset val="134"/>
      </rPr>
      <t>Lesser Restoratio</t>
    </r>
    <r>
      <rPr>
        <sz val="10"/>
        <color theme="1"/>
        <rFont val="宋体"/>
        <charset val="134"/>
      </rPr>
      <t>而无需消耗法术位。</t>
    </r>
  </si>
  <si>
    <t>你法师法术的施法属性是智力。</t>
  </si>
  <si>
    <r>
      <rPr>
        <sz val="10"/>
        <color theme="1"/>
        <rFont val="宋体"/>
        <charset val="134"/>
      </rPr>
      <t>你获得以下两个招引狱力选项：
衰弱术法</t>
    </r>
    <r>
      <rPr>
        <sz val="10"/>
        <color theme="1"/>
        <rFont val="Times New Roman"/>
        <charset val="134"/>
      </rPr>
      <t>Enervating Spell</t>
    </r>
    <r>
      <rPr>
        <sz val="10"/>
        <color theme="1"/>
        <rFont val="宋体"/>
        <charset val="134"/>
      </rPr>
      <t>。当你使用一环及以上邪狱使法术对一名生物造成伤害时，你可以消耗一枚缄印（无需动作）为法术注入虚弱魔法。目标对此法术造成的伤害具有易伤。若目标通常对此法术造成的伤害具有抗性或免疫，则该抗性或免疫面对此法术时将被抑制并以易伤替代。
法剑士</t>
    </r>
    <r>
      <rPr>
        <sz val="10"/>
        <color theme="1"/>
        <rFont val="Times New Roman"/>
        <charset val="134"/>
      </rPr>
      <t>SpellBlade</t>
    </r>
    <r>
      <rPr>
        <sz val="10"/>
        <color theme="1"/>
        <rFont val="宋体"/>
        <charset val="134"/>
      </rPr>
      <t>。你能够以一动作同时发动一次近战武器攻击并施展一道你已知的邪狱使法术，该法术的施法时间必须为一动作。</t>
    </r>
  </si>
  <si>
    <t>稳扎稳打</t>
  </si>
  <si>
    <r>
      <rPr>
        <sz val="10"/>
        <color theme="1"/>
        <rFont val="宋体"/>
        <charset val="134"/>
      </rPr>
      <t>你获得以下增益。
高压锁绞</t>
    </r>
    <r>
      <rPr>
        <sz val="10"/>
        <color theme="1"/>
        <rFont val="Times New Roman"/>
        <charset val="134"/>
      </rPr>
      <t>Compression Lock</t>
    </r>
    <r>
      <rPr>
        <sz val="10"/>
        <color theme="1"/>
        <rFont val="宋体"/>
        <charset val="134"/>
      </rPr>
      <t>。当你令一名或更多生物陷入受擒下开始你的回合时，你能对你擒抱的每名生物造成钝击伤害（无需动作）。伤害值等于掷一次你的拳斗士骰加你的力量调整值。
无处可逃</t>
    </r>
    <r>
      <rPr>
        <sz val="10"/>
        <color theme="1"/>
        <rFont val="Times New Roman"/>
        <charset val="134"/>
      </rPr>
      <t>Inescapable</t>
    </r>
    <r>
      <rPr>
        <sz val="10"/>
        <color theme="1"/>
        <rFont val="宋体"/>
        <charset val="134"/>
      </rPr>
      <t>。当一名生物对抗你的擒抱或推撞</t>
    </r>
    <r>
      <rPr>
        <sz val="10"/>
        <color theme="1"/>
        <rFont val="Times New Roman"/>
        <charset val="134"/>
      </rPr>
      <t>DC</t>
    </r>
    <r>
      <rPr>
        <sz val="10"/>
        <color theme="1"/>
        <rFont val="宋体"/>
        <charset val="134"/>
      </rPr>
      <t>进行豁免或属性检定时，你能消耗</t>
    </r>
    <r>
      <rPr>
        <sz val="10"/>
        <color theme="1"/>
        <rFont val="Times New Roman"/>
        <charset val="134"/>
      </rPr>
      <t>1</t>
    </r>
    <r>
      <rPr>
        <sz val="10"/>
        <color theme="1"/>
        <rFont val="宋体"/>
        <charset val="134"/>
      </rPr>
      <t>点锐气令其检定具有劣势。
止步而倒</t>
    </r>
    <r>
      <rPr>
        <sz val="10"/>
        <color theme="1"/>
        <rFont val="Times New Roman"/>
        <charset val="134"/>
      </rPr>
      <t>Stop and Drop</t>
    </r>
    <r>
      <rPr>
        <sz val="10"/>
        <color theme="1"/>
        <rFont val="宋体"/>
        <charset val="134"/>
      </rPr>
      <t>。当你以徒手打击命中一名生物，并且没有在攻击中使用精通词条</t>
    </r>
    <r>
      <rPr>
        <sz val="10"/>
        <color theme="1"/>
        <rFont val="Times New Roman"/>
        <charset val="134"/>
      </rPr>
      <t>*</t>
    </r>
    <r>
      <rPr>
        <sz val="10"/>
        <color theme="1"/>
        <rFont val="宋体"/>
        <charset val="134"/>
      </rPr>
      <t>时。你能同时使用擒抱和推撞选项。
译注：拳斗士测试版中有部分武器的攻击可以视为徒手打击，但是在正式版中取消了这一设定，因此正常情况下你的徒手打击无论如何都不可能有精通词条用。</t>
    </r>
  </si>
  <si>
    <t>审判领域</t>
  </si>
  <si>
    <r>
      <rPr>
        <sz val="10"/>
        <color theme="1"/>
        <rFont val="宋体"/>
        <charset val="134"/>
      </rPr>
      <t>风暴之魂</t>
    </r>
  </si>
  <si>
    <r>
      <rPr>
        <sz val="10"/>
        <color theme="1"/>
        <rFont val="宋体"/>
        <charset val="134"/>
      </rPr>
      <t>不论你是否散发着灵光，风暴都能为你带来增益。这一增益效果基于你在</t>
    </r>
    <r>
      <rPr>
        <sz val="10"/>
        <color theme="1"/>
        <rFont val="Times New Roman"/>
        <charset val="134"/>
      </rPr>
      <t xml:space="preserve"> </t>
    </r>
    <r>
      <rPr>
        <sz val="10"/>
        <color theme="1"/>
        <rFont val="宋体"/>
        <charset val="134"/>
      </rPr>
      <t>风暴灵光</t>
    </r>
    <r>
      <rPr>
        <sz val="10"/>
        <color theme="1"/>
        <rFont val="Times New Roman"/>
        <charset val="134"/>
      </rPr>
      <t xml:space="preserve">Storm Aura </t>
    </r>
    <r>
      <rPr>
        <sz val="10"/>
        <color theme="1"/>
        <rFont val="宋体"/>
        <charset val="134"/>
      </rPr>
      <t xml:space="preserve">特性中所选择的环境类型。
</t>
    </r>
    <r>
      <rPr>
        <sz val="10"/>
        <color theme="1"/>
        <rFont val="Times New Roman"/>
        <charset val="134"/>
      </rPr>
      <t xml:space="preserve">• </t>
    </r>
    <r>
      <rPr>
        <sz val="10"/>
        <color theme="1"/>
        <rFont val="宋体"/>
        <charset val="134"/>
      </rPr>
      <t>荒漠</t>
    </r>
    <r>
      <rPr>
        <sz val="10"/>
        <color theme="1"/>
        <rFont val="Times New Roman"/>
        <charset val="134"/>
      </rPr>
      <t>Desert</t>
    </r>
    <r>
      <rPr>
        <sz val="10"/>
        <color theme="1"/>
        <rFont val="宋体"/>
        <charset val="134"/>
      </rPr>
      <t>。你获得火焰伤害的抗性，且不会受到</t>
    </r>
    <r>
      <rPr>
        <sz val="10"/>
        <color theme="1"/>
        <rFont val="Times New Roman"/>
        <charset val="134"/>
      </rPr>
      <t xml:space="preserve"> </t>
    </r>
    <r>
      <rPr>
        <sz val="10"/>
        <color theme="1"/>
        <rFont val="宋体"/>
        <charset val="134"/>
      </rPr>
      <t>炎热</t>
    </r>
    <r>
      <rPr>
        <sz val="10"/>
        <color theme="1"/>
        <rFont val="Times New Roman"/>
        <charset val="134"/>
      </rPr>
      <t xml:space="preserve">Extreme Heat </t>
    </r>
    <r>
      <rPr>
        <sz val="10"/>
        <color theme="1"/>
        <rFont val="宋体"/>
        <charset val="134"/>
      </rPr>
      <t xml:space="preserve">的效应影响（其记载于《城主手册》中）。此外，你可以以一个动作，触碰一个未被他人穿戴或携带的易燃物体来点燃它。
</t>
    </r>
    <r>
      <rPr>
        <sz val="10"/>
        <color theme="1"/>
        <rFont val="Times New Roman"/>
        <charset val="134"/>
      </rPr>
      <t xml:space="preserve">• </t>
    </r>
    <r>
      <rPr>
        <sz val="10"/>
        <color theme="1"/>
        <rFont val="宋体"/>
        <charset val="134"/>
      </rPr>
      <t>海洋</t>
    </r>
    <r>
      <rPr>
        <sz val="10"/>
        <color theme="1"/>
        <rFont val="Times New Roman"/>
        <charset val="134"/>
      </rPr>
      <t>Sea</t>
    </r>
    <r>
      <rPr>
        <sz val="10"/>
        <color theme="1"/>
        <rFont val="宋体"/>
        <charset val="134"/>
      </rPr>
      <t>。你获得闪电伤害的抗性，与在水下呼吸的能力。你还将获得</t>
    </r>
    <r>
      <rPr>
        <sz val="10"/>
        <color theme="1"/>
        <rFont val="Times New Roman"/>
        <charset val="134"/>
      </rPr>
      <t>30</t>
    </r>
    <r>
      <rPr>
        <sz val="10"/>
        <color theme="1"/>
        <rFont val="宋体"/>
        <charset val="134"/>
      </rPr>
      <t xml:space="preserve">尺的游泳速度。
</t>
    </r>
    <r>
      <rPr>
        <sz val="10"/>
        <color theme="1"/>
        <rFont val="Times New Roman"/>
        <charset val="134"/>
      </rPr>
      <t xml:space="preserve">• </t>
    </r>
    <r>
      <rPr>
        <sz val="10"/>
        <color theme="1"/>
        <rFont val="宋体"/>
        <charset val="134"/>
      </rPr>
      <t>冻原</t>
    </r>
    <r>
      <rPr>
        <sz val="10"/>
        <color theme="1"/>
        <rFont val="Times New Roman"/>
        <charset val="134"/>
      </rPr>
      <t>Tundra</t>
    </r>
    <r>
      <rPr>
        <sz val="10"/>
        <color theme="1"/>
        <rFont val="宋体"/>
        <charset val="134"/>
      </rPr>
      <t>。你获得冷冻伤害的抗性，且不会受到</t>
    </r>
    <r>
      <rPr>
        <sz val="10"/>
        <color theme="1"/>
        <rFont val="Times New Roman"/>
        <charset val="134"/>
      </rPr>
      <t xml:space="preserve"> </t>
    </r>
    <r>
      <rPr>
        <sz val="10"/>
        <color theme="1"/>
        <rFont val="宋体"/>
        <charset val="134"/>
      </rPr>
      <t>严寒</t>
    </r>
    <r>
      <rPr>
        <sz val="10"/>
        <color theme="1"/>
        <rFont val="Times New Roman"/>
        <charset val="134"/>
      </rPr>
      <t xml:space="preserve">Extreme Cold </t>
    </r>
    <r>
      <rPr>
        <sz val="10"/>
        <color theme="1"/>
        <rFont val="宋体"/>
        <charset val="134"/>
      </rPr>
      <t>的效应影响（其记载于《城主手册》中）。此外，你可以以一个动作，触碰水体并将</t>
    </r>
    <r>
      <rPr>
        <sz val="10"/>
        <color theme="1"/>
        <rFont val="Times New Roman"/>
        <charset val="134"/>
      </rPr>
      <t>5</t>
    </r>
    <r>
      <rPr>
        <sz val="10"/>
        <color theme="1"/>
        <rFont val="宋体"/>
        <charset val="134"/>
      </rPr>
      <t>尺立方的水冻结成冰，这种冰将会在</t>
    </r>
    <r>
      <rPr>
        <sz val="10"/>
        <color theme="1"/>
        <rFont val="Times New Roman"/>
        <charset val="134"/>
      </rPr>
      <t>1</t>
    </r>
    <r>
      <rPr>
        <sz val="10"/>
        <color theme="1"/>
        <rFont val="宋体"/>
        <charset val="134"/>
      </rPr>
      <t>分钟后融化。如果该立方空间中有任何生物，这一动作将会失败。</t>
    </r>
  </si>
  <si>
    <r>
      <rPr>
        <sz val="10"/>
        <color theme="1"/>
        <rFont val="宋体"/>
        <charset val="134"/>
      </rPr>
      <t>潜能微尘</t>
    </r>
  </si>
  <si>
    <r>
      <rPr>
        <sz val="10"/>
        <color theme="1"/>
        <rFont val="宋体"/>
        <charset val="134"/>
      </rPr>
      <t xml:space="preserve">每当你给予一个生物诗人激励骰时，你可以唱出造物之歌的一个音符，创造一团微小的潜能微尘，在那个生物五尺以内的轨道上环绕。这个微尘是无形且不可被摧毁的，它将在这个诗人激励骰被消耗掉前一直存在。这团微尘看起来像一个音符，或是一颗星星，一朵花，抑或其他任何一种艺术或者生命的符号，这将由你来决定。
当这个生物使用那个诗人激励骰时，这团微尘将会根据这个诗人激励骰被使用的方式即用于属性检定、攻击检定还是豁免检定产生不同的额外效果。具体细节如下所示：
</t>
    </r>
    <r>
      <rPr>
        <sz val="10"/>
        <color theme="1"/>
        <rFont val="Times New Roman"/>
        <charset val="134"/>
      </rPr>
      <t xml:space="preserve">• </t>
    </r>
    <r>
      <rPr>
        <sz val="10"/>
        <color theme="1"/>
        <rFont val="宋体"/>
        <charset val="134"/>
      </rPr>
      <t xml:space="preserve">属性检定：当该生物将诗人激励骰用于增益属性检定时，他可以重新掷一次诗人激励骰并且选择使用其中一个掷骰结果，这团微尘会炸开，发射出多彩而无害的闪光。
</t>
    </r>
    <r>
      <rPr>
        <sz val="10"/>
        <color theme="1"/>
        <rFont val="Times New Roman"/>
        <charset val="134"/>
      </rPr>
      <t xml:space="preserve">• </t>
    </r>
    <r>
      <rPr>
        <sz val="10"/>
        <color theme="1"/>
        <rFont val="宋体"/>
        <charset val="134"/>
      </rPr>
      <t>攻击检定：当该生物将诗人激励骰用于增益攻击检定时，掷出诗人激励骰后，这团微尘会立刻如雷霆般破碎，该生物这次攻击的目标以及其</t>
    </r>
    <r>
      <rPr>
        <sz val="10"/>
        <color theme="1"/>
        <rFont val="Times New Roman"/>
        <charset val="134"/>
      </rPr>
      <t>5</t>
    </r>
    <r>
      <rPr>
        <sz val="10"/>
        <color theme="1"/>
        <rFont val="宋体"/>
        <charset val="134"/>
      </rPr>
      <t>尺距离内你能看到的由你决定的所有生物必须进行一次体质豁免，其</t>
    </r>
    <r>
      <rPr>
        <sz val="10"/>
        <color theme="1"/>
        <rFont val="Times New Roman"/>
        <charset val="134"/>
      </rPr>
      <t>DC</t>
    </r>
    <r>
      <rPr>
        <sz val="10"/>
        <color theme="1"/>
        <rFont val="宋体"/>
        <charset val="134"/>
      </rPr>
      <t>为你的施法</t>
    </r>
    <r>
      <rPr>
        <sz val="10"/>
        <color theme="1"/>
        <rFont val="Times New Roman"/>
        <charset val="134"/>
      </rPr>
      <t>DC</t>
    </r>
    <r>
      <rPr>
        <sz val="10"/>
        <color theme="1"/>
        <rFont val="宋体"/>
        <charset val="134"/>
      </rPr>
      <t xml:space="preserve">，如果豁免失败，将会承受等同于该诗人激励骰子所掷结果的雷鸣伤害。
</t>
    </r>
    <r>
      <rPr>
        <sz val="10"/>
        <color theme="1"/>
        <rFont val="Times New Roman"/>
        <charset val="134"/>
      </rPr>
      <t xml:space="preserve">• </t>
    </r>
    <r>
      <rPr>
        <sz val="10"/>
        <color theme="1"/>
        <rFont val="宋体"/>
        <charset val="134"/>
      </rPr>
      <t>豁免检定：当该生物将诗人激励骰用于增益豁免检定时，掷出诗人激励骰后，这团微尘会立刻伴随着一段舒缓的音乐消失不见，给予这个生物等同于该诗人激励骰子所掷结果加上你的魅力调整值的临时生命值（最低为</t>
    </r>
    <r>
      <rPr>
        <sz val="10"/>
        <color theme="1"/>
        <rFont val="Times New Roman"/>
        <charset val="134"/>
      </rPr>
      <t>1</t>
    </r>
    <r>
      <rPr>
        <sz val="10"/>
        <color theme="1"/>
        <rFont val="宋体"/>
        <charset val="134"/>
      </rPr>
      <t>）。</t>
    </r>
  </si>
  <si>
    <r>
      <rPr>
        <sz val="10"/>
        <color theme="1"/>
        <rFont val="宋体"/>
        <charset val="134"/>
      </rPr>
      <t>锻造之魂</t>
    </r>
  </si>
  <si>
    <r>
      <rPr>
        <sz val="10"/>
        <color theme="1"/>
        <rFont val="宋体"/>
        <charset val="134"/>
      </rPr>
      <t xml:space="preserve">你对锻造的精通为你带来特殊的能力：
</t>
    </r>
    <r>
      <rPr>
        <sz val="10"/>
        <color theme="1"/>
        <rFont val="Times New Roman"/>
        <charset val="134"/>
      </rPr>
      <t xml:space="preserve">• </t>
    </r>
    <r>
      <rPr>
        <sz val="10"/>
        <color theme="1"/>
        <rFont val="宋体"/>
        <charset val="134"/>
      </rPr>
      <t xml:space="preserve">你获得火焰伤害的抗性。
</t>
    </r>
    <r>
      <rPr>
        <sz val="10"/>
        <color theme="1"/>
        <rFont val="Times New Roman"/>
        <charset val="134"/>
      </rPr>
      <t xml:space="preserve">• </t>
    </r>
    <r>
      <rPr>
        <sz val="10"/>
        <color theme="1"/>
        <rFont val="宋体"/>
        <charset val="134"/>
      </rPr>
      <t>穿着重甲期间，你的</t>
    </r>
    <r>
      <rPr>
        <sz val="10"/>
        <color theme="1"/>
        <rFont val="Times New Roman"/>
        <charset val="134"/>
      </rPr>
      <t>ac</t>
    </r>
    <r>
      <rPr>
        <sz val="10"/>
        <color theme="1"/>
        <rFont val="宋体"/>
        <charset val="134"/>
      </rPr>
      <t>获得</t>
    </r>
    <r>
      <rPr>
        <sz val="10"/>
        <color theme="1"/>
        <rFont val="Times New Roman"/>
        <charset val="134"/>
      </rPr>
      <t>+1</t>
    </r>
    <r>
      <rPr>
        <sz val="10"/>
        <color theme="1"/>
        <rFont val="宋体"/>
        <charset val="134"/>
      </rPr>
      <t>加值。</t>
    </r>
  </si>
  <si>
    <r>
      <rPr>
        <sz val="10"/>
        <color theme="1"/>
        <rFont val="宋体"/>
        <charset val="134"/>
      </rPr>
      <t>仲夏庭院的芬馥</t>
    </r>
  </si>
  <si>
    <r>
      <rPr>
        <sz val="10"/>
        <color theme="1"/>
        <rFont val="宋体"/>
        <charset val="134"/>
      </rPr>
      <t>你将被灌注来自仲夏庭院的祝福，由此成为缓解旅者乏顿和伤者痛苦的圣洗池。
你得到等同于德鲁伊等级每</t>
    </r>
    <r>
      <rPr>
        <sz val="10"/>
        <color theme="1"/>
        <rFont val="Times New Roman"/>
        <charset val="134"/>
      </rPr>
      <t>d6</t>
    </r>
    <r>
      <rPr>
        <sz val="10"/>
        <color theme="1"/>
        <rFont val="宋体"/>
        <charset val="134"/>
      </rPr>
      <t>作为代表的妖精能量池。
以一个附赠动作，你可以选择一名在你</t>
    </r>
    <r>
      <rPr>
        <sz val="10"/>
        <color theme="1"/>
        <rFont val="Times New Roman"/>
        <charset val="134"/>
      </rPr>
      <t>120</t>
    </r>
    <r>
      <rPr>
        <sz val="10"/>
        <color theme="1"/>
        <rFont val="宋体"/>
        <charset val="134"/>
      </rPr>
      <t>尺内的可见盟友，并且花费最多等于你德鲁伊等级一半的</t>
    </r>
    <r>
      <rPr>
        <sz val="10"/>
        <color theme="1"/>
        <rFont val="Times New Roman"/>
        <charset val="134"/>
      </rPr>
      <t>d6</t>
    </r>
    <r>
      <rPr>
        <sz val="10"/>
        <color theme="1"/>
        <rFont val="宋体"/>
        <charset val="134"/>
      </rPr>
      <t>骰。
投掷那些骰子并把结果加在一起。目标恢复等于那个总值的生命值。
目标同时也得到等同于花费骰子数目的临时生命值。
在你结束一次长休之后，你恢复所有花费掉的骰子。</t>
    </r>
  </si>
  <si>
    <r>
      <rPr>
        <sz val="10"/>
        <color theme="1"/>
        <rFont val="宋体"/>
        <charset val="134"/>
      </rPr>
      <t>额外战斗风格</t>
    </r>
  </si>
  <si>
    <r>
      <rPr>
        <sz val="10"/>
        <color theme="1"/>
        <rFont val="宋体"/>
        <charset val="134"/>
      </rPr>
      <t>你获得另一个自选的战斗风格专长。</t>
    </r>
  </si>
  <si>
    <r>
      <rPr>
        <sz val="10"/>
        <color theme="1"/>
        <rFont val="宋体"/>
        <charset val="134"/>
      </rPr>
      <t>微醺摇摆</t>
    </r>
  </si>
  <si>
    <r>
      <rPr>
        <sz val="10"/>
        <color theme="1"/>
        <rFont val="宋体"/>
        <charset val="134"/>
      </rPr>
      <t>你可以突然地以摇摆的方式作出移动。
你将获得以下好处：
鲤鱼打挺：当你倒地时，你可以花费</t>
    </r>
    <r>
      <rPr>
        <sz val="10"/>
        <color theme="1"/>
        <rFont val="Times New Roman"/>
        <charset val="134"/>
      </rPr>
      <t>5</t>
    </r>
    <r>
      <rPr>
        <sz val="10"/>
        <color theme="1"/>
        <rFont val="宋体"/>
        <charset val="134"/>
      </rPr>
      <t>尺移动力起身而不是一半的移动力。
借力打力：当一个生物对你的一次近战攻击失手时，你可以花费</t>
    </r>
    <r>
      <rPr>
        <sz val="10"/>
        <color theme="1"/>
        <rFont val="Times New Roman"/>
        <charset val="134"/>
      </rPr>
      <t>1</t>
    </r>
    <r>
      <rPr>
        <sz val="10"/>
        <color theme="1"/>
        <rFont val="宋体"/>
        <charset val="134"/>
      </rPr>
      <t>点气作此反应，让这次攻击击中在你周围</t>
    </r>
    <r>
      <rPr>
        <sz val="10"/>
        <color theme="1"/>
        <rFont val="Times New Roman"/>
        <charset val="134"/>
      </rPr>
      <t>5</t>
    </r>
    <r>
      <rPr>
        <sz val="10"/>
        <color theme="1"/>
        <rFont val="宋体"/>
        <charset val="134"/>
      </rPr>
      <t>尺范围内由你选择的一名可见生物，但不能是攻击者。</t>
    </r>
  </si>
  <si>
    <r>
      <rPr>
        <sz val="10"/>
        <color theme="1"/>
        <rFont val="宋体"/>
        <charset val="134"/>
      </rPr>
      <t>复仇天使</t>
    </r>
  </si>
  <si>
    <r>
      <rPr>
        <sz val="10"/>
        <color theme="1"/>
        <rFont val="宋体"/>
        <charset val="134"/>
      </rPr>
      <t>以一个附赠动作，你可获得下列的增益。持续</t>
    </r>
    <r>
      <rPr>
        <sz val="10"/>
        <color theme="1"/>
        <rFont val="Times New Roman"/>
        <charset val="134"/>
      </rPr>
      <t>10</t>
    </r>
    <r>
      <rPr>
        <sz val="10"/>
        <color theme="1"/>
        <rFont val="宋体"/>
        <charset val="134"/>
      </rPr>
      <t>分钟或直到你将之提前结束（无需动作）。此特性一经使用，直至完成长休你都无法再次使用。你也可以消耗一个五环法术位（无需动作）重置该特性的使用权。
飞行</t>
    </r>
    <r>
      <rPr>
        <sz val="10"/>
        <color theme="1"/>
        <rFont val="Times New Roman"/>
        <charset val="134"/>
      </rPr>
      <t xml:space="preserve"> Flight</t>
    </r>
    <r>
      <rPr>
        <sz val="10"/>
        <color theme="1"/>
        <rFont val="宋体"/>
        <charset val="134"/>
      </rPr>
      <t>。你的背后生出灵体双翼，获得</t>
    </r>
    <r>
      <rPr>
        <sz val="10"/>
        <color theme="1"/>
        <rFont val="Times New Roman"/>
        <charset val="134"/>
      </rPr>
      <t>60</t>
    </r>
    <r>
      <rPr>
        <sz val="10"/>
        <color theme="1"/>
        <rFont val="宋体"/>
        <charset val="134"/>
      </rPr>
      <t>尺的飞行速度，并且可以悬浮。
恐惧灵光</t>
    </r>
    <r>
      <rPr>
        <sz val="10"/>
        <color theme="1"/>
        <rFont val="Times New Roman"/>
        <charset val="134"/>
      </rPr>
      <t xml:space="preserve"> Frightful Aura</t>
    </r>
    <r>
      <rPr>
        <sz val="10"/>
        <color theme="1"/>
        <rFont val="宋体"/>
        <charset val="134"/>
      </rPr>
      <t>。每个在灵光范围内开始其回合的敌人，必须成功通过一个感知豁免，否则将陷入恐慌状态</t>
    </r>
    <r>
      <rPr>
        <sz val="10"/>
        <color theme="1"/>
        <rFont val="Times New Roman"/>
        <charset val="134"/>
      </rPr>
      <t>1</t>
    </r>
    <r>
      <rPr>
        <sz val="10"/>
        <color theme="1"/>
        <rFont val="宋体"/>
        <charset val="134"/>
      </rPr>
      <t>分钟，或直到其受到伤害。此外，对被恐慌生物发动的攻击检定具有优势。</t>
    </r>
  </si>
  <si>
    <r>
      <rPr>
        <sz val="10"/>
        <color theme="1"/>
        <rFont val="宋体"/>
        <charset val="134"/>
      </rPr>
      <t>边界行者魔法</t>
    </r>
  </si>
  <si>
    <r>
      <rPr>
        <sz val="10"/>
        <color theme="1"/>
        <rFont val="宋体"/>
        <charset val="134"/>
      </rPr>
      <t>你学会一个额外法术当你到达指定游侠等级时，如边界行者法术列表所示。
这些法术对你视为游侠法术，它不计入你的已知法术总数中。
游侠等级</t>
    </r>
    <r>
      <rPr>
        <sz val="10"/>
        <color theme="1"/>
        <rFont val="Times New Roman"/>
        <charset val="134"/>
      </rPr>
      <t>——</t>
    </r>
    <r>
      <rPr>
        <sz val="10"/>
        <color theme="1"/>
        <rFont val="宋体"/>
        <charset val="134"/>
      </rPr>
      <t xml:space="preserve">法术
</t>
    </r>
    <r>
      <rPr>
        <sz val="10"/>
        <color theme="1"/>
        <rFont val="Times New Roman"/>
        <charset val="134"/>
      </rPr>
      <t>3</t>
    </r>
    <r>
      <rPr>
        <sz val="10"/>
        <color theme="1"/>
        <rFont val="宋体"/>
        <charset val="134"/>
      </rPr>
      <t>级</t>
    </r>
    <r>
      <rPr>
        <sz val="10"/>
        <color theme="1"/>
        <rFont val="Times New Roman"/>
        <charset val="134"/>
      </rPr>
      <t>——</t>
    </r>
    <r>
      <rPr>
        <sz val="10"/>
        <color theme="1"/>
        <rFont val="宋体"/>
        <charset val="134"/>
      </rPr>
      <t xml:space="preserve">防护善恶
</t>
    </r>
    <r>
      <rPr>
        <sz val="10"/>
        <color theme="1"/>
        <rFont val="Times New Roman"/>
        <charset val="134"/>
      </rPr>
      <t>5</t>
    </r>
    <r>
      <rPr>
        <sz val="10"/>
        <color theme="1"/>
        <rFont val="宋体"/>
        <charset val="134"/>
      </rPr>
      <t>级</t>
    </r>
    <r>
      <rPr>
        <sz val="10"/>
        <color theme="1"/>
        <rFont val="Times New Roman"/>
        <charset val="134"/>
      </rPr>
      <t>——</t>
    </r>
    <r>
      <rPr>
        <sz val="10"/>
        <color theme="1"/>
        <rFont val="宋体"/>
        <charset val="134"/>
      </rPr>
      <t xml:space="preserve">迷踪步
</t>
    </r>
    <r>
      <rPr>
        <sz val="10"/>
        <color theme="1"/>
        <rFont val="Times New Roman"/>
        <charset val="134"/>
      </rPr>
      <t>9</t>
    </r>
    <r>
      <rPr>
        <sz val="10"/>
        <color theme="1"/>
        <rFont val="宋体"/>
        <charset val="134"/>
      </rPr>
      <t>级</t>
    </r>
    <r>
      <rPr>
        <sz val="10"/>
        <color theme="1"/>
        <rFont val="Times New Roman"/>
        <charset val="134"/>
      </rPr>
      <t>——</t>
    </r>
    <r>
      <rPr>
        <sz val="10"/>
        <color theme="1"/>
        <rFont val="宋体"/>
        <charset val="134"/>
      </rPr>
      <t xml:space="preserve">加速术
</t>
    </r>
    <r>
      <rPr>
        <sz val="10"/>
        <color theme="1"/>
        <rFont val="Times New Roman"/>
        <charset val="134"/>
      </rPr>
      <t>13</t>
    </r>
    <r>
      <rPr>
        <sz val="10"/>
        <color theme="1"/>
        <rFont val="宋体"/>
        <charset val="134"/>
      </rPr>
      <t>级</t>
    </r>
    <r>
      <rPr>
        <sz val="10"/>
        <color theme="1"/>
        <rFont val="Times New Roman"/>
        <charset val="134"/>
      </rPr>
      <t>——</t>
    </r>
    <r>
      <rPr>
        <sz val="10"/>
        <color theme="1"/>
        <rFont val="宋体"/>
        <charset val="134"/>
      </rPr>
      <t xml:space="preserve">放逐术
</t>
    </r>
    <r>
      <rPr>
        <sz val="10"/>
        <color theme="1"/>
        <rFont val="Times New Roman"/>
        <charset val="134"/>
      </rPr>
      <t>17</t>
    </r>
    <r>
      <rPr>
        <sz val="10"/>
        <color theme="1"/>
        <rFont val="宋体"/>
        <charset val="134"/>
      </rPr>
      <t>级</t>
    </r>
    <r>
      <rPr>
        <sz val="10"/>
        <color theme="1"/>
        <rFont val="Times New Roman"/>
        <charset val="134"/>
      </rPr>
      <t xml:space="preserve"> ——</t>
    </r>
    <r>
      <rPr>
        <sz val="10"/>
        <color theme="1"/>
        <rFont val="宋体"/>
        <charset val="134"/>
      </rPr>
      <t>传送法阵</t>
    </r>
  </si>
  <si>
    <r>
      <rPr>
        <sz val="10"/>
        <color theme="1"/>
        <rFont val="宋体"/>
        <charset val="134"/>
      </rPr>
      <t>窃盗本能</t>
    </r>
  </si>
  <si>
    <r>
      <rPr>
        <sz val="10"/>
        <color theme="1"/>
        <rFont val="宋体"/>
        <charset val="134"/>
      </rPr>
      <t>你变的更加擅长伏击和快速脱离险境。每次战斗的第一轮里，你可以行动两个回合。你先以自己正常的先攻执行你的第一个回合的行动，再以先攻数值减</t>
    </r>
    <r>
      <rPr>
        <sz val="10"/>
        <color theme="1"/>
        <rFont val="Times New Roman"/>
        <charset val="134"/>
      </rPr>
      <t>10</t>
    </r>
    <r>
      <rPr>
        <sz val="10"/>
        <color theme="1"/>
        <rFont val="宋体"/>
        <charset val="134"/>
      </rPr>
      <t>的先攻执行你的第二个回合的行动。</t>
    </r>
  </si>
  <si>
    <r>
      <rPr>
        <sz val="10"/>
        <color theme="1"/>
        <rFont val="宋体"/>
        <charset val="134"/>
      </rPr>
      <t>混乱之潮</t>
    </r>
  </si>
  <si>
    <r>
      <rPr>
        <sz val="10"/>
        <color theme="1"/>
        <rFont val="宋体"/>
        <charset val="134"/>
      </rPr>
      <t>你可以驾驭机运的力量，以使一次</t>
    </r>
    <r>
      <rPr>
        <sz val="10"/>
        <color theme="1"/>
        <rFont val="Times New Roman"/>
        <charset val="134"/>
      </rPr>
      <t>D20</t>
    </r>
    <r>
      <rPr>
        <sz val="10"/>
        <color theme="1"/>
        <rFont val="宋体"/>
        <charset val="134"/>
      </rPr>
      <t>检定具有优势。你必须在掷出</t>
    </r>
    <r>
      <rPr>
        <sz val="10"/>
        <color theme="1"/>
        <rFont val="Times New Roman"/>
        <charset val="134"/>
      </rPr>
      <t>d20</t>
    </r>
    <r>
      <rPr>
        <sz val="10"/>
        <color theme="1"/>
        <rFont val="宋体"/>
        <charset val="134"/>
      </rPr>
      <t>之前决定是否使用此特性。此特性一经使用，直到你使用法术位施放一道术士法术、或完成一次长休后才能再次使用。
如果你在完成一次长休前使用法术位施放了一道术士法术，则你自动于狂野魔法浪涌表上掷骰。</t>
    </r>
  </si>
  <si>
    <r>
      <rPr>
        <sz val="10"/>
        <color theme="1"/>
        <rFont val="宋体"/>
        <charset val="134"/>
      </rPr>
      <t>以一个附赠动作，你周身环绕起外观如同纷飞蚊蝇般的魔法灵光。灵光以你为中心向四周散发</t>
    </r>
    <r>
      <rPr>
        <sz val="10"/>
        <color theme="1"/>
        <rFont val="Times New Roman"/>
        <charset val="134"/>
      </rPr>
      <t>5</t>
    </r>
    <r>
      <rPr>
        <sz val="10"/>
        <color theme="1"/>
        <rFont val="宋体"/>
        <charset val="134"/>
      </rPr>
      <t>尺距离，其无法穿透全掩护。灵光会一直持续到你陷入</t>
    </r>
    <r>
      <rPr>
        <sz val="10"/>
        <color theme="1"/>
        <rFont val="Times New Roman"/>
        <charset val="134"/>
      </rPr>
      <t xml:space="preserve"> </t>
    </r>
    <r>
      <rPr>
        <sz val="10"/>
        <color theme="1"/>
        <rFont val="宋体"/>
        <charset val="134"/>
      </rPr>
      <t>失能</t>
    </r>
    <r>
      <rPr>
        <sz val="10"/>
        <color theme="1"/>
        <rFont val="Times New Roman"/>
        <charset val="134"/>
      </rPr>
      <t xml:space="preserve">Incapacitated </t>
    </r>
    <r>
      <rPr>
        <sz val="10"/>
        <color theme="1"/>
        <rFont val="宋体"/>
        <charset val="134"/>
      </rPr>
      <t>、或以一个附赠动作主动解消它为止。
这一灵光会使你在魅力（威吓）检定具有优势，但你进行的其他任何魅力检定都将具有劣势。任何在灵光内开始其回合的生物，会受到等同于你魅力调整值点的毒素伤害（最低</t>
    </r>
    <r>
      <rPr>
        <sz val="10"/>
        <color theme="1"/>
        <rFont val="Times New Roman"/>
        <charset val="134"/>
      </rPr>
      <t>0</t>
    </r>
    <r>
      <rPr>
        <sz val="10"/>
        <color theme="1"/>
        <rFont val="宋体"/>
        <charset val="134"/>
      </rPr>
      <t>点伤害）。
使用本祈唤后，直到你完成一次短休或长休前，你都无法再次使用它。
先决条件：第</t>
    </r>
    <r>
      <rPr>
        <sz val="10"/>
        <color theme="1"/>
        <rFont val="Times New Roman"/>
        <charset val="134"/>
      </rPr>
      <t>5</t>
    </r>
    <r>
      <rPr>
        <sz val="10"/>
        <color theme="1"/>
        <rFont val="宋体"/>
        <charset val="134"/>
      </rPr>
      <t>级</t>
    </r>
  </si>
  <si>
    <r>
      <rPr>
        <sz val="10"/>
        <color theme="1"/>
        <rFont val="宋体"/>
        <charset val="134"/>
      </rPr>
      <t>耐久魔法</t>
    </r>
  </si>
  <si>
    <r>
      <rPr>
        <sz val="10"/>
        <color theme="1"/>
        <rFont val="宋体"/>
        <charset val="134"/>
      </rPr>
      <t>你引导的魔法也能阻绝伤害。
当你于一个法术上维持专注时，你在</t>
    </r>
    <r>
      <rPr>
        <sz val="10"/>
        <color theme="1"/>
        <rFont val="Times New Roman"/>
        <charset val="134"/>
      </rPr>
      <t>AC</t>
    </r>
    <r>
      <rPr>
        <sz val="10"/>
        <color theme="1"/>
        <rFont val="宋体"/>
        <charset val="134"/>
      </rPr>
      <t>和所有豁免上获得</t>
    </r>
    <r>
      <rPr>
        <sz val="10"/>
        <color theme="1"/>
        <rFont val="Times New Roman"/>
        <charset val="134"/>
      </rPr>
      <t>+2</t>
    </r>
    <r>
      <rPr>
        <sz val="10"/>
        <color theme="1"/>
        <rFont val="宋体"/>
        <charset val="134"/>
      </rPr>
      <t>加值。</t>
    </r>
  </si>
  <si>
    <r>
      <rPr>
        <sz val="10"/>
        <color theme="1"/>
        <rFont val="宋体"/>
        <charset val="134"/>
      </rPr>
      <t>高爆炮台</t>
    </r>
  </si>
  <si>
    <r>
      <rPr>
        <sz val="10"/>
        <color theme="1"/>
        <rFont val="宋体"/>
        <charset val="134"/>
      </rPr>
      <t>你制造的每一门奥法炮台都将拥有更大的破坏力。你获得以下的好处：</t>
    </r>
    <r>
      <rPr>
        <sz val="10"/>
        <color theme="1"/>
        <rFont val="Times New Roman"/>
        <charset val="134"/>
      </rPr>
      <t xml:space="preserve">
</t>
    </r>
    <r>
      <rPr>
        <sz val="10"/>
        <color theme="1"/>
        <rFont val="宋体"/>
        <charset val="134"/>
      </rPr>
      <t>引爆</t>
    </r>
    <r>
      <rPr>
        <sz val="10"/>
        <color theme="1"/>
        <rFont val="Times New Roman"/>
        <charset val="134"/>
      </rPr>
      <t>Detonate</t>
    </r>
    <r>
      <rPr>
        <sz val="10"/>
        <color theme="1"/>
        <rFont val="宋体"/>
        <charset val="134"/>
      </rPr>
      <t>。当你的炮台受到伤害时，若你在其</t>
    </r>
    <r>
      <rPr>
        <sz val="10"/>
        <color theme="1"/>
        <rFont val="Times New Roman"/>
        <charset val="134"/>
      </rPr>
      <t>60</t>
    </r>
    <r>
      <rPr>
        <sz val="10"/>
        <color theme="1"/>
        <rFont val="宋体"/>
        <charset val="134"/>
      </rPr>
      <t>尺内，你能以反应命令引爆炮台。这么做会摧毁炮台，并迫使其</t>
    </r>
    <r>
      <rPr>
        <sz val="10"/>
        <color theme="1"/>
        <rFont val="Times New Roman"/>
        <charset val="134"/>
      </rPr>
      <t>20</t>
    </r>
    <r>
      <rPr>
        <sz val="10"/>
        <color theme="1"/>
        <rFont val="宋体"/>
        <charset val="134"/>
      </rPr>
      <t>尺内的每名生物进行一次对抗你法术豁免</t>
    </r>
    <r>
      <rPr>
        <sz val="10"/>
        <color theme="1"/>
        <rFont val="Times New Roman"/>
        <charset val="134"/>
      </rPr>
      <t>DC</t>
    </r>
    <r>
      <rPr>
        <sz val="10"/>
        <color theme="1"/>
        <rFont val="宋体"/>
        <charset val="134"/>
      </rPr>
      <t>的敏捷豁免，失败则受到</t>
    </r>
    <r>
      <rPr>
        <sz val="10"/>
        <color theme="1"/>
        <rFont val="Times New Roman"/>
        <charset val="134"/>
      </rPr>
      <t>3d10</t>
    </r>
    <r>
      <rPr>
        <sz val="10"/>
        <color theme="1"/>
        <rFont val="宋体"/>
        <charset val="134"/>
      </rPr>
      <t>力场伤害，成功受半伤。</t>
    </r>
    <r>
      <rPr>
        <sz val="10"/>
        <color theme="1"/>
        <rFont val="Times New Roman"/>
        <charset val="134"/>
      </rPr>
      <t xml:space="preserve">
</t>
    </r>
    <r>
      <rPr>
        <sz val="10"/>
        <color theme="1"/>
        <rFont val="宋体"/>
        <charset val="134"/>
      </rPr>
      <t>火力</t>
    </r>
    <r>
      <rPr>
        <sz val="10"/>
        <color theme="1"/>
        <rFont val="Times New Roman"/>
        <charset val="134"/>
      </rPr>
      <t>Firepower</t>
    </r>
    <r>
      <rPr>
        <sz val="10"/>
        <color theme="1"/>
        <rFont val="宋体"/>
        <charset val="134"/>
      </rPr>
      <t>。炮台的伤害掷骰或防御者提供的临时生命值增加</t>
    </r>
    <r>
      <rPr>
        <sz val="10"/>
        <color theme="1"/>
        <rFont val="Times New Roman"/>
        <charset val="134"/>
      </rPr>
      <t>1d8</t>
    </r>
    <r>
      <rPr>
        <sz val="10"/>
        <color theme="1"/>
        <rFont val="宋体"/>
        <charset val="134"/>
      </rPr>
      <t>。</t>
    </r>
  </si>
  <si>
    <r>
      <rPr>
        <sz val="10"/>
        <color theme="1"/>
        <rFont val="宋体"/>
        <charset val="134"/>
      </rPr>
      <t>心智渗透</t>
    </r>
  </si>
  <si>
    <r>
      <rPr>
        <sz val="10"/>
        <color theme="1"/>
        <rFont val="宋体"/>
        <charset val="134"/>
      </rPr>
      <t>当你施展侦测思想</t>
    </r>
    <r>
      <rPr>
        <sz val="10"/>
        <color theme="1"/>
        <rFont val="Times New Roman"/>
        <charset val="134"/>
      </rPr>
      <t>Detect Thoughts</t>
    </r>
    <r>
      <rPr>
        <sz val="10"/>
        <color theme="1"/>
        <rFont val="宋体"/>
        <charset val="134"/>
      </rPr>
      <t>，你可以花费一枚灵能骰调整此法术，使其无需法术成分或专注，此外，在使用侦测思想的阅读思想</t>
    </r>
    <r>
      <rPr>
        <sz val="10"/>
        <color theme="1"/>
        <rFont val="Times New Roman"/>
        <charset val="134"/>
      </rPr>
      <t xml:space="preserve">Read Thoughts </t>
    </r>
    <r>
      <rPr>
        <sz val="10"/>
        <color theme="1"/>
        <rFont val="宋体"/>
        <charset val="134"/>
      </rPr>
      <t>选项时，若你的目标在感知豁免检定中失败，它将不会知道你正在窥探其心灵。</t>
    </r>
    <r>
      <rPr>
        <sz val="10"/>
        <color theme="1"/>
        <rFont val="Times New Roman"/>
        <charset val="134"/>
      </rPr>
      <t xml:space="preserve"> </t>
    </r>
  </si>
  <si>
    <r>
      <rPr>
        <sz val="10"/>
        <color theme="1"/>
        <rFont val="宋体"/>
        <charset val="134"/>
      </rPr>
      <t>高等变形</t>
    </r>
  </si>
  <si>
    <r>
      <rPr>
        <sz val="10"/>
        <color theme="1"/>
        <rFont val="宋体"/>
        <charset val="134"/>
      </rPr>
      <t>你更加了解如何释放和控制你内心的野兽。短休或长休间，你可以使用你的混种变形两次，此外，你的混种形态获得狼化再生特性：
狼化再生</t>
    </r>
    <r>
      <rPr>
        <sz val="10"/>
        <color theme="1"/>
        <rFont val="Times New Roman"/>
        <charset val="134"/>
      </rPr>
      <t xml:space="preserve"> Lycan Regeneration</t>
    </r>
    <r>
      <rPr>
        <sz val="10"/>
        <color theme="1"/>
        <rFont val="宋体"/>
        <charset val="134"/>
      </rPr>
      <t>。在你的每回合开始时，若你有的生命值大于</t>
    </r>
    <r>
      <rPr>
        <sz val="10"/>
        <color theme="1"/>
        <rFont val="Times New Roman"/>
        <charset val="134"/>
      </rPr>
      <t xml:space="preserve"> 1 </t>
    </r>
    <r>
      <rPr>
        <sz val="10"/>
        <color theme="1"/>
        <rFont val="宋体"/>
        <charset val="134"/>
      </rPr>
      <t>点小于上限的一半，你恢复等同于</t>
    </r>
    <r>
      <rPr>
        <sz val="10"/>
        <color theme="1"/>
        <rFont val="Times New Roman"/>
        <charset val="134"/>
      </rPr>
      <t xml:space="preserve"> 1+</t>
    </r>
    <r>
      <rPr>
        <sz val="10"/>
        <color theme="1"/>
        <rFont val="宋体"/>
        <charset val="134"/>
      </rPr>
      <t>你体质调整值（至少为</t>
    </r>
    <r>
      <rPr>
        <sz val="10"/>
        <color theme="1"/>
        <rFont val="Times New Roman"/>
        <charset val="134"/>
      </rPr>
      <t xml:space="preserve"> 1</t>
    </r>
    <r>
      <rPr>
        <sz val="10"/>
        <color theme="1"/>
        <rFont val="宋体"/>
        <charset val="134"/>
      </rPr>
      <t>）点生命值。</t>
    </r>
  </si>
  <si>
    <r>
      <rPr>
        <sz val="10"/>
        <color theme="1"/>
        <rFont val="宋体"/>
        <charset val="134"/>
      </rPr>
      <t>奥秘窃来</t>
    </r>
  </si>
  <si>
    <r>
      <rPr>
        <sz val="10"/>
        <color theme="1"/>
        <rFont val="宋体"/>
        <charset val="134"/>
      </rPr>
      <t>先决：药剂师等级</t>
    </r>
    <r>
      <rPr>
        <sz val="10"/>
        <color theme="1"/>
        <rFont val="Times New Roman"/>
        <charset val="134"/>
      </rPr>
      <t xml:space="preserve">10+ 
</t>
    </r>
    <r>
      <rPr>
        <sz val="10"/>
        <color theme="1"/>
        <rFont val="宋体"/>
        <charset val="134"/>
      </rPr>
      <t>你从任意一个职业的法术列表中习得一个法术，它必须等于或低于你所拥有的药剂师法术位环阶，这个法术被视为你的药剂师法术，并且不计入你已知的药剂师法术数量。</t>
    </r>
  </si>
  <si>
    <t>你可以使用奥术法器或远程武器作为你法师法术的施法法器。</t>
  </si>
  <si>
    <t>炼狱多面手</t>
  </si>
  <si>
    <t>每个你的回合一次，你可以施展一道你已知的邪狱使戏法替换额外攻击特性赋予你的其中一次攻击。</t>
  </si>
  <si>
    <t>大肌霸</t>
  </si>
  <si>
    <t>选择运动或特技技能。若你没有选择技能的熟练，你获得其熟练，若你已获得熟练则获得其专精。</t>
  </si>
  <si>
    <t>团队领域</t>
  </si>
  <si>
    <r>
      <rPr>
        <sz val="10"/>
        <color theme="1"/>
        <rFont val="宋体"/>
        <charset val="134"/>
      </rPr>
      <t>风暴之盾</t>
    </r>
  </si>
  <si>
    <r>
      <rPr>
        <sz val="10"/>
        <color theme="1"/>
        <rFont val="宋体"/>
        <charset val="134"/>
      </rPr>
      <t>你学会了运用你对风暴的掌控力来保护你的盟友。处于你灵光内的、由你选择的生物也将同样受益于你</t>
    </r>
    <r>
      <rPr>
        <sz val="10"/>
        <color theme="1"/>
        <rFont val="Times New Roman"/>
        <charset val="134"/>
      </rPr>
      <t xml:space="preserve"> </t>
    </r>
    <r>
      <rPr>
        <sz val="10"/>
        <color theme="1"/>
        <rFont val="宋体"/>
        <charset val="134"/>
      </rPr>
      <t>风暴之魂</t>
    </r>
    <r>
      <rPr>
        <sz val="10"/>
        <color theme="1"/>
        <rFont val="Times New Roman"/>
        <charset val="134"/>
      </rPr>
      <t xml:space="preserve"> Storm Soul </t>
    </r>
    <r>
      <rPr>
        <sz val="10"/>
        <color theme="1"/>
        <rFont val="宋体"/>
        <charset val="134"/>
      </rPr>
      <t>特性所带来的伤害抗性。</t>
    </r>
  </si>
  <si>
    <r>
      <rPr>
        <sz val="10"/>
        <color theme="1"/>
        <rFont val="宋体"/>
        <charset val="134"/>
      </rPr>
      <t>造物表演</t>
    </r>
  </si>
  <si>
    <r>
      <rPr>
        <sz val="10"/>
        <color theme="1"/>
        <rFont val="宋体"/>
        <charset val="134"/>
      </rPr>
      <t>以一个动作，你可以引导造物之歌的魔力来创造一个你选择的非魔法物品，它会在你选择的距离你</t>
    </r>
    <r>
      <rPr>
        <sz val="10"/>
        <color theme="1"/>
        <rFont val="Times New Roman"/>
        <charset val="134"/>
      </rPr>
      <t>10</t>
    </r>
    <r>
      <rPr>
        <sz val="10"/>
        <color theme="1"/>
        <rFont val="宋体"/>
        <charset val="134"/>
      </rPr>
      <t>尺内的一处未被占据的空间里生成。它必须要生成在液体中或是表面上的一个可以支撑它的地方。这件物品的价值不能超过你吟游诗人等级的二十倍</t>
    </r>
    <r>
      <rPr>
        <sz val="10"/>
        <color theme="1"/>
        <rFont val="Times New Roman"/>
        <charset val="134"/>
      </rPr>
      <t>gp</t>
    </r>
    <r>
      <rPr>
        <sz val="10"/>
        <color theme="1"/>
        <rFont val="宋体"/>
        <charset val="134"/>
      </rPr>
      <t>，而且必须是中型或者更小的物品。这件物品会闪烁着柔和的微光。当一个生物触碰它的时候，会听到轻微的音乐。在被创造出等同于你的熟练加值数的小时之后，这件物品会消失。你可以通过此方法创造的各种物品，玩家手册中的装备章节里的物品大多数物品就是很好的例子。
每当你用这一特性创造出一件物品后，直到下一次长休结束前你都不能再次使用这个能力。你也可以消耗一个</t>
    </r>
    <r>
      <rPr>
        <sz val="10"/>
        <color theme="1"/>
        <rFont val="Times New Roman"/>
        <charset val="134"/>
      </rPr>
      <t>2</t>
    </r>
    <r>
      <rPr>
        <sz val="10"/>
        <color theme="1"/>
        <rFont val="宋体"/>
        <charset val="134"/>
      </rPr>
      <t>环或者更高级的法术位去再次使用这个能力。你同时只能保持一件以此法被创造出的物品。如果在你使用这个能力创造物品时已经有一件被创造出来的物品了，那么那个旧的物品会立刻消失不见。
你创造的物品都大小限制会随着你的吟游诗人等级提高而增长。</t>
    </r>
    <r>
      <rPr>
        <sz val="10"/>
        <color theme="1"/>
        <rFont val="Times New Roman"/>
        <charset val="134"/>
      </rPr>
      <t>6</t>
    </r>
    <r>
      <rPr>
        <sz val="10"/>
        <color theme="1"/>
        <rFont val="宋体"/>
        <charset val="134"/>
      </rPr>
      <t>级时你可以创造出大型物品，</t>
    </r>
    <r>
      <rPr>
        <sz val="10"/>
        <color theme="1"/>
        <rFont val="Times New Roman"/>
        <charset val="134"/>
      </rPr>
      <t>14</t>
    </r>
    <r>
      <rPr>
        <sz val="10"/>
        <color theme="1"/>
        <rFont val="宋体"/>
        <charset val="134"/>
      </rPr>
      <t>级时你可以创造去巨型物品。</t>
    </r>
  </si>
  <si>
    <r>
      <rPr>
        <sz val="10"/>
        <color theme="1"/>
        <rFont val="宋体"/>
        <charset val="134"/>
      </rPr>
      <t>锻炉与烈焰的圣徒</t>
    </r>
  </si>
  <si>
    <r>
      <rPr>
        <sz val="10"/>
        <color theme="1"/>
        <rFont val="宋体"/>
        <charset val="134"/>
      </rPr>
      <t xml:space="preserve">你受火与金属的联系变得更为紧密：
</t>
    </r>
    <r>
      <rPr>
        <sz val="10"/>
        <color theme="1"/>
        <rFont val="Times New Roman"/>
        <charset val="134"/>
      </rPr>
      <t xml:space="preserve">• </t>
    </r>
    <r>
      <rPr>
        <sz val="10"/>
        <color theme="1"/>
        <rFont val="宋体"/>
        <charset val="134"/>
      </rPr>
      <t xml:space="preserve">你获得火焰伤害的免疫。
</t>
    </r>
    <r>
      <rPr>
        <sz val="10"/>
        <color theme="1"/>
        <rFont val="Times New Roman"/>
        <charset val="134"/>
      </rPr>
      <t xml:space="preserve">• </t>
    </r>
    <r>
      <rPr>
        <sz val="10"/>
        <color theme="1"/>
        <rFont val="宋体"/>
        <charset val="134"/>
      </rPr>
      <t>穿着重甲期间，你对源于非魔法攻击的钝击，穿刺，挥砍伤害有抗性。</t>
    </r>
  </si>
  <si>
    <r>
      <rPr>
        <sz val="10"/>
        <color theme="1"/>
        <rFont val="宋体"/>
        <charset val="134"/>
      </rPr>
      <t>月光与阴影的炉心</t>
    </r>
  </si>
  <si>
    <r>
      <rPr>
        <sz val="10"/>
        <color theme="1"/>
        <rFont val="宋体"/>
        <charset val="134"/>
      </rPr>
      <t>无论你在何处设立营灶，那都是的你家园。
在进行一次短休息或长休息时，你可以祈求薄暮庭院的幽影之力来保护你的营地不被外来者侵扰。
在休息开始时，你接触空间中的一点，以那一点为中心一个隐形的、半径</t>
    </r>
    <r>
      <rPr>
        <sz val="10"/>
        <color theme="1"/>
        <rFont val="Times New Roman"/>
        <charset val="134"/>
      </rPr>
      <t>30</t>
    </r>
    <r>
      <rPr>
        <sz val="10"/>
        <color theme="1"/>
        <rFont val="宋体"/>
        <charset val="134"/>
      </rPr>
      <t>尺的球体魔法般地出现。
全掩护会阻断这个球体。
在这一领域内你和你的盟友在所有感知（观察）检定和敏捷（隐匿）检定中得到</t>
    </r>
    <r>
      <rPr>
        <sz val="10"/>
        <color theme="1"/>
        <rFont val="Times New Roman"/>
        <charset val="134"/>
      </rPr>
      <t>+5</t>
    </r>
    <r>
      <rPr>
        <sz val="10"/>
        <color theme="1"/>
        <rFont val="宋体"/>
        <charset val="134"/>
      </rPr>
      <t>加值，并且由任何明火放射的光亮（营火，火把以及类似之物）从领域外是不可见的。
这些效果持续到休息结束或你离开这个领域。</t>
    </r>
  </si>
  <si>
    <r>
      <rPr>
        <sz val="10"/>
        <color theme="1"/>
        <rFont val="宋体"/>
        <charset val="134"/>
      </rPr>
      <t>勇战英豪</t>
    </r>
  </si>
  <si>
    <r>
      <rPr>
        <sz val="10"/>
        <color theme="1"/>
        <rFont val="宋体"/>
        <charset val="134"/>
      </rPr>
      <t>战斗的艰难只会使你朝胜利更进一步。在战斗中，若你回合开始时没有英雄激励，你可以获得之。</t>
    </r>
  </si>
  <si>
    <r>
      <rPr>
        <sz val="10"/>
        <color theme="1"/>
        <rFont val="宋体"/>
        <charset val="134"/>
      </rPr>
      <t>醉汉机运</t>
    </r>
  </si>
  <si>
    <r>
      <rPr>
        <sz val="10"/>
        <color theme="1"/>
        <rFont val="宋体"/>
        <charset val="134"/>
      </rPr>
      <t>你似乎总是能在最正确的时刻获得机运的反弹。
当你进行一次属性检定，攻击检定或豁免检定并在检定中拥有劣势时，你可以花费</t>
    </r>
    <r>
      <rPr>
        <sz val="10"/>
        <color theme="1"/>
        <rFont val="Times New Roman"/>
        <charset val="134"/>
      </rPr>
      <t>2</t>
    </r>
    <r>
      <rPr>
        <sz val="10"/>
        <color theme="1"/>
        <rFont val="宋体"/>
        <charset val="134"/>
      </rPr>
      <t>点气抵消这个劣势。</t>
    </r>
  </si>
  <si>
    <r>
      <rPr>
        <sz val="10"/>
        <color theme="1"/>
        <rFont val="宋体"/>
        <charset val="134"/>
      </rPr>
      <t>征服圣誓法术</t>
    </r>
  </si>
  <si>
    <r>
      <rPr>
        <sz val="10"/>
        <color theme="1"/>
        <rFont val="宋体"/>
        <charset val="134"/>
      </rPr>
      <t>圣武士等级</t>
    </r>
    <r>
      <rPr>
        <sz val="10"/>
        <color theme="1"/>
        <rFont val="Times New Roman"/>
        <charset val="134"/>
      </rPr>
      <t>——</t>
    </r>
    <r>
      <rPr>
        <sz val="10"/>
        <color theme="1"/>
        <rFont val="宋体"/>
        <charset val="134"/>
      </rPr>
      <t xml:space="preserve">法术
</t>
    </r>
    <r>
      <rPr>
        <sz val="10"/>
        <color theme="1"/>
        <rFont val="Times New Roman"/>
        <charset val="134"/>
      </rPr>
      <t>3——</t>
    </r>
    <r>
      <rPr>
        <sz val="10"/>
        <color theme="1"/>
        <rFont val="宋体"/>
        <charset val="134"/>
      </rPr>
      <t xml:space="preserve">艾嘉西斯之铠，命令术
</t>
    </r>
    <r>
      <rPr>
        <sz val="10"/>
        <color theme="1"/>
        <rFont val="Times New Roman"/>
        <charset val="134"/>
      </rPr>
      <t>5——</t>
    </r>
    <r>
      <rPr>
        <sz val="10"/>
        <color theme="1"/>
        <rFont val="宋体"/>
        <charset val="134"/>
      </rPr>
      <t xml:space="preserve">人类定身术，灵体武器
</t>
    </r>
    <r>
      <rPr>
        <sz val="10"/>
        <color theme="1"/>
        <rFont val="Times New Roman"/>
        <charset val="134"/>
      </rPr>
      <t>9——</t>
    </r>
    <r>
      <rPr>
        <sz val="10"/>
        <color theme="1"/>
        <rFont val="宋体"/>
        <charset val="134"/>
      </rPr>
      <t xml:space="preserve">降咒，恐惧术
</t>
    </r>
    <r>
      <rPr>
        <sz val="10"/>
        <color theme="1"/>
        <rFont val="Times New Roman"/>
        <charset val="134"/>
      </rPr>
      <t>13——</t>
    </r>
    <r>
      <rPr>
        <sz val="10"/>
        <color theme="1"/>
        <rFont val="宋体"/>
        <charset val="134"/>
      </rPr>
      <t xml:space="preserve">支配野兽，石肤术
</t>
    </r>
    <r>
      <rPr>
        <sz val="10"/>
        <color theme="1"/>
        <rFont val="Times New Roman"/>
        <charset val="134"/>
      </rPr>
      <t>17——</t>
    </r>
    <r>
      <rPr>
        <sz val="10"/>
        <color theme="1"/>
        <rFont val="宋体"/>
        <charset val="134"/>
      </rPr>
      <t>死云术，支配人类</t>
    </r>
  </si>
  <si>
    <r>
      <rPr>
        <sz val="10"/>
        <color theme="1"/>
        <rFont val="宋体"/>
        <charset val="134"/>
      </rPr>
      <t>侦测传送门</t>
    </r>
  </si>
  <si>
    <r>
      <rPr>
        <sz val="10"/>
        <color theme="1"/>
        <rFont val="宋体"/>
        <charset val="134"/>
      </rPr>
      <t>你获得侦测传送门的魔法灵光的能力。
以一个动作，在离你</t>
    </r>
    <r>
      <rPr>
        <sz val="10"/>
        <color theme="1"/>
        <rFont val="Times New Roman"/>
        <charset val="134"/>
      </rPr>
      <t>1</t>
    </r>
    <r>
      <rPr>
        <sz val="10"/>
        <color theme="1"/>
        <rFont val="宋体"/>
        <charset val="134"/>
      </rPr>
      <t>英里的范围内，你侦测到离你最近的传送门的距离和方向。
你使用这一特性后，你无法再次使用直到你进行完一次短休或长休。</t>
    </r>
  </si>
  <si>
    <r>
      <rPr>
        <sz val="10"/>
        <color theme="1"/>
        <rFont val="宋体"/>
        <charset val="134"/>
      </rPr>
      <t>听声辨谎</t>
    </r>
  </si>
  <si>
    <r>
      <rPr>
        <sz val="10"/>
        <color theme="1"/>
        <rFont val="宋体"/>
        <charset val="134"/>
      </rPr>
      <t>你的双耳变得锐利，能发现谎言。
当你进行一次感知（洞察）检定来察觉一个生物是否在说谎时，你可以将</t>
    </r>
    <r>
      <rPr>
        <sz val="10"/>
        <color theme="1"/>
        <rFont val="Times New Roman"/>
        <charset val="134"/>
      </rPr>
      <t>d20</t>
    </r>
    <r>
      <rPr>
        <sz val="10"/>
        <color theme="1"/>
        <rFont val="宋体"/>
        <charset val="134"/>
      </rPr>
      <t>投中</t>
    </r>
    <r>
      <rPr>
        <sz val="10"/>
        <color theme="1"/>
        <rFont val="Times New Roman"/>
        <charset val="134"/>
      </rPr>
      <t>7</t>
    </r>
    <r>
      <rPr>
        <sz val="10"/>
        <color theme="1"/>
        <rFont val="宋体"/>
        <charset val="134"/>
      </rPr>
      <t>或更低的结果都视为</t>
    </r>
    <r>
      <rPr>
        <sz val="10"/>
        <color theme="1"/>
        <rFont val="Times New Roman"/>
        <charset val="134"/>
      </rPr>
      <t>8</t>
    </r>
    <r>
      <rPr>
        <sz val="10"/>
        <color theme="1"/>
        <rFont val="宋体"/>
        <charset val="134"/>
      </rPr>
      <t>。</t>
    </r>
  </si>
  <si>
    <r>
      <rPr>
        <sz val="10"/>
        <color theme="1"/>
        <rFont val="宋体"/>
        <charset val="134"/>
      </rPr>
      <t>扭曲幸运</t>
    </r>
  </si>
  <si>
    <r>
      <rPr>
        <sz val="10"/>
        <color theme="1"/>
        <rFont val="宋体"/>
        <charset val="134"/>
      </rPr>
      <t>你获得用你的狂野魔法扭曲命运的能力。当一个你能看见的生物投掷</t>
    </r>
    <r>
      <rPr>
        <sz val="10"/>
        <color theme="1"/>
        <rFont val="Times New Roman"/>
        <charset val="134"/>
      </rPr>
      <t>d20</t>
    </r>
    <r>
      <rPr>
        <sz val="10"/>
        <color theme="1"/>
        <rFont val="宋体"/>
        <charset val="134"/>
      </rPr>
      <t>进行</t>
    </r>
    <r>
      <rPr>
        <sz val="10"/>
        <color theme="1"/>
        <rFont val="Times New Roman"/>
        <charset val="134"/>
      </rPr>
      <t>D20</t>
    </r>
    <r>
      <rPr>
        <sz val="10"/>
        <color theme="1"/>
        <rFont val="宋体"/>
        <charset val="134"/>
      </rPr>
      <t>检定时，你可以在掷骰完成之后立即用一个反应并消耗</t>
    </r>
    <r>
      <rPr>
        <sz val="10"/>
        <color theme="1"/>
        <rFont val="Times New Roman"/>
        <charset val="134"/>
      </rPr>
      <t>1</t>
    </r>
    <r>
      <rPr>
        <sz val="10"/>
        <color theme="1"/>
        <rFont val="宋体"/>
        <charset val="134"/>
      </rPr>
      <t>术法点来骰一次</t>
    </r>
    <r>
      <rPr>
        <sz val="10"/>
        <color theme="1"/>
        <rFont val="Times New Roman"/>
        <charset val="134"/>
      </rPr>
      <t>1d4</t>
    </r>
    <r>
      <rPr>
        <sz val="10"/>
        <color theme="1"/>
        <rFont val="宋体"/>
        <charset val="134"/>
      </rPr>
      <t>，并将结果用作加值或减值（由你决定）加到该</t>
    </r>
    <r>
      <rPr>
        <sz val="10"/>
        <color theme="1"/>
        <rFont val="Times New Roman"/>
        <charset val="134"/>
      </rPr>
      <t>d20</t>
    </r>
    <r>
      <rPr>
        <sz val="10"/>
        <color theme="1"/>
        <rFont val="宋体"/>
        <charset val="134"/>
      </rPr>
      <t>的骰值结果中。</t>
    </r>
  </si>
  <si>
    <r>
      <rPr>
        <sz val="10"/>
        <color theme="1"/>
        <rFont val="宋体"/>
        <charset val="134"/>
      </rPr>
      <t>以一个附赠动作，你可以向着你的法术</t>
    </r>
    <r>
      <rPr>
        <sz val="10"/>
        <color theme="1"/>
        <rFont val="Times New Roman"/>
        <charset val="134"/>
      </rPr>
      <t xml:space="preserve"> </t>
    </r>
    <r>
      <rPr>
        <sz val="10"/>
        <color theme="1"/>
        <rFont val="宋体"/>
        <charset val="134"/>
      </rPr>
      <t>脆弱诅咒</t>
    </r>
    <r>
      <rPr>
        <sz val="10"/>
        <color theme="1"/>
        <rFont val="Times New Roman"/>
        <charset val="134"/>
      </rPr>
      <t xml:space="preserve">hex </t>
    </r>
    <r>
      <rPr>
        <sz val="10"/>
        <color theme="1"/>
        <rFont val="宋体"/>
        <charset val="134"/>
      </rPr>
      <t>或</t>
    </r>
    <r>
      <rPr>
        <sz val="10"/>
        <color theme="1"/>
        <rFont val="Times New Roman"/>
        <charset val="134"/>
      </rPr>
      <t xml:space="preserve"> </t>
    </r>
    <r>
      <rPr>
        <sz val="10"/>
        <color theme="1"/>
        <rFont val="宋体"/>
        <charset val="134"/>
      </rPr>
      <t>咒剑诅咒</t>
    </r>
    <r>
      <rPr>
        <sz val="10"/>
        <color theme="1"/>
        <rFont val="Times New Roman"/>
        <charset val="134"/>
      </rPr>
      <t xml:space="preserve">Hexblade's Curse </t>
    </r>
    <r>
      <rPr>
        <sz val="10"/>
        <color theme="1"/>
        <rFont val="宋体"/>
        <charset val="134"/>
      </rPr>
      <t>、凶兆符记</t>
    </r>
    <r>
      <rPr>
        <sz val="10"/>
        <color theme="1"/>
        <rFont val="Times New Roman"/>
        <charset val="134"/>
      </rPr>
      <t xml:space="preserve">Sign of Ill Omen </t>
    </r>
    <r>
      <rPr>
        <sz val="10"/>
        <color theme="1"/>
        <rFont val="宋体"/>
        <charset val="134"/>
      </rPr>
      <t>等邪术师特性所诅咒的目标施加一种精神干扰。此时，你对受咒目标与所有它周围</t>
    </r>
    <r>
      <rPr>
        <sz val="10"/>
        <color theme="1"/>
        <rFont val="Times New Roman"/>
        <charset val="134"/>
      </rPr>
      <t>5</t>
    </r>
    <r>
      <rPr>
        <sz val="10"/>
        <color theme="1"/>
        <rFont val="宋体"/>
        <charset val="134"/>
      </rPr>
      <t>尺范围内的、由你所选择的生物造成一定心灵伤害，其伤害值等同于</t>
    </r>
    <r>
      <rPr>
        <sz val="10"/>
        <color theme="1"/>
        <rFont val="Times New Roman"/>
        <charset val="134"/>
      </rPr>
      <t xml:space="preserve"> </t>
    </r>
    <r>
      <rPr>
        <sz val="10"/>
        <color theme="1"/>
        <rFont val="宋体"/>
        <charset val="134"/>
      </rPr>
      <t>你的魅力调整值</t>
    </r>
    <r>
      <rPr>
        <sz val="10"/>
        <color theme="1"/>
        <rFont val="Times New Roman"/>
        <charset val="134"/>
      </rPr>
      <t xml:space="preserve"> </t>
    </r>
    <r>
      <rPr>
        <sz val="10"/>
        <color theme="1"/>
        <rFont val="宋体"/>
        <charset val="134"/>
      </rPr>
      <t>点（最低</t>
    </r>
    <r>
      <rPr>
        <sz val="10"/>
        <color theme="1"/>
        <rFont val="Times New Roman"/>
        <charset val="134"/>
      </rPr>
      <t>1</t>
    </r>
    <r>
      <rPr>
        <sz val="10"/>
        <color theme="1"/>
        <rFont val="宋体"/>
        <charset val="134"/>
      </rPr>
      <t>点伤害）。使用此祈唤时，你必须能看到诅咒目标，且它与你之间的距离不能超过</t>
    </r>
    <r>
      <rPr>
        <sz val="10"/>
        <color theme="1"/>
        <rFont val="Times New Roman"/>
        <charset val="134"/>
      </rPr>
      <t>30</t>
    </r>
    <r>
      <rPr>
        <sz val="10"/>
        <color theme="1"/>
        <rFont val="宋体"/>
        <charset val="134"/>
      </rPr>
      <t>尺。
先决条件：第</t>
    </r>
    <r>
      <rPr>
        <sz val="10"/>
        <color theme="1"/>
        <rFont val="Times New Roman"/>
        <charset val="134"/>
      </rPr>
      <t>5</t>
    </r>
    <r>
      <rPr>
        <sz val="10"/>
        <color theme="1"/>
        <rFont val="宋体"/>
        <charset val="134"/>
      </rPr>
      <t>级，习得法术</t>
    </r>
    <r>
      <rPr>
        <sz val="10"/>
        <color theme="1"/>
        <rFont val="Times New Roman"/>
        <charset val="134"/>
      </rPr>
      <t xml:space="preserve"> </t>
    </r>
    <r>
      <rPr>
        <sz val="10"/>
        <color theme="1"/>
        <rFont val="宋体"/>
        <charset val="134"/>
      </rPr>
      <t>脆弱诅咒</t>
    </r>
    <r>
      <rPr>
        <sz val="10"/>
        <color theme="1"/>
        <rFont val="Times New Roman"/>
        <charset val="134"/>
      </rPr>
      <t xml:space="preserve">hex </t>
    </r>
    <r>
      <rPr>
        <sz val="10"/>
        <color theme="1"/>
        <rFont val="宋体"/>
        <charset val="134"/>
      </rPr>
      <t>、或具有可施加诅咒的邪术师特性</t>
    </r>
  </si>
  <si>
    <r>
      <rPr>
        <sz val="10"/>
        <color theme="1"/>
        <rFont val="宋体"/>
        <charset val="134"/>
      </rPr>
      <t>偏斜罩幕</t>
    </r>
  </si>
  <si>
    <r>
      <rPr>
        <sz val="10"/>
        <color theme="1"/>
        <rFont val="宋体"/>
        <charset val="134"/>
      </rPr>
      <t>你的奥术偏斜被灌注了致命的魔法。
当你使用你的奥术偏斜特性时，你可以让魔法能量从你身上涌出。
至多三个</t>
    </r>
    <r>
      <rPr>
        <sz val="10"/>
        <color theme="1"/>
        <rFont val="Times New Roman"/>
        <charset val="134"/>
      </rPr>
      <t>60</t>
    </r>
    <r>
      <rPr>
        <sz val="10"/>
        <color theme="1"/>
        <rFont val="宋体"/>
        <charset val="134"/>
      </rPr>
      <t>尺内你能看见的目标受到半数于你法师等级的力场伤害。</t>
    </r>
  </si>
  <si>
    <r>
      <rPr>
        <sz val="10"/>
        <color theme="1"/>
        <rFont val="宋体"/>
        <charset val="134"/>
      </rPr>
      <t>要塞阵地</t>
    </r>
  </si>
  <si>
    <r>
      <rPr>
        <sz val="10"/>
        <color theme="1"/>
        <rFont val="宋体"/>
        <charset val="134"/>
      </rPr>
      <t>你成为了用魔能炮台构筑阵地的大师。你获得以下增益：</t>
    </r>
    <r>
      <rPr>
        <sz val="10"/>
        <color theme="1"/>
        <rFont val="Times New Roman"/>
        <charset val="134"/>
      </rPr>
      <t xml:space="preserve">
</t>
    </r>
    <r>
      <rPr>
        <sz val="10"/>
        <color theme="1"/>
        <rFont val="宋体"/>
        <charset val="134"/>
      </rPr>
      <t>双倍火力</t>
    </r>
    <r>
      <rPr>
        <sz val="10"/>
        <color theme="1"/>
        <rFont val="Times New Roman"/>
        <charset val="134"/>
      </rPr>
      <t>Double Firepower</t>
    </r>
    <r>
      <rPr>
        <sz val="10"/>
        <color theme="1"/>
        <rFont val="宋体"/>
        <charset val="134"/>
      </rPr>
      <t>。现在你能同时拥有两门炮台。你可以用同一个魔法动作创造两个（如果你为创造第一门炮台花费了一个法术位，你必须为创造第二门炮台花费另一个法术位）。你能以同一个附赠动作激活它们，命令它们使用同一种或不同的激活选项。若你拥有两门炮台，你不能创造第三门炮台。</t>
    </r>
    <r>
      <rPr>
        <sz val="10"/>
        <color theme="1"/>
        <rFont val="Times New Roman"/>
        <charset val="134"/>
      </rPr>
      <t xml:space="preserve">
</t>
    </r>
    <r>
      <rPr>
        <sz val="10"/>
        <color theme="1"/>
        <rFont val="宋体"/>
        <charset val="134"/>
      </rPr>
      <t>闪烁场投影</t>
    </r>
    <r>
      <rPr>
        <sz val="10"/>
        <color theme="1"/>
        <rFont val="Times New Roman"/>
        <charset val="134"/>
      </rPr>
      <t>Shimmering Field Projection</t>
    </r>
    <r>
      <rPr>
        <sz val="10"/>
        <color theme="1"/>
        <rFont val="宋体"/>
        <charset val="134"/>
      </rPr>
      <t>。若你和你的盟友身处你的奥法炮台</t>
    </r>
    <r>
      <rPr>
        <sz val="10"/>
        <color theme="1"/>
        <rFont val="Times New Roman"/>
        <charset val="134"/>
      </rPr>
      <t>10</t>
    </r>
    <r>
      <rPr>
        <sz val="10"/>
        <color theme="1"/>
        <rFont val="宋体"/>
        <charset val="134"/>
      </rPr>
      <t>尺内，你们具有半身掩护。</t>
    </r>
  </si>
  <si>
    <t>信号干扰</t>
  </si>
  <si>
    <t>在你的心灵感应范围内，当有生物的攻击检定命中时，你可以执行反应并投掷一枚灵能骰，将该次攻击检定减去骰值，此举可能导致本次攻击检定失手。被投掷的灵能骰只有在目标确实失手的情况下才会被消耗。</t>
  </si>
  <si>
    <r>
      <rPr>
        <sz val="10"/>
        <color theme="1"/>
        <rFont val="宋体"/>
        <charset val="134"/>
      </rPr>
      <t>饕餮烙印</t>
    </r>
  </si>
  <si>
    <r>
      <rPr>
        <sz val="10"/>
        <color theme="1"/>
        <rFont val="宋体"/>
        <charset val="134"/>
      </rPr>
      <t>你在混种形态中为控制嗜血进行的感知豁免具有优势。此外，你的惩戒烙印现在将你的残暴与饥渴与敌人建立联系。混种变形期间，你对你所烙印的生物的攻击具有优势。</t>
    </r>
  </si>
  <si>
    <r>
      <rPr>
        <sz val="10"/>
        <color theme="1"/>
        <rFont val="宋体"/>
        <charset val="134"/>
      </rPr>
      <t>受试准备</t>
    </r>
  </si>
  <si>
    <r>
      <rPr>
        <sz val="10"/>
        <color theme="1"/>
        <rFont val="宋体"/>
        <charset val="134"/>
      </rPr>
      <t>先决：药剂师等级</t>
    </r>
    <r>
      <rPr>
        <sz val="10"/>
        <color theme="1"/>
        <rFont val="Times New Roman"/>
        <charset val="134"/>
      </rPr>
      <t xml:space="preserve">10+ 
</t>
    </r>
    <r>
      <rPr>
        <sz val="10"/>
        <color theme="1"/>
        <rFont val="宋体"/>
        <charset val="134"/>
      </rPr>
      <t>当你用近战武器攻击命中一个生物后，该生物在你的下一个回合结束前的下一个对抗你释放的药剂师法术的豁免检定具有劣势。</t>
    </r>
  </si>
  <si>
    <t>砰！你已经死了</t>
  </si>
  <si>
    <r>
      <rPr>
        <sz val="10"/>
        <color theme="1"/>
        <rFont val="宋体"/>
        <charset val="134"/>
      </rPr>
      <t>你可以使用魔法来替代枪械。</t>
    </r>
    <r>
      <rPr>
        <sz val="10"/>
        <color theme="1"/>
        <rFont val="Times New Roman"/>
        <charset val="134"/>
      </rPr>
      <t xml:space="preserve">
</t>
    </r>
    <r>
      <rPr>
        <sz val="10"/>
        <color theme="1"/>
        <rFont val="宋体"/>
        <charset val="134"/>
      </rPr>
      <t>手指枪</t>
    </r>
    <r>
      <rPr>
        <sz val="10"/>
        <color theme="1"/>
        <rFont val="Times New Roman"/>
        <charset val="134"/>
      </rPr>
      <t>Finger Guns</t>
    </r>
    <r>
      <rPr>
        <sz val="10"/>
        <color theme="1"/>
        <rFont val="宋体"/>
        <charset val="134"/>
      </rPr>
      <t>。</t>
    </r>
    <r>
      <rPr>
        <sz val="10"/>
        <color theme="1"/>
        <rFont val="Times New Roman"/>
        <charset val="134"/>
      </rPr>
      <t xml:space="preserve"> </t>
    </r>
    <r>
      <rPr>
        <sz val="10"/>
        <color theme="1"/>
        <rFont val="宋体"/>
        <charset val="134"/>
      </rPr>
      <t>你习得戏法手指枪，详见法术节。</t>
    </r>
    <r>
      <rPr>
        <sz val="10"/>
        <color theme="1"/>
        <rFont val="Times New Roman"/>
        <charset val="134"/>
      </rPr>
      <t xml:space="preserve">
</t>
    </r>
    <r>
      <rPr>
        <sz val="10"/>
        <color theme="1"/>
        <rFont val="宋体"/>
        <charset val="134"/>
      </rPr>
      <t>奥术射击</t>
    </r>
    <r>
      <rPr>
        <sz val="10"/>
        <color theme="1"/>
        <rFont val="Times New Roman"/>
        <charset val="134"/>
      </rPr>
      <t>Arcane Shot</t>
    </r>
    <r>
      <rPr>
        <sz val="10"/>
        <color theme="1"/>
        <rFont val="宋体"/>
        <charset val="134"/>
      </rPr>
      <t>。</t>
    </r>
    <r>
      <rPr>
        <sz val="10"/>
        <color theme="1"/>
        <rFont val="Times New Roman"/>
        <charset val="134"/>
      </rPr>
      <t xml:space="preserve"> </t>
    </r>
    <r>
      <rPr>
        <sz val="10"/>
        <color theme="1"/>
        <rFont val="宋体"/>
        <charset val="134"/>
      </rPr>
      <t>当你以手指枪攻击命中目标时，你能够以附赠动作消耗一枚风险骰并加入伤害掷骰中。</t>
    </r>
  </si>
  <si>
    <t>阿斯蒙蒂斯之禁令</t>
  </si>
  <si>
    <t>你可以在标注的等级习得下列额外禁令恩惠。一旦你习得此特性赋予的禁令恩惠，你将始终已知该恩惠，并且该恩惠不计入你的已知禁令恩惠数量。</t>
  </si>
  <si>
    <t>肉盾</t>
  </si>
  <si>
    <r>
      <rPr>
        <sz val="10"/>
        <color theme="1"/>
        <rFont val="宋体"/>
        <charset val="134"/>
      </rPr>
      <t>在你令一名生物陷入受擒期间，你对抗没有被你擒抱的生物的攻击时获得半身掩护。当一名没被你擒抱的生物对你进行的攻击检定失手时，你能以反应消耗</t>
    </r>
    <r>
      <rPr>
        <sz val="10"/>
        <color theme="1"/>
        <rFont val="Times New Roman"/>
        <charset val="134"/>
      </rPr>
      <t>1</t>
    </r>
    <r>
      <rPr>
        <sz val="10"/>
        <color theme="1"/>
        <rFont val="宋体"/>
        <charset val="134"/>
      </rPr>
      <t>点锐气迫使该生物对你擒抱的生物以新的攻击检定发动一次相同的攻击。</t>
    </r>
  </si>
  <si>
    <t>黑夜领域</t>
  </si>
  <si>
    <r>
      <rPr>
        <sz val="10"/>
        <color theme="1"/>
        <rFont val="宋体"/>
        <charset val="134"/>
      </rPr>
      <t>狂怒风暴</t>
    </r>
  </si>
  <si>
    <r>
      <rPr>
        <sz val="10"/>
        <color theme="1"/>
        <rFont val="宋体"/>
        <charset val="134"/>
      </rPr>
      <t>你能引导的风暴之力变得更加强大，足以打击你的敌人。你获得基于你在</t>
    </r>
    <r>
      <rPr>
        <sz val="10"/>
        <color theme="1"/>
        <rFont val="Times New Roman"/>
        <charset val="134"/>
      </rPr>
      <t xml:space="preserve"> </t>
    </r>
    <r>
      <rPr>
        <sz val="10"/>
        <color theme="1"/>
        <rFont val="宋体"/>
        <charset val="134"/>
      </rPr>
      <t>风暴灵光</t>
    </r>
    <r>
      <rPr>
        <sz val="10"/>
        <color theme="1"/>
        <rFont val="Times New Roman"/>
        <charset val="134"/>
      </rPr>
      <t xml:space="preserve">Storm Aura </t>
    </r>
    <r>
      <rPr>
        <sz val="10"/>
        <color theme="1"/>
        <rFont val="宋体"/>
        <charset val="134"/>
      </rPr>
      <t xml:space="preserve">特性中所选择的环境类型的增益：
</t>
    </r>
    <r>
      <rPr>
        <sz val="10"/>
        <color theme="1"/>
        <rFont val="Times New Roman"/>
        <charset val="134"/>
      </rPr>
      <t xml:space="preserve">• </t>
    </r>
    <r>
      <rPr>
        <sz val="10"/>
        <color theme="1"/>
        <rFont val="宋体"/>
        <charset val="134"/>
      </rPr>
      <t>荒漠</t>
    </r>
    <r>
      <rPr>
        <sz val="10"/>
        <color theme="1"/>
        <rFont val="Times New Roman"/>
        <charset val="134"/>
      </rPr>
      <t>Desert</t>
    </r>
    <r>
      <rPr>
        <sz val="10"/>
        <color theme="1"/>
        <rFont val="宋体"/>
        <charset val="134"/>
      </rPr>
      <t xml:space="preserve">。当处于你灵光中的生物在一次攻击命中你后，你可以立刻用你的反应迫使该生物进行一次敏捷豁免。豁免失败则受到等同于你野蛮人等级半数点火焰伤害。
</t>
    </r>
    <r>
      <rPr>
        <sz val="10"/>
        <color theme="1"/>
        <rFont val="Times New Roman"/>
        <charset val="134"/>
      </rPr>
      <t xml:space="preserve">• </t>
    </r>
    <r>
      <rPr>
        <sz val="10"/>
        <color theme="1"/>
        <rFont val="宋体"/>
        <charset val="134"/>
      </rPr>
      <t>海洋</t>
    </r>
    <r>
      <rPr>
        <sz val="10"/>
        <color theme="1"/>
        <rFont val="Times New Roman"/>
        <charset val="134"/>
      </rPr>
      <t>Sea</t>
    </r>
    <r>
      <rPr>
        <sz val="10"/>
        <color theme="1"/>
        <rFont val="宋体"/>
        <charset val="134"/>
      </rPr>
      <t>。任何处于你灵光中的生物若被你以一次攻击击中，你可以用你的反应迫使该生物进行一次力量豁免。豁免失败时，它将如同被波浪拍打般应击</t>
    </r>
    <r>
      <rPr>
        <sz val="10"/>
        <color theme="1"/>
        <rFont val="Times New Roman"/>
        <charset val="134"/>
      </rPr>
      <t xml:space="preserve"> </t>
    </r>
    <r>
      <rPr>
        <sz val="10"/>
        <color theme="1"/>
        <rFont val="宋体"/>
        <charset val="134"/>
      </rPr>
      <t>倒地</t>
    </r>
    <r>
      <rPr>
        <sz val="10"/>
        <color theme="1"/>
        <rFont val="Times New Roman"/>
        <charset val="134"/>
      </rPr>
      <t>Prone</t>
    </r>
    <r>
      <rPr>
        <sz val="10"/>
        <color theme="1"/>
        <rFont val="宋体"/>
        <charset val="134"/>
      </rPr>
      <t xml:space="preserve">。
</t>
    </r>
    <r>
      <rPr>
        <sz val="10"/>
        <color theme="1"/>
        <rFont val="Times New Roman"/>
        <charset val="134"/>
      </rPr>
      <t xml:space="preserve">• </t>
    </r>
    <r>
      <rPr>
        <sz val="10"/>
        <color theme="1"/>
        <rFont val="宋体"/>
        <charset val="134"/>
      </rPr>
      <t>冻原</t>
    </r>
    <r>
      <rPr>
        <sz val="10"/>
        <color theme="1"/>
        <rFont val="Times New Roman"/>
        <charset val="134"/>
      </rPr>
      <t>Tundra</t>
    </r>
    <r>
      <rPr>
        <sz val="10"/>
        <color theme="1"/>
        <rFont val="宋体"/>
        <charset val="134"/>
      </rPr>
      <t>。每当你激活你的</t>
    </r>
    <r>
      <rPr>
        <sz val="10"/>
        <color theme="1"/>
        <rFont val="Times New Roman"/>
        <charset val="134"/>
      </rPr>
      <t xml:space="preserve"> </t>
    </r>
    <r>
      <rPr>
        <sz val="10"/>
        <color theme="1"/>
        <rFont val="宋体"/>
        <charset val="134"/>
      </rPr>
      <t>风暴灵光</t>
    </r>
    <r>
      <rPr>
        <sz val="10"/>
        <color theme="1"/>
        <rFont val="Times New Roman"/>
        <charset val="134"/>
      </rPr>
      <t xml:space="preserve">Storm Aura </t>
    </r>
    <r>
      <rPr>
        <sz val="10"/>
        <color theme="1"/>
        <rFont val="宋体"/>
        <charset val="134"/>
      </rPr>
      <t>时，你可以选择一个处于灵光里的你可见的生物。该生物必须通过一次力量豁免。豁免失败时，魔法的冰霜将它覆盖，使其速度降为</t>
    </r>
    <r>
      <rPr>
        <sz val="10"/>
        <color theme="1"/>
        <rFont val="Times New Roman"/>
        <charset val="134"/>
      </rPr>
      <t>0</t>
    </r>
    <r>
      <rPr>
        <sz val="10"/>
        <color theme="1"/>
        <rFont val="宋体"/>
        <charset val="134"/>
      </rPr>
      <t>，持续直至你的下一个回合开始。</t>
    </r>
  </si>
  <si>
    <r>
      <rPr>
        <sz val="10"/>
        <color theme="1"/>
        <rFont val="宋体"/>
        <charset val="134"/>
      </rPr>
      <t>活化表演</t>
    </r>
  </si>
  <si>
    <r>
      <rPr>
        <sz val="10"/>
        <color theme="1"/>
        <rFont val="宋体"/>
        <charset val="134"/>
      </rPr>
      <t>以一个动作，你可以选择你</t>
    </r>
    <r>
      <rPr>
        <sz val="10"/>
        <color theme="1"/>
        <rFont val="Times New Roman"/>
        <charset val="134"/>
      </rPr>
      <t>30</t>
    </r>
    <r>
      <rPr>
        <sz val="10"/>
        <color theme="1"/>
        <rFont val="宋体"/>
        <charset val="134"/>
      </rPr>
      <t>尺内一个你可以看见大型或者更小的非魔法物品，赋予其生命。
这件活化的物品将会使用如下舞空物品的属性，并且使用你的熟练加值。
这件物品将会对你以及你的伙伴保持友好，而且会听从你的命令。
它将持续保持活性一个小时，如果期间其生命值降低为</t>
    </r>
    <r>
      <rPr>
        <sz val="10"/>
        <color theme="1"/>
        <rFont val="Times New Roman"/>
        <charset val="134"/>
      </rPr>
      <t>0</t>
    </r>
    <r>
      <rPr>
        <sz val="10"/>
        <color theme="1"/>
        <rFont val="宋体"/>
        <charset val="134"/>
      </rPr>
      <t>，或者你死亡，则该物品失去活性。
在战斗中，该物品将会与你共用先攻，它会紧随在你的回合后行动。
它可以自行移动并执行自己的反应，不过在它的回合它只会进行回避动作。
除非使用附赠动作对它发出命令，他可以做其动作列表中的动作，当然你也可以命令它做其他事情。
如果你的角色失能昏迷了，那么这件活化物品会做其他动作，不仅仅是回避动作。
当你使用附赠动作发出诗人激励时，作为发出诗人激励的附赠动作的一部分，你同时也可以对这个活化物品发出指令。
每当你用这一特性活化一件物品后，直到下一次长休结束前你都不能再次使用这个能力。
你可以消耗一个</t>
    </r>
    <r>
      <rPr>
        <sz val="10"/>
        <color theme="1"/>
        <rFont val="Times New Roman"/>
        <charset val="134"/>
      </rPr>
      <t>3</t>
    </r>
    <r>
      <rPr>
        <sz val="10"/>
        <color theme="1"/>
        <rFont val="宋体"/>
        <charset val="134"/>
      </rPr>
      <t>环或者更高级的法术位去重制这个能力的使用次数。
你同时只能保持一件以此法被活化的物品，如果在你使用这个能力活化物品时已经有一件被活化的物品了，那么那个旧的物品会立刻停止不动，变回死物。</t>
    </r>
  </si>
  <si>
    <r>
      <rPr>
        <sz val="10"/>
        <color theme="1"/>
        <rFont val="宋体"/>
        <charset val="134"/>
      </rPr>
      <t>坟墓领域法术</t>
    </r>
  </si>
  <si>
    <r>
      <rPr>
        <sz val="10"/>
        <color theme="1"/>
        <rFont val="宋体"/>
        <charset val="134"/>
      </rPr>
      <t>牧师等级</t>
    </r>
    <r>
      <rPr>
        <sz val="10"/>
        <color theme="1"/>
        <rFont val="Times New Roman"/>
        <charset val="134"/>
      </rPr>
      <t>——</t>
    </r>
    <r>
      <rPr>
        <sz val="10"/>
        <color theme="1"/>
        <rFont val="宋体"/>
        <charset val="134"/>
      </rPr>
      <t xml:space="preserve">法术
</t>
    </r>
    <r>
      <rPr>
        <sz val="10"/>
        <color theme="1"/>
        <rFont val="Times New Roman"/>
        <charset val="134"/>
      </rPr>
      <t>1st——</t>
    </r>
    <r>
      <rPr>
        <sz val="10"/>
        <color theme="1"/>
        <rFont val="宋体"/>
        <charset val="134"/>
      </rPr>
      <t xml:space="preserve">灾祸术，虚假生命
</t>
    </r>
    <r>
      <rPr>
        <sz val="10"/>
        <color theme="1"/>
        <rFont val="Times New Roman"/>
        <charset val="134"/>
      </rPr>
      <t>3rd——</t>
    </r>
    <r>
      <rPr>
        <sz val="10"/>
        <color theme="1"/>
        <rFont val="宋体"/>
        <charset val="134"/>
      </rPr>
      <t xml:space="preserve">遗体防腐，衰弱射线
</t>
    </r>
    <r>
      <rPr>
        <sz val="10"/>
        <color theme="1"/>
        <rFont val="Times New Roman"/>
        <charset val="134"/>
      </rPr>
      <t>5th——</t>
    </r>
    <r>
      <rPr>
        <sz val="10"/>
        <color theme="1"/>
        <rFont val="宋体"/>
        <charset val="134"/>
      </rPr>
      <t xml:space="preserve">回生术，吸血鬼之触
</t>
    </r>
    <r>
      <rPr>
        <sz val="10"/>
        <color theme="1"/>
        <rFont val="Times New Roman"/>
        <charset val="134"/>
      </rPr>
      <t xml:space="preserve">7th—— </t>
    </r>
    <r>
      <rPr>
        <sz val="10"/>
        <color theme="1"/>
        <rFont val="宋体"/>
        <charset val="134"/>
      </rPr>
      <t xml:space="preserve">枯萎术，防死结界
</t>
    </r>
    <r>
      <rPr>
        <sz val="10"/>
        <color theme="1"/>
        <rFont val="Times New Roman"/>
        <charset val="134"/>
      </rPr>
      <t>9th——</t>
    </r>
    <r>
      <rPr>
        <sz val="10"/>
        <color theme="1"/>
        <rFont val="宋体"/>
        <charset val="134"/>
      </rPr>
      <t>防活物护罩，死者复活</t>
    </r>
  </si>
  <si>
    <r>
      <rPr>
        <sz val="10"/>
        <color theme="1"/>
        <rFont val="宋体"/>
        <charset val="134"/>
      </rPr>
      <t>隐匿通途</t>
    </r>
  </si>
  <si>
    <r>
      <rPr>
        <sz val="10"/>
        <color theme="1"/>
        <rFont val="宋体"/>
        <charset val="134"/>
      </rPr>
      <t>你可以使用那些被隐藏起来的、无法预测的魔法道路，像妖精一样在眨眼之间穿越空间。
在你的回合，你可以以一个附赠动作传送到</t>
    </r>
    <r>
      <rPr>
        <sz val="10"/>
        <color theme="1"/>
        <rFont val="Times New Roman"/>
        <charset val="134"/>
      </rPr>
      <t>60</t>
    </r>
    <r>
      <rPr>
        <sz val="10"/>
        <color theme="1"/>
        <rFont val="宋体"/>
        <charset val="134"/>
      </rPr>
      <t>尺内一处未被占据的可见区域。
或者，你也可以用你的动作来接触一个自愿生物将它传送至</t>
    </r>
    <r>
      <rPr>
        <sz val="10"/>
        <color theme="1"/>
        <rFont val="Times New Roman"/>
        <charset val="134"/>
      </rPr>
      <t>30</t>
    </r>
    <r>
      <rPr>
        <sz val="10"/>
        <color theme="1"/>
        <rFont val="宋体"/>
        <charset val="134"/>
      </rPr>
      <t>尺内一处未被占据的你可见的空间。
你可以使用这个能力的次数等同于你的感知调整值（至少</t>
    </r>
    <r>
      <rPr>
        <sz val="10"/>
        <color theme="1"/>
        <rFont val="Times New Roman"/>
        <charset val="134"/>
      </rPr>
      <t>1</t>
    </r>
    <r>
      <rPr>
        <sz val="10"/>
        <color theme="1"/>
        <rFont val="宋体"/>
        <charset val="134"/>
      </rPr>
      <t>次），当你结束一次长休之后，你恢复所有使用次数。</t>
    </r>
  </si>
  <si>
    <r>
      <rPr>
        <sz val="10"/>
        <color theme="1"/>
        <rFont val="宋体"/>
        <charset val="134"/>
      </rPr>
      <t>高效重击</t>
    </r>
  </si>
  <si>
    <r>
      <rPr>
        <sz val="10"/>
        <color theme="1"/>
        <rFont val="宋体"/>
        <charset val="134"/>
      </rPr>
      <t>你使用武器或徒手打击进行的攻击检定在</t>
    </r>
    <r>
      <rPr>
        <sz val="10"/>
        <color theme="1"/>
        <rFont val="Times New Roman"/>
        <charset val="134"/>
      </rPr>
      <t>d20</t>
    </r>
    <r>
      <rPr>
        <sz val="10"/>
        <color theme="1"/>
        <rFont val="宋体"/>
        <charset val="134"/>
      </rPr>
      <t>中掷出</t>
    </r>
    <r>
      <rPr>
        <sz val="10"/>
        <color theme="1"/>
        <rFont val="Times New Roman"/>
        <charset val="134"/>
      </rPr>
      <t>18-20</t>
    </r>
    <r>
      <rPr>
        <sz val="10"/>
        <color theme="1"/>
        <rFont val="宋体"/>
        <charset val="134"/>
      </rPr>
      <t>时即可造成重击。</t>
    </r>
  </si>
  <si>
    <r>
      <rPr>
        <sz val="10"/>
        <color theme="1"/>
        <rFont val="宋体"/>
        <charset val="134"/>
      </rPr>
      <t>酒疯沉醉</t>
    </r>
  </si>
  <si>
    <r>
      <rPr>
        <sz val="10"/>
        <color theme="1"/>
        <rFont val="宋体"/>
        <charset val="134"/>
      </rPr>
      <t>你能对一大群敌人进行超量次数的乱舞打击。
每当你使用你的疾风连击时，你可以用它进行最多三次的额外攻击（疾风连击最多可以进行五次攻击），前提是每一次疾风连击都能在本回合中取一个不同生物作为攻击目标。</t>
    </r>
  </si>
  <si>
    <r>
      <rPr>
        <sz val="10"/>
        <color theme="1"/>
        <rFont val="宋体"/>
        <charset val="134"/>
      </rPr>
      <t>引导神力</t>
    </r>
    <r>
      <rPr>
        <sz val="10"/>
        <color theme="1"/>
        <rFont val="Times New Roman"/>
        <charset val="134"/>
      </rPr>
      <t>-</t>
    </r>
    <r>
      <rPr>
        <sz val="10"/>
        <color theme="1"/>
        <rFont val="宋体"/>
        <charset val="134"/>
      </rPr>
      <t>征服</t>
    </r>
  </si>
  <si>
    <r>
      <rPr>
        <sz val="10"/>
        <color theme="1"/>
        <rFont val="宋体"/>
        <charset val="134"/>
      </rPr>
      <t>你获得以下两种引导神力选项。
引导神力如何运作，参见神圣誓约职业特性。
征服威压：你可以使用你的引导神力来发出一阵可怕的威压。
以一个动作，你强迫每个处于你周围</t>
    </r>
    <r>
      <rPr>
        <sz val="10"/>
        <color theme="1"/>
        <rFont val="Times New Roman"/>
        <charset val="134"/>
      </rPr>
      <t>30</t>
    </r>
    <r>
      <rPr>
        <sz val="10"/>
        <color theme="1"/>
        <rFont val="宋体"/>
        <charset val="134"/>
      </rPr>
      <t>英尺内、你能看见的、由你选择的生物各进行一次感知豁免检定。
若豁免失败，目标变得恐慌于你，持续</t>
    </r>
    <r>
      <rPr>
        <sz val="10"/>
        <color theme="1"/>
        <rFont val="Times New Roman"/>
        <charset val="134"/>
      </rPr>
      <t>1</t>
    </r>
    <r>
      <rPr>
        <sz val="10"/>
        <color theme="1"/>
        <rFont val="宋体"/>
        <charset val="134"/>
      </rPr>
      <t>分钟。变得恐慌的生物可以在其每个回合的结束时重复此豁免检定，成功则结束其身上的此效果。
神助打击：你可以使用你的引导神力来以超自然的精确性进行打击。
当你进行一次攻击检定时，你可以使用你的引导神力以在此检定中得到</t>
    </r>
    <r>
      <rPr>
        <sz val="10"/>
        <color theme="1"/>
        <rFont val="Times New Roman"/>
        <charset val="134"/>
      </rPr>
      <t>+10</t>
    </r>
    <r>
      <rPr>
        <sz val="10"/>
        <color theme="1"/>
        <rFont val="宋体"/>
        <charset val="134"/>
      </rPr>
      <t>加值。
你在你看到掷骰后进行决定，但需要在</t>
    </r>
    <r>
      <rPr>
        <sz val="10"/>
        <color theme="1"/>
        <rFont val="Times New Roman"/>
        <charset val="134"/>
      </rPr>
      <t>DM</t>
    </r>
    <r>
      <rPr>
        <sz val="10"/>
        <color theme="1"/>
        <rFont val="宋体"/>
        <charset val="134"/>
      </rPr>
      <t>宣布此攻击命中与否前声明。</t>
    </r>
  </si>
  <si>
    <r>
      <rPr>
        <sz val="10"/>
        <color theme="1"/>
        <rFont val="宋体"/>
        <charset val="134"/>
      </rPr>
      <t>位面战士</t>
    </r>
  </si>
  <si>
    <r>
      <rPr>
        <sz val="10"/>
        <color theme="1"/>
        <rFont val="宋体"/>
        <charset val="134"/>
      </rPr>
      <t>你学会通过吸取多元宇宙的能量来强化你的攻击。
以一个附赠动作，选择一名在你</t>
    </r>
    <r>
      <rPr>
        <sz val="10"/>
        <color theme="1"/>
        <rFont val="Times New Roman"/>
        <charset val="134"/>
      </rPr>
      <t>30</t>
    </r>
    <r>
      <rPr>
        <sz val="10"/>
        <color theme="1"/>
        <rFont val="宋体"/>
        <charset val="134"/>
      </rPr>
      <t>尺范围内对你可见的角色，这回合你对其的下一次武器攻击造成的伤害变成力场伤害，且目标额外受到来自于该攻击的</t>
    </r>
    <r>
      <rPr>
        <sz val="10"/>
        <color theme="1"/>
        <rFont val="Times New Roman"/>
        <charset val="134"/>
      </rPr>
      <t>1d8</t>
    </r>
    <r>
      <rPr>
        <sz val="10"/>
        <color theme="1"/>
        <rFont val="宋体"/>
        <charset val="134"/>
      </rPr>
      <t>力场伤害，当你的游侠等级到达</t>
    </r>
    <r>
      <rPr>
        <sz val="10"/>
        <color theme="1"/>
        <rFont val="Times New Roman"/>
        <charset val="134"/>
      </rPr>
      <t>11</t>
    </r>
    <r>
      <rPr>
        <sz val="10"/>
        <color theme="1"/>
        <rFont val="宋体"/>
        <charset val="134"/>
      </rPr>
      <t>级时，额外伤害变成</t>
    </r>
    <r>
      <rPr>
        <sz val="10"/>
        <color theme="1"/>
        <rFont val="Times New Roman"/>
        <charset val="134"/>
      </rPr>
      <t>2d8</t>
    </r>
    <r>
      <rPr>
        <sz val="10"/>
        <color theme="1"/>
        <rFont val="宋体"/>
        <charset val="134"/>
      </rPr>
      <t>。</t>
    </r>
  </si>
  <si>
    <r>
      <rPr>
        <sz val="10"/>
        <color theme="1"/>
        <rFont val="宋体"/>
        <charset val="134"/>
      </rPr>
      <t>细致入微</t>
    </r>
  </si>
  <si>
    <r>
      <rPr>
        <sz val="10"/>
        <color theme="1"/>
        <rFont val="宋体"/>
        <charset val="134"/>
      </rPr>
      <t>你可以使用附赠动作来进行一次感知（观察）检定来侦测到一个隐藏的生物或物体，或者是进行一次智力（调查）检定来揭示和破译线索。</t>
    </r>
  </si>
  <si>
    <r>
      <rPr>
        <sz val="10"/>
        <color theme="1"/>
        <rFont val="宋体"/>
        <charset val="134"/>
      </rPr>
      <t>受控混沌</t>
    </r>
  </si>
  <si>
    <r>
      <rPr>
        <sz val="10"/>
        <color theme="1"/>
        <rFont val="宋体"/>
        <charset val="134"/>
      </rPr>
      <t>你获得了对狂野魔法涌动的些微掌控。你每次骰狂野魔法浪涌表时，可以骰两次再自选其一生效。</t>
    </r>
  </si>
  <si>
    <r>
      <rPr>
        <sz val="10"/>
        <color theme="1"/>
        <rFont val="宋体"/>
        <charset val="134"/>
      </rPr>
      <t>当你受到伤害时，你可以以一个反应将自己封锁在冰墓中，冰墓会在你的下一个回合结束时融解。你得到每邪术师等级</t>
    </r>
    <r>
      <rPr>
        <sz val="10"/>
        <color theme="1"/>
        <rFont val="Times New Roman"/>
        <charset val="134"/>
      </rPr>
      <t>10</t>
    </r>
    <r>
      <rPr>
        <sz val="10"/>
        <color theme="1"/>
        <rFont val="宋体"/>
        <charset val="134"/>
      </rPr>
      <t>点的临时生命值，此临时生命值会尽可能的去抵消触发本反应的伤害。不过在受到伤害之后，你会立即获得火焰伤害的易伤，且速度降低至</t>
    </r>
    <r>
      <rPr>
        <sz val="10"/>
        <color theme="1"/>
        <rFont val="Times New Roman"/>
        <charset val="134"/>
      </rPr>
      <t>0</t>
    </r>
    <r>
      <rPr>
        <sz val="10"/>
        <color theme="1"/>
        <rFont val="宋体"/>
        <charset val="134"/>
      </rPr>
      <t>，并且陷入</t>
    </r>
    <r>
      <rPr>
        <sz val="10"/>
        <color theme="1"/>
        <rFont val="Times New Roman"/>
        <charset val="134"/>
      </rPr>
      <t xml:space="preserve"> </t>
    </r>
    <r>
      <rPr>
        <sz val="10"/>
        <color theme="1"/>
        <rFont val="宋体"/>
        <charset val="134"/>
      </rPr>
      <t>失能</t>
    </r>
    <r>
      <rPr>
        <sz val="10"/>
        <color theme="1"/>
        <rFont val="Times New Roman"/>
        <charset val="134"/>
      </rPr>
      <t xml:space="preserve">Incapacitated </t>
    </r>
    <r>
      <rPr>
        <sz val="10"/>
        <color theme="1"/>
        <rFont val="宋体"/>
        <charset val="134"/>
      </rPr>
      <t>状态。这些效果，以及剩余的全部临时生命值，都将在冰墓融解时结束。
使用本祈唤后，直到你完成一次短休或长休前，你都无法再次使用它。
先决条件：第</t>
    </r>
    <r>
      <rPr>
        <sz val="10"/>
        <color theme="1"/>
        <rFont val="Times New Roman"/>
        <charset val="134"/>
      </rPr>
      <t>5</t>
    </r>
    <r>
      <rPr>
        <sz val="10"/>
        <color theme="1"/>
        <rFont val="宋体"/>
        <charset val="134"/>
      </rPr>
      <t>级</t>
    </r>
  </si>
  <si>
    <t>剑歌</t>
  </si>
  <si>
    <r>
      <rPr>
        <sz val="10"/>
        <color theme="1"/>
        <rFont val="宋体"/>
        <charset val="134"/>
      </rPr>
      <t>作为一个附赠动作，你唤起一种被称为剑歌</t>
    </r>
    <r>
      <rPr>
        <sz val="10"/>
        <color theme="1"/>
        <rFont val="Times New Roman"/>
        <charset val="134"/>
      </rPr>
      <t>Bladesong</t>
    </r>
    <r>
      <rPr>
        <sz val="10"/>
        <color theme="1"/>
        <rFont val="宋体"/>
        <charset val="134"/>
      </rPr>
      <t>的精灵魔法，前提是你没有着装护甲或使用盾牌。</t>
    </r>
    <r>
      <rPr>
        <sz val="10"/>
        <color theme="1"/>
        <rFont val="Times New Roman"/>
        <charset val="134"/>
      </rPr>
      <t xml:space="preserve">
</t>
    </r>
    <r>
      <rPr>
        <sz val="10"/>
        <color theme="1"/>
        <rFont val="宋体"/>
        <charset val="134"/>
      </rPr>
      <t>该剑歌持续</t>
    </r>
    <r>
      <rPr>
        <sz val="10"/>
        <color theme="1"/>
        <rFont val="Times New Roman"/>
        <charset val="134"/>
      </rPr>
      <t>1</t>
    </r>
    <r>
      <rPr>
        <sz val="10"/>
        <color theme="1"/>
        <rFont val="宋体"/>
        <charset val="134"/>
      </rPr>
      <t>分钟，并会在你陷入失能状态，着装护甲或盾牌，或者双手并用一把武器发动攻击时提前结束。你可以随时解除剑歌（无需动作）。</t>
    </r>
    <r>
      <rPr>
        <sz val="10"/>
        <color theme="1"/>
        <rFont val="Times New Roman"/>
        <charset val="134"/>
      </rPr>
      <t xml:space="preserve">
</t>
    </r>
    <r>
      <rPr>
        <sz val="10"/>
        <color theme="1"/>
        <rFont val="宋体"/>
        <charset val="134"/>
      </rPr>
      <t>剑歌激活期间，你获得以下增益。你能够唤起剑歌的次数等于你的智力调整值（至少</t>
    </r>
    <r>
      <rPr>
        <sz val="10"/>
        <color theme="1"/>
        <rFont val="Times New Roman"/>
        <charset val="134"/>
      </rPr>
      <t>1</t>
    </r>
    <r>
      <rPr>
        <sz val="10"/>
        <color theme="1"/>
        <rFont val="宋体"/>
        <charset val="134"/>
      </rPr>
      <t>次）。完成一次长休后，你重获所有已消耗的使用次数。当你使用奥术回想时，你会恢复一次已消耗的使用次数。</t>
    </r>
    <r>
      <rPr>
        <sz val="10"/>
        <color theme="1"/>
        <rFont val="Times New Roman"/>
        <charset val="134"/>
      </rPr>
      <t xml:space="preserve">
</t>
    </r>
    <r>
      <rPr>
        <sz val="10"/>
        <color theme="1"/>
        <rFont val="宋体"/>
        <charset val="134"/>
      </rPr>
      <t>灵动</t>
    </r>
    <r>
      <rPr>
        <sz val="10"/>
        <color theme="1"/>
        <rFont val="Times New Roman"/>
        <charset val="134"/>
      </rPr>
      <t xml:space="preserve"> Agility</t>
    </r>
    <r>
      <rPr>
        <sz val="10"/>
        <color theme="1"/>
        <rFont val="宋体"/>
        <charset val="134"/>
      </rPr>
      <t>。你的</t>
    </r>
    <r>
      <rPr>
        <sz val="10"/>
        <color theme="1"/>
        <rFont val="Times New Roman"/>
        <charset val="134"/>
      </rPr>
      <t>AC</t>
    </r>
    <r>
      <rPr>
        <sz val="10"/>
        <color theme="1"/>
        <rFont val="宋体"/>
        <charset val="134"/>
      </rPr>
      <t>获得等同于你智力调整值的加值（最低</t>
    </r>
    <r>
      <rPr>
        <sz val="10"/>
        <color theme="1"/>
        <rFont val="Times New Roman"/>
        <charset val="134"/>
      </rPr>
      <t>+1</t>
    </r>
    <r>
      <rPr>
        <sz val="10"/>
        <color theme="1"/>
        <rFont val="宋体"/>
        <charset val="134"/>
      </rPr>
      <t>），且你的速度增加</t>
    </r>
    <r>
      <rPr>
        <sz val="10"/>
        <color theme="1"/>
        <rFont val="Times New Roman"/>
        <charset val="134"/>
      </rPr>
      <t>10</t>
    </r>
    <r>
      <rPr>
        <sz val="10"/>
        <color theme="1"/>
        <rFont val="宋体"/>
        <charset val="134"/>
      </rPr>
      <t>尺。此外，你进行敏捷（特技）检定时具有优势。</t>
    </r>
    <r>
      <rPr>
        <sz val="10"/>
        <color theme="1"/>
        <rFont val="Times New Roman"/>
        <charset val="134"/>
      </rPr>
      <t xml:space="preserve">
</t>
    </r>
    <r>
      <rPr>
        <sz val="10"/>
        <color theme="1"/>
        <rFont val="宋体"/>
        <charset val="134"/>
      </rPr>
      <t>剑法</t>
    </r>
    <r>
      <rPr>
        <sz val="10"/>
        <color theme="1"/>
        <rFont val="Times New Roman"/>
        <charset val="134"/>
      </rPr>
      <t xml:space="preserve"> Bladework</t>
    </r>
    <r>
      <rPr>
        <sz val="10"/>
        <color theme="1"/>
        <rFont val="宋体"/>
        <charset val="134"/>
      </rPr>
      <t>。当你使用你具有熟练的武器进行攻击时，你可以使用你的智力调整值替代力量或敏捷来进行攻击与伤害掷骰。</t>
    </r>
    <r>
      <rPr>
        <sz val="10"/>
        <color theme="1"/>
        <rFont val="Times New Roman"/>
        <charset val="134"/>
      </rPr>
      <t xml:space="preserve">
</t>
    </r>
    <r>
      <rPr>
        <sz val="10"/>
        <color theme="1"/>
        <rFont val="宋体"/>
        <charset val="134"/>
      </rPr>
      <t>专注</t>
    </r>
    <r>
      <rPr>
        <sz val="10"/>
        <color theme="1"/>
        <rFont val="Times New Roman"/>
        <charset val="134"/>
      </rPr>
      <t xml:space="preserve"> Focus</t>
    </r>
    <r>
      <rPr>
        <sz val="10"/>
        <color theme="1"/>
        <rFont val="宋体"/>
        <charset val="134"/>
      </rPr>
      <t>。当你为维持专注而进行体质豁免时，你可以将你的智力调整值加到掷骰总值当中。</t>
    </r>
  </si>
  <si>
    <t>战地匠师行业工具</t>
  </si>
  <si>
    <r>
      <rPr>
        <sz val="10"/>
        <color theme="1"/>
        <rFont val="宋体"/>
        <charset val="134"/>
      </rPr>
      <t>你获得以下增益。</t>
    </r>
    <r>
      <rPr>
        <sz val="10"/>
        <color theme="1"/>
        <rFont val="Times New Roman"/>
        <charset val="134"/>
      </rPr>
      <t xml:space="preserve">
</t>
    </r>
    <r>
      <rPr>
        <sz val="10"/>
        <color theme="1"/>
        <rFont val="宋体"/>
        <charset val="134"/>
      </rPr>
      <t>工具熟练</t>
    </r>
    <r>
      <rPr>
        <sz val="10"/>
        <color theme="1"/>
        <rFont val="Times New Roman"/>
        <charset val="134"/>
      </rPr>
      <t>Tool Proficiency</t>
    </r>
    <r>
      <rPr>
        <sz val="10"/>
        <color theme="1"/>
        <rFont val="宋体"/>
        <charset val="134"/>
      </rPr>
      <t>。你获得铁匠工具的熟练。如果你已经拥有此熟练，则你获得另一种你选择的工匠工具的熟练。</t>
    </r>
    <r>
      <rPr>
        <sz val="10"/>
        <color theme="1"/>
        <rFont val="Times New Roman"/>
        <charset val="134"/>
      </rPr>
      <t xml:space="preserve">
</t>
    </r>
    <r>
      <rPr>
        <sz val="10"/>
        <color theme="1"/>
        <rFont val="宋体"/>
        <charset val="134"/>
      </rPr>
      <t>武器制造</t>
    </r>
    <r>
      <rPr>
        <sz val="10"/>
        <color theme="1"/>
        <rFont val="Times New Roman"/>
        <charset val="134"/>
      </rPr>
      <t>Weapon Crafting</t>
    </r>
    <r>
      <rPr>
        <sz val="10"/>
        <color theme="1"/>
        <rFont val="宋体"/>
        <charset val="134"/>
      </rPr>
      <t>。当你制造一把非魔法或魔法武器时，制造所需花费的时间减半。</t>
    </r>
  </si>
  <si>
    <t>强固心智</t>
  </si>
  <si>
    <r>
      <rPr>
        <sz val="10"/>
        <color theme="1"/>
        <rFont val="宋体"/>
        <charset val="134"/>
      </rPr>
      <t>在你的回合开始时，你可以消耗一枚灵能骰强化自己的心智以进入坚守模式。接下来的</t>
    </r>
    <r>
      <rPr>
        <sz val="10"/>
        <color theme="1"/>
        <rFont val="Times New Roman"/>
        <charset val="134"/>
      </rPr>
      <t>10</t>
    </r>
    <r>
      <rPr>
        <sz val="10"/>
        <color theme="1"/>
        <rFont val="宋体"/>
        <charset val="134"/>
      </rPr>
      <t>分钟内，你具有心灵伤害的抗性；每当你进行一次智力、感知或魅力豁免检定时，你都可以投掷一次灵能骰并将骰值加入本次豁免检定中。你无法在处于失能状态的情况下使用这一增益。</t>
    </r>
  </si>
  <si>
    <r>
      <rPr>
        <sz val="10"/>
        <color theme="1"/>
        <rFont val="宋体"/>
        <charset val="134"/>
      </rPr>
      <t>精通混种变形</t>
    </r>
  </si>
  <si>
    <r>
      <rPr>
        <sz val="10"/>
        <color theme="1"/>
        <rFont val="宋体"/>
        <charset val="134"/>
      </rPr>
      <t>你与掌控了内心的掠食野兽。你可以无限次使用混种变形特性，且你的混种形态现在可以一直持续，直到你主动解除。
此外，你学会怒号血咒，且不计入你的已知血咒数量。</t>
    </r>
  </si>
  <si>
    <r>
      <rPr>
        <sz val="10"/>
        <color theme="1"/>
        <rFont val="宋体"/>
        <charset val="134"/>
      </rPr>
      <t>淬毒器械</t>
    </r>
  </si>
  <si>
    <r>
      <rPr>
        <sz val="10"/>
        <color theme="1"/>
        <rFont val="宋体"/>
        <charset val="134"/>
      </rPr>
      <t>先决：药剂师等级</t>
    </r>
    <r>
      <rPr>
        <sz val="10"/>
        <color theme="1"/>
        <rFont val="Times New Roman"/>
        <charset val="134"/>
      </rPr>
      <t xml:space="preserve">10+ 
</t>
    </r>
    <r>
      <rPr>
        <sz val="10"/>
        <color theme="1"/>
        <rFont val="宋体"/>
        <charset val="134"/>
      </rPr>
      <t>当你以武器攻击命中一个生物时，该生物需要额外承受等同于你智力调整值的毒素伤害。</t>
    </r>
  </si>
  <si>
    <t>法术射击</t>
  </si>
  <si>
    <t>当你在自己回合执行攻击动作时，你可以将该动作攻击中的一次攻击替换为施展一道施法时间为动作的你的法师戏法。</t>
  </si>
  <si>
    <t>公理缄印（被动）</t>
  </si>
  <si>
    <r>
      <rPr>
        <sz val="10"/>
        <color theme="1"/>
        <rFont val="宋体"/>
        <charset val="134"/>
      </rPr>
      <t>先决：邪狱使等级</t>
    </r>
    <r>
      <rPr>
        <sz val="10"/>
        <color theme="1"/>
        <rFont val="Times New Roman"/>
        <charset val="134"/>
      </rPr>
      <t>7+</t>
    </r>
    <r>
      <rPr>
        <sz val="10"/>
        <color theme="1"/>
        <rFont val="宋体"/>
        <charset val="134"/>
      </rPr>
      <t>（筑灭师）
阿斯蒙蒂斯的隐秘允许你将其显化的力量注入缄印。当你焚灭一枚或更多缄印以对生物造成伤害时，你可以激活此恩惠（无需动作）来将你的魅力调整值加入到每枚缄印的伤害掷骰中。</t>
    </r>
  </si>
  <si>
    <t>重磅拳手</t>
  </si>
  <si>
    <t>当你使用徒手打击的推撞或擒抱选项时，你的体型视为大一级。此外，你带动受擒者移动时，若受擒生物体型不超过你，你无需额外消耗移动力。</t>
  </si>
  <si>
    <t>宴饮领域</t>
  </si>
  <si>
    <r>
      <rPr>
        <sz val="10"/>
        <color theme="1"/>
        <rFont val="宋体"/>
        <charset val="134"/>
      </rPr>
      <t>魔法察觉</t>
    </r>
  </si>
  <si>
    <r>
      <rPr>
        <sz val="10"/>
        <color theme="1"/>
        <rFont val="宋体"/>
        <charset val="134"/>
      </rPr>
      <t>以一个动作，你让你的感官对聚集的魔力的存在保持警觉。直到你的下一个回合结束前，你可以知晓</t>
    </r>
    <r>
      <rPr>
        <sz val="10"/>
        <color theme="1"/>
        <rFont val="Times New Roman"/>
        <charset val="134"/>
      </rPr>
      <t>60</t>
    </r>
    <r>
      <rPr>
        <sz val="10"/>
        <color theme="1"/>
        <rFont val="宋体"/>
        <charset val="134"/>
      </rPr>
      <t>尺内任何对你来说不处于完全掩护的任何法术或者魔法物品的位置。当你察觉到一个法术的存在时，你还能知晓这个法术属于哪一个学派。
你可以使用该能力的次数等于你的熟练加值。每完成一次长休之后你恢复所有已消耗的使用次数。</t>
    </r>
  </si>
  <si>
    <r>
      <rPr>
        <sz val="10"/>
        <color theme="1"/>
        <rFont val="宋体"/>
        <charset val="134"/>
      </rPr>
      <t>渐强创音</t>
    </r>
  </si>
  <si>
    <r>
      <rPr>
        <sz val="10"/>
        <color theme="1"/>
        <rFont val="宋体"/>
        <charset val="134"/>
      </rPr>
      <t>当你使用造物表演特性创造物品时，你可以一次性创造多件物品，其数量等于你的魅力调整值（最低为两件物品）。如果你创造新的物品后，物品的总数超过了这个上限，那么你可以选择你先前创造的物品中的哪几件将会消失不见。你所创造的物品中只有一件可以达到你创造物品的大小峰值，其他的必须是小型或者微型。
你的创造表演特性不再会有创造物品的价值限制。</t>
    </r>
  </si>
  <si>
    <r>
      <rPr>
        <sz val="10"/>
        <color theme="1"/>
        <rFont val="宋体"/>
        <charset val="134"/>
      </rPr>
      <t>生死轮回</t>
    </r>
  </si>
  <si>
    <r>
      <rPr>
        <sz val="10"/>
        <color theme="1"/>
        <rFont val="宋体"/>
        <charset val="134"/>
      </rPr>
      <t>你获得了操控生死之线的能力。当你使用法术，投掷一枚或多枚骰子用于恢复生命值为</t>
    </r>
    <r>
      <rPr>
        <sz val="10"/>
        <color theme="1"/>
        <rFont val="Times New Roman"/>
        <charset val="134"/>
      </rPr>
      <t>0</t>
    </r>
    <r>
      <rPr>
        <sz val="10"/>
        <color theme="1"/>
        <rFont val="宋体"/>
        <charset val="134"/>
      </rPr>
      <t>的生物的生命时，你的每粒治疗骰子都被视为骰出了满值。
此外，你习得戏法</t>
    </r>
    <r>
      <rPr>
        <sz val="10"/>
        <color theme="1"/>
        <rFont val="Times New Roman"/>
        <charset val="134"/>
      </rPr>
      <t xml:space="preserve"> </t>
    </r>
    <r>
      <rPr>
        <sz val="10"/>
        <color theme="1"/>
        <rFont val="宋体"/>
        <charset val="134"/>
      </rPr>
      <t>维生术</t>
    </r>
    <r>
      <rPr>
        <sz val="10"/>
        <color theme="1"/>
        <rFont val="Times New Roman"/>
        <charset val="134"/>
      </rPr>
      <t xml:space="preserve">spare the dying </t>
    </r>
    <r>
      <rPr>
        <sz val="10"/>
        <color theme="1"/>
        <rFont val="宋体"/>
        <charset val="134"/>
      </rPr>
      <t>，其不计入你已知的牧师戏法数中。对你来说，此戏法具有</t>
    </r>
    <r>
      <rPr>
        <sz val="10"/>
        <color theme="1"/>
        <rFont val="Times New Roman"/>
        <charset val="134"/>
      </rPr>
      <t>30</t>
    </r>
    <r>
      <rPr>
        <sz val="10"/>
        <color theme="1"/>
        <rFont val="宋体"/>
        <charset val="134"/>
      </rPr>
      <t>尺的施法范围，且你可以选择用附赠动作来施展它。</t>
    </r>
  </si>
  <si>
    <r>
      <rPr>
        <sz val="10"/>
        <color theme="1"/>
        <rFont val="宋体"/>
        <charset val="134"/>
      </rPr>
      <t>梦境行者</t>
    </r>
  </si>
  <si>
    <r>
      <rPr>
        <sz val="10"/>
        <color theme="1"/>
        <rFont val="宋体"/>
        <charset val="134"/>
      </rPr>
      <t>妖精荒野的魔力让你能物理性或精神性地穿越梦境空间。
当你完成了一次短休息，你可以施展以下法术之一，无需消耗法术位也无需材料成分：托梦术（以你作为信使）、探知、或传送法阵。
以这种方法使用的传送法阵是特别的。
取代了打开入口通往永久性传送法阵的能力，它将打开入口通往你在现存位面上完成最后一次长休息的所在地。
如果你没有在现存位面上进行过长休息，这个法术会失败但不会浪费。
一旦你使用这个能力，直到你结束长休之前你不能再次使用。</t>
    </r>
  </si>
  <si>
    <r>
      <rPr>
        <sz val="10"/>
        <color theme="1"/>
        <rFont val="宋体"/>
        <charset val="134"/>
      </rPr>
      <t>百折不挠</t>
    </r>
  </si>
  <si>
    <r>
      <rPr>
        <sz val="10"/>
        <color theme="1"/>
        <rFont val="宋体"/>
        <charset val="134"/>
      </rPr>
      <t>你持续战斗的能力达到巅峰，赋予了你以下好处：
蔑视死亡</t>
    </r>
    <r>
      <rPr>
        <sz val="10"/>
        <color theme="1"/>
        <rFont val="Times New Roman"/>
        <charset val="134"/>
      </rPr>
      <t>Defy Death</t>
    </r>
    <r>
      <rPr>
        <sz val="10"/>
        <color theme="1"/>
        <rFont val="宋体"/>
        <charset val="134"/>
      </rPr>
      <t>。你进行死亡豁免时具有优势。此外，若你在死亡豁免上投出了</t>
    </r>
    <r>
      <rPr>
        <sz val="10"/>
        <color theme="1"/>
        <rFont val="Times New Roman"/>
        <charset val="134"/>
      </rPr>
      <t>18~20</t>
    </r>
    <r>
      <rPr>
        <sz val="10"/>
        <color theme="1"/>
        <rFont val="宋体"/>
        <charset val="134"/>
      </rPr>
      <t>时，都会获得相当于投出</t>
    </r>
    <r>
      <rPr>
        <sz val="10"/>
        <color theme="1"/>
        <rFont val="Times New Roman"/>
        <charset val="134"/>
      </rPr>
      <t>20</t>
    </r>
    <r>
      <rPr>
        <sz val="10"/>
        <color theme="1"/>
        <rFont val="宋体"/>
        <charset val="134"/>
      </rPr>
      <t>的好处。
英气风发</t>
    </r>
    <r>
      <rPr>
        <sz val="10"/>
        <color theme="1"/>
        <rFont val="Times New Roman"/>
        <charset val="134"/>
      </rPr>
      <t>Heroic Rally</t>
    </r>
    <r>
      <rPr>
        <sz val="10"/>
        <color theme="1"/>
        <rFont val="宋体"/>
        <charset val="134"/>
      </rPr>
      <t>。你每回合开始时，若你已浴血且拥有至少</t>
    </r>
    <r>
      <rPr>
        <sz val="10"/>
        <color theme="1"/>
        <rFont val="Times New Roman"/>
        <charset val="134"/>
      </rPr>
      <t>1</t>
    </r>
    <r>
      <rPr>
        <sz val="10"/>
        <color theme="1"/>
        <rFont val="宋体"/>
        <charset val="134"/>
      </rPr>
      <t>点生命值，你恢复相当于</t>
    </r>
    <r>
      <rPr>
        <sz val="10"/>
        <color theme="1"/>
        <rFont val="Times New Roman"/>
        <charset val="134"/>
      </rPr>
      <t>5</t>
    </r>
    <r>
      <rPr>
        <sz val="10"/>
        <color theme="1"/>
        <rFont val="宋体"/>
        <charset val="134"/>
      </rPr>
      <t>＋你的体质调整值的生命值。</t>
    </r>
  </si>
  <si>
    <r>
      <rPr>
        <sz val="10"/>
        <color theme="1"/>
        <rFont val="宋体"/>
        <charset val="134"/>
      </rPr>
      <t>剑圣之途</t>
    </r>
  </si>
  <si>
    <r>
      <rPr>
        <sz val="10"/>
        <color theme="1"/>
        <rFont val="宋体"/>
        <charset val="134"/>
      </rPr>
      <t>你特殊的武术训练使你精通于某些特定武器使用技巧。
这一流派同时还包括了对书画艺术的研究。你获得以下好处：
剑圣武器</t>
    </r>
    <r>
      <rPr>
        <sz val="10"/>
        <color theme="1"/>
        <rFont val="Times New Roman"/>
        <charset val="134"/>
      </rPr>
      <t>:</t>
    </r>
    <r>
      <rPr>
        <sz val="10"/>
        <color theme="1"/>
        <rFont val="宋体"/>
        <charset val="134"/>
      </rPr>
      <t>选择两种武器作为你的剑圣武器，一种近战武器和一种远程武器。
这两种武器可以在不带有重型和特殊属性的简易或军用武器中任选。
长弓也算在内。
如果你还未拥有所选武器的熟练项，你获得之。
所选武器算作你的武僧武器。
这一宗派的许多职业特性只有当你使用剑圣武器时才能生效。
当你的武僧职业等级分别达到第</t>
    </r>
    <r>
      <rPr>
        <sz val="10"/>
        <color theme="1"/>
        <rFont val="Times New Roman"/>
        <charset val="134"/>
      </rPr>
      <t>6</t>
    </r>
    <r>
      <rPr>
        <sz val="10"/>
        <color theme="1"/>
        <rFont val="宋体"/>
        <charset val="134"/>
      </rPr>
      <t>级、第</t>
    </r>
    <r>
      <rPr>
        <sz val="10"/>
        <color theme="1"/>
        <rFont val="Times New Roman"/>
        <charset val="134"/>
      </rPr>
      <t>11</t>
    </r>
    <r>
      <rPr>
        <sz val="10"/>
        <color theme="1"/>
        <rFont val="宋体"/>
        <charset val="134"/>
      </rPr>
      <t>级和第</t>
    </r>
    <r>
      <rPr>
        <sz val="10"/>
        <color theme="1"/>
        <rFont val="Times New Roman"/>
        <charset val="134"/>
      </rPr>
      <t>17</t>
    </r>
    <r>
      <rPr>
        <sz val="10"/>
        <color theme="1"/>
        <rFont val="宋体"/>
        <charset val="134"/>
      </rPr>
      <t>级时，你可以遵从上述标准，选择另一种武器</t>
    </r>
    <r>
      <rPr>
        <sz val="10"/>
        <color theme="1"/>
        <rFont val="Times New Roman"/>
        <charset val="134"/>
      </rPr>
      <t>——</t>
    </r>
    <r>
      <rPr>
        <sz val="10"/>
        <color theme="1"/>
        <rFont val="宋体"/>
        <charset val="134"/>
      </rPr>
      <t>近战或远程武器均可</t>
    </r>
    <r>
      <rPr>
        <sz val="10"/>
        <color theme="1"/>
        <rFont val="Times New Roman"/>
        <charset val="134"/>
      </rPr>
      <t>——</t>
    </r>
    <r>
      <rPr>
        <sz val="10"/>
        <color theme="1"/>
        <rFont val="宋体"/>
        <charset val="134"/>
      </rPr>
      <t>作为你的剑圣武器。
灵巧格挡：如果你持握一件剑圣武器，并在你的回合中进行了一次徒手攻击作为攻击动作的一部分，若该武器是近战武器，则你可以用它来保护自己。
直到你的下回合开始之前你的</t>
    </r>
    <r>
      <rPr>
        <sz val="10"/>
        <color theme="1"/>
        <rFont val="Times New Roman"/>
        <charset val="134"/>
      </rPr>
      <t>AC</t>
    </r>
    <r>
      <rPr>
        <sz val="10"/>
        <color theme="1"/>
        <rFont val="宋体"/>
        <charset val="134"/>
      </rPr>
      <t>获得</t>
    </r>
    <r>
      <rPr>
        <sz val="10"/>
        <color theme="1"/>
        <rFont val="Times New Roman"/>
        <charset val="134"/>
      </rPr>
      <t>+2</t>
    </r>
    <r>
      <rPr>
        <sz val="10"/>
        <color theme="1"/>
        <rFont val="宋体"/>
        <charset val="134"/>
      </rPr>
      <t>加值，只要武器还在你的手中且你未陷入失能状态。
持弓审固：你可以在你的回合中使用一次附赠动作使你的剑圣武器远程攻击变得更为致命。
当你这样做时，你用剑圣武器发动的远程攻击所命中的任何目标将会额外受到</t>
    </r>
    <r>
      <rPr>
        <sz val="10"/>
        <color theme="1"/>
        <rFont val="Times New Roman"/>
        <charset val="134"/>
      </rPr>
      <t>1d4</t>
    </r>
    <r>
      <rPr>
        <sz val="10"/>
        <color theme="1"/>
        <rFont val="宋体"/>
        <charset val="134"/>
      </rPr>
      <t>点该武器的属性种类的伤害。
你保留这一好处直到当前回合结束。
书画之道：你在书法工具或画家工具中选择其一，获得熟练项。</t>
    </r>
  </si>
  <si>
    <r>
      <rPr>
        <sz val="10"/>
        <color theme="1"/>
        <rFont val="宋体"/>
        <charset val="134"/>
      </rPr>
      <t>征服光环</t>
    </r>
  </si>
  <si>
    <r>
      <rPr>
        <sz val="10"/>
        <color theme="1"/>
        <rFont val="宋体"/>
        <charset val="134"/>
      </rPr>
      <t>只要你并未失能，你便弥漫出一阵威吓的灵光。
光环包括你的格子，从你向各个方向延伸</t>
    </r>
    <r>
      <rPr>
        <sz val="10"/>
        <color theme="1"/>
        <rFont val="Times New Roman"/>
        <charset val="134"/>
      </rPr>
      <t>10</t>
    </r>
    <r>
      <rPr>
        <sz val="10"/>
        <color theme="1"/>
        <rFont val="宋体"/>
        <charset val="134"/>
      </rPr>
      <t>英尺，它会被全掩蔽所阻挡。
若一个生物恐慌于你，当其处于此光环内，其速度降为</t>
    </r>
    <r>
      <rPr>
        <sz val="10"/>
        <color theme="1"/>
        <rFont val="Times New Roman"/>
        <charset val="134"/>
      </rPr>
      <t>0</t>
    </r>
    <r>
      <rPr>
        <sz val="10"/>
        <color theme="1"/>
        <rFont val="宋体"/>
        <charset val="134"/>
      </rPr>
      <t>，若其在光环内开始其回合，则受到等于你圣武士等级一半的心灵伤害。
在</t>
    </r>
    <r>
      <rPr>
        <sz val="10"/>
        <color theme="1"/>
        <rFont val="Times New Roman"/>
        <charset val="134"/>
      </rPr>
      <t>18</t>
    </r>
    <r>
      <rPr>
        <sz val="10"/>
        <color theme="1"/>
        <rFont val="宋体"/>
        <charset val="134"/>
      </rPr>
      <t>级，此光环的距离增加到</t>
    </r>
    <r>
      <rPr>
        <sz val="10"/>
        <color theme="1"/>
        <rFont val="Times New Roman"/>
        <charset val="134"/>
      </rPr>
      <t>30</t>
    </r>
    <r>
      <rPr>
        <sz val="10"/>
        <color theme="1"/>
        <rFont val="宋体"/>
        <charset val="134"/>
      </rPr>
      <t>英尺。</t>
    </r>
  </si>
  <si>
    <r>
      <rPr>
        <sz val="10"/>
        <color theme="1"/>
        <rFont val="宋体"/>
        <charset val="134"/>
      </rPr>
      <t>灵界漫步</t>
    </r>
  </si>
  <si>
    <r>
      <rPr>
        <sz val="10"/>
        <color theme="1"/>
        <rFont val="宋体"/>
        <charset val="134"/>
      </rPr>
      <t>你学会如何进入灵界位面。
以一个附赠动作，你能够以这个特性不消耗法术位施放同游灵界，但是这个法术在当前回合结束时结束，你使用该特性后，你无法再次使用直到你进行完一次短休或长休。</t>
    </r>
  </si>
  <si>
    <r>
      <rPr>
        <sz val="10"/>
        <color theme="1"/>
        <rFont val="宋体"/>
        <charset val="134"/>
      </rPr>
      <t>战斗洞察</t>
    </r>
  </si>
  <si>
    <r>
      <rPr>
        <sz val="10"/>
        <color theme="1"/>
        <rFont val="宋体"/>
        <charset val="134"/>
      </rPr>
      <t>你得到了解到一个敌人的战术并加以反制的能力。
以一个附赠动作，你对于一个你能看见的，并非失能的生物进行一次感知（洞察）检定，对抗目标的魅力（欺瞒）检定。
若你成功，你可以在你并未对该生物具有优势时对他发动偷袭攻击，但在你的攻击骰有劣势时不行。
这个效果持续</t>
    </r>
    <r>
      <rPr>
        <sz val="10"/>
        <color theme="1"/>
        <rFont val="Times New Roman"/>
        <charset val="134"/>
      </rPr>
      <t>1</t>
    </r>
    <r>
      <rPr>
        <sz val="10"/>
        <color theme="1"/>
        <rFont val="宋体"/>
        <charset val="134"/>
      </rPr>
      <t>分钟或直到你成功的对另一个目标使用了战斗洞察为止。</t>
    </r>
  </si>
  <si>
    <r>
      <rPr>
        <sz val="10"/>
        <color theme="1"/>
        <rFont val="宋体"/>
        <charset val="134"/>
      </rPr>
      <t>驯服浪涌</t>
    </r>
  </si>
  <si>
    <r>
      <rPr>
        <sz val="10"/>
        <color theme="1"/>
        <rFont val="宋体"/>
        <charset val="134"/>
      </rPr>
      <t>你使用法术位施放一道术士法术之后，可以立即创造一种从狂野魔法浪涌表中选择的效应而非在其上掷骰。你可以选择表中任何除了最后一行的效应，且如果你选择的效应包含掷骰，则你必须掷骰。
此特性一经使用，直至完成长休你都无法再次使用。</t>
    </r>
  </si>
  <si>
    <r>
      <rPr>
        <sz val="10"/>
        <color theme="1"/>
        <rFont val="宋体"/>
        <charset val="134"/>
      </rPr>
      <t>一张新的书页出现在你的影之书中。在你的允许之下，一个生物可以使用一个动作来将他的名字写在这一页上，这一页能包括的名字数量等于你的熟练加值。
你可以以一个名字在这一页上的生物为目标，施展法术</t>
    </r>
    <r>
      <rPr>
        <sz val="10"/>
        <color theme="1"/>
        <rFont val="Times New Roman"/>
        <charset val="134"/>
      </rPr>
      <t xml:space="preserve"> </t>
    </r>
    <r>
      <rPr>
        <sz val="10"/>
        <color theme="1"/>
        <rFont val="宋体"/>
        <charset val="134"/>
      </rPr>
      <t>短讯术</t>
    </r>
    <r>
      <rPr>
        <sz val="10"/>
        <color theme="1"/>
        <rFont val="Times New Roman"/>
        <charset val="134"/>
      </rPr>
      <t xml:space="preserve">mending </t>
    </r>
    <r>
      <rPr>
        <sz val="10"/>
        <color theme="1"/>
        <rFont val="宋体"/>
        <charset val="134"/>
      </rPr>
      <t>，无需法术位与法术的材料成分。不过，你必须将传讯写在这一页上来施展它。目标将在他们的意识中听到这个传讯，且如果目标回复了传讯，他们的回复将会出现在书页上而不是在你的意识中。这些文字会在一分钟后消失。
你也可以使用一个动作，触摸书页上的一条名字，魔法性的消除它。
先决条件：第</t>
    </r>
    <r>
      <rPr>
        <sz val="10"/>
        <color theme="1"/>
        <rFont val="Times New Roman"/>
        <charset val="134"/>
      </rPr>
      <t>5</t>
    </r>
    <r>
      <rPr>
        <sz val="10"/>
        <color theme="1"/>
        <rFont val="宋体"/>
        <charset val="134"/>
      </rPr>
      <t>级邪术师，书之魔契</t>
    </r>
  </si>
  <si>
    <t>战歌训练</t>
  </si>
  <si>
    <r>
      <rPr>
        <sz val="10"/>
        <color theme="1"/>
        <rFont val="宋体"/>
        <charset val="134"/>
      </rPr>
      <t>你获得所有不具有双手及重型词条的近战军用武器熟练。你可以使用你具有熟练的近战武器作为你法师法术的施法法器。</t>
    </r>
    <r>
      <rPr>
        <sz val="10"/>
        <color theme="1"/>
        <rFont val="Times New Roman"/>
        <charset val="134"/>
      </rPr>
      <t xml:space="preserve">
</t>
    </r>
    <r>
      <rPr>
        <sz val="10"/>
        <color theme="1"/>
        <rFont val="宋体"/>
        <charset val="134"/>
      </rPr>
      <t>此外，你获得下列你所选择的一项技能的熟练：特技、运动、表演或游说。</t>
    </r>
  </si>
  <si>
    <t>战地匠师法术</t>
  </si>
  <si>
    <r>
      <rPr>
        <sz val="10"/>
        <color theme="1"/>
        <rFont val="宋体"/>
        <charset val="134"/>
      </rPr>
      <t>在达到下方战地匠师法术列表中列出特定奇械师等级时，你将始终准备着等级对应的法术。</t>
    </r>
    <r>
      <rPr>
        <sz val="10"/>
        <color theme="1"/>
        <rFont val="Times New Roman"/>
        <charset val="134"/>
      </rPr>
      <t xml:space="preserve"> 
</t>
    </r>
    <r>
      <rPr>
        <sz val="10"/>
        <color theme="1"/>
        <rFont val="宋体"/>
        <charset val="134"/>
      </rPr>
      <t>战地匠师法术</t>
    </r>
    <r>
      <rPr>
        <sz val="10"/>
        <color theme="1"/>
        <rFont val="Times New Roman"/>
        <charset val="134"/>
      </rPr>
      <t xml:space="preserve">Battle Smith Spells </t>
    </r>
    <r>
      <rPr>
        <sz val="10"/>
        <color theme="1"/>
        <rFont val="宋体"/>
        <charset val="134"/>
      </rPr>
      <t>奇械师等级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英雄气概</t>
    </r>
    <r>
      <rPr>
        <sz val="10"/>
        <color theme="1"/>
        <rFont val="Times New Roman"/>
        <charset val="134"/>
      </rPr>
      <t>heroism</t>
    </r>
    <r>
      <rPr>
        <sz val="10"/>
        <color theme="1"/>
        <rFont val="宋体"/>
        <charset val="134"/>
      </rPr>
      <t>，护盾术</t>
    </r>
    <r>
      <rPr>
        <sz val="10"/>
        <color theme="1"/>
        <rFont val="Times New Roman"/>
        <charset val="134"/>
      </rPr>
      <t xml:space="preserve">shield  
5 </t>
    </r>
    <r>
      <rPr>
        <sz val="10"/>
        <color theme="1"/>
        <rFont val="宋体"/>
        <charset val="134"/>
      </rPr>
      <t>闪耀斩</t>
    </r>
    <r>
      <rPr>
        <sz val="10"/>
        <color theme="1"/>
        <rFont val="Times New Roman"/>
        <charset val="134"/>
      </rPr>
      <t>Shining smite</t>
    </r>
    <r>
      <rPr>
        <sz val="10"/>
        <color theme="1"/>
        <rFont val="宋体"/>
        <charset val="134"/>
      </rPr>
      <t>，守护之链</t>
    </r>
    <r>
      <rPr>
        <sz val="10"/>
        <color theme="1"/>
        <rFont val="Times New Roman"/>
        <charset val="134"/>
      </rPr>
      <t xml:space="preserve">warding bond  
9 </t>
    </r>
    <r>
      <rPr>
        <sz val="10"/>
        <color theme="1"/>
        <rFont val="宋体"/>
        <charset val="134"/>
      </rPr>
      <t>活力灵光</t>
    </r>
    <r>
      <rPr>
        <sz val="10"/>
        <color theme="1"/>
        <rFont val="Times New Roman"/>
        <charset val="134"/>
      </rPr>
      <t>aura of vitality</t>
    </r>
    <r>
      <rPr>
        <sz val="10"/>
        <color theme="1"/>
        <rFont val="宋体"/>
        <charset val="134"/>
      </rPr>
      <t>，箭如雨下</t>
    </r>
    <r>
      <rPr>
        <sz val="10"/>
        <color theme="1"/>
        <rFont val="Times New Roman"/>
        <charset val="134"/>
      </rPr>
      <t xml:space="preserve">conjure barrage  
13 </t>
    </r>
    <r>
      <rPr>
        <sz val="10"/>
        <color theme="1"/>
        <rFont val="宋体"/>
        <charset val="134"/>
      </rPr>
      <t>净化灵光</t>
    </r>
    <r>
      <rPr>
        <sz val="10"/>
        <color theme="1"/>
        <rFont val="Times New Roman"/>
        <charset val="134"/>
      </rPr>
      <t>aura of purity</t>
    </r>
    <r>
      <rPr>
        <sz val="10"/>
        <color theme="1"/>
        <rFont val="宋体"/>
        <charset val="134"/>
      </rPr>
      <t>，火焰护盾</t>
    </r>
    <r>
      <rPr>
        <sz val="10"/>
        <color theme="1"/>
        <rFont val="Times New Roman"/>
        <charset val="134"/>
      </rPr>
      <t xml:space="preserve">fire shield  
17 </t>
    </r>
    <r>
      <rPr>
        <sz val="10"/>
        <color theme="1"/>
        <rFont val="宋体"/>
        <charset val="134"/>
      </rPr>
      <t>放逐斩</t>
    </r>
    <r>
      <rPr>
        <sz val="10"/>
        <color theme="1"/>
        <rFont val="Times New Roman"/>
        <charset val="134"/>
      </rPr>
      <t>banishing smite</t>
    </r>
    <r>
      <rPr>
        <sz val="10"/>
        <color theme="1"/>
        <rFont val="宋体"/>
        <charset val="134"/>
      </rPr>
      <t>，群体疗伤术</t>
    </r>
    <r>
      <rPr>
        <sz val="10"/>
        <color theme="1"/>
        <rFont val="Times New Roman"/>
        <charset val="134"/>
      </rPr>
      <t xml:space="preserve">mass cure wounds  </t>
    </r>
  </si>
  <si>
    <r>
      <rPr>
        <sz val="10"/>
        <color theme="1"/>
        <rFont val="宋体"/>
        <charset val="134"/>
      </rPr>
      <t>思维潜能</t>
    </r>
  </si>
  <si>
    <r>
      <rPr>
        <sz val="10"/>
        <color theme="1"/>
        <rFont val="宋体"/>
        <charset val="134"/>
      </rPr>
      <t>你拥有</t>
    </r>
    <r>
      <rPr>
        <sz val="10"/>
        <color theme="1"/>
        <rFont val="Times New Roman"/>
        <charset val="134"/>
      </rPr>
      <t>60</t>
    </r>
    <r>
      <rPr>
        <sz val="10"/>
        <color theme="1"/>
        <rFont val="宋体"/>
        <charset val="134"/>
      </rPr>
      <t>尺范围的心灵感应。此外，你在使用任何灵能使戏法造成的伤害中加入你的智力调整值。</t>
    </r>
  </si>
  <si>
    <r>
      <rPr>
        <sz val="10"/>
        <color theme="1"/>
        <rFont val="宋体"/>
        <charset val="134"/>
      </rPr>
      <t>诱变技艺</t>
    </r>
  </si>
  <si>
    <r>
      <rPr>
        <sz val="10"/>
        <color theme="1"/>
        <rFont val="宋体"/>
        <charset val="134"/>
      </rPr>
      <t>从你选择此范型开始，你学会禁忌的，被称为诱变剂的炼金法门，它们可以暂时改变你的精神和身体。
作为附赠动作，你消耗一种诱变剂，除非另有说明，否则其效果和副作用将持续到你完成一次短休或长休。当一种或多种诱变剂影响您时，你可以使用一个动作，集中精神并清除体内的所有诱变剂，从而结束它们的效果和副作用。
诱变剂是为炮制它们的角色的生理设计的，所以你的诱变剂对其他生物没有效果。它们本质上也是不稳定的，随着时间的推移会失去效力，如果在你完成下一次短休或长休之前不使用，诱变剂就会失去效果。
血猎手等级</t>
    </r>
    <r>
      <rPr>
        <sz val="10"/>
        <color theme="1"/>
        <rFont val="Times New Roman"/>
        <charset val="134"/>
      </rPr>
      <t xml:space="preserve"> </t>
    </r>
    <r>
      <rPr>
        <sz val="10"/>
        <color theme="1"/>
        <rFont val="宋体"/>
        <charset val="134"/>
      </rPr>
      <t>可制作的诱变剂</t>
    </r>
    <r>
      <rPr>
        <sz val="10"/>
        <color theme="1"/>
        <rFont val="Times New Roman"/>
        <charset val="134"/>
      </rPr>
      <t xml:space="preserve"> </t>
    </r>
    <r>
      <rPr>
        <sz val="10"/>
        <color theme="1"/>
        <rFont val="宋体"/>
        <charset val="134"/>
      </rPr>
      <t xml:space="preserve">已知炼金公式
</t>
    </r>
    <r>
      <rPr>
        <sz val="10"/>
        <color theme="1"/>
        <rFont val="Times New Roman"/>
        <charset val="134"/>
      </rPr>
      <t>3 1 4
7 2 5
11 2 6
15 3 7
18 3 8</t>
    </r>
  </si>
  <si>
    <r>
      <rPr>
        <sz val="10"/>
        <color theme="1"/>
        <rFont val="宋体"/>
        <charset val="134"/>
      </rPr>
      <t>大公式</t>
    </r>
  </si>
  <si>
    <r>
      <rPr>
        <sz val="10"/>
        <color theme="1"/>
        <rFont val="宋体"/>
        <charset val="134"/>
      </rPr>
      <t>你发现了一种名为大公式的魔法秘密。从药剂师法术列表中选择一个</t>
    </r>
    <r>
      <rPr>
        <sz val="10"/>
        <color theme="1"/>
        <rFont val="Times New Roman"/>
        <charset val="134"/>
      </rPr>
      <t>6</t>
    </r>
    <r>
      <rPr>
        <sz val="10"/>
        <color theme="1"/>
        <rFont val="宋体"/>
        <charset val="134"/>
      </rPr>
      <t>环法术作为此公式。
你可以在不消耗法术位的情况下施展一次你的大公式。你必须在完成一次长休之后才能再次这样做。
在更高等级，你获得更多能被你选择，并以此法施展的药剂师法术：</t>
    </r>
    <r>
      <rPr>
        <sz val="10"/>
        <color theme="1"/>
        <rFont val="Times New Roman"/>
        <charset val="134"/>
      </rPr>
      <t>13</t>
    </r>
    <r>
      <rPr>
        <sz val="10"/>
        <color theme="1"/>
        <rFont val="宋体"/>
        <charset val="134"/>
      </rPr>
      <t>级获得一个</t>
    </r>
    <r>
      <rPr>
        <sz val="10"/>
        <color theme="1"/>
        <rFont val="Times New Roman"/>
        <charset val="134"/>
      </rPr>
      <t>7</t>
    </r>
    <r>
      <rPr>
        <sz val="10"/>
        <color theme="1"/>
        <rFont val="宋体"/>
        <charset val="134"/>
      </rPr>
      <t>环法术，</t>
    </r>
    <r>
      <rPr>
        <sz val="10"/>
        <color theme="1"/>
        <rFont val="Times New Roman"/>
        <charset val="134"/>
      </rPr>
      <t>15</t>
    </r>
    <r>
      <rPr>
        <sz val="10"/>
        <color theme="1"/>
        <rFont val="宋体"/>
        <charset val="134"/>
      </rPr>
      <t>级获得一个</t>
    </r>
    <r>
      <rPr>
        <sz val="10"/>
        <color theme="1"/>
        <rFont val="Times New Roman"/>
        <charset val="134"/>
      </rPr>
      <t>8</t>
    </r>
    <r>
      <rPr>
        <sz val="10"/>
        <color theme="1"/>
        <rFont val="宋体"/>
        <charset val="134"/>
      </rPr>
      <t>环法术，</t>
    </r>
    <r>
      <rPr>
        <sz val="10"/>
        <color theme="1"/>
        <rFont val="Times New Roman"/>
        <charset val="134"/>
      </rPr>
      <t>17</t>
    </r>
    <r>
      <rPr>
        <sz val="10"/>
        <color theme="1"/>
        <rFont val="宋体"/>
        <charset val="134"/>
      </rPr>
      <t>级获得一个</t>
    </r>
    <r>
      <rPr>
        <sz val="10"/>
        <color theme="1"/>
        <rFont val="Times New Roman"/>
        <charset val="134"/>
      </rPr>
      <t>9</t>
    </r>
    <r>
      <rPr>
        <sz val="10"/>
        <color theme="1"/>
        <rFont val="宋体"/>
        <charset val="134"/>
      </rPr>
      <t>环法术。你能在</t>
    </r>
    <r>
      <rPr>
        <sz val="10"/>
        <color theme="1"/>
        <rFont val="Times New Roman"/>
        <charset val="134"/>
      </rPr>
      <t>19</t>
    </r>
    <r>
      <rPr>
        <sz val="10"/>
        <color theme="1"/>
        <rFont val="宋体"/>
        <charset val="134"/>
      </rPr>
      <t>级习得额外一个</t>
    </r>
    <r>
      <rPr>
        <sz val="10"/>
        <color theme="1"/>
        <rFont val="Times New Roman"/>
        <charset val="134"/>
      </rPr>
      <t>6</t>
    </r>
    <r>
      <rPr>
        <sz val="10"/>
        <color theme="1"/>
        <rFont val="宋体"/>
        <charset val="134"/>
      </rPr>
      <t>环法术，并在</t>
    </r>
    <r>
      <rPr>
        <sz val="10"/>
        <color theme="1"/>
        <rFont val="Times New Roman"/>
        <charset val="134"/>
      </rPr>
      <t>20</t>
    </r>
    <r>
      <rPr>
        <sz val="10"/>
        <color theme="1"/>
        <rFont val="宋体"/>
        <charset val="134"/>
      </rPr>
      <t>级习得额外一个</t>
    </r>
    <r>
      <rPr>
        <sz val="10"/>
        <color theme="1"/>
        <rFont val="Times New Roman"/>
        <charset val="134"/>
      </rPr>
      <t>7</t>
    </r>
    <r>
      <rPr>
        <sz val="10"/>
        <color theme="1"/>
        <rFont val="宋体"/>
        <charset val="134"/>
      </rPr>
      <t>环法术。
当你完成一次长休后，你恢复所有使用次数。
主宰重组</t>
    </r>
    <r>
      <rPr>
        <sz val="10"/>
        <color theme="1"/>
        <rFont val="Times New Roman"/>
        <charset val="134"/>
      </rPr>
      <t>Master Reformulation</t>
    </r>
    <r>
      <rPr>
        <sz val="10"/>
        <color theme="1"/>
        <rFont val="宋体"/>
        <charset val="134"/>
      </rPr>
      <t>。当你完成一次长休并查阅了你的公式书时，你可以用药剂师法术列表中的另一个相同环阶法术，替换你以此特性获得的一个法术。</t>
    </r>
  </si>
  <si>
    <t>施法反制</t>
  </si>
  <si>
    <r>
      <rPr>
        <sz val="10"/>
        <color theme="1"/>
        <rFont val="宋体"/>
        <charset val="134"/>
      </rPr>
      <t>你对抗施法者的经验赋予你以下增益。</t>
    </r>
    <r>
      <rPr>
        <sz val="10"/>
        <color theme="1"/>
        <rFont val="Times New Roman"/>
        <charset val="134"/>
      </rPr>
      <t xml:space="preserve">
</t>
    </r>
    <r>
      <rPr>
        <sz val="10"/>
        <color theme="1"/>
        <rFont val="宋体"/>
        <charset val="134"/>
      </rPr>
      <t>破除防护</t>
    </r>
    <r>
      <rPr>
        <sz val="10"/>
        <color theme="1"/>
        <rFont val="Times New Roman"/>
        <charset val="134"/>
      </rPr>
      <t>Abjuration-Breaker</t>
    </r>
    <r>
      <rPr>
        <sz val="10"/>
        <color theme="1"/>
        <rFont val="宋体"/>
        <charset val="134"/>
      </rPr>
      <t>。每当你进行远程攻击检定时，你暂时扰乱目标身上的防护魔法效应。攻击期间，以该生物为目标的法术效应（如法师护甲</t>
    </r>
    <r>
      <rPr>
        <sz val="10"/>
        <color theme="1"/>
        <rFont val="Times New Roman"/>
        <charset val="134"/>
      </rPr>
      <t xml:space="preserve">Mage Armor </t>
    </r>
    <r>
      <rPr>
        <sz val="10"/>
        <color theme="1"/>
        <rFont val="宋体"/>
        <charset val="134"/>
      </rPr>
      <t>）以及目标正着装或持用的魔法物品的词条及力量将被抑制且无法生效。此次攻击的目标也无法以反应施展护盾术等法术来应对攻击或伤害。</t>
    </r>
    <r>
      <rPr>
        <sz val="10"/>
        <color theme="1"/>
        <rFont val="Times New Roman"/>
        <charset val="134"/>
      </rPr>
      <t xml:space="preserve">
</t>
    </r>
    <r>
      <rPr>
        <sz val="10"/>
        <color theme="1"/>
        <rFont val="宋体"/>
        <charset val="134"/>
      </rPr>
      <t>反魔法射击</t>
    </r>
    <r>
      <rPr>
        <sz val="10"/>
        <color theme="1"/>
        <rFont val="Times New Roman"/>
        <charset val="134"/>
      </rPr>
      <t>Antimagic Shot</t>
    </r>
    <r>
      <rPr>
        <sz val="10"/>
        <color theme="1"/>
        <rFont val="宋体"/>
        <charset val="134"/>
      </rPr>
      <t>。</t>
    </r>
    <r>
      <rPr>
        <sz val="10"/>
        <color theme="1"/>
        <rFont val="Times New Roman"/>
        <charset val="134"/>
      </rPr>
      <t xml:space="preserve"> </t>
    </r>
    <r>
      <rPr>
        <sz val="10"/>
        <color theme="1"/>
        <rFont val="宋体"/>
        <charset val="134"/>
      </rPr>
      <t>当你造成重击且目标受到你的破脏弹特性影响时，枪弹还会阻碍目标施法。枪弹嵌在目标体内期间，目标无法施展法术或执行魔法动作。此外，目标为维持专注进行的体质豁免具有劣势。</t>
    </r>
    <r>
      <rPr>
        <sz val="10"/>
        <color theme="1"/>
        <rFont val="Times New Roman"/>
        <charset val="134"/>
      </rPr>
      <t xml:space="preserve">
</t>
    </r>
    <r>
      <rPr>
        <sz val="10"/>
        <color theme="1"/>
        <rFont val="宋体"/>
        <charset val="134"/>
      </rPr>
      <t>魔法适性</t>
    </r>
    <r>
      <rPr>
        <sz val="10"/>
        <color theme="1"/>
        <rFont val="Times New Roman"/>
        <charset val="134"/>
      </rPr>
      <t>Inured to Magic</t>
    </r>
    <r>
      <rPr>
        <sz val="10"/>
        <color theme="1"/>
        <rFont val="宋体"/>
        <charset val="134"/>
      </rPr>
      <t>。</t>
    </r>
    <r>
      <rPr>
        <sz val="10"/>
        <color theme="1"/>
        <rFont val="Times New Roman"/>
        <charset val="134"/>
      </rPr>
      <t xml:space="preserve"> </t>
    </r>
    <r>
      <rPr>
        <sz val="10"/>
        <color theme="1"/>
        <rFont val="宋体"/>
        <charset val="134"/>
      </rPr>
      <t>你对抗法术或魔法效应时进行的豁免检定失败时，你能够以反应掷</t>
    </r>
    <r>
      <rPr>
        <sz val="10"/>
        <color theme="1"/>
        <rFont val="Times New Roman"/>
        <charset val="134"/>
      </rPr>
      <t>1d6</t>
    </r>
    <r>
      <rPr>
        <sz val="10"/>
        <color theme="1"/>
        <rFont val="宋体"/>
        <charset val="134"/>
      </rPr>
      <t>加入检定，这可能令此次检定改为成功。</t>
    </r>
  </si>
  <si>
    <t>屈服</t>
  </si>
  <si>
    <t>当你施展你已知的邪狱使法术时，你可以焚灭受禁生物身上的两枚缄印（无需动作），令其对抗此法术的豁免检定具有劣势。</t>
  </si>
  <si>
    <t>利落收尾</t>
  </si>
  <si>
    <r>
      <rPr>
        <sz val="10"/>
        <color theme="1"/>
        <rFont val="宋体"/>
        <charset val="134"/>
      </rPr>
      <t>当一名因你受擒的生物结束其回合时，你能反应迫使其进行一次对抗你擒抱逃脱</t>
    </r>
    <r>
      <rPr>
        <sz val="10"/>
        <color theme="1"/>
        <rFont val="Times New Roman"/>
        <charset val="134"/>
      </rPr>
      <t>DC</t>
    </r>
    <r>
      <rPr>
        <sz val="10"/>
        <color theme="1"/>
        <rFont val="宋体"/>
        <charset val="134"/>
      </rPr>
      <t>的体质豁免，否则陷入失能状态直至其下个回合结束。若该生物处于浴血且已因该特性陷入失能，其改为将生命值降至</t>
    </r>
    <r>
      <rPr>
        <sz val="10"/>
        <color theme="1"/>
        <rFont val="Times New Roman"/>
        <charset val="134"/>
      </rPr>
      <t>0</t>
    </r>
    <r>
      <rPr>
        <sz val="10"/>
        <color theme="1"/>
        <rFont val="宋体"/>
        <charset val="134"/>
      </rPr>
      <t>。
一旦你以该特性将一名生物的生命值降至</t>
    </r>
    <r>
      <rPr>
        <sz val="10"/>
        <color theme="1"/>
        <rFont val="Times New Roman"/>
        <charset val="134"/>
      </rPr>
      <t>0</t>
    </r>
    <r>
      <rPr>
        <sz val="10"/>
        <color theme="1"/>
        <rFont val="宋体"/>
        <charset val="134"/>
      </rPr>
      <t>，直至完成长休你都无法再次使用该特性。</t>
    </r>
  </si>
  <si>
    <t>监管领域</t>
  </si>
  <si>
    <r>
      <rPr>
        <sz val="10"/>
        <color theme="1"/>
        <rFont val="宋体"/>
        <charset val="134"/>
      </rPr>
      <t>狂野浪潮</t>
    </r>
  </si>
  <si>
    <r>
      <rPr>
        <sz val="10"/>
        <color theme="1"/>
        <rFont val="宋体"/>
        <charset val="134"/>
      </rPr>
      <t>你体内那翻滚不息的魔法能量有时会从你身上爆发出来。当你进入狂暴时，投掷下方的狂野魔法列表中决定它所产生的魔法效应。
如果这个狂野魔法需要进行豁免检定，则其</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你的熟练加值</t>
    </r>
    <r>
      <rPr>
        <sz val="10"/>
        <color theme="1"/>
        <rFont val="Times New Roman"/>
        <charset val="134"/>
      </rPr>
      <t>+</t>
    </r>
    <r>
      <rPr>
        <sz val="10"/>
        <color theme="1"/>
        <rFont val="宋体"/>
        <charset val="134"/>
      </rPr>
      <t xml:space="preserve">你的体质调整值。
狂野魔法
</t>
    </r>
    <r>
      <rPr>
        <sz val="10"/>
        <color theme="1"/>
        <rFont val="Times New Roman"/>
        <charset val="134"/>
      </rPr>
      <t xml:space="preserve">D8 </t>
    </r>
    <r>
      <rPr>
        <sz val="10"/>
        <color theme="1"/>
        <rFont val="宋体"/>
        <charset val="134"/>
      </rPr>
      <t xml:space="preserve">魔法效果
</t>
    </r>
    <r>
      <rPr>
        <sz val="10"/>
        <color theme="1"/>
        <rFont val="Times New Roman"/>
        <charset val="134"/>
      </rPr>
      <t xml:space="preserve"> 1 </t>
    </r>
    <r>
      <rPr>
        <sz val="10"/>
        <color theme="1"/>
        <rFont val="宋体"/>
        <charset val="134"/>
      </rPr>
      <t>阴暗的卷须在你身边疯狂挥舞。在你能看到的</t>
    </r>
    <r>
      <rPr>
        <sz val="10"/>
        <color theme="1"/>
        <rFont val="Times New Roman"/>
        <charset val="134"/>
      </rPr>
      <t>30</t>
    </r>
    <r>
      <rPr>
        <sz val="10"/>
        <color theme="1"/>
        <rFont val="宋体"/>
        <charset val="134"/>
      </rPr>
      <t>尺内由你选择的生物都必须进行一次体质豁免，如果失败，则将受到</t>
    </r>
    <r>
      <rPr>
        <sz val="10"/>
        <color theme="1"/>
        <rFont val="Times New Roman"/>
        <charset val="134"/>
      </rPr>
      <t>1d12</t>
    </r>
    <r>
      <rPr>
        <sz val="10"/>
        <color theme="1"/>
        <rFont val="宋体"/>
        <charset val="134"/>
      </rPr>
      <t>的暗蚀伤害。此外。你还会立刻获得</t>
    </r>
    <r>
      <rPr>
        <sz val="10"/>
        <color theme="1"/>
        <rFont val="Times New Roman"/>
        <charset val="134"/>
      </rPr>
      <t>1d12</t>
    </r>
    <r>
      <rPr>
        <sz val="10"/>
        <color theme="1"/>
        <rFont val="宋体"/>
        <charset val="134"/>
      </rPr>
      <t>点临时生命值。</t>
    </r>
    <r>
      <rPr>
        <sz val="10"/>
        <color theme="1"/>
        <rFont val="Times New Roman"/>
        <charset val="134"/>
      </rPr>
      <t xml:space="preserve"> 
 2 </t>
    </r>
    <r>
      <rPr>
        <sz val="10"/>
        <color theme="1"/>
        <rFont val="宋体"/>
        <charset val="134"/>
      </rPr>
      <t>你可以传送至多</t>
    </r>
    <r>
      <rPr>
        <sz val="10"/>
        <color theme="1"/>
        <rFont val="Times New Roman"/>
        <charset val="134"/>
      </rPr>
      <t>30</t>
    </r>
    <r>
      <rPr>
        <sz val="10"/>
        <color theme="1"/>
        <rFont val="宋体"/>
        <charset val="134"/>
      </rPr>
      <t>尺到一个未被占据的、你可以看见的空间。直至你的狂暴结束为止，你的每个回合都可以再用一个附赠动作，再次发动这个效果。</t>
    </r>
    <r>
      <rPr>
        <sz val="10"/>
        <color theme="1"/>
        <rFont val="Times New Roman"/>
        <charset val="134"/>
      </rPr>
      <t xml:space="preserve"> 
 3 </t>
    </r>
    <r>
      <rPr>
        <sz val="10"/>
        <color theme="1"/>
        <rFont val="宋体"/>
        <charset val="134"/>
      </rPr>
      <t>一个看起来像呋噜或者皮克精（由你决定）的不定形精魂，出现在一个你</t>
    </r>
    <r>
      <rPr>
        <sz val="10"/>
        <color theme="1"/>
        <rFont val="Times New Roman"/>
        <charset val="134"/>
      </rPr>
      <t>30</t>
    </r>
    <r>
      <rPr>
        <sz val="10"/>
        <color theme="1"/>
        <rFont val="宋体"/>
        <charset val="134"/>
      </rPr>
      <t>尺内可以看到的生物的</t>
    </r>
    <r>
      <rPr>
        <sz val="10"/>
        <color theme="1"/>
        <rFont val="Times New Roman"/>
        <charset val="134"/>
      </rPr>
      <t>5</t>
    </r>
    <r>
      <rPr>
        <sz val="10"/>
        <color theme="1"/>
        <rFont val="宋体"/>
        <charset val="134"/>
      </rPr>
      <t>尺以内。并且在当前回合结束时，这个精魂会爆炸，所有它周围</t>
    </r>
    <r>
      <rPr>
        <sz val="10"/>
        <color theme="1"/>
        <rFont val="Times New Roman"/>
        <charset val="134"/>
      </rPr>
      <t>5</t>
    </r>
    <r>
      <rPr>
        <sz val="10"/>
        <color theme="1"/>
        <rFont val="宋体"/>
        <charset val="134"/>
      </rPr>
      <t>尺范围内的生物都必须通过一次敏捷豁免，若失败将承受</t>
    </r>
    <r>
      <rPr>
        <sz val="10"/>
        <color theme="1"/>
        <rFont val="Times New Roman"/>
        <charset val="134"/>
      </rPr>
      <t>1d6</t>
    </r>
    <r>
      <rPr>
        <sz val="10"/>
        <color theme="1"/>
        <rFont val="宋体"/>
        <charset val="134"/>
      </rPr>
      <t>的力场伤害。直至你的狂暴结束为止，你的每个回合都可以再用一个附赠动作，再次发动这个效果。</t>
    </r>
    <r>
      <rPr>
        <sz val="10"/>
        <color theme="1"/>
        <rFont val="Times New Roman"/>
        <charset val="134"/>
      </rPr>
      <t xml:space="preserve"> 
 4 </t>
    </r>
    <r>
      <rPr>
        <sz val="10"/>
        <color theme="1"/>
        <rFont val="宋体"/>
        <charset val="134"/>
      </rPr>
      <t>魔力与你正持握着的一件武器（由你选择）紧紧相融在一起。直至你的狂暴结束为止，这把武器的伤害类型转变为力场伤害，并且获得</t>
    </r>
    <r>
      <rPr>
        <sz val="10"/>
        <color theme="1"/>
        <rFont val="Times New Roman"/>
        <charset val="134"/>
      </rPr>
      <t xml:space="preserve"> </t>
    </r>
    <r>
      <rPr>
        <sz val="10"/>
        <color theme="1"/>
        <rFont val="宋体"/>
        <charset val="134"/>
      </rPr>
      <t>轻型</t>
    </r>
    <r>
      <rPr>
        <sz val="10"/>
        <color theme="1"/>
        <rFont val="Times New Roman"/>
        <charset val="134"/>
      </rPr>
      <t xml:space="preserve"> </t>
    </r>
    <r>
      <rPr>
        <sz val="10"/>
        <color theme="1"/>
        <rFont val="宋体"/>
        <charset val="134"/>
      </rPr>
      <t>和</t>
    </r>
    <r>
      <rPr>
        <sz val="10"/>
        <color theme="1"/>
        <rFont val="Times New Roman"/>
        <charset val="134"/>
      </rPr>
      <t xml:space="preserve"> </t>
    </r>
    <r>
      <rPr>
        <sz val="10"/>
        <color theme="1"/>
        <rFont val="宋体"/>
        <charset val="134"/>
      </rPr>
      <t>投掷</t>
    </r>
    <r>
      <rPr>
        <sz val="10"/>
        <color theme="1"/>
        <rFont val="Times New Roman"/>
        <charset val="134"/>
      </rPr>
      <t xml:space="preserve"> </t>
    </r>
    <r>
      <rPr>
        <sz val="10"/>
        <color theme="1"/>
        <rFont val="宋体"/>
        <charset val="134"/>
      </rPr>
      <t>的属性，其投掷射程为常规</t>
    </r>
    <r>
      <rPr>
        <sz val="10"/>
        <color theme="1"/>
        <rFont val="Times New Roman"/>
        <charset val="134"/>
      </rPr>
      <t>20</t>
    </r>
    <r>
      <rPr>
        <sz val="10"/>
        <color theme="1"/>
        <rFont val="宋体"/>
        <charset val="134"/>
      </rPr>
      <t>尺与最大</t>
    </r>
    <r>
      <rPr>
        <sz val="10"/>
        <color theme="1"/>
        <rFont val="Times New Roman"/>
        <charset val="134"/>
      </rPr>
      <t>60</t>
    </r>
    <r>
      <rPr>
        <sz val="10"/>
        <color theme="1"/>
        <rFont val="宋体"/>
        <charset val="134"/>
      </rPr>
      <t>尺。如果这把武器脱离了你的手，它将会在脱离的同一回合结束时重新出现在你的手中。</t>
    </r>
    <r>
      <rPr>
        <sz val="10"/>
        <color theme="1"/>
        <rFont val="Times New Roman"/>
        <charset val="134"/>
      </rPr>
      <t xml:space="preserve"> 
 5 </t>
    </r>
    <r>
      <rPr>
        <sz val="10"/>
        <color theme="1"/>
        <rFont val="宋体"/>
        <charset val="134"/>
      </rPr>
      <t>直至你的狂暴结束为止，每当一个生物以攻击检定击中了你，你身上的魔力将抽打反击它，对其造成</t>
    </r>
    <r>
      <rPr>
        <sz val="10"/>
        <color theme="1"/>
        <rFont val="Times New Roman"/>
        <charset val="134"/>
      </rPr>
      <t>1d6</t>
    </r>
    <r>
      <rPr>
        <sz val="10"/>
        <color theme="1"/>
        <rFont val="宋体"/>
        <charset val="134"/>
      </rPr>
      <t>的力场伤害。</t>
    </r>
    <r>
      <rPr>
        <sz val="10"/>
        <color theme="1"/>
        <rFont val="Times New Roman"/>
        <charset val="134"/>
      </rPr>
      <t xml:space="preserve"> 
 6 </t>
    </r>
    <r>
      <rPr>
        <sz val="10"/>
        <color theme="1"/>
        <rFont val="宋体"/>
        <charset val="134"/>
      </rPr>
      <t>直至你的狂暴结束为止，你将被彩色的防护光芒环绕，使你的</t>
    </r>
    <r>
      <rPr>
        <sz val="10"/>
        <color theme="1"/>
        <rFont val="Times New Roman"/>
        <charset val="134"/>
      </rPr>
      <t>AC</t>
    </r>
    <r>
      <rPr>
        <sz val="10"/>
        <color theme="1"/>
        <rFont val="宋体"/>
        <charset val="134"/>
      </rPr>
      <t>获得</t>
    </r>
    <r>
      <rPr>
        <sz val="10"/>
        <color theme="1"/>
        <rFont val="Times New Roman"/>
        <charset val="134"/>
      </rPr>
      <t>+1</t>
    </r>
    <r>
      <rPr>
        <sz val="10"/>
        <color theme="1"/>
        <rFont val="宋体"/>
        <charset val="134"/>
      </rPr>
      <t>加值。在你</t>
    </r>
    <r>
      <rPr>
        <sz val="10"/>
        <color theme="1"/>
        <rFont val="Times New Roman"/>
        <charset val="134"/>
      </rPr>
      <t>10</t>
    </r>
    <r>
      <rPr>
        <sz val="10"/>
        <color theme="1"/>
        <rFont val="宋体"/>
        <charset val="134"/>
      </rPr>
      <t>尺内的盟友也可以享受到相同的</t>
    </r>
    <r>
      <rPr>
        <sz val="10"/>
        <color theme="1"/>
        <rFont val="Times New Roman"/>
        <charset val="134"/>
      </rPr>
      <t>AC</t>
    </r>
    <r>
      <rPr>
        <sz val="10"/>
        <color theme="1"/>
        <rFont val="宋体"/>
        <charset val="134"/>
      </rPr>
      <t>加值。</t>
    </r>
    <r>
      <rPr>
        <sz val="10"/>
        <color theme="1"/>
        <rFont val="Times New Roman"/>
        <charset val="134"/>
      </rPr>
      <t xml:space="preserve"> 
 7 </t>
    </r>
    <r>
      <rPr>
        <sz val="10"/>
        <color theme="1"/>
        <rFont val="宋体"/>
        <charset val="134"/>
      </rPr>
      <t>你身边将不断临时生长出花朵与藤蔓。直至你的狂暴结束为止，你周围</t>
    </r>
    <r>
      <rPr>
        <sz val="10"/>
        <color theme="1"/>
        <rFont val="Times New Roman"/>
        <charset val="134"/>
      </rPr>
      <t>15</t>
    </r>
    <r>
      <rPr>
        <sz val="10"/>
        <color theme="1"/>
        <rFont val="宋体"/>
        <charset val="134"/>
      </rPr>
      <t>尺的地面对你的敌人来说变为困难地形。</t>
    </r>
    <r>
      <rPr>
        <sz val="10"/>
        <color theme="1"/>
        <rFont val="Times New Roman"/>
        <charset val="134"/>
      </rPr>
      <t xml:space="preserve"> 
 8 </t>
    </r>
    <r>
      <rPr>
        <sz val="10"/>
        <color theme="1"/>
        <rFont val="宋体"/>
        <charset val="134"/>
      </rPr>
      <t>一束光从你胸膛射出。你所选择的</t>
    </r>
    <r>
      <rPr>
        <sz val="10"/>
        <color theme="1"/>
        <rFont val="Times New Roman"/>
        <charset val="134"/>
      </rPr>
      <t>30</t>
    </r>
    <r>
      <rPr>
        <sz val="10"/>
        <color theme="1"/>
        <rFont val="宋体"/>
        <charset val="134"/>
      </rPr>
      <t>尺内的你可以看到的另一个生物必须进行一次体质豁免，如果失败，将会受到</t>
    </r>
    <r>
      <rPr>
        <sz val="10"/>
        <color theme="1"/>
        <rFont val="Times New Roman"/>
        <charset val="134"/>
      </rPr>
      <t>1d6</t>
    </r>
    <r>
      <rPr>
        <sz val="10"/>
        <color theme="1"/>
        <rFont val="宋体"/>
        <charset val="134"/>
      </rPr>
      <t>的光耀伤害，并陷入</t>
    </r>
    <r>
      <rPr>
        <sz val="10"/>
        <color theme="1"/>
        <rFont val="Times New Roman"/>
        <charset val="134"/>
      </rPr>
      <t xml:space="preserve"> </t>
    </r>
    <r>
      <rPr>
        <sz val="10"/>
        <color theme="1"/>
        <rFont val="宋体"/>
        <charset val="134"/>
      </rPr>
      <t>目盲</t>
    </r>
    <r>
      <rPr>
        <sz val="10"/>
        <color theme="1"/>
        <rFont val="Times New Roman"/>
        <charset val="134"/>
      </rPr>
      <t xml:space="preserve">blinded </t>
    </r>
    <r>
      <rPr>
        <sz val="10"/>
        <color theme="1"/>
        <rFont val="宋体"/>
        <charset val="134"/>
      </rPr>
      <t>，直到你的下一个回合开始前。直至你的狂暴结束为止，你的每个回合都可以再用一个附赠动作，再次发动这个效果。</t>
    </r>
    <r>
      <rPr>
        <sz val="10"/>
        <color theme="1"/>
        <rFont val="Times New Roman"/>
        <charset val="134"/>
      </rPr>
      <t xml:space="preserve"> </t>
    </r>
  </si>
  <si>
    <r>
      <rPr>
        <sz val="10"/>
        <color theme="1"/>
        <rFont val="宋体"/>
        <charset val="134"/>
      </rPr>
      <t>巧舌如簧</t>
    </r>
  </si>
  <si>
    <r>
      <rPr>
        <sz val="10"/>
        <color theme="1"/>
        <rFont val="宋体"/>
        <charset val="134"/>
      </rPr>
      <t>你是语言的大师，懂得在合适的时刻说出正确的话语。当你在进行一次魅力（游说</t>
    </r>
    <r>
      <rPr>
        <sz val="10"/>
        <color theme="1"/>
        <rFont val="Times New Roman"/>
        <charset val="134"/>
      </rPr>
      <t>/</t>
    </r>
    <r>
      <rPr>
        <sz val="10"/>
        <color theme="1"/>
        <rFont val="宋体"/>
        <charset val="134"/>
      </rPr>
      <t>说服）检定或魅力（欺瞒）检定时，如果你可以将</t>
    </r>
    <r>
      <rPr>
        <sz val="10"/>
        <color theme="1"/>
        <rFont val="Times New Roman"/>
        <charset val="134"/>
      </rPr>
      <t>9</t>
    </r>
    <r>
      <rPr>
        <sz val="10"/>
        <color theme="1"/>
        <rFont val="宋体"/>
        <charset val="134"/>
      </rPr>
      <t>或更低的骰值全部视为</t>
    </r>
    <r>
      <rPr>
        <sz val="10"/>
        <color theme="1"/>
        <rFont val="Times New Roman"/>
        <charset val="134"/>
      </rPr>
      <t>10</t>
    </r>
    <r>
      <rPr>
        <sz val="10"/>
        <color theme="1"/>
        <rFont val="宋体"/>
        <charset val="134"/>
      </rPr>
      <t>。</t>
    </r>
  </si>
  <si>
    <r>
      <rPr>
        <sz val="10"/>
        <color theme="1"/>
        <rFont val="宋体"/>
        <charset val="134"/>
      </rPr>
      <t>坟墓之眼</t>
    </r>
  </si>
  <si>
    <r>
      <rPr>
        <sz val="10"/>
        <color theme="1"/>
        <rFont val="宋体"/>
        <charset val="134"/>
      </rPr>
      <t>你获得偶尔可以意识到不死生物存在的能力。以一个动作，你可以伸张意识来魔法性地侦测周遭的不死生物。直到你的下回合结束前，你可以知晓周围</t>
    </r>
    <r>
      <rPr>
        <sz val="10"/>
        <color theme="1"/>
        <rFont val="Times New Roman"/>
        <charset val="134"/>
      </rPr>
      <t>60</t>
    </r>
    <r>
      <rPr>
        <sz val="10"/>
        <color theme="1"/>
        <rFont val="宋体"/>
        <charset val="134"/>
      </rPr>
      <t>尺范围内的任何未处于全掩护之下或是没有被预言魔法保护的不死生物。这一感官并不会告诉你生物的能力与身份。
你可以使用此特性的次数等同于你的感知调整值次（至少</t>
    </r>
    <r>
      <rPr>
        <sz val="10"/>
        <color theme="1"/>
        <rFont val="Times New Roman"/>
        <charset val="134"/>
      </rPr>
      <t>1</t>
    </r>
    <r>
      <rPr>
        <sz val="10"/>
        <color theme="1"/>
        <rFont val="宋体"/>
        <charset val="134"/>
      </rPr>
      <t>次），在你完成一次长休后你重获全部已被消耗的使用次数。</t>
    </r>
  </si>
  <si>
    <r>
      <rPr>
        <sz val="10"/>
        <color theme="1"/>
        <rFont val="宋体"/>
        <charset val="134"/>
      </rPr>
      <t>林地之语</t>
    </r>
  </si>
  <si>
    <r>
      <rPr>
        <sz val="10"/>
        <color theme="1"/>
        <rFont val="宋体"/>
        <charset val="134"/>
      </rPr>
      <t>你获得了和野兽以及许多精类进行交流的能力。
你学会对于木族语的说、读、和写的能力。
此外，野兽能理解你的语言，而你也能理解它们的声音和动作。
大多数野兽缺乏足够的智力去表述或理解复杂的概念，但友善的野兽可以复述它在最近听到或看到的事物。
此能力并不会让你和野兽形成特别的友谊，尽管你可以将此技能与讨好它们的礼物结合使用，就像是你能对其他</t>
    </r>
    <r>
      <rPr>
        <sz val="10"/>
        <color theme="1"/>
        <rFont val="Times New Roman"/>
        <charset val="134"/>
      </rPr>
      <t>NPC</t>
    </r>
    <r>
      <rPr>
        <sz val="10"/>
        <color theme="1"/>
        <rFont val="宋体"/>
        <charset val="134"/>
      </rPr>
      <t>做的那样。</t>
    </r>
  </si>
  <si>
    <r>
      <rPr>
        <sz val="10"/>
        <color theme="1"/>
        <rFont val="宋体"/>
        <charset val="134"/>
      </rPr>
      <t>你学会了如何施展法术。施法规则见第七章。下文将详述如何将这些规则应用于奥法骑士。</t>
    </r>
  </si>
  <si>
    <r>
      <rPr>
        <sz val="10"/>
        <color theme="1"/>
        <rFont val="宋体"/>
        <charset val="134"/>
      </rPr>
      <t>人剑合一</t>
    </r>
  </si>
  <si>
    <r>
      <rPr>
        <sz val="10"/>
        <color theme="1"/>
        <rFont val="宋体"/>
        <charset val="134"/>
      </rPr>
      <t>你能将</t>
    </r>
    <r>
      <rPr>
        <sz val="10"/>
        <color theme="1"/>
        <rFont val="Times New Roman"/>
        <charset val="134"/>
      </rPr>
      <t>“</t>
    </r>
    <r>
      <rPr>
        <sz val="10"/>
        <color theme="1"/>
        <rFont val="宋体"/>
        <charset val="134"/>
      </rPr>
      <t>气</t>
    </r>
    <r>
      <rPr>
        <sz val="10"/>
        <color theme="1"/>
        <rFont val="Times New Roman"/>
        <charset val="134"/>
      </rPr>
      <t>”</t>
    </r>
    <r>
      <rPr>
        <sz val="10"/>
        <color theme="1"/>
        <rFont val="宋体"/>
        <charset val="134"/>
      </rPr>
      <t>灌注到剑圣武器之中，这为你带来以下好处：</t>
    </r>
    <r>
      <rPr>
        <sz val="10"/>
        <color theme="1"/>
        <rFont val="Times New Roman"/>
        <charset val="134"/>
      </rPr>
      <t xml:space="preserve"> 
</t>
    </r>
    <r>
      <rPr>
        <sz val="10"/>
        <color theme="1"/>
        <rFont val="宋体"/>
        <charset val="134"/>
      </rPr>
      <t>剑气：攻击对非魔法攻击和伤害具有抗性或免疫的目标时，你的剑圣武器攻击视为魔法攻击。
巧劲：当你使用剑圣武器命中目标时，你可以消耗</t>
    </r>
    <r>
      <rPr>
        <sz val="10"/>
        <color theme="1"/>
        <rFont val="Times New Roman"/>
        <charset val="134"/>
      </rPr>
      <t>1</t>
    </r>
    <r>
      <rPr>
        <sz val="10"/>
        <color theme="1"/>
        <rFont val="宋体"/>
        <charset val="134"/>
      </rPr>
      <t>点</t>
    </r>
    <r>
      <rPr>
        <sz val="10"/>
        <color theme="1"/>
        <rFont val="Times New Roman"/>
        <charset val="134"/>
      </rPr>
      <t>“</t>
    </r>
    <r>
      <rPr>
        <sz val="10"/>
        <color theme="1"/>
        <rFont val="宋体"/>
        <charset val="134"/>
      </rPr>
      <t>气</t>
    </r>
    <r>
      <rPr>
        <sz val="10"/>
        <color theme="1"/>
        <rFont val="Times New Roman"/>
        <charset val="134"/>
      </rPr>
      <t>”</t>
    </r>
    <r>
      <rPr>
        <sz val="10"/>
        <color theme="1"/>
        <rFont val="宋体"/>
        <charset val="134"/>
      </rPr>
      <t>使得该武器对该目标造成额外伤害，数值等于你的</t>
    </r>
    <r>
      <rPr>
        <sz val="10"/>
        <color theme="1"/>
        <rFont val="Times New Roman"/>
        <charset val="134"/>
      </rPr>
      <t>“</t>
    </r>
    <r>
      <rPr>
        <sz val="10"/>
        <color theme="1"/>
        <rFont val="宋体"/>
        <charset val="134"/>
      </rPr>
      <t>武艺</t>
    </r>
    <r>
      <rPr>
        <sz val="10"/>
        <color theme="1"/>
        <rFont val="Times New Roman"/>
        <charset val="134"/>
      </rPr>
      <t>”</t>
    </r>
    <r>
      <rPr>
        <sz val="10"/>
        <color theme="1"/>
        <rFont val="宋体"/>
        <charset val="134"/>
      </rPr>
      <t>投骰。
该特性你每回合只能使用一次。</t>
    </r>
  </si>
  <si>
    <r>
      <rPr>
        <sz val="10"/>
        <color theme="1"/>
        <rFont val="宋体"/>
        <charset val="134"/>
      </rPr>
      <t>轻蔑呵斥</t>
    </r>
  </si>
  <si>
    <r>
      <rPr>
        <sz val="10"/>
        <color theme="1"/>
        <rFont val="宋体"/>
        <charset val="134"/>
      </rPr>
      <t>那些胆敢击中你的人，将在心灵上因为无礼而受到惩罚。
当一个生物以一次攻击击中你时，若你并未失能，该生物受到等于你魅力调整值（最小为</t>
    </r>
    <r>
      <rPr>
        <sz val="10"/>
        <color theme="1"/>
        <rFont val="Times New Roman"/>
        <charset val="134"/>
      </rPr>
      <t>1</t>
    </r>
    <r>
      <rPr>
        <sz val="10"/>
        <color theme="1"/>
        <rFont val="宋体"/>
        <charset val="134"/>
      </rPr>
      <t>）的心灵伤害。</t>
    </r>
  </si>
  <si>
    <r>
      <rPr>
        <sz val="10"/>
        <color theme="1"/>
        <rFont val="宋体"/>
        <charset val="134"/>
      </rPr>
      <t>闪现打击</t>
    </r>
  </si>
  <si>
    <r>
      <rPr>
        <sz val="10"/>
        <color theme="1"/>
        <rFont val="宋体"/>
        <charset val="134"/>
      </rPr>
      <t>你能够在眨眼之间穿梭于两个位置。
当你进行攻击动作时，你能够在每一次攻击前传送</t>
    </r>
    <r>
      <rPr>
        <sz val="10"/>
        <color theme="1"/>
        <rFont val="Times New Roman"/>
        <charset val="134"/>
      </rPr>
      <t>10</t>
    </r>
    <r>
      <rPr>
        <sz val="10"/>
        <color theme="1"/>
        <rFont val="宋体"/>
        <charset val="134"/>
      </rPr>
      <t>尺到一片对你可见的空地上。
如果你用一个动作攻击了至少两名不同的角色，你可以额外攻击一次第三名角色。</t>
    </r>
  </si>
  <si>
    <r>
      <rPr>
        <sz val="10"/>
        <color theme="1"/>
        <rFont val="宋体"/>
        <charset val="134"/>
      </rPr>
      <t>镇定之眼</t>
    </r>
  </si>
  <si>
    <r>
      <rPr>
        <sz val="10"/>
        <color theme="1"/>
        <rFont val="宋体"/>
        <charset val="134"/>
      </rPr>
      <t>你可以在进行任何感知（观察）检定或智力（调查）检定中得到优势，只要你在同一回合中移动不超过一半的速度。</t>
    </r>
  </si>
  <si>
    <r>
      <rPr>
        <sz val="10"/>
        <color theme="1"/>
        <rFont val="宋体"/>
        <charset val="134"/>
      </rPr>
      <t>神圣魔法</t>
    </r>
  </si>
  <si>
    <r>
      <rPr>
        <sz val="10"/>
        <color theme="1"/>
        <rFont val="宋体"/>
        <charset val="134"/>
      </rPr>
      <t>你对于神力的联系允许你学习通常与牧师职业相关的法术。
当你的施法特性让你学会一个术士戏法或一个</t>
    </r>
    <r>
      <rPr>
        <sz val="10"/>
        <color theme="1"/>
        <rFont val="Times New Roman"/>
        <charset val="134"/>
      </rPr>
      <t>1</t>
    </r>
    <r>
      <rPr>
        <sz val="10"/>
        <color theme="1"/>
        <rFont val="宋体"/>
        <charset val="134"/>
      </rPr>
      <t>级或更高级的术士法术时，在术士法术列表之外，你可以从牧师法术列表中选择新法术。
除此之外，你必须满足选择该法术的所有限制，而它对你而言成为一个术士法术。
此外，选择一种对你神力来源的亲和力：善、恶、守序、混乱或中立。
你可以根据这个关联，学习一个额外的法术，如下所示。
这对你来说是一个术士法术，但它不与你术士法术的数量有关。
如果你以后替换了这个法术，你必须用牧师的法术列表来替换它。
亲和力</t>
    </r>
    <r>
      <rPr>
        <sz val="10"/>
        <color theme="1"/>
        <rFont val="Times New Roman"/>
        <charset val="134"/>
      </rPr>
      <t>——</t>
    </r>
    <r>
      <rPr>
        <sz val="10"/>
        <color theme="1"/>
        <rFont val="宋体"/>
        <charset val="134"/>
      </rPr>
      <t>法术
善良：治疗伤口
邪恶：造成伤口
秩序：祝福术
混乱：灾祸术
中立：防护善恶</t>
    </r>
  </si>
  <si>
    <r>
      <rPr>
        <sz val="10"/>
        <color theme="1"/>
        <rFont val="宋体"/>
        <charset val="134"/>
      </rPr>
      <t>永恒奴役</t>
    </r>
  </si>
  <si>
    <r>
      <rPr>
        <sz val="10"/>
        <color theme="1"/>
        <rFont val="宋体"/>
        <charset val="134"/>
      </rPr>
      <t>你可以在不消耗法术位的情况下使用</t>
    </r>
    <r>
      <rPr>
        <sz val="10"/>
        <color theme="1"/>
        <rFont val="Times New Roman"/>
        <charset val="134"/>
      </rPr>
      <t xml:space="preserve"> </t>
    </r>
    <r>
      <rPr>
        <sz val="10"/>
        <color theme="1"/>
        <rFont val="宋体"/>
        <charset val="134"/>
      </rPr>
      <t>活化死尸</t>
    </r>
    <r>
      <rPr>
        <sz val="10"/>
        <color theme="1"/>
        <rFont val="Times New Roman"/>
        <charset val="134"/>
      </rPr>
      <t xml:space="preserve">animate dead </t>
    </r>
    <r>
      <rPr>
        <sz val="10"/>
        <color theme="1"/>
        <rFont val="宋体"/>
        <charset val="134"/>
      </rPr>
      <t>。每当你这么做时，你不能再次以这种形式使用该法术直到你完成一次长休。
先决条件：第</t>
    </r>
    <r>
      <rPr>
        <sz val="10"/>
        <color theme="1"/>
        <rFont val="Times New Roman"/>
        <charset val="134"/>
      </rPr>
      <t>5</t>
    </r>
    <r>
      <rPr>
        <sz val="10"/>
        <color theme="1"/>
        <rFont val="宋体"/>
        <charset val="134"/>
      </rPr>
      <t>级邪术师</t>
    </r>
  </si>
  <si>
    <r>
      <rPr>
        <sz val="10"/>
        <color theme="1"/>
        <rFont val="宋体"/>
        <charset val="134"/>
      </rPr>
      <t>你在你的回合内执行攻击动作时，可以进行两次攻击而非一次。</t>
    </r>
    <r>
      <rPr>
        <sz val="10"/>
        <color theme="1"/>
        <rFont val="Times New Roman"/>
        <charset val="134"/>
      </rPr>
      <t xml:space="preserve">
</t>
    </r>
    <r>
      <rPr>
        <sz val="10"/>
        <color theme="1"/>
        <rFont val="宋体"/>
        <charset val="134"/>
      </rPr>
      <t>此外，你可以将额外攻击中的一次，替换为施展你的一道施法时间为动作的法师戏法。</t>
    </r>
  </si>
  <si>
    <r>
      <rPr>
        <sz val="10"/>
        <color theme="1"/>
        <rFont val="宋体"/>
        <charset val="134"/>
      </rPr>
      <t>战斗准备</t>
    </r>
  </si>
  <si>
    <r>
      <rPr>
        <sz val="10"/>
        <color theme="1"/>
        <rFont val="宋体"/>
        <charset val="134"/>
      </rPr>
      <t>你的战斗训练和魔法实验为你带来了两种好处：</t>
    </r>
    <r>
      <rPr>
        <sz val="10"/>
        <color theme="1"/>
        <rFont val="Times New Roman"/>
        <charset val="134"/>
      </rPr>
      <t xml:space="preserve">
</t>
    </r>
    <r>
      <rPr>
        <sz val="10"/>
        <color theme="1"/>
        <rFont val="宋体"/>
        <charset val="134"/>
      </rPr>
      <t>奥法增强</t>
    </r>
    <r>
      <rPr>
        <sz val="10"/>
        <color theme="1"/>
        <rFont val="Times New Roman"/>
        <charset val="134"/>
      </rPr>
      <t>Arcane Empowerment</t>
    </r>
    <r>
      <rPr>
        <sz val="10"/>
        <color theme="1"/>
        <rFont val="宋体"/>
        <charset val="134"/>
      </rPr>
      <t>。当你以魔法武器攻击时，你可以在攻击检定与伤害掷骰中使用智力调整值，以代替力量或敏捷。</t>
    </r>
    <r>
      <rPr>
        <sz val="10"/>
        <color theme="1"/>
        <rFont val="Times New Roman"/>
        <charset val="134"/>
      </rPr>
      <t xml:space="preserve">
</t>
    </r>
    <r>
      <rPr>
        <sz val="10"/>
        <color theme="1"/>
        <rFont val="宋体"/>
        <charset val="134"/>
      </rPr>
      <t>武器学识</t>
    </r>
    <r>
      <rPr>
        <sz val="10"/>
        <color theme="1"/>
        <rFont val="Times New Roman"/>
        <charset val="134"/>
      </rPr>
      <t>Weapon Knowledge</t>
    </r>
    <r>
      <rPr>
        <sz val="10"/>
        <color theme="1"/>
        <rFont val="宋体"/>
        <charset val="134"/>
      </rPr>
      <t>。你获得军用武器的熟练。你可以将你具有熟练的武器作为你施展奇械师法术的施法法器。</t>
    </r>
  </si>
  <si>
    <r>
      <rPr>
        <sz val="10"/>
        <color theme="1"/>
        <rFont val="宋体"/>
        <charset val="134"/>
      </rPr>
      <t>心感援护</t>
    </r>
  </si>
  <si>
    <r>
      <rPr>
        <sz val="10"/>
        <color theme="1"/>
        <rFont val="宋体"/>
        <charset val="134"/>
      </rPr>
      <t>当你或一个你心灵感应范围内你可见的一个生物在一次属性检定中失败，或在一次攻击检定中失手时，你可以执行反应并花费一枚灵能骰。你投掷那枚灵能骰，并将其骰值加入到此次</t>
    </r>
    <r>
      <rPr>
        <sz val="10"/>
        <color theme="1"/>
        <rFont val="Times New Roman"/>
        <charset val="134"/>
      </rPr>
      <t>d20</t>
    </r>
    <r>
      <rPr>
        <sz val="10"/>
        <color theme="1"/>
        <rFont val="宋体"/>
        <charset val="134"/>
      </rPr>
      <t>中，此举可能导致失败的检定变为成功，或将失手的攻击变为命中。只有在此次检定成功或此次攻击命中的情况下，灵能骰才会被消耗。</t>
    </r>
  </si>
  <si>
    <r>
      <rPr>
        <sz val="10"/>
        <color theme="1"/>
        <rFont val="宋体"/>
        <charset val="134"/>
      </rPr>
      <t>炼金公式</t>
    </r>
  </si>
  <si>
    <r>
      <rPr>
        <sz val="10"/>
        <color theme="1"/>
        <rFont val="宋体"/>
        <charset val="134"/>
      </rPr>
      <t>当你完成短休或长休后，你可以配制一定数量的诱变剂。其数量以及你知道的炼金公式数量随着你血猎手等级的提高而增加，如上表所示。此外，当你学习新的诱变剂公式时，您可以用新的诱变剂公式来替换您已经知道的公式。你可以选择并习得</t>
    </r>
    <r>
      <rPr>
        <sz val="10"/>
        <color theme="1"/>
        <rFont val="Times New Roman"/>
        <charset val="134"/>
      </rPr>
      <t xml:space="preserve"> 4 </t>
    </r>
    <r>
      <rPr>
        <sz val="10"/>
        <color theme="1"/>
        <rFont val="宋体"/>
        <charset val="134"/>
      </rPr>
      <t>种炼金公式，并且你可以在完成短休或长休后配制</t>
    </r>
    <r>
      <rPr>
        <sz val="10"/>
        <color theme="1"/>
        <rFont val="Times New Roman"/>
        <charset val="134"/>
      </rPr>
      <t xml:space="preserve"> 1 </t>
    </r>
    <r>
      <rPr>
        <sz val="10"/>
        <color theme="1"/>
        <rFont val="宋体"/>
        <charset val="134"/>
      </rPr>
      <t>种诱变剂。</t>
    </r>
  </si>
  <si>
    <r>
      <rPr>
        <sz val="10"/>
        <color theme="1"/>
        <rFont val="宋体"/>
        <charset val="134"/>
      </rPr>
      <t>麻醉学</t>
    </r>
  </si>
  <si>
    <r>
      <rPr>
        <sz val="10"/>
        <color theme="1"/>
        <rFont val="宋体"/>
        <charset val="134"/>
      </rPr>
      <t>先决：药剂师等级</t>
    </r>
    <r>
      <rPr>
        <sz val="10"/>
        <color theme="1"/>
        <rFont val="Times New Roman"/>
        <charset val="134"/>
      </rPr>
      <t xml:space="preserve">14+ 
</t>
    </r>
    <r>
      <rPr>
        <sz val="10"/>
        <color theme="1"/>
        <rFont val="宋体"/>
        <charset val="134"/>
      </rPr>
      <t>你可以不需要消耗法术位和法术成分的情况下施展法术人类定身术</t>
    </r>
    <r>
      <rPr>
        <sz val="10"/>
        <color theme="1"/>
        <rFont val="Times New Roman"/>
        <charset val="134"/>
      </rPr>
      <t>Hold Person</t>
    </r>
    <r>
      <rPr>
        <sz val="10"/>
        <color theme="1"/>
        <rFont val="宋体"/>
        <charset val="134"/>
      </rPr>
      <t>，你必须提前完成一次长休才能对同一个生物再次使用该理论。</t>
    </r>
  </si>
  <si>
    <t>魔弹【战技】</t>
  </si>
  <si>
    <t>当你进行法术攻击检定时，你能够以附赠动作消耗一枚风险骰，将法术攻击替换为使用武器的远程攻击。将风险骰加入检定中。若命中，除法术攻击的效应外，此次攻击还会造成武器的正常伤害。</t>
  </si>
  <si>
    <t>破法者</t>
  </si>
  <si>
    <r>
      <rPr>
        <sz val="10"/>
        <color theme="1"/>
        <rFont val="宋体"/>
        <charset val="134"/>
      </rPr>
      <t>先决：邪狱使等级</t>
    </r>
    <r>
      <rPr>
        <sz val="10"/>
        <color theme="1"/>
        <rFont val="Times New Roman"/>
        <charset val="134"/>
      </rPr>
      <t>13+</t>
    </r>
    <r>
      <rPr>
        <sz val="10"/>
        <color theme="1"/>
        <rFont val="宋体"/>
        <charset val="134"/>
      </rPr>
      <t>（筑灭师）
当你看见</t>
    </r>
    <r>
      <rPr>
        <sz val="10"/>
        <color theme="1"/>
        <rFont val="Times New Roman"/>
        <charset val="134"/>
      </rPr>
      <t>60</t>
    </r>
    <r>
      <rPr>
        <sz val="10"/>
        <color theme="1"/>
        <rFont val="宋体"/>
        <charset val="134"/>
      </rPr>
      <t>尺内的受禁生物施展法术时，你能够以反应焚灭其身上的一枚或更多缄印。若如此做，焚灭缄印不再造成伤害，作为替代，你无需法术位地对其施展法术反制</t>
    </r>
    <r>
      <rPr>
        <sz val="10"/>
        <color theme="1"/>
        <rFont val="Times New Roman"/>
        <charset val="134"/>
      </rPr>
      <t>Counterspell</t>
    </r>
    <r>
      <rPr>
        <sz val="10"/>
        <color theme="1"/>
        <rFont val="宋体"/>
        <charset val="134"/>
      </rPr>
      <t>。除第一枚缄印外，你每焚灭一枚缄印，法术的环阶就提升一环。</t>
    </r>
  </si>
  <si>
    <t>裸拳拳手</t>
  </si>
  <si>
    <r>
      <rPr>
        <sz val="10"/>
        <color theme="1"/>
        <rFont val="宋体"/>
        <charset val="134"/>
      </rPr>
      <t>你以徒手打击进行的攻击检定在</t>
    </r>
    <r>
      <rPr>
        <sz val="10"/>
        <color theme="1"/>
        <rFont val="Times New Roman"/>
        <charset val="134"/>
      </rPr>
      <t>d20</t>
    </r>
    <r>
      <rPr>
        <sz val="10"/>
        <color theme="1"/>
        <rFont val="宋体"/>
        <charset val="134"/>
      </rPr>
      <t>中掷出</t>
    </r>
    <r>
      <rPr>
        <sz val="10"/>
        <color theme="1"/>
        <rFont val="Times New Roman"/>
        <charset val="134"/>
      </rPr>
      <t>19</t>
    </r>
    <r>
      <rPr>
        <sz val="10"/>
        <color theme="1"/>
        <rFont val="宋体"/>
        <charset val="134"/>
      </rPr>
      <t>或</t>
    </r>
    <r>
      <rPr>
        <sz val="10"/>
        <color theme="1"/>
        <rFont val="Times New Roman"/>
        <charset val="134"/>
      </rPr>
      <t>20</t>
    </r>
    <r>
      <rPr>
        <sz val="10"/>
        <color theme="1"/>
        <rFont val="宋体"/>
        <charset val="134"/>
      </rPr>
      <t>时即可造成重击。</t>
    </r>
  </si>
  <si>
    <t>暗影领域</t>
  </si>
  <si>
    <r>
      <rPr>
        <sz val="10"/>
        <color theme="1"/>
        <rFont val="宋体"/>
        <charset val="134"/>
      </rPr>
      <t>振奋魔法</t>
    </r>
  </si>
  <si>
    <r>
      <rPr>
        <sz val="10"/>
        <color theme="1"/>
        <rFont val="宋体"/>
        <charset val="134"/>
      </rPr>
      <t xml:space="preserve">你可以控制你的狂野魔法并用于振奋自己或者一个同伴。以一个动作，你触碰一个生物（可以是你自己）并且为该生物提供以下增益中你所选择的一种：
</t>
    </r>
    <r>
      <rPr>
        <sz val="10"/>
        <color theme="1"/>
        <rFont val="Times New Roman"/>
        <charset val="134"/>
      </rPr>
      <t>• 10</t>
    </r>
    <r>
      <rPr>
        <sz val="10"/>
        <color theme="1"/>
        <rFont val="宋体"/>
        <charset val="134"/>
      </rPr>
      <t>分钟内，该生物在投掷攻击检定或者属性检定时可以额外掷一枚</t>
    </r>
    <r>
      <rPr>
        <sz val="10"/>
        <color theme="1"/>
        <rFont val="Times New Roman"/>
        <charset val="134"/>
      </rPr>
      <t>d3</t>
    </r>
    <r>
      <rPr>
        <sz val="10"/>
        <color theme="1"/>
        <rFont val="宋体"/>
        <charset val="134"/>
      </rPr>
      <t>，将其加到所扔的</t>
    </r>
    <r>
      <rPr>
        <sz val="10"/>
        <color theme="1"/>
        <rFont val="Times New Roman"/>
        <charset val="134"/>
      </rPr>
      <t>d20</t>
    </r>
    <r>
      <rPr>
        <sz val="10"/>
        <color theme="1"/>
        <rFont val="宋体"/>
        <charset val="134"/>
      </rPr>
      <t xml:space="preserve">中。
</t>
    </r>
    <r>
      <rPr>
        <sz val="10"/>
        <color theme="1"/>
        <rFont val="Times New Roman"/>
        <charset val="134"/>
      </rPr>
      <t xml:space="preserve">• </t>
    </r>
    <r>
      <rPr>
        <sz val="10"/>
        <color theme="1"/>
        <rFont val="宋体"/>
        <charset val="134"/>
      </rPr>
      <t>掷一枚</t>
    </r>
    <r>
      <rPr>
        <sz val="10"/>
        <color theme="1"/>
        <rFont val="Times New Roman"/>
        <charset val="134"/>
      </rPr>
      <t>d3</t>
    </r>
    <r>
      <rPr>
        <sz val="10"/>
        <color theme="1"/>
        <rFont val="宋体"/>
        <charset val="134"/>
      </rPr>
      <t>。这个生物将恢复一个环数小于等于所掷出骰子的结果的法术位（由这个生物决定具体的环阶）。当一个生物享受了这一增益后，直到下一次长休结束前那个生物都不能再次从此特性中获益。</t>
    </r>
    <r>
      <rPr>
        <sz val="10"/>
        <color theme="1"/>
        <rFont val="Times New Roman"/>
        <charset val="134"/>
      </rPr>
      <t xml:space="preserve"> 
</t>
    </r>
    <r>
      <rPr>
        <sz val="10"/>
        <color theme="1"/>
        <rFont val="宋体"/>
        <charset val="134"/>
      </rPr>
      <t>你可以使用此能力的次数等同于你的熟练加值次，完成一次长休后，你重获全部已消耗的使用次数。</t>
    </r>
  </si>
  <si>
    <r>
      <rPr>
        <sz val="10"/>
        <color theme="1"/>
        <rFont val="宋体"/>
        <charset val="134"/>
      </rPr>
      <t>扰神之词</t>
    </r>
  </si>
  <si>
    <r>
      <rPr>
        <sz val="10"/>
        <color theme="1"/>
        <rFont val="宋体"/>
        <charset val="134"/>
      </rPr>
      <t>你可以编造一些带有魔力的话语，扰乱一个生物的心神，使其自我怀疑。消耗一个附赠动作，你可以消耗一个诗人激励骰，选择一个你可见的距你</t>
    </r>
    <r>
      <rPr>
        <sz val="10"/>
        <color theme="1"/>
        <rFont val="Times New Roman"/>
        <charset val="134"/>
      </rPr>
      <t>60</t>
    </r>
    <r>
      <rPr>
        <sz val="10"/>
        <color theme="1"/>
        <rFont val="宋体"/>
        <charset val="134"/>
      </rPr>
      <t>尺以内的生物。掷出诗人激励骰，在你的下一个回合开始前，该生物的下一次豁免检定将会减去这个激励骰所投出的值。</t>
    </r>
  </si>
  <si>
    <r>
      <rPr>
        <sz val="10"/>
        <color theme="1"/>
        <rFont val="宋体"/>
        <charset val="134"/>
      </rPr>
      <t>引导神力</t>
    </r>
    <r>
      <rPr>
        <sz val="10"/>
        <color theme="1"/>
        <rFont val="Times New Roman"/>
        <charset val="134"/>
      </rPr>
      <t>:</t>
    </r>
    <r>
      <rPr>
        <sz val="10"/>
        <color theme="1"/>
        <rFont val="宋体"/>
        <charset val="134"/>
      </rPr>
      <t>往墓之途</t>
    </r>
  </si>
  <si>
    <r>
      <rPr>
        <sz val="10"/>
        <color theme="1"/>
        <rFont val="宋体"/>
        <charset val="134"/>
      </rPr>
      <t>你可以使用你的引导神力来标记敌人，让他们的生命力走向衰亡。
以一个动作，你向你周围</t>
    </r>
    <r>
      <rPr>
        <sz val="10"/>
        <color theme="1"/>
        <rFont val="Times New Roman"/>
        <charset val="134"/>
      </rPr>
      <t>30</t>
    </r>
    <r>
      <rPr>
        <sz val="10"/>
        <color theme="1"/>
        <rFont val="宋体"/>
        <charset val="134"/>
      </rPr>
      <t>尺内的一个可见生物降下诅咒。诅咒持续直到你下回合结束，在这期间，被诅咒的生物下一次被你或你的盟友的攻击命中时，它将对那次攻击的所有伤害具有易伤，之后，诅咒终止。</t>
    </r>
  </si>
  <si>
    <r>
      <rPr>
        <sz val="10"/>
        <color theme="1"/>
        <rFont val="宋体"/>
        <charset val="134"/>
      </rPr>
      <t>精魂图腾</t>
    </r>
  </si>
  <si>
    <r>
      <rPr>
        <sz val="10"/>
        <color theme="1"/>
        <rFont val="宋体"/>
        <charset val="134"/>
      </rPr>
      <t>你获得了招现出自然精魂并借助它们影响你身边的世界的能力。
以一个附赠动作，你可以魔法般地召唤一个虚体的精魂，到处于你周围</t>
    </r>
    <r>
      <rPr>
        <sz val="10"/>
        <color theme="1"/>
        <rFont val="Times New Roman"/>
        <charset val="134"/>
      </rPr>
      <t>60</t>
    </r>
    <r>
      <rPr>
        <sz val="10"/>
        <color theme="1"/>
        <rFont val="宋体"/>
        <charset val="134"/>
      </rPr>
      <t>英尺内、你能看到的一点处。
此精魂创造出一道环绕该点的、</t>
    </r>
    <r>
      <rPr>
        <sz val="10"/>
        <color theme="1"/>
        <rFont val="Times New Roman"/>
        <charset val="134"/>
      </rPr>
      <t>30</t>
    </r>
    <r>
      <rPr>
        <sz val="10"/>
        <color theme="1"/>
        <rFont val="宋体"/>
        <charset val="134"/>
      </rPr>
      <t>英尺半径的光环。
精魂不算作是生物，也不算作是物体，尽管它有着符合对应生物的幽魂般的外表。
以一个附赠动作，你可以移动此精魂至多</t>
    </r>
    <r>
      <rPr>
        <sz val="10"/>
        <color theme="1"/>
        <rFont val="Times New Roman"/>
        <charset val="134"/>
      </rPr>
      <t>60</t>
    </r>
    <r>
      <rPr>
        <sz val="10"/>
        <color theme="1"/>
        <rFont val="宋体"/>
        <charset val="134"/>
      </rPr>
      <t>英尺，到你能看到的一点处。
此精魂持续</t>
    </r>
    <r>
      <rPr>
        <sz val="10"/>
        <color theme="1"/>
        <rFont val="Times New Roman"/>
        <charset val="134"/>
      </rPr>
      <t>1</t>
    </r>
    <r>
      <rPr>
        <sz val="10"/>
        <color theme="1"/>
        <rFont val="宋体"/>
        <charset val="134"/>
      </rPr>
      <t>分钟或直到你失能。
一旦你使用了此特性，你无法再次使用它，直到你完成一次短休息或长休息为止。
此精魂的光环效果基于你召唤的精魂的类别，如下面的选项所示。
熊精魂：熊精魂授予你和你的伙伴它的力量和坚韧。
在精魂出现时，每个处于此光环中、由你选择的生物，获得等于</t>
    </r>
    <r>
      <rPr>
        <sz val="10"/>
        <color theme="1"/>
        <rFont val="Times New Roman"/>
        <charset val="134"/>
      </rPr>
      <t>5+</t>
    </r>
    <r>
      <rPr>
        <sz val="10"/>
        <color theme="1"/>
        <rFont val="宋体"/>
        <charset val="134"/>
      </rPr>
      <t>你的德鲁伊等级的临时生命值。
此外，你和你的盟友在处于光环内时，在力量检定和力量豁免检定中获得优势。
鹰精魂：鹰精魂是技艺精湛的猎手，用它敏锐的视力标记你的敌人。
当一个生物对一个处于此精魂光环内的目标进行一次攻击检定时，你可以使用你的反应让这次攻击检定获得优势。
此外，在光环内你和你的盟友得到感知（观察）检定的优势。
独角兽精魂：独角兽精魂为周围提供保护。
你和你的盟友在用于侦测在此精魂光环内的生物所进行的所有属性检定中获得优势。
此外，若你以一个法术位施展了一个为任何处于或不处于光环内的人恢复生命值的法术，每个处于光环内、由你选择的生物也恢复等于你德鲁伊等级的生命值。</t>
    </r>
  </si>
  <si>
    <r>
      <rPr>
        <sz val="10"/>
        <color theme="1"/>
        <rFont val="宋体"/>
        <charset val="134"/>
      </rPr>
      <t>你已知两道你选择的法师戏法。推荐选择冷冻射线</t>
    </r>
    <r>
      <rPr>
        <sz val="10"/>
        <color theme="1"/>
        <rFont val="Times New Roman"/>
        <charset val="134"/>
      </rPr>
      <t>Ray of Frost</t>
    </r>
    <r>
      <rPr>
        <sz val="10"/>
        <color theme="1"/>
        <rFont val="宋体"/>
        <charset val="134"/>
      </rPr>
      <t>和电爪</t>
    </r>
    <r>
      <rPr>
        <sz val="10"/>
        <color theme="1"/>
        <rFont val="Times New Roman"/>
        <charset val="134"/>
      </rPr>
      <t>Shocking Grasp</t>
    </r>
    <r>
      <rPr>
        <sz val="10"/>
        <color theme="1"/>
        <rFont val="宋体"/>
        <charset val="134"/>
      </rPr>
      <t>。
每当你获得一个战士等级时，你都能从此特性的戏法中选择其一替换为另一道你所选择的法师戏法。
当你的战士等级到达</t>
    </r>
    <r>
      <rPr>
        <sz val="10"/>
        <color theme="1"/>
        <rFont val="Times New Roman"/>
        <charset val="134"/>
      </rPr>
      <t>10</t>
    </r>
    <r>
      <rPr>
        <sz val="10"/>
        <color theme="1"/>
        <rFont val="宋体"/>
        <charset val="134"/>
      </rPr>
      <t>级时，你能另选一道法师戏法并习得。</t>
    </r>
  </si>
  <si>
    <r>
      <rPr>
        <sz val="10"/>
        <color theme="1"/>
        <rFont val="宋体"/>
        <charset val="134"/>
      </rPr>
      <t>锋锐剑影</t>
    </r>
  </si>
  <si>
    <r>
      <rPr>
        <sz val="10"/>
        <color theme="1"/>
        <rFont val="宋体"/>
        <charset val="134"/>
      </rPr>
      <t>你能使用</t>
    </r>
    <r>
      <rPr>
        <sz val="10"/>
        <color theme="1"/>
        <rFont val="Times New Roman"/>
        <charset val="134"/>
      </rPr>
      <t>“</t>
    </r>
    <r>
      <rPr>
        <sz val="10"/>
        <color theme="1"/>
        <rFont val="宋体"/>
        <charset val="134"/>
      </rPr>
      <t>气</t>
    </r>
    <r>
      <rPr>
        <sz val="10"/>
        <color theme="1"/>
        <rFont val="Times New Roman"/>
        <charset val="134"/>
      </rPr>
      <t>”</t>
    </r>
    <r>
      <rPr>
        <sz val="10"/>
        <color theme="1"/>
        <rFont val="宋体"/>
        <charset val="134"/>
      </rPr>
      <t>进一步地增强你的武器。
你可以用一次附赠动作，消耗最多</t>
    </r>
    <r>
      <rPr>
        <sz val="10"/>
        <color theme="1"/>
        <rFont val="Times New Roman"/>
        <charset val="134"/>
      </rPr>
      <t>3</t>
    </r>
    <r>
      <rPr>
        <sz val="10"/>
        <color theme="1"/>
        <rFont val="宋体"/>
        <charset val="134"/>
      </rPr>
      <t>点</t>
    </r>
    <r>
      <rPr>
        <sz val="10"/>
        <color theme="1"/>
        <rFont val="Times New Roman"/>
        <charset val="134"/>
      </rPr>
      <t>“</t>
    </r>
    <r>
      <rPr>
        <sz val="10"/>
        <color theme="1"/>
        <rFont val="宋体"/>
        <charset val="134"/>
      </rPr>
      <t>气</t>
    </r>
    <r>
      <rPr>
        <sz val="10"/>
        <color theme="1"/>
        <rFont val="Times New Roman"/>
        <charset val="134"/>
      </rPr>
      <t>”</t>
    </r>
    <r>
      <rPr>
        <sz val="10"/>
        <color theme="1"/>
        <rFont val="宋体"/>
        <charset val="134"/>
      </rPr>
      <t>灌注进你接触的一件剑圣武器，在你使用它攻击时获得攻击检定和伤害投骰的加值。
加值等于你为此消耗的</t>
    </r>
    <r>
      <rPr>
        <sz val="10"/>
        <color theme="1"/>
        <rFont val="Times New Roman"/>
        <charset val="134"/>
      </rPr>
      <t>“</t>
    </r>
    <r>
      <rPr>
        <sz val="10"/>
        <color theme="1"/>
        <rFont val="宋体"/>
        <charset val="134"/>
      </rPr>
      <t>气</t>
    </r>
    <r>
      <rPr>
        <sz val="10"/>
        <color theme="1"/>
        <rFont val="Times New Roman"/>
        <charset val="134"/>
      </rPr>
      <t>”</t>
    </r>
    <r>
      <rPr>
        <sz val="10"/>
        <color theme="1"/>
        <rFont val="宋体"/>
        <charset val="134"/>
      </rPr>
      <t>点数。
这一加值效果持续</t>
    </r>
    <r>
      <rPr>
        <sz val="10"/>
        <color theme="1"/>
        <rFont val="Times New Roman"/>
        <charset val="134"/>
      </rPr>
      <t>1</t>
    </r>
    <r>
      <rPr>
        <sz val="10"/>
        <color theme="1"/>
        <rFont val="宋体"/>
        <charset val="134"/>
      </rPr>
      <t>分钟，除非你再次使用该特性。
该特性无法作用于一件已经提供攻击检定与伤害骰加值的魔法武器。</t>
    </r>
  </si>
  <si>
    <r>
      <rPr>
        <sz val="10"/>
        <color theme="1"/>
        <rFont val="宋体"/>
        <charset val="134"/>
      </rPr>
      <t>不移胜者</t>
    </r>
  </si>
  <si>
    <r>
      <rPr>
        <sz val="10"/>
        <color theme="1"/>
        <rFont val="宋体"/>
        <charset val="134"/>
      </rPr>
      <t>你得到驾驭特异武艺的能力。
以一个动作，你可以魔法性的变成征服的化身，获得下述的好处，持续</t>
    </r>
    <r>
      <rPr>
        <sz val="10"/>
        <color theme="1"/>
        <rFont val="Times New Roman"/>
        <charset val="134"/>
      </rPr>
      <t>1</t>
    </r>
    <r>
      <rPr>
        <sz val="10"/>
        <color theme="1"/>
        <rFont val="宋体"/>
        <charset val="134"/>
      </rPr>
      <t>分钟：
你对于所有伤害得到抗力。
当你在你的回合进行攻击动作时，你可以进行一次额外的攻击，作为该动作的一部分。
你的近战武器攻击在掷出</t>
    </r>
    <r>
      <rPr>
        <sz val="10"/>
        <color theme="1"/>
        <rFont val="Times New Roman"/>
        <charset val="134"/>
      </rPr>
      <t>19</t>
    </r>
    <r>
      <rPr>
        <sz val="10"/>
        <color theme="1"/>
        <rFont val="宋体"/>
        <charset val="134"/>
      </rPr>
      <t>或</t>
    </r>
    <r>
      <rPr>
        <sz val="10"/>
        <color theme="1"/>
        <rFont val="Times New Roman"/>
        <charset val="134"/>
      </rPr>
      <t>20</t>
    </r>
    <r>
      <rPr>
        <sz val="10"/>
        <color theme="1"/>
        <rFont val="宋体"/>
        <charset val="134"/>
      </rPr>
      <t>时即可造成重击。
一旦你使用了此特性，直到你完成了一次长休息后不能再使用它。</t>
    </r>
  </si>
  <si>
    <r>
      <rPr>
        <sz val="10"/>
        <color theme="1"/>
        <rFont val="宋体"/>
        <charset val="134"/>
      </rPr>
      <t>虚体防御</t>
    </r>
  </si>
  <si>
    <r>
      <rPr>
        <sz val="10"/>
        <color theme="1"/>
        <rFont val="宋体"/>
        <charset val="134"/>
      </rPr>
      <t>你的空间传送能力能让你在战斗中流转于空间边缘以减少伤害。当你受到一次攻击伤害时，你可以用你的反应来给予你对那次攻击全部伤害的抗性在这一回合。</t>
    </r>
  </si>
  <si>
    <r>
      <rPr>
        <sz val="10"/>
        <color theme="1"/>
        <rFont val="宋体"/>
        <charset val="134"/>
      </rPr>
      <t>精准之眼</t>
    </r>
  </si>
  <si>
    <r>
      <rPr>
        <sz val="10"/>
        <color theme="1"/>
        <rFont val="宋体"/>
        <charset val="134"/>
      </rPr>
      <t>你得到侦测魔法欺瞒的能力。
以一个动作，你感知到你周围</t>
    </r>
    <r>
      <rPr>
        <sz val="10"/>
        <color theme="1"/>
        <rFont val="Times New Roman"/>
        <charset val="134"/>
      </rPr>
      <t>30</t>
    </r>
    <r>
      <rPr>
        <sz val="10"/>
        <color theme="1"/>
        <rFont val="宋体"/>
        <charset val="134"/>
      </rPr>
      <t>英尺内的幻术存在，不在天生形态下的变形生物，和其他意在欺瞒感官的魔法，前提是你没有目盲或耳聋。
你能了解到了有一个效果正在试图欺骗你，不过你并没有得到对其后所掩盖的真相和对他真实本质的特殊洞察力。
你可以使用这个功能的次数等于你的感知调整值（至少一次），当你完成一次长休，你重新获得所有次数。</t>
    </r>
  </si>
  <si>
    <r>
      <rPr>
        <sz val="10"/>
        <color theme="1"/>
        <rFont val="宋体"/>
        <charset val="134"/>
      </rPr>
      <t>众神眷恩</t>
    </r>
  </si>
  <si>
    <r>
      <rPr>
        <sz val="10"/>
        <color theme="1"/>
        <rFont val="宋体"/>
        <charset val="134"/>
      </rPr>
      <t>神圣力量指引着你的命运。
若你未通过一次豁免检定或在一次攻击检定中失手，你可以投</t>
    </r>
    <r>
      <rPr>
        <sz val="10"/>
        <color theme="1"/>
        <rFont val="Times New Roman"/>
        <charset val="134"/>
      </rPr>
      <t>2d4</t>
    </r>
    <r>
      <rPr>
        <sz val="10"/>
        <color theme="1"/>
        <rFont val="宋体"/>
        <charset val="134"/>
      </rPr>
      <t>，并将它加到总值上，这可能会改变结果。
一旦你使用了此特性，你无法在完成一次短休息或长休息前再次使用它。</t>
    </r>
  </si>
  <si>
    <t>7+</t>
  </si>
  <si>
    <r>
      <rPr>
        <sz val="10"/>
        <color theme="1"/>
        <rFont val="宋体"/>
        <charset val="134"/>
      </rPr>
      <t>坟茔殁语</t>
    </r>
  </si>
  <si>
    <r>
      <rPr>
        <sz val="10"/>
        <color theme="1"/>
        <rFont val="宋体"/>
        <charset val="134"/>
      </rPr>
      <t>先决：魔契师等级</t>
    </r>
    <r>
      <rPr>
        <sz val="10"/>
        <color theme="1"/>
        <rFont val="Times New Roman"/>
        <charset val="134"/>
      </rPr>
      <t xml:space="preserve">7+
</t>
    </r>
    <r>
      <rPr>
        <sz val="10"/>
        <color theme="1"/>
        <rFont val="宋体"/>
        <charset val="134"/>
      </rPr>
      <t>你可以施展死者交谈</t>
    </r>
    <r>
      <rPr>
        <sz val="10"/>
        <color theme="1"/>
        <rFont val="Times New Roman"/>
        <charset val="134"/>
      </rPr>
      <t xml:space="preserve">Speak With Dead </t>
    </r>
    <r>
      <rPr>
        <sz val="10"/>
        <color theme="1"/>
        <rFont val="宋体"/>
        <charset val="134"/>
      </rPr>
      <t>且无需消耗法术位。</t>
    </r>
  </si>
  <si>
    <t>守御之歌</t>
  </si>
  <si>
    <r>
      <rPr>
        <sz val="10"/>
        <color theme="1"/>
        <rFont val="宋体"/>
        <charset val="134"/>
      </rPr>
      <t>在你的剑歌激活期间，当你受到伤害时，你可以执行反应以消耗一枚法术位并将该伤害降低等同于该法术位环阶</t>
    </r>
    <r>
      <rPr>
        <sz val="10"/>
        <color theme="1"/>
        <rFont val="Times New Roman"/>
        <charset val="134"/>
      </rPr>
      <t>5</t>
    </r>
    <r>
      <rPr>
        <sz val="10"/>
        <color theme="1"/>
        <rFont val="宋体"/>
        <charset val="134"/>
      </rPr>
      <t>倍的数值。</t>
    </r>
  </si>
  <si>
    <r>
      <rPr>
        <sz val="10"/>
        <color theme="1"/>
        <rFont val="宋体"/>
        <charset val="134"/>
      </rPr>
      <t>钢铁守卫</t>
    </r>
  </si>
  <si>
    <r>
      <rPr>
        <sz val="10"/>
        <color theme="1"/>
        <rFont val="宋体"/>
        <charset val="134"/>
      </rPr>
      <t>你的工匠技艺为你诞生出了一名同伴，一个钢铁守卫</t>
    </r>
    <r>
      <rPr>
        <sz val="10"/>
        <color theme="1"/>
        <rFont val="Times New Roman"/>
        <charset val="134"/>
      </rPr>
      <t>Steel Defender</t>
    </r>
    <r>
      <rPr>
        <sz val="10"/>
        <color theme="1"/>
        <rFont val="宋体"/>
        <charset val="134"/>
      </rPr>
      <t>（见数据卡）。你决定守卫的外观以及其是两足还是四足；你的决定对它的游戏数据没有影响。</t>
    </r>
    <r>
      <rPr>
        <sz val="10"/>
        <color theme="1"/>
        <rFont val="Times New Roman"/>
        <charset val="134"/>
      </rPr>
      <t xml:space="preserve">
</t>
    </r>
    <r>
      <rPr>
        <sz val="10"/>
        <color theme="1"/>
        <rFont val="宋体"/>
        <charset val="134"/>
      </rPr>
      <t>钢铁守卫对你和你的盟友友好，并服从你的命令。它会在你死去时消失。</t>
    </r>
    <r>
      <rPr>
        <sz val="10"/>
        <color theme="1"/>
        <rFont val="Times New Roman"/>
        <charset val="134"/>
      </rPr>
      <t xml:space="preserve">
</t>
    </r>
    <r>
      <rPr>
        <sz val="10"/>
        <color theme="1"/>
        <rFont val="宋体"/>
        <charset val="134"/>
      </rPr>
      <t>战斗中的守卫</t>
    </r>
    <r>
      <rPr>
        <sz val="10"/>
        <color theme="1"/>
        <rFont val="Times New Roman"/>
        <charset val="134"/>
      </rPr>
      <t>The Defender in Combat</t>
    </r>
    <r>
      <rPr>
        <sz val="10"/>
        <color theme="1"/>
        <rFont val="宋体"/>
        <charset val="134"/>
      </rPr>
      <t>。在战斗中，守卫会在你的回合行动。它可以自行移动和采取反应，但除非你执行一个附赠动作命令它执行动作，否则它只会执行回避动作。如果你陷入失能状态，守卫会自行行动，而不仅限于回避动作。</t>
    </r>
    <r>
      <rPr>
        <sz val="10"/>
        <color theme="1"/>
        <rFont val="Times New Roman"/>
        <charset val="134"/>
      </rPr>
      <t xml:space="preserve">
</t>
    </r>
    <r>
      <rPr>
        <sz val="10"/>
        <color theme="1"/>
        <rFont val="宋体"/>
        <charset val="134"/>
      </rPr>
      <t>恢复与替换守卫</t>
    </r>
    <r>
      <rPr>
        <sz val="10"/>
        <color theme="1"/>
        <rFont val="Times New Roman"/>
        <charset val="134"/>
      </rPr>
      <t>Restoring or Replacing the Defender</t>
    </r>
    <r>
      <rPr>
        <sz val="10"/>
        <color theme="1"/>
        <rFont val="宋体"/>
        <charset val="134"/>
      </rPr>
      <t>。如果守卫在最近</t>
    </r>
    <r>
      <rPr>
        <sz val="10"/>
        <color theme="1"/>
        <rFont val="Times New Roman"/>
        <charset val="134"/>
      </rPr>
      <t>1</t>
    </r>
    <r>
      <rPr>
        <sz val="10"/>
        <color theme="1"/>
        <rFont val="宋体"/>
        <charset val="134"/>
      </rPr>
      <t>小时内死亡，你能以魔法动作触碰它，并消耗一个法术位。守卫会在</t>
    </r>
    <r>
      <rPr>
        <sz val="10"/>
        <color theme="1"/>
        <rFont val="Times New Roman"/>
        <charset val="134"/>
      </rPr>
      <t>1</t>
    </r>
    <r>
      <rPr>
        <sz val="10"/>
        <color theme="1"/>
        <rFont val="宋体"/>
        <charset val="134"/>
      </rPr>
      <t>分钟后复活，复活时恢复所有生命值。</t>
    </r>
    <r>
      <rPr>
        <sz val="10"/>
        <color theme="1"/>
        <rFont val="Times New Roman"/>
        <charset val="134"/>
      </rPr>
      <t xml:space="preserve">
</t>
    </r>
    <r>
      <rPr>
        <sz val="10"/>
        <color theme="1"/>
        <rFont val="宋体"/>
        <charset val="134"/>
      </rPr>
      <t>每当你完成长休时，若你持握着铁匠工具，你可以创造一个新的钢铁守卫。如果你已经以此特性拥有一台守卫，最早的那一个会消失。</t>
    </r>
    <r>
      <rPr>
        <sz val="10"/>
        <color theme="1"/>
        <rFont val="Times New Roman"/>
        <charset val="134"/>
      </rPr>
      <t xml:space="preserve">
</t>
    </r>
    <r>
      <rPr>
        <sz val="10"/>
        <color theme="1"/>
        <rFont val="宋体"/>
        <charset val="134"/>
      </rPr>
      <t>钢铁守卫</t>
    </r>
    <r>
      <rPr>
        <sz val="10"/>
        <color theme="1"/>
        <rFont val="Times New Roman"/>
        <charset val="134"/>
      </rPr>
      <t xml:space="preserve">Steel Defender
</t>
    </r>
    <r>
      <rPr>
        <sz val="10"/>
        <color theme="1"/>
        <rFont val="宋体"/>
        <charset val="134"/>
      </rPr>
      <t>中型构装</t>
    </r>
    <r>
      <rPr>
        <sz val="10"/>
        <color theme="1"/>
        <rFont val="Times New Roman"/>
        <charset val="134"/>
      </rPr>
      <t xml:space="preserve">
AC 15 </t>
    </r>
    <r>
      <rPr>
        <sz val="10"/>
        <color theme="1"/>
        <rFont val="宋体"/>
        <charset val="134"/>
      </rPr>
      <t>先攻</t>
    </r>
    <r>
      <rPr>
        <sz val="10"/>
        <color theme="1"/>
        <rFont val="Times New Roman"/>
        <charset val="134"/>
      </rPr>
      <t xml:space="preserve"> +1</t>
    </r>
    <r>
      <rPr>
        <sz val="10"/>
        <color theme="1"/>
        <rFont val="宋体"/>
        <charset val="134"/>
      </rPr>
      <t>（</t>
    </r>
    <r>
      <rPr>
        <sz val="10"/>
        <color theme="1"/>
        <rFont val="Times New Roman"/>
        <charset val="134"/>
      </rPr>
      <t>11</t>
    </r>
    <r>
      <rPr>
        <sz val="10"/>
        <color theme="1"/>
        <rFont val="宋体"/>
        <charset val="134"/>
      </rPr>
      <t>）</t>
    </r>
    <r>
      <rPr>
        <sz val="10"/>
        <color theme="1"/>
        <rFont val="Times New Roman"/>
        <charset val="134"/>
      </rPr>
      <t xml:space="preserve"> 
HP 5+</t>
    </r>
    <r>
      <rPr>
        <sz val="10"/>
        <color theme="1"/>
        <rFont val="宋体"/>
        <charset val="134"/>
      </rPr>
      <t>五倍你奇械师等级（守卫具有等于你奇械师等级的生命骰</t>
    </r>
    <r>
      <rPr>
        <sz val="10"/>
        <color theme="1"/>
        <rFont val="Times New Roman"/>
        <charset val="134"/>
      </rPr>
      <t>[d8]</t>
    </r>
    <r>
      <rPr>
        <sz val="10"/>
        <color theme="1"/>
        <rFont val="宋体"/>
        <charset val="134"/>
      </rPr>
      <t>）</t>
    </r>
    <r>
      <rPr>
        <sz val="10"/>
        <color theme="1"/>
        <rFont val="Times New Roman"/>
        <charset val="134"/>
      </rPr>
      <t xml:space="preserve"> 
</t>
    </r>
    <r>
      <rPr>
        <sz val="10"/>
        <color theme="1"/>
        <rFont val="宋体"/>
        <charset val="134"/>
      </rPr>
      <t>速度</t>
    </r>
    <r>
      <rPr>
        <sz val="10"/>
        <color theme="1"/>
        <rFont val="Times New Roman"/>
        <charset val="134"/>
      </rPr>
      <t xml:space="preserve"> 40</t>
    </r>
    <r>
      <rPr>
        <sz val="10"/>
        <color theme="1"/>
        <rFont val="宋体"/>
        <charset val="134"/>
      </rPr>
      <t>尺</t>
    </r>
    <r>
      <rPr>
        <sz val="10"/>
        <color theme="1"/>
        <rFont val="Times New Roman"/>
        <charset val="134"/>
      </rPr>
      <t xml:space="preserve"> 
  </t>
    </r>
    <r>
      <rPr>
        <sz val="10"/>
        <color theme="1"/>
        <rFont val="宋体"/>
        <charset val="134"/>
      </rPr>
      <t>调整</t>
    </r>
    <r>
      <rPr>
        <sz val="10"/>
        <color theme="1"/>
        <rFont val="Times New Roman"/>
        <charset val="134"/>
      </rPr>
      <t xml:space="preserve"> </t>
    </r>
    <r>
      <rPr>
        <sz val="10"/>
        <color theme="1"/>
        <rFont val="宋体"/>
        <charset val="134"/>
      </rPr>
      <t>豁免</t>
    </r>
    <r>
      <rPr>
        <sz val="10"/>
        <color theme="1"/>
        <rFont val="Times New Roman"/>
        <charset val="134"/>
      </rPr>
      <t xml:space="preserve">    </t>
    </r>
    <r>
      <rPr>
        <sz val="10"/>
        <color theme="1"/>
        <rFont val="宋体"/>
        <charset val="134"/>
      </rPr>
      <t>调整</t>
    </r>
    <r>
      <rPr>
        <sz val="10"/>
        <color theme="1"/>
        <rFont val="Times New Roman"/>
        <charset val="134"/>
      </rPr>
      <t xml:space="preserve"> </t>
    </r>
    <r>
      <rPr>
        <sz val="10"/>
        <color theme="1"/>
        <rFont val="宋体"/>
        <charset val="134"/>
      </rPr>
      <t>豁免</t>
    </r>
    <r>
      <rPr>
        <sz val="10"/>
        <color theme="1"/>
        <rFont val="Times New Roman"/>
        <charset val="134"/>
      </rPr>
      <t xml:space="preserve">    </t>
    </r>
    <r>
      <rPr>
        <sz val="10"/>
        <color theme="1"/>
        <rFont val="宋体"/>
        <charset val="134"/>
      </rPr>
      <t>调整</t>
    </r>
    <r>
      <rPr>
        <sz val="10"/>
        <color theme="1"/>
        <rFont val="Times New Roman"/>
        <charset val="134"/>
      </rPr>
      <t xml:space="preserve"> </t>
    </r>
    <r>
      <rPr>
        <sz val="10"/>
        <color theme="1"/>
        <rFont val="宋体"/>
        <charset val="134"/>
      </rPr>
      <t>豁免</t>
    </r>
    <r>
      <rPr>
        <sz val="10"/>
        <color theme="1"/>
        <rFont val="Times New Roman"/>
        <charset val="134"/>
      </rPr>
      <t xml:space="preserve"> 
</t>
    </r>
    <r>
      <rPr>
        <sz val="10"/>
        <color theme="1"/>
        <rFont val="宋体"/>
        <charset val="134"/>
      </rPr>
      <t>力量</t>
    </r>
    <r>
      <rPr>
        <sz val="10"/>
        <color theme="1"/>
        <rFont val="Times New Roman"/>
        <charset val="134"/>
      </rPr>
      <t xml:space="preserve"> 14 +2 +2  </t>
    </r>
    <r>
      <rPr>
        <sz val="10"/>
        <color theme="1"/>
        <rFont val="宋体"/>
        <charset val="134"/>
      </rPr>
      <t>敏捷</t>
    </r>
    <r>
      <rPr>
        <sz val="10"/>
        <color theme="1"/>
        <rFont val="Times New Roman"/>
        <charset val="134"/>
      </rPr>
      <t xml:space="preserve"> 12 +1 +1  </t>
    </r>
    <r>
      <rPr>
        <sz val="10"/>
        <color theme="1"/>
        <rFont val="宋体"/>
        <charset val="134"/>
      </rPr>
      <t>体质</t>
    </r>
    <r>
      <rPr>
        <sz val="10"/>
        <color theme="1"/>
        <rFont val="Times New Roman"/>
        <charset val="134"/>
      </rPr>
      <t xml:space="preserve"> 14  +2  +2 
</t>
    </r>
    <r>
      <rPr>
        <sz val="10"/>
        <color theme="1"/>
        <rFont val="宋体"/>
        <charset val="134"/>
      </rPr>
      <t>智力</t>
    </r>
    <r>
      <rPr>
        <sz val="10"/>
        <color theme="1"/>
        <rFont val="Times New Roman"/>
        <charset val="134"/>
      </rPr>
      <t xml:space="preserve"> 4 -3 -3  </t>
    </r>
    <r>
      <rPr>
        <sz val="10"/>
        <color theme="1"/>
        <rFont val="宋体"/>
        <charset val="134"/>
      </rPr>
      <t>感知</t>
    </r>
    <r>
      <rPr>
        <sz val="10"/>
        <color theme="1"/>
        <rFont val="Times New Roman"/>
        <charset val="134"/>
      </rPr>
      <t xml:space="preserve"> 10 +0 +0  </t>
    </r>
    <r>
      <rPr>
        <sz val="10"/>
        <color theme="1"/>
        <rFont val="宋体"/>
        <charset val="134"/>
      </rPr>
      <t>魅力</t>
    </r>
    <r>
      <rPr>
        <sz val="10"/>
        <color theme="1"/>
        <rFont val="Times New Roman"/>
        <charset val="134"/>
      </rPr>
      <t xml:space="preserve"> 6  -2  -2 
</t>
    </r>
    <r>
      <rPr>
        <sz val="10"/>
        <color theme="1"/>
        <rFont val="宋体"/>
        <charset val="134"/>
      </rPr>
      <t>免疫</t>
    </r>
    <r>
      <rPr>
        <sz val="10"/>
        <color theme="1"/>
        <rFont val="Times New Roman"/>
        <charset val="134"/>
      </rPr>
      <t xml:space="preserve"> </t>
    </r>
    <r>
      <rPr>
        <sz val="10"/>
        <color theme="1"/>
        <rFont val="宋体"/>
        <charset val="134"/>
      </rPr>
      <t>毒素；魅惑，力竭，中毒</t>
    </r>
    <r>
      <rPr>
        <sz val="10"/>
        <color theme="1"/>
        <rFont val="Times New Roman"/>
        <charset val="134"/>
      </rPr>
      <t xml:space="preserve"> 
</t>
    </r>
    <r>
      <rPr>
        <sz val="10"/>
        <color theme="1"/>
        <rFont val="宋体"/>
        <charset val="134"/>
      </rPr>
      <t>感官</t>
    </r>
    <r>
      <rPr>
        <sz val="10"/>
        <color theme="1"/>
        <rFont val="Times New Roman"/>
        <charset val="134"/>
      </rPr>
      <t xml:space="preserve"> </t>
    </r>
    <r>
      <rPr>
        <sz val="10"/>
        <color theme="1"/>
        <rFont val="宋体"/>
        <charset val="134"/>
      </rPr>
      <t>黑暗视觉</t>
    </r>
    <r>
      <rPr>
        <sz val="10"/>
        <color theme="1"/>
        <rFont val="Times New Roman"/>
        <charset val="134"/>
      </rPr>
      <t>60</t>
    </r>
    <r>
      <rPr>
        <sz val="10"/>
        <color theme="1"/>
        <rFont val="宋体"/>
        <charset val="134"/>
      </rPr>
      <t>尺，被动察觉</t>
    </r>
    <r>
      <rPr>
        <sz val="10"/>
        <color theme="1"/>
        <rFont val="Times New Roman"/>
        <charset val="134"/>
      </rPr>
      <t xml:space="preserve">10 
</t>
    </r>
    <r>
      <rPr>
        <sz val="10"/>
        <color theme="1"/>
        <rFont val="宋体"/>
        <charset val="134"/>
      </rPr>
      <t>语言</t>
    </r>
    <r>
      <rPr>
        <sz val="10"/>
        <color theme="1"/>
        <rFont val="Times New Roman"/>
        <charset val="134"/>
      </rPr>
      <t xml:space="preserve"> </t>
    </r>
    <r>
      <rPr>
        <sz val="10"/>
        <color theme="1"/>
        <rFont val="宋体"/>
        <charset val="134"/>
      </rPr>
      <t>理解你说的语言</t>
    </r>
    <r>
      <rPr>
        <sz val="10"/>
        <color theme="1"/>
        <rFont val="Times New Roman"/>
        <charset val="134"/>
      </rPr>
      <t xml:space="preserve"> 
CR </t>
    </r>
    <r>
      <rPr>
        <sz val="10"/>
        <color theme="1"/>
        <rFont val="宋体"/>
        <charset val="134"/>
      </rPr>
      <t>无（</t>
    </r>
    <r>
      <rPr>
        <sz val="10"/>
        <color theme="1"/>
        <rFont val="Times New Roman"/>
        <charset val="134"/>
      </rPr>
      <t>XP0</t>
    </r>
    <r>
      <rPr>
        <sz val="10"/>
        <color theme="1"/>
        <rFont val="宋体"/>
        <charset val="134"/>
      </rPr>
      <t>；</t>
    </r>
    <r>
      <rPr>
        <sz val="10"/>
        <color theme="1"/>
        <rFont val="Times New Roman"/>
        <charset val="134"/>
      </rPr>
      <t>PB</t>
    </r>
    <r>
      <rPr>
        <sz val="10"/>
        <color theme="1"/>
        <rFont val="宋体"/>
        <charset val="134"/>
      </rPr>
      <t>等于你的熟练加值）</t>
    </r>
    <r>
      <rPr>
        <sz val="10"/>
        <color theme="1"/>
        <rFont val="Times New Roman"/>
        <charset val="134"/>
      </rPr>
      <t xml:space="preserve"> 
</t>
    </r>
    <r>
      <rPr>
        <sz val="10"/>
        <color theme="1"/>
        <rFont val="宋体"/>
        <charset val="134"/>
      </rPr>
      <t>特质</t>
    </r>
    <r>
      <rPr>
        <sz val="10"/>
        <color theme="1"/>
        <rFont val="Times New Roman"/>
        <charset val="134"/>
      </rPr>
      <t xml:space="preserve">Traits
</t>
    </r>
    <r>
      <rPr>
        <sz val="10"/>
        <color theme="1"/>
        <rFont val="宋体"/>
        <charset val="134"/>
      </rPr>
      <t>钢铁连结</t>
    </r>
    <r>
      <rPr>
        <sz val="10"/>
        <color theme="1"/>
        <rFont val="Times New Roman"/>
        <charset val="134"/>
      </rPr>
      <t>Steel Bond</t>
    </r>
    <r>
      <rPr>
        <sz val="10"/>
        <color theme="1"/>
        <rFont val="宋体"/>
        <charset val="134"/>
      </rPr>
      <t>。将你的熟练加值加入守卫进行的任何属性检定与豁免检定。</t>
    </r>
    <r>
      <rPr>
        <sz val="10"/>
        <color theme="1"/>
        <rFont val="Times New Roman"/>
        <charset val="134"/>
      </rPr>
      <t xml:space="preserve"> 
</t>
    </r>
    <r>
      <rPr>
        <sz val="10"/>
        <color theme="1"/>
        <rFont val="宋体"/>
        <charset val="134"/>
      </rPr>
      <t>动作</t>
    </r>
    <r>
      <rPr>
        <sz val="10"/>
        <color theme="1"/>
        <rFont val="Times New Roman"/>
        <charset val="134"/>
      </rPr>
      <t xml:space="preserve">Actions
</t>
    </r>
    <r>
      <rPr>
        <sz val="10"/>
        <color theme="1"/>
        <rFont val="宋体"/>
        <charset val="134"/>
      </rPr>
      <t>力场动能撕扯</t>
    </r>
    <r>
      <rPr>
        <sz val="10"/>
        <color theme="1"/>
        <rFont val="Times New Roman"/>
        <charset val="134"/>
      </rPr>
      <t>Force-Empowered Rend</t>
    </r>
    <r>
      <rPr>
        <sz val="10"/>
        <color theme="1"/>
        <rFont val="宋体"/>
        <charset val="134"/>
      </rPr>
      <t>。</t>
    </r>
    <r>
      <rPr>
        <sz val="10"/>
        <color theme="1"/>
        <rFont val="Times New Roman"/>
        <charset val="134"/>
      </rPr>
      <t xml:space="preserve"> </t>
    </r>
    <r>
      <rPr>
        <sz val="10"/>
        <color theme="1"/>
        <rFont val="宋体"/>
        <charset val="134"/>
      </rPr>
      <t>近战攻击：加值等于你的法术攻击加值，触及</t>
    </r>
    <r>
      <rPr>
        <sz val="10"/>
        <color theme="1"/>
        <rFont val="Times New Roman"/>
        <charset val="134"/>
      </rPr>
      <t>5</t>
    </r>
    <r>
      <rPr>
        <sz val="10"/>
        <color theme="1"/>
        <rFont val="宋体"/>
        <charset val="134"/>
      </rPr>
      <t>尺。命中：</t>
    </r>
    <r>
      <rPr>
        <sz val="10"/>
        <color theme="1"/>
        <rFont val="Times New Roman"/>
        <charset val="134"/>
      </rPr>
      <t>1d8+2</t>
    </r>
    <r>
      <rPr>
        <sz val="10"/>
        <color theme="1"/>
        <rFont val="宋体"/>
        <charset val="134"/>
      </rPr>
      <t>加你的智力调整值的力场伤害。</t>
    </r>
    <r>
      <rPr>
        <sz val="10"/>
        <color theme="1"/>
        <rFont val="Times New Roman"/>
        <charset val="134"/>
      </rPr>
      <t xml:space="preserve">
</t>
    </r>
    <r>
      <rPr>
        <sz val="10"/>
        <color theme="1"/>
        <rFont val="宋体"/>
        <charset val="134"/>
      </rPr>
      <t>修理</t>
    </r>
    <r>
      <rPr>
        <sz val="10"/>
        <color theme="1"/>
        <rFont val="Times New Roman"/>
        <charset val="134"/>
      </rPr>
      <t>Repair</t>
    </r>
    <r>
      <rPr>
        <sz val="10"/>
        <color theme="1"/>
        <rFont val="宋体"/>
        <charset val="134"/>
      </rPr>
      <t>（</t>
    </r>
    <r>
      <rPr>
        <sz val="10"/>
        <color theme="1"/>
        <rFont val="Times New Roman"/>
        <charset val="134"/>
      </rPr>
      <t>3/</t>
    </r>
    <r>
      <rPr>
        <sz val="10"/>
        <color theme="1"/>
        <rFont val="宋体"/>
        <charset val="134"/>
      </rPr>
      <t>天）。守卫或</t>
    </r>
    <r>
      <rPr>
        <sz val="10"/>
        <color theme="1"/>
        <rFont val="Times New Roman"/>
        <charset val="134"/>
      </rPr>
      <t>5</t>
    </r>
    <r>
      <rPr>
        <sz val="10"/>
        <color theme="1"/>
        <rFont val="宋体"/>
        <charset val="134"/>
      </rPr>
      <t>尺内其可见的一名构装或一个物件恢复等于</t>
    </r>
    <r>
      <rPr>
        <sz val="10"/>
        <color theme="1"/>
        <rFont val="Times New Roman"/>
        <charset val="134"/>
      </rPr>
      <t>2d8</t>
    </r>
    <r>
      <rPr>
        <sz val="10"/>
        <color theme="1"/>
        <rFont val="宋体"/>
        <charset val="134"/>
      </rPr>
      <t>加你的智力调整值的生命值。</t>
    </r>
    <r>
      <rPr>
        <sz val="10"/>
        <color theme="1"/>
        <rFont val="Times New Roman"/>
        <charset val="134"/>
      </rPr>
      <t xml:space="preserve"> 
</t>
    </r>
    <r>
      <rPr>
        <sz val="10"/>
        <color theme="1"/>
        <rFont val="宋体"/>
        <charset val="134"/>
      </rPr>
      <t>反应</t>
    </r>
    <r>
      <rPr>
        <sz val="10"/>
        <color theme="1"/>
        <rFont val="Times New Roman"/>
        <charset val="134"/>
      </rPr>
      <t xml:space="preserve">Reactions
</t>
    </r>
    <r>
      <rPr>
        <sz val="10"/>
        <color theme="1"/>
        <rFont val="宋体"/>
        <charset val="134"/>
      </rPr>
      <t>偏转攻击</t>
    </r>
    <r>
      <rPr>
        <sz val="10"/>
        <color theme="1"/>
        <rFont val="Times New Roman"/>
        <charset val="134"/>
      </rPr>
      <t>Deflect Attack</t>
    </r>
    <r>
      <rPr>
        <sz val="10"/>
        <color theme="1"/>
        <rFont val="宋体"/>
        <charset val="134"/>
      </rPr>
      <t>。</t>
    </r>
    <r>
      <rPr>
        <sz val="10"/>
        <color theme="1"/>
        <rFont val="Times New Roman"/>
        <charset val="134"/>
      </rPr>
      <t xml:space="preserve"> </t>
    </r>
    <r>
      <rPr>
        <sz val="10"/>
        <color theme="1"/>
        <rFont val="宋体"/>
        <charset val="134"/>
      </rPr>
      <t>触发：守卫</t>
    </r>
    <r>
      <rPr>
        <sz val="10"/>
        <color theme="1"/>
        <rFont val="Times New Roman"/>
        <charset val="134"/>
      </rPr>
      <t>5</t>
    </r>
    <r>
      <rPr>
        <sz val="10"/>
        <color theme="1"/>
        <rFont val="宋体"/>
        <charset val="134"/>
      </rPr>
      <t>尺内的一名其可见的生物对另一名生物进行攻击检定。响应：触发生物此次攻击检定具有劣势。</t>
    </r>
    <r>
      <rPr>
        <sz val="10"/>
        <color theme="1"/>
        <rFont val="Times New Roman"/>
        <charset val="134"/>
      </rPr>
      <t xml:space="preserve"> </t>
    </r>
  </si>
  <si>
    <r>
      <rPr>
        <sz val="10"/>
        <color theme="1"/>
        <rFont val="宋体"/>
        <charset val="134"/>
      </rPr>
      <t>扰乱心智</t>
    </r>
  </si>
  <si>
    <r>
      <rPr>
        <sz val="10"/>
        <color theme="1"/>
        <rFont val="宋体"/>
        <charset val="134"/>
      </rPr>
      <t>你可以消耗</t>
    </r>
    <r>
      <rPr>
        <sz val="10"/>
        <color theme="1"/>
        <rFont val="Times New Roman"/>
        <charset val="134"/>
      </rPr>
      <t>4</t>
    </r>
    <r>
      <rPr>
        <sz val="10"/>
        <color theme="1"/>
        <rFont val="宋体"/>
        <charset val="134"/>
      </rPr>
      <t>枚灵能骰代替法术位来施展困惑术</t>
    </r>
    <r>
      <rPr>
        <sz val="10"/>
        <color theme="1"/>
        <rFont val="Times New Roman"/>
        <charset val="134"/>
      </rPr>
      <t>Confusion</t>
    </r>
    <r>
      <rPr>
        <sz val="10"/>
        <color theme="1"/>
        <rFont val="宋体"/>
        <charset val="134"/>
      </rPr>
      <t>。当你用此特性不消耗法术位地施展困惑术时，你可以调整此法术使此法术球状区域的半径变为</t>
    </r>
    <r>
      <rPr>
        <sz val="10"/>
        <color theme="1"/>
        <rFont val="Times New Roman"/>
        <charset val="134"/>
      </rPr>
      <t>30</t>
    </r>
    <r>
      <rPr>
        <sz val="10"/>
        <color theme="1"/>
        <rFont val="宋体"/>
        <charset val="134"/>
      </rPr>
      <t>尺，你还可以选择法术效应区域内的一个你可见的生物，令其对抗此次法术所做的豁免检定自动成功。</t>
    </r>
    <r>
      <rPr>
        <sz val="10"/>
        <color theme="1"/>
        <rFont val="Times New Roman"/>
        <charset val="134"/>
      </rPr>
      <t xml:space="preserve"> 
</t>
    </r>
    <r>
      <rPr>
        <sz val="10"/>
        <color theme="1"/>
        <rFont val="宋体"/>
        <charset val="134"/>
      </rPr>
      <t>此外，受此法术效果影响的生物在区域内开始其回合时，你可以直接从法术的表格中选择其本回合的行为，而非让该生物去掷骰决定。</t>
    </r>
  </si>
  <si>
    <r>
      <rPr>
        <sz val="10"/>
        <color theme="1"/>
        <rFont val="宋体"/>
        <charset val="134"/>
      </rPr>
      <t>诱变剂</t>
    </r>
  </si>
  <si>
    <r>
      <rPr>
        <sz val="10"/>
        <color theme="1"/>
        <rFont val="宋体"/>
        <charset val="134"/>
      </rPr>
      <t>突变剂是你鲜血秘法的一部分。你可以在满足先决条件的同时学习诱变剂。</t>
    </r>
  </si>
  <si>
    <r>
      <rPr>
        <sz val="10"/>
        <color theme="1"/>
        <rFont val="宋体"/>
        <charset val="134"/>
      </rPr>
      <t>跨专业尝试</t>
    </r>
  </si>
  <si>
    <r>
      <rPr>
        <sz val="10"/>
        <color theme="1"/>
        <rFont val="宋体"/>
        <charset val="134"/>
      </rPr>
      <t>先决：药剂师等级</t>
    </r>
    <r>
      <rPr>
        <sz val="10"/>
        <color theme="1"/>
        <rFont val="Times New Roman"/>
        <charset val="134"/>
      </rPr>
      <t xml:space="preserve">14+ 
</t>
    </r>
    <r>
      <rPr>
        <sz val="10"/>
        <color theme="1"/>
        <rFont val="宋体"/>
        <charset val="134"/>
      </rPr>
      <t>当你使用动作施展一个法术时，你可以使用附赠动作发动一次武器攻击。</t>
    </r>
  </si>
  <si>
    <t>诡变弹道</t>
  </si>
  <si>
    <t>你可以让你的射弹沿着难以想象的轨迹飞行。你使用武器的远程攻击忽视半身掩护和四分之三掩护。</t>
  </si>
  <si>
    <t>邪秽幻变</t>
  </si>
  <si>
    <r>
      <rPr>
        <sz val="10"/>
        <color theme="1"/>
        <rFont val="宋体"/>
        <charset val="134"/>
      </rPr>
      <t>你发现两种使用阿斯蒙蒂斯魔法的新方法：
重获缄印</t>
    </r>
    <r>
      <rPr>
        <sz val="10"/>
        <color theme="1"/>
        <rFont val="Times New Roman"/>
        <charset val="134"/>
      </rPr>
      <t>Regaining Seals</t>
    </r>
    <r>
      <rPr>
        <sz val="10"/>
        <color theme="1"/>
        <rFont val="宋体"/>
        <charset val="134"/>
      </rPr>
      <t>。</t>
    </r>
    <r>
      <rPr>
        <sz val="10"/>
        <color theme="1"/>
        <rFont val="Times New Roman"/>
        <charset val="134"/>
      </rPr>
      <t xml:space="preserve"> </t>
    </r>
    <r>
      <rPr>
        <sz val="10"/>
        <color theme="1"/>
        <rFont val="宋体"/>
        <charset val="134"/>
      </rPr>
      <t>在你的回合中以一个附赠动作，你可以消耗一个法术位来重获数量等于该法术位环阶的缄印。
重获法术位</t>
    </r>
    <r>
      <rPr>
        <sz val="10"/>
        <color theme="1"/>
        <rFont val="Times New Roman"/>
        <charset val="134"/>
      </rPr>
      <t>Regaining Seals</t>
    </r>
    <r>
      <rPr>
        <sz val="10"/>
        <color theme="1"/>
        <rFont val="宋体"/>
        <charset val="134"/>
      </rPr>
      <t>。在你的回合中以一个附赠动作，你可以消耗任意数量的缄印来重获环阶等于缄印数三分之一的法术位。例如，你可以消耗六枚缄印来重获一个二环法术位。
一旦你使用了其中一项增益，直至完成长休你都无法再次使用该增益。</t>
    </r>
  </si>
  <si>
    <t>交叉反击</t>
  </si>
  <si>
    <r>
      <rPr>
        <sz val="10"/>
        <color theme="1"/>
        <rFont val="宋体"/>
        <charset val="134"/>
      </rPr>
      <t>你在化解重击的同时能以流畅的动作发起反击。当你因近战攻击受到伤害时，你能以反应消耗一点锐气来降低你受到的该次伤害，降低数值等于</t>
    </r>
    <r>
      <rPr>
        <sz val="10"/>
        <color theme="1"/>
        <rFont val="Times New Roman"/>
        <charset val="134"/>
      </rPr>
      <t>1d10</t>
    </r>
    <r>
      <rPr>
        <sz val="10"/>
        <color theme="1"/>
        <rFont val="宋体"/>
        <charset val="134"/>
      </rPr>
      <t>加你的力量调整值加你的拳斗士等级。
若你将该次伤害降至</t>
    </r>
    <r>
      <rPr>
        <sz val="10"/>
        <color theme="1"/>
        <rFont val="Times New Roman"/>
        <charset val="134"/>
      </rPr>
      <t>0</t>
    </r>
    <r>
      <rPr>
        <sz val="10"/>
        <color theme="1"/>
        <rFont val="宋体"/>
        <charset val="134"/>
      </rPr>
      <t>，作为同一反应的一部分。你能对你触及范围内的一名生物发动一次徒手打击或以拳斗武器发动一次攻击。</t>
    </r>
  </si>
  <si>
    <t>知识领域</t>
  </si>
  <si>
    <r>
      <rPr>
        <sz val="10"/>
        <color theme="1"/>
        <rFont val="宋体"/>
        <charset val="134"/>
      </rPr>
      <t>无常反冲</t>
    </r>
  </si>
  <si>
    <r>
      <rPr>
        <sz val="10"/>
        <color theme="1"/>
        <rFont val="宋体"/>
        <charset val="134"/>
      </rPr>
      <t>在你狂暴期间，如果你受到危险，你体内的魔法会猛烈爆发。
每当你在狂暴时受到伤害或者没能通过豁免检定后，你都可以立刻用反应再次重骰你的狂野魔法表，并立刻产生一次骰出的新的魔法效应。这个魔法效应将会替代你当前有的狂野魔法效应。</t>
    </r>
  </si>
  <si>
    <r>
      <rPr>
        <sz val="10"/>
        <color theme="1"/>
        <rFont val="宋体"/>
        <charset val="134"/>
      </rPr>
      <t>不竭鼓舞</t>
    </r>
  </si>
  <si>
    <r>
      <rPr>
        <sz val="10"/>
        <color theme="1"/>
        <rFont val="宋体"/>
        <charset val="134"/>
      </rPr>
      <t>你的激励言语是如此的具有感染力，以至于被鼓舞的人感受到他们必须行，不行也得行的做到成功。当一个生物使用了你的诗人激励骰子，将结果加入到攻击检定、属性检定、或豁免检定中，但仍然失败了，他可以保留这个诗人激励骰而不消耗。</t>
    </r>
  </si>
  <si>
    <r>
      <rPr>
        <sz val="10"/>
        <color theme="1"/>
        <rFont val="宋体"/>
        <charset val="134"/>
      </rPr>
      <t>死之门的哨卫</t>
    </r>
  </si>
  <si>
    <r>
      <rPr>
        <sz val="10"/>
        <color theme="1"/>
        <rFont val="宋体"/>
        <charset val="134"/>
      </rPr>
      <t>你获得了阻碍死亡不发的能力。作为一个反应，当你或你</t>
    </r>
    <r>
      <rPr>
        <sz val="10"/>
        <color theme="1"/>
        <rFont val="Times New Roman"/>
        <charset val="134"/>
      </rPr>
      <t>30</t>
    </r>
    <r>
      <rPr>
        <sz val="10"/>
        <color theme="1"/>
        <rFont val="宋体"/>
        <charset val="134"/>
      </rPr>
      <t>尺内的可见盟友承受了一次重击时，你可以将其转变为一次普通命中。且所有由那次重击引起的效应全部取消。
你可以使用此特性的次数等同于你的感知调整值次（至少一次），在你完成一次长休后你重获全部已被消耗的使用次数</t>
    </r>
  </si>
  <si>
    <r>
      <rPr>
        <sz val="10"/>
        <color theme="1"/>
        <rFont val="宋体"/>
        <charset val="134"/>
      </rPr>
      <t>强力召唤</t>
    </r>
  </si>
  <si>
    <r>
      <rPr>
        <sz val="10"/>
        <color theme="1"/>
        <rFont val="宋体"/>
        <charset val="134"/>
      </rPr>
      <t>你获得了召唤强力野兽和精类的能力。
任何你法术召唤或创造出的野兽或精类获得两种好处：
该生物出现时具有比正常情况下更多的生命值：它具有的每个</t>
    </r>
    <r>
      <rPr>
        <sz val="10"/>
        <color theme="1"/>
        <rFont val="Times New Roman"/>
        <charset val="134"/>
      </rPr>
      <t>HD</t>
    </r>
    <r>
      <rPr>
        <sz val="10"/>
        <color theme="1"/>
        <rFont val="宋体"/>
        <charset val="134"/>
      </rPr>
      <t>会多出</t>
    </r>
    <r>
      <rPr>
        <sz val="10"/>
        <color theme="1"/>
        <rFont val="Times New Roman"/>
        <charset val="134"/>
      </rPr>
      <t>2</t>
    </r>
    <r>
      <rPr>
        <sz val="10"/>
        <color theme="1"/>
        <rFont val="宋体"/>
        <charset val="134"/>
      </rPr>
      <t>点额外的生命值。
在克服对于非魔法攻击和伤害的免疫和抗力时，来自该生物天生武器的伤害被视为是魔法的。</t>
    </r>
  </si>
  <si>
    <r>
      <rPr>
        <sz val="10"/>
        <color theme="1"/>
        <rFont val="宋体"/>
        <charset val="134"/>
      </rPr>
      <t>奥法骑士施法表显示了你可用于施展一环及以上法术的法术位数量。你在完成一次长休时恢复所有已消耗的法术位。</t>
    </r>
  </si>
  <si>
    <r>
      <rPr>
        <sz val="10"/>
        <color theme="1"/>
        <rFont val="宋体"/>
        <charset val="134"/>
      </rPr>
      <t>精妙剑法</t>
    </r>
  </si>
  <si>
    <r>
      <rPr>
        <sz val="10"/>
        <color theme="1"/>
        <rFont val="宋体"/>
        <charset val="134"/>
      </rPr>
      <t>你对武器的运用更为精妙。
如果你使用武僧武器进行的攻击检定失败了，你可以重新掷骰。
该特性你每回合只能使用一次。</t>
    </r>
  </si>
  <si>
    <r>
      <rPr>
        <sz val="10"/>
        <color theme="1"/>
        <rFont val="宋体"/>
        <charset val="134"/>
      </rPr>
      <t>救赎圣誓法术</t>
    </r>
  </si>
  <si>
    <r>
      <rPr>
        <sz val="10"/>
        <color theme="1"/>
        <rFont val="宋体"/>
        <charset val="134"/>
      </rPr>
      <t>圣武士等级</t>
    </r>
    <r>
      <rPr>
        <sz val="10"/>
        <color theme="1"/>
        <rFont val="Times New Roman"/>
        <charset val="134"/>
      </rPr>
      <t>——</t>
    </r>
    <r>
      <rPr>
        <sz val="10"/>
        <color theme="1"/>
        <rFont val="宋体"/>
        <charset val="134"/>
      </rPr>
      <t xml:space="preserve">法术
</t>
    </r>
    <r>
      <rPr>
        <sz val="10"/>
        <color theme="1"/>
        <rFont val="Times New Roman"/>
        <charset val="134"/>
      </rPr>
      <t>3——</t>
    </r>
    <r>
      <rPr>
        <sz val="10"/>
        <color theme="1"/>
        <rFont val="宋体"/>
        <charset val="134"/>
      </rPr>
      <t xml:space="preserve">庇护术，睡眠术
</t>
    </r>
    <r>
      <rPr>
        <sz val="10"/>
        <color theme="1"/>
        <rFont val="Times New Roman"/>
        <charset val="134"/>
      </rPr>
      <t>5——</t>
    </r>
    <r>
      <rPr>
        <sz val="10"/>
        <color theme="1"/>
        <rFont val="宋体"/>
        <charset val="134"/>
      </rPr>
      <t xml:space="preserve">安定心神，人类定身术
</t>
    </r>
    <r>
      <rPr>
        <sz val="10"/>
        <color theme="1"/>
        <rFont val="Times New Roman"/>
        <charset val="134"/>
      </rPr>
      <t>9——</t>
    </r>
    <r>
      <rPr>
        <sz val="10"/>
        <color theme="1"/>
        <rFont val="宋体"/>
        <charset val="134"/>
      </rPr>
      <t xml:space="preserve">法术反制，催眠图纹
</t>
    </r>
    <r>
      <rPr>
        <sz val="10"/>
        <color theme="1"/>
        <rFont val="Times New Roman"/>
        <charset val="134"/>
      </rPr>
      <t>13——</t>
    </r>
    <r>
      <rPr>
        <sz val="10"/>
        <color theme="1"/>
        <rFont val="宋体"/>
        <charset val="134"/>
      </rPr>
      <t xml:space="preserve">欧提路克弹力法球，石肤术
</t>
    </r>
    <r>
      <rPr>
        <sz val="10"/>
        <color theme="1"/>
        <rFont val="Times New Roman"/>
        <charset val="134"/>
      </rPr>
      <t>17——</t>
    </r>
    <r>
      <rPr>
        <sz val="10"/>
        <color theme="1"/>
        <rFont val="宋体"/>
        <charset val="134"/>
      </rPr>
      <t>怪物定身术，力墙术</t>
    </r>
  </si>
  <si>
    <r>
      <rPr>
        <sz val="10"/>
        <color theme="1"/>
        <rFont val="宋体"/>
        <charset val="134"/>
      </rPr>
      <t>怪物杀手魔法</t>
    </r>
  </si>
  <si>
    <r>
      <rPr>
        <sz val="10"/>
        <color theme="1"/>
        <rFont val="宋体"/>
        <charset val="134"/>
      </rPr>
      <t>你学会一个额外法术当你到达指定游侠等级时，如怪物杀手法术列表所示。
这些法术对你视为游侠法术，它不计入你的已知法术总数中。
游侠等级</t>
    </r>
    <r>
      <rPr>
        <sz val="10"/>
        <color theme="1"/>
        <rFont val="Times New Roman"/>
        <charset val="134"/>
      </rPr>
      <t>——</t>
    </r>
    <r>
      <rPr>
        <sz val="10"/>
        <color theme="1"/>
        <rFont val="宋体"/>
        <charset val="134"/>
      </rPr>
      <t xml:space="preserve">法术
</t>
    </r>
    <r>
      <rPr>
        <sz val="10"/>
        <color theme="1"/>
        <rFont val="Times New Roman"/>
        <charset val="134"/>
      </rPr>
      <t>3</t>
    </r>
    <r>
      <rPr>
        <sz val="10"/>
        <color theme="1"/>
        <rFont val="宋体"/>
        <charset val="134"/>
      </rPr>
      <t>级</t>
    </r>
    <r>
      <rPr>
        <sz val="10"/>
        <color theme="1"/>
        <rFont val="Times New Roman"/>
        <charset val="134"/>
      </rPr>
      <t>——</t>
    </r>
    <r>
      <rPr>
        <sz val="10"/>
        <color theme="1"/>
        <rFont val="宋体"/>
        <charset val="134"/>
      </rPr>
      <t xml:space="preserve">防护善恶
</t>
    </r>
    <r>
      <rPr>
        <sz val="10"/>
        <color theme="1"/>
        <rFont val="Times New Roman"/>
        <charset val="134"/>
      </rPr>
      <t>5</t>
    </r>
    <r>
      <rPr>
        <sz val="10"/>
        <color theme="1"/>
        <rFont val="宋体"/>
        <charset val="134"/>
      </rPr>
      <t>级</t>
    </r>
    <r>
      <rPr>
        <sz val="10"/>
        <color theme="1"/>
        <rFont val="Times New Roman"/>
        <charset val="134"/>
      </rPr>
      <t>——</t>
    </r>
    <r>
      <rPr>
        <sz val="10"/>
        <color theme="1"/>
        <rFont val="宋体"/>
        <charset val="134"/>
      </rPr>
      <t xml:space="preserve">诚实之域
</t>
    </r>
    <r>
      <rPr>
        <sz val="10"/>
        <color theme="1"/>
        <rFont val="Times New Roman"/>
        <charset val="134"/>
      </rPr>
      <t>9</t>
    </r>
    <r>
      <rPr>
        <sz val="10"/>
        <color theme="1"/>
        <rFont val="宋体"/>
        <charset val="134"/>
      </rPr>
      <t>级</t>
    </r>
    <r>
      <rPr>
        <sz val="10"/>
        <color theme="1"/>
        <rFont val="Times New Roman"/>
        <charset val="134"/>
      </rPr>
      <t>——</t>
    </r>
    <r>
      <rPr>
        <sz val="10"/>
        <color theme="1"/>
        <rFont val="宋体"/>
        <charset val="134"/>
      </rPr>
      <t xml:space="preserve">防护法阵
</t>
    </r>
    <r>
      <rPr>
        <sz val="10"/>
        <color theme="1"/>
        <rFont val="Times New Roman"/>
        <charset val="134"/>
      </rPr>
      <t>13</t>
    </r>
    <r>
      <rPr>
        <sz val="10"/>
        <color theme="1"/>
        <rFont val="宋体"/>
        <charset val="134"/>
      </rPr>
      <t>级</t>
    </r>
    <r>
      <rPr>
        <sz val="10"/>
        <color theme="1"/>
        <rFont val="Times New Roman"/>
        <charset val="134"/>
      </rPr>
      <t>——</t>
    </r>
    <r>
      <rPr>
        <sz val="10"/>
        <color theme="1"/>
        <rFont val="宋体"/>
        <charset val="134"/>
      </rPr>
      <t xml:space="preserve">放逐术
</t>
    </r>
    <r>
      <rPr>
        <sz val="10"/>
        <color theme="1"/>
        <rFont val="Times New Roman"/>
        <charset val="134"/>
      </rPr>
      <t>17</t>
    </r>
    <r>
      <rPr>
        <sz val="10"/>
        <color theme="1"/>
        <rFont val="宋体"/>
        <charset val="134"/>
      </rPr>
      <t>级</t>
    </r>
    <r>
      <rPr>
        <sz val="10"/>
        <color theme="1"/>
        <rFont val="Times New Roman"/>
        <charset val="134"/>
      </rPr>
      <t>——</t>
    </r>
    <r>
      <rPr>
        <sz val="10"/>
        <color theme="1"/>
        <rFont val="宋体"/>
        <charset val="134"/>
      </rPr>
      <t>怪物定身术</t>
    </r>
  </si>
  <si>
    <r>
      <rPr>
        <sz val="10"/>
        <color theme="1"/>
        <rFont val="宋体"/>
        <charset val="134"/>
      </rPr>
      <t>识破弱点</t>
    </r>
  </si>
  <si>
    <r>
      <rPr>
        <sz val="10"/>
        <color theme="1"/>
        <rFont val="宋体"/>
        <charset val="134"/>
      </rPr>
      <t>你学会通过认真的研究一个生物的战术和移动来找到他的弱点的能力。
当你的战斗洞察对一个生物使用时，你对该生物的偷袭伤害提高</t>
    </r>
    <r>
      <rPr>
        <sz val="10"/>
        <color theme="1"/>
        <rFont val="Times New Roman"/>
        <charset val="134"/>
      </rPr>
      <t>3d6</t>
    </r>
    <r>
      <rPr>
        <sz val="10"/>
        <color theme="1"/>
        <rFont val="宋体"/>
        <charset val="134"/>
      </rPr>
      <t>。</t>
    </r>
  </si>
  <si>
    <r>
      <rPr>
        <sz val="10"/>
        <color theme="1"/>
        <rFont val="宋体"/>
        <charset val="134"/>
      </rPr>
      <t>强效治疗</t>
    </r>
  </si>
  <si>
    <r>
      <rPr>
        <sz val="10"/>
        <color theme="1"/>
        <rFont val="宋体"/>
        <charset val="134"/>
      </rPr>
      <t>你可以通过神圣之力增幅治疗法术。
当你或你的盟友在你周围</t>
    </r>
    <r>
      <rPr>
        <sz val="10"/>
        <color theme="1"/>
        <rFont val="Times New Roman"/>
        <charset val="134"/>
      </rPr>
      <t>5</t>
    </r>
    <r>
      <rPr>
        <sz val="10"/>
        <color theme="1"/>
        <rFont val="宋体"/>
        <charset val="134"/>
      </rPr>
      <t>英尺内掷骰子来决定法术恢复</t>
    </r>
    <r>
      <rPr>
        <sz val="10"/>
        <color theme="1"/>
        <rFont val="Times New Roman"/>
        <charset val="134"/>
      </rPr>
      <t>hp</t>
    </r>
    <r>
      <rPr>
        <sz val="10"/>
        <color theme="1"/>
        <rFont val="宋体"/>
        <charset val="134"/>
      </rPr>
      <t>点数的时候，只要你没有失能，你便可以花费</t>
    </r>
    <r>
      <rPr>
        <sz val="10"/>
        <color theme="1"/>
        <rFont val="Times New Roman"/>
        <charset val="134"/>
      </rPr>
      <t>1</t>
    </r>
    <r>
      <rPr>
        <sz val="10"/>
        <color theme="1"/>
        <rFont val="宋体"/>
        <charset val="134"/>
      </rPr>
      <t>个术法点，重扔其中任意数量的骰子。
每轮只能使用一次该能力。</t>
    </r>
  </si>
  <si>
    <r>
      <rPr>
        <sz val="10"/>
        <color theme="1"/>
        <rFont val="宋体"/>
        <charset val="134"/>
      </rPr>
      <t>以一个动作，你获得可以看穿</t>
    </r>
    <r>
      <rPr>
        <sz val="10"/>
        <color theme="1"/>
        <rFont val="Times New Roman"/>
        <charset val="134"/>
      </rPr>
      <t>30</t>
    </r>
    <r>
      <rPr>
        <sz val="10"/>
        <color theme="1"/>
        <rFont val="宋体"/>
        <charset val="134"/>
      </rPr>
      <t>尺范围内固态物件的能力。如果你不具有黑暗视觉，你会获得相同范围的黑暗视觉。这种特殊的感官将持续至多</t>
    </r>
    <r>
      <rPr>
        <sz val="10"/>
        <color theme="1"/>
        <rFont val="Times New Roman"/>
        <charset val="134"/>
      </rPr>
      <t>1</t>
    </r>
    <r>
      <rPr>
        <sz val="10"/>
        <color theme="1"/>
        <rFont val="宋体"/>
        <charset val="134"/>
      </rPr>
      <t>分钟，如果你的专注终止它也会提前终止（如同你正专注于一个法术）。在此期间，你看到的物件都将呈现出影子般的、透明的画面。
使用本祈唤后，直到你完成一次短休或长休前，你都无法再次使用它。
先决条件：第</t>
    </r>
    <r>
      <rPr>
        <sz val="10"/>
        <color theme="1"/>
        <rFont val="Times New Roman"/>
        <charset val="134"/>
      </rPr>
      <t>7</t>
    </r>
    <r>
      <rPr>
        <sz val="10"/>
        <color theme="1"/>
        <rFont val="宋体"/>
        <charset val="134"/>
      </rPr>
      <t>级</t>
    </r>
  </si>
  <si>
    <t>胜利之歌</t>
  </si>
  <si>
    <t>在你施展了一道施法时间为动作的法术之后，你可以执行附赠动作用武器进行一次攻击。</t>
  </si>
  <si>
    <r>
      <rPr>
        <sz val="10"/>
        <color theme="1"/>
        <rFont val="宋体"/>
        <charset val="134"/>
      </rPr>
      <t>每当你在自己回合内执行攻击动作时，可以发动两次攻击而非一次。</t>
    </r>
  </si>
  <si>
    <r>
      <rPr>
        <sz val="10"/>
        <color theme="1"/>
        <rFont val="宋体"/>
        <charset val="134"/>
      </rPr>
      <t>裂空使法术</t>
    </r>
  </si>
  <si>
    <r>
      <rPr>
        <sz val="10"/>
        <color theme="1"/>
        <rFont val="宋体"/>
        <charset val="134"/>
      </rPr>
      <t>当你到达裂空使法术表中特定的灵能使等级时，你就始终准备着表中对应的法术。</t>
    </r>
    <r>
      <rPr>
        <sz val="10"/>
        <color theme="1"/>
        <rFont val="Times New Roman"/>
        <charset val="134"/>
      </rPr>
      <t xml:space="preserve"> 
</t>
    </r>
    <r>
      <rPr>
        <sz val="10"/>
        <color theme="1"/>
        <rFont val="宋体"/>
        <charset val="134"/>
      </rPr>
      <t>裂空使法术</t>
    </r>
    <r>
      <rPr>
        <sz val="10"/>
        <color theme="1"/>
        <rFont val="Times New Roman"/>
        <charset val="134"/>
      </rPr>
      <t xml:space="preserve"> </t>
    </r>
    <r>
      <rPr>
        <sz val="10"/>
        <color theme="1"/>
        <rFont val="宋体"/>
        <charset val="134"/>
      </rPr>
      <t>灵能使等级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脚底抹油，羽落术
迷踪步，粉碎音波</t>
    </r>
    <r>
      <rPr>
        <sz val="10"/>
        <color theme="1"/>
        <rFont val="Times New Roman"/>
        <charset val="134"/>
      </rPr>
      <t xml:space="preserve"> 
5 </t>
    </r>
    <r>
      <rPr>
        <sz val="10"/>
        <color theme="1"/>
        <rFont val="宋体"/>
        <charset val="134"/>
      </rPr>
      <t>闪现术，加速术</t>
    </r>
    <r>
      <rPr>
        <sz val="10"/>
        <color theme="1"/>
        <rFont val="Times New Roman"/>
        <charset val="134"/>
      </rPr>
      <t xml:space="preserve"> 
7 </t>
    </r>
    <r>
      <rPr>
        <sz val="10"/>
        <color theme="1"/>
        <rFont val="宋体"/>
        <charset val="134"/>
      </rPr>
      <t>放逐术，任意门</t>
    </r>
    <r>
      <rPr>
        <sz val="10"/>
        <color theme="1"/>
        <rFont val="Times New Roman"/>
        <charset val="134"/>
      </rPr>
      <t xml:space="preserve"> 
9 </t>
    </r>
    <r>
      <rPr>
        <sz val="10"/>
        <color theme="1"/>
        <rFont val="宋体"/>
        <charset val="134"/>
      </rPr>
      <t>钢风斩，传送法阵</t>
    </r>
    <r>
      <rPr>
        <sz val="10"/>
        <color theme="1"/>
        <rFont val="Times New Roman"/>
        <charset val="134"/>
      </rPr>
      <t xml:space="preserve"> </t>
    </r>
  </si>
  <si>
    <t>3+</t>
  </si>
  <si>
    <r>
      <rPr>
        <sz val="10"/>
        <color theme="1"/>
        <rFont val="宋体"/>
        <charset val="134"/>
      </rPr>
      <t>诱变剂</t>
    </r>
    <r>
      <rPr>
        <sz val="10"/>
        <color theme="1"/>
        <rFont val="Times New Roman"/>
        <charset val="134"/>
      </rPr>
      <t>-</t>
    </r>
    <r>
      <rPr>
        <sz val="10"/>
        <color theme="1"/>
        <rFont val="宋体"/>
        <charset val="134"/>
      </rPr>
      <t>灵敏</t>
    </r>
  </si>
  <si>
    <r>
      <rPr>
        <sz val="10"/>
        <color theme="1"/>
        <rFont val="宋体"/>
        <charset val="134"/>
      </rPr>
      <t>你进行的敏捷检定具有优势。
副作用：你进行的感知检定具有劣势。</t>
    </r>
  </si>
  <si>
    <r>
      <rPr>
        <sz val="10"/>
        <color theme="1"/>
        <rFont val="宋体"/>
        <charset val="134"/>
      </rPr>
      <t>防患未然</t>
    </r>
  </si>
  <si>
    <r>
      <rPr>
        <sz val="10"/>
        <color theme="1"/>
        <rFont val="宋体"/>
        <charset val="134"/>
      </rPr>
      <t>先决：药剂师等级</t>
    </r>
    <r>
      <rPr>
        <sz val="10"/>
        <color theme="1"/>
        <rFont val="Times New Roman"/>
        <charset val="134"/>
      </rPr>
      <t xml:space="preserve">14+ 
</t>
    </r>
    <r>
      <rPr>
        <sz val="10"/>
        <color theme="1"/>
        <rFont val="宋体"/>
        <charset val="134"/>
      </rPr>
      <t>你可以在不消耗法术耗材的情况下以自身为目标施展法术触发术</t>
    </r>
    <r>
      <rPr>
        <sz val="10"/>
        <color theme="1"/>
        <rFont val="Times New Roman"/>
        <charset val="134"/>
      </rPr>
      <t>Comtingency</t>
    </r>
    <r>
      <rPr>
        <sz val="10"/>
        <color theme="1"/>
        <rFont val="宋体"/>
        <charset val="134"/>
      </rPr>
      <t>。你不能再次这样做直到完成一次长休。</t>
    </r>
  </si>
  <si>
    <t>跳弹【战技】</t>
  </si>
  <si>
    <t>当你使用武器发动的远程攻击失手时，你能够以附赠动作消耗一枚风险骰重骰此次攻击并将风险骰加入检定。你必须使用新的结果。</t>
  </si>
  <si>
    <t>九狱魔师（被动）</t>
  </si>
  <si>
    <r>
      <rPr>
        <sz val="10"/>
        <color theme="1"/>
        <rFont val="宋体"/>
        <charset val="134"/>
      </rPr>
      <t>先决：邪狱使等级</t>
    </r>
    <r>
      <rPr>
        <sz val="10"/>
        <color theme="1"/>
        <rFont val="Times New Roman"/>
        <charset val="134"/>
      </rPr>
      <t>18+</t>
    </r>
    <r>
      <rPr>
        <sz val="10"/>
        <color theme="1"/>
        <rFont val="宋体"/>
        <charset val="134"/>
      </rPr>
      <t>（筑灭师）
当你或位于你</t>
    </r>
    <r>
      <rPr>
        <sz val="10"/>
        <color theme="1"/>
        <rFont val="Times New Roman"/>
        <charset val="134"/>
      </rPr>
      <t>30</t>
    </r>
    <r>
      <rPr>
        <sz val="10"/>
        <color theme="1"/>
        <rFont val="宋体"/>
        <charset val="134"/>
      </rPr>
      <t>尺内的盟友对抗敌人施展的法术或魔法效应的豁免成功时，你可以立即对该敌人施加一枚或更多缄印，至多等于你熟练加值枚。</t>
    </r>
  </si>
  <si>
    <t>连击制造者</t>
  </si>
  <si>
    <t>当你以徒手打击对一名生物造成伤害时，代替你重磅巨拳选择同时应用擒抱或推撞选项，你可以令你在你的下个回合开始前对该目标进行的攻击检定具有优势。</t>
  </si>
  <si>
    <r>
      <rPr>
        <sz val="10"/>
        <color theme="1"/>
        <rFont val="宋体"/>
        <charset val="134"/>
      </rPr>
      <t>大地结社</t>
    </r>
  </si>
  <si>
    <r>
      <rPr>
        <sz val="10"/>
        <color theme="1"/>
        <rFont val="宋体"/>
        <charset val="134"/>
      </rPr>
      <t>掌控浪潮</t>
    </r>
  </si>
  <si>
    <r>
      <rPr>
        <sz val="10"/>
        <color theme="1"/>
        <rFont val="宋体"/>
        <charset val="134"/>
      </rPr>
      <t>每当你投掷狂野魔法表时，你可以掷两次骰子并且选择其中之一作为生效的狂野魔法效应。
如果你掷出的两个骰子数值相同，那么你可以无视这个数字，任选表中的一个效应生效。</t>
    </r>
  </si>
  <si>
    <r>
      <rPr>
        <sz val="10"/>
        <color theme="1"/>
        <rFont val="宋体"/>
        <charset val="134"/>
      </rPr>
      <t>统一言说</t>
    </r>
  </si>
  <si>
    <r>
      <rPr>
        <sz val="10"/>
        <color theme="1"/>
        <rFont val="宋体"/>
        <charset val="134"/>
      </rPr>
      <t>你掌握了一种一让你的话语被任何有智慧的生物理解的方法。以一个动作，你可以选择至多为你魅力调整数量的生物（至少为一个），他们必须在你六十尺内。在接下来的一个小时内，被选中的生物可以魔法性的理解你，不论你所说的话是用何种语言说的。
每当你用这一能力，直到下一次长休结束前你都不能再次使用这个能力。你也可以消耗任意一个的法术位去再次使用这个能力。</t>
    </r>
  </si>
  <si>
    <r>
      <rPr>
        <sz val="10"/>
        <color theme="1"/>
        <rFont val="宋体"/>
        <charset val="134"/>
      </rPr>
      <t>引魂明灯</t>
    </r>
  </si>
  <si>
    <r>
      <rPr>
        <sz val="10"/>
        <color theme="1"/>
        <rFont val="宋体"/>
        <charset val="134"/>
      </rPr>
      <t>你可以抓住游魂，摄取它的微少生命力来治疗活者的生命。当你周围</t>
    </r>
    <r>
      <rPr>
        <sz val="10"/>
        <color theme="1"/>
        <rFont val="Times New Roman"/>
        <charset val="134"/>
      </rPr>
      <t>60</t>
    </r>
    <r>
      <rPr>
        <sz val="10"/>
        <color theme="1"/>
        <rFont val="宋体"/>
        <charset val="134"/>
      </rPr>
      <t>尺范围内你可见的敌人死亡时，你或由你选择的你周围</t>
    </r>
    <r>
      <rPr>
        <sz val="10"/>
        <color theme="1"/>
        <rFont val="Times New Roman"/>
        <charset val="134"/>
      </rPr>
      <t>60</t>
    </r>
    <r>
      <rPr>
        <sz val="10"/>
        <color theme="1"/>
        <rFont val="宋体"/>
        <charset val="134"/>
      </rPr>
      <t>尺内的一个生物可以恢复等同于那个死亡敌人生命骰数量点的生命值。你只有未处于</t>
    </r>
    <r>
      <rPr>
        <sz val="10"/>
        <color theme="1"/>
        <rFont val="Times New Roman"/>
        <charset val="134"/>
      </rPr>
      <t xml:space="preserve"> </t>
    </r>
    <r>
      <rPr>
        <sz val="10"/>
        <color theme="1"/>
        <rFont val="宋体"/>
        <charset val="134"/>
      </rPr>
      <t>失能</t>
    </r>
    <r>
      <rPr>
        <sz val="10"/>
        <color theme="1"/>
        <rFont val="Times New Roman"/>
        <charset val="134"/>
      </rPr>
      <t xml:space="preserve">Incapacitated </t>
    </r>
    <r>
      <rPr>
        <sz val="10"/>
        <color theme="1"/>
        <rFont val="宋体"/>
        <charset val="134"/>
      </rPr>
      <t>状态的情况下才能使用此特性。一旦你使用了此特性，直到你下回合开始前你无法再次使用它。</t>
    </r>
  </si>
  <si>
    <r>
      <rPr>
        <sz val="10"/>
        <color theme="1"/>
        <rFont val="宋体"/>
        <charset val="134"/>
      </rPr>
      <t>精魂守卫</t>
    </r>
  </si>
  <si>
    <r>
      <rPr>
        <sz val="10"/>
        <color theme="1"/>
        <rFont val="宋体"/>
        <charset val="134"/>
      </rPr>
      <t>你的精魂图腾会守护那些你用你的魔法呼唤出的野兽和精类。
当一个你以一道法术召唤或创造的野兽或精类在你的精魂图腾光环内结束其回合时，该生物恢复等于你德鲁伊等级一半的生命值。</t>
    </r>
  </si>
  <si>
    <r>
      <rPr>
        <sz val="10"/>
        <color theme="1"/>
        <rFont val="宋体"/>
        <charset val="134"/>
      </rPr>
      <t>你准备可供你以此特性施展的一环及更高环阶的法术列表。为此，选择</t>
    </r>
    <r>
      <rPr>
        <sz val="10"/>
        <color theme="1"/>
        <rFont val="Times New Roman"/>
        <charset val="134"/>
      </rPr>
      <t>2</t>
    </r>
    <r>
      <rPr>
        <sz val="10"/>
        <color theme="1"/>
        <rFont val="宋体"/>
        <charset val="134"/>
      </rPr>
      <t>道来自法师法术列表的法术。推荐选择燃烧之手</t>
    </r>
    <r>
      <rPr>
        <sz val="10"/>
        <color theme="1"/>
        <rFont val="Times New Roman"/>
        <charset val="134"/>
      </rPr>
      <t>Burning Hands</t>
    </r>
    <r>
      <rPr>
        <sz val="10"/>
        <color theme="1"/>
        <rFont val="宋体"/>
        <charset val="134"/>
      </rPr>
      <t>、跳跃术</t>
    </r>
    <r>
      <rPr>
        <sz val="10"/>
        <color theme="1"/>
        <rFont val="Times New Roman"/>
        <charset val="134"/>
      </rPr>
      <t>Jump</t>
    </r>
    <r>
      <rPr>
        <sz val="10"/>
        <color theme="1"/>
        <rFont val="宋体"/>
        <charset val="134"/>
      </rPr>
      <t>和护盾术</t>
    </r>
    <r>
      <rPr>
        <sz val="10"/>
        <color theme="1"/>
        <rFont val="Times New Roman"/>
        <charset val="134"/>
      </rPr>
      <t>Shield</t>
    </r>
    <r>
      <rPr>
        <sz val="10"/>
        <color theme="1"/>
        <rFont val="宋体"/>
        <charset val="134"/>
      </rPr>
      <t>。
已准备法术数量会随你战士等级的提升而增加，如奥法骑士施法表中的准备法术一列所示。每当这一列的数字增加时，从法师法术列表中选择额外法术准备，直至已准备法术的数量与表格中的数字一致。你所选择法术的环阶必须是你所拥有法术位对应的环阶。
例如，如果你是一位</t>
    </r>
    <r>
      <rPr>
        <sz val="10"/>
        <color theme="1"/>
        <rFont val="Times New Roman"/>
        <charset val="134"/>
      </rPr>
      <t>7</t>
    </r>
    <r>
      <rPr>
        <sz val="10"/>
        <color theme="1"/>
        <rFont val="宋体"/>
        <charset val="134"/>
      </rPr>
      <t>级战士，则你的准备法术列表能包括五道一环或二环的法师法术，随意组合。</t>
    </r>
  </si>
  <si>
    <r>
      <rPr>
        <sz val="10"/>
        <color theme="1"/>
        <rFont val="宋体"/>
        <charset val="134"/>
      </rPr>
      <t>阳炎箭</t>
    </r>
  </si>
  <si>
    <r>
      <rPr>
        <sz val="10"/>
        <color theme="1"/>
        <rFont val="宋体"/>
        <charset val="134"/>
      </rPr>
      <t>你可以投掷出魔法圣光形成的灼热箭矢。
你可以在</t>
    </r>
    <r>
      <rPr>
        <sz val="10"/>
        <color theme="1"/>
        <rFont val="Times New Roman"/>
        <charset val="134"/>
      </rPr>
      <t xml:space="preserve"> </t>
    </r>
    <r>
      <rPr>
        <sz val="10"/>
        <color theme="1"/>
        <rFont val="宋体"/>
        <charset val="134"/>
      </rPr>
      <t>攻击</t>
    </r>
    <r>
      <rPr>
        <sz val="10"/>
        <color theme="1"/>
        <rFont val="Times New Roman"/>
        <charset val="134"/>
      </rPr>
      <t xml:space="preserve">Attack </t>
    </r>
    <r>
      <rPr>
        <sz val="10"/>
        <color theme="1"/>
        <rFont val="宋体"/>
        <charset val="134"/>
      </rPr>
      <t>动作中发动一种新的特殊攻击：一次</t>
    </r>
    <r>
      <rPr>
        <sz val="10"/>
        <color theme="1"/>
        <rFont val="Times New Roman"/>
        <charset val="134"/>
      </rPr>
      <t>30</t>
    </r>
    <r>
      <rPr>
        <sz val="10"/>
        <color theme="1"/>
        <rFont val="宋体"/>
        <charset val="134"/>
      </rPr>
      <t>尺范围的远程法术攻击。你熟练于这种攻击，且可以在攻击检定与其伤害掷骰上使用你的敏捷调整值。它造成光耀伤害，伤害骰为</t>
    </r>
    <r>
      <rPr>
        <sz val="10"/>
        <color theme="1"/>
        <rFont val="Times New Roman"/>
        <charset val="134"/>
      </rPr>
      <t>1d4</t>
    </r>
    <r>
      <rPr>
        <sz val="10"/>
        <color theme="1"/>
        <rFont val="宋体"/>
        <charset val="134"/>
      </rPr>
      <t>。这一攻击的伤害骰大小会随着你的等级增长而改变，其大小即武僧职业表中的</t>
    </r>
    <r>
      <rPr>
        <sz val="10"/>
        <color theme="1"/>
        <rFont val="Times New Roman"/>
        <charset val="134"/>
      </rPr>
      <t xml:space="preserve"> </t>
    </r>
    <r>
      <rPr>
        <sz val="10"/>
        <color theme="1"/>
        <rFont val="宋体"/>
        <charset val="134"/>
      </rPr>
      <t>武艺</t>
    </r>
    <r>
      <rPr>
        <sz val="10"/>
        <color theme="1"/>
        <rFont val="Times New Roman"/>
        <charset val="134"/>
      </rPr>
      <t xml:space="preserve">Martial Arts </t>
    </r>
    <r>
      <rPr>
        <sz val="10"/>
        <color theme="1"/>
        <rFont val="宋体"/>
        <charset val="134"/>
      </rPr>
      <t>一列。
如果你在自己的回合内执行了</t>
    </r>
    <r>
      <rPr>
        <sz val="10"/>
        <color theme="1"/>
        <rFont val="Times New Roman"/>
        <charset val="134"/>
      </rPr>
      <t xml:space="preserve"> </t>
    </r>
    <r>
      <rPr>
        <sz val="10"/>
        <color theme="1"/>
        <rFont val="宋体"/>
        <charset val="134"/>
      </rPr>
      <t>攻击</t>
    </r>
    <r>
      <rPr>
        <sz val="10"/>
        <color theme="1"/>
        <rFont val="Times New Roman"/>
        <charset val="134"/>
      </rPr>
      <t xml:space="preserve">Attack </t>
    </r>
    <r>
      <rPr>
        <sz val="10"/>
        <color theme="1"/>
        <rFont val="宋体"/>
        <charset val="134"/>
      </rPr>
      <t>动作，并在其中使用了这一特殊攻击作为攻击动作的一部分，你就可以花费</t>
    </r>
    <r>
      <rPr>
        <sz val="10"/>
        <color theme="1"/>
        <rFont val="Times New Roman"/>
        <charset val="134"/>
      </rPr>
      <t>1</t>
    </r>
    <r>
      <rPr>
        <sz val="10"/>
        <color theme="1"/>
        <rFont val="宋体"/>
        <charset val="134"/>
      </rPr>
      <t>点气，再用附赠动作进行两次额外的此种特殊攻击。
当你获得</t>
    </r>
    <r>
      <rPr>
        <sz val="10"/>
        <color theme="1"/>
        <rFont val="Times New Roman"/>
        <charset val="134"/>
      </rPr>
      <t xml:space="preserve"> </t>
    </r>
    <r>
      <rPr>
        <sz val="10"/>
        <color theme="1"/>
        <rFont val="宋体"/>
        <charset val="134"/>
      </rPr>
      <t>额外攻击</t>
    </r>
    <r>
      <rPr>
        <sz val="10"/>
        <color theme="1"/>
        <rFont val="Times New Roman"/>
        <charset val="134"/>
      </rPr>
      <t xml:space="preserve">Extra Attack </t>
    </r>
    <r>
      <rPr>
        <sz val="10"/>
        <color theme="1"/>
        <rFont val="宋体"/>
        <charset val="134"/>
      </rPr>
      <t>特性后，你在</t>
    </r>
    <r>
      <rPr>
        <sz val="10"/>
        <color theme="1"/>
        <rFont val="Times New Roman"/>
        <charset val="134"/>
      </rPr>
      <t xml:space="preserve"> </t>
    </r>
    <r>
      <rPr>
        <sz val="10"/>
        <color theme="1"/>
        <rFont val="宋体"/>
        <charset val="134"/>
      </rPr>
      <t>攻击</t>
    </r>
    <r>
      <rPr>
        <sz val="10"/>
        <color theme="1"/>
        <rFont val="Times New Roman"/>
        <charset val="134"/>
      </rPr>
      <t xml:space="preserve">Attack </t>
    </r>
    <r>
      <rPr>
        <sz val="10"/>
        <color theme="1"/>
        <rFont val="宋体"/>
        <charset val="134"/>
      </rPr>
      <t>动作中的每一次攻击都可以用于发动此种特殊攻击。</t>
    </r>
  </si>
  <si>
    <r>
      <rPr>
        <sz val="10"/>
        <color theme="1"/>
        <rFont val="宋体"/>
        <charset val="134"/>
      </rPr>
      <t>引导神力</t>
    </r>
    <r>
      <rPr>
        <sz val="10"/>
        <color theme="1"/>
        <rFont val="Times New Roman"/>
        <charset val="134"/>
      </rPr>
      <t>-</t>
    </r>
    <r>
      <rPr>
        <sz val="10"/>
        <color theme="1"/>
        <rFont val="宋体"/>
        <charset val="134"/>
      </rPr>
      <t>救赎</t>
    </r>
  </si>
  <si>
    <r>
      <rPr>
        <sz val="10"/>
        <color theme="1"/>
        <rFont val="宋体"/>
        <charset val="134"/>
      </rPr>
      <t>你获得以下两种引导神力选项。
引导神力如何运作，参见神圣誓约职业特性。
和平使节：你可以使用你的引导神力来以神圣力量增强自己的存在。
以一个附赠动作，你为自己在接下来的</t>
    </r>
    <r>
      <rPr>
        <sz val="10"/>
        <color theme="1"/>
        <rFont val="Times New Roman"/>
        <charset val="134"/>
      </rPr>
      <t>10</t>
    </r>
    <r>
      <rPr>
        <sz val="10"/>
        <color theme="1"/>
        <rFont val="宋体"/>
        <charset val="134"/>
      </rPr>
      <t>分钟内进行的下次魅力（说服）检定中提供</t>
    </r>
    <r>
      <rPr>
        <sz val="10"/>
        <color theme="1"/>
        <rFont val="Times New Roman"/>
        <charset val="134"/>
      </rPr>
      <t>+5</t>
    </r>
    <r>
      <rPr>
        <sz val="10"/>
        <color theme="1"/>
        <rFont val="宋体"/>
        <charset val="134"/>
      </rPr>
      <t>加值。
斥喝暴力：你可以使用你的引导神力来斥喝那些使用暴力的人。
当一个处于你周围</t>
    </r>
    <r>
      <rPr>
        <sz val="10"/>
        <color theme="1"/>
        <rFont val="Times New Roman"/>
        <charset val="134"/>
      </rPr>
      <t>30</t>
    </r>
    <r>
      <rPr>
        <sz val="10"/>
        <color theme="1"/>
        <rFont val="宋体"/>
        <charset val="134"/>
      </rPr>
      <t>英尺内的敌人以一次攻击对一个你之外的生物造成伤害时，以一个反应，你强迫攻击者进行一次感知豁免检定。
检定失败则攻击者受到等同于其刚刚造成的伤害的光耀伤害。
成功则受到一半伤害。</t>
    </r>
  </si>
  <si>
    <r>
      <rPr>
        <sz val="10"/>
        <color theme="1"/>
        <rFont val="宋体"/>
        <charset val="134"/>
      </rPr>
      <t>猎人感知</t>
    </r>
  </si>
  <si>
    <r>
      <rPr>
        <sz val="10"/>
        <color theme="1"/>
        <rFont val="宋体"/>
        <charset val="134"/>
      </rPr>
      <t>你获得了观察生物并魔法性地分析出最佳狩猎方式的能力。
以一个动作，选择一名</t>
    </r>
    <r>
      <rPr>
        <sz val="10"/>
        <color theme="1"/>
        <rFont val="Times New Roman"/>
        <charset val="134"/>
      </rPr>
      <t>60</t>
    </r>
    <r>
      <rPr>
        <sz val="10"/>
        <color theme="1"/>
        <rFont val="宋体"/>
        <charset val="134"/>
      </rPr>
      <t>尺范围内对你可见的角色。你立刻知晓该角色的伤害免疫，抗性和易伤。
如果该角色被预言系魔法覆盖，你感觉它没有任何伤害免疫，抗性和易伤。
你能使用该特性的次数等同于你的感知调整值（至少为</t>
    </r>
    <r>
      <rPr>
        <sz val="10"/>
        <color theme="1"/>
        <rFont val="Times New Roman"/>
        <charset val="134"/>
      </rPr>
      <t>1</t>
    </r>
    <r>
      <rPr>
        <sz val="10"/>
        <color theme="1"/>
        <rFont val="宋体"/>
        <charset val="134"/>
      </rPr>
      <t>）。
你重新获得所有使用过的次数当你完成一次长休时。</t>
    </r>
  </si>
  <si>
    <r>
      <rPr>
        <sz val="10"/>
        <color theme="1"/>
        <rFont val="宋体"/>
        <charset val="134"/>
      </rPr>
      <t>阴谋大师</t>
    </r>
  </si>
  <si>
    <r>
      <rPr>
        <sz val="10"/>
        <color theme="1"/>
        <rFont val="宋体"/>
        <charset val="134"/>
      </rPr>
      <t>你可以得到易容工具、文书伪造工具和一种自选赌博工具的熟练。
你同时可以学会两种自选语言。
此外，如果你听到一个生物讲话长于</t>
    </r>
    <r>
      <rPr>
        <sz val="10"/>
        <color theme="1"/>
        <rFont val="Times New Roman"/>
        <charset val="134"/>
      </rPr>
      <t>1</t>
    </r>
    <r>
      <rPr>
        <sz val="10"/>
        <color theme="1"/>
        <rFont val="宋体"/>
        <charset val="134"/>
      </rPr>
      <t>分钟，你可以确切无误地模仿他的语气和口音。
这允许你模仿来自某个特殊地区的特别口音，只要你知晓这种语言。</t>
    </r>
  </si>
  <si>
    <r>
      <rPr>
        <sz val="10"/>
        <color theme="1"/>
        <rFont val="宋体"/>
        <charset val="134"/>
      </rPr>
      <t>神圣之翼</t>
    </r>
  </si>
  <si>
    <r>
      <rPr>
        <sz val="10"/>
        <color theme="1"/>
        <rFont val="宋体"/>
        <charset val="134"/>
      </rPr>
      <t>你可以使用一个附赠动作，在你的背部展现一对光翼。
当光翼展现时，你具有</t>
    </r>
    <r>
      <rPr>
        <sz val="10"/>
        <color theme="1"/>
        <rFont val="Times New Roman"/>
        <charset val="134"/>
      </rPr>
      <t>30ft</t>
    </r>
    <r>
      <rPr>
        <sz val="10"/>
        <color theme="1"/>
        <rFont val="宋体"/>
        <charset val="134"/>
      </rPr>
      <t>的飞行速度。
它们会一直展现着，直到你失能、死亡、或者你以一个附赠动作遣散。
你为你神圣魔法的特性所选择的亲和力，决定了光翼的外观：鹰翼属于善良或守序，蝠翼属于邪恶或混乱，中立则是蜻蜓的翅膀。</t>
    </r>
  </si>
  <si>
    <r>
      <rPr>
        <sz val="10"/>
        <color theme="1"/>
        <rFont val="宋体"/>
        <charset val="134"/>
      </rPr>
      <t>你的诅咒为你与受咒目标间建立了短暂的联结。以一个附赠动作，你可以魔法性的传送到你的法术</t>
    </r>
    <r>
      <rPr>
        <sz val="10"/>
        <color theme="1"/>
        <rFont val="Times New Roman"/>
        <charset val="134"/>
      </rPr>
      <t xml:space="preserve"> </t>
    </r>
    <r>
      <rPr>
        <sz val="10"/>
        <color theme="1"/>
        <rFont val="宋体"/>
        <charset val="134"/>
      </rPr>
      <t>脆弱诅咒</t>
    </r>
    <r>
      <rPr>
        <sz val="10"/>
        <color theme="1"/>
        <rFont val="Times New Roman"/>
        <charset val="134"/>
      </rPr>
      <t xml:space="preserve">hex </t>
    </r>
    <r>
      <rPr>
        <sz val="10"/>
        <color theme="1"/>
        <rFont val="宋体"/>
        <charset val="134"/>
      </rPr>
      <t>或</t>
    </r>
    <r>
      <rPr>
        <sz val="10"/>
        <color theme="1"/>
        <rFont val="Times New Roman"/>
        <charset val="134"/>
      </rPr>
      <t xml:space="preserve"> </t>
    </r>
    <r>
      <rPr>
        <sz val="10"/>
        <color theme="1"/>
        <rFont val="宋体"/>
        <charset val="134"/>
      </rPr>
      <t>咒剑诅咒</t>
    </r>
    <r>
      <rPr>
        <sz val="10"/>
        <color theme="1"/>
        <rFont val="Times New Roman"/>
        <charset val="134"/>
      </rPr>
      <t xml:space="preserve">Hexblade's Curse </t>
    </r>
    <r>
      <rPr>
        <sz val="10"/>
        <color theme="1"/>
        <rFont val="宋体"/>
        <charset val="134"/>
      </rPr>
      <t>、凶兆符记</t>
    </r>
    <r>
      <rPr>
        <sz val="10"/>
        <color theme="1"/>
        <rFont val="Times New Roman"/>
        <charset val="134"/>
      </rPr>
      <t xml:space="preserve">Sign of Ill Omen </t>
    </r>
    <r>
      <rPr>
        <sz val="10"/>
        <color theme="1"/>
        <rFont val="宋体"/>
        <charset val="134"/>
      </rPr>
      <t>等邪术师特性所诅咒的目标，其周围</t>
    </r>
    <r>
      <rPr>
        <sz val="10"/>
        <color theme="1"/>
        <rFont val="Times New Roman"/>
        <charset val="134"/>
      </rPr>
      <t>5</t>
    </r>
    <r>
      <rPr>
        <sz val="10"/>
        <color theme="1"/>
        <rFont val="宋体"/>
        <charset val="134"/>
      </rPr>
      <t>尺内的一处你可见的且未被占据空间内，传送距离最多</t>
    </r>
    <r>
      <rPr>
        <sz val="10"/>
        <color theme="1"/>
        <rFont val="Times New Roman"/>
        <charset val="134"/>
      </rPr>
      <t>30</t>
    </r>
    <r>
      <rPr>
        <sz val="10"/>
        <color theme="1"/>
        <rFont val="宋体"/>
        <charset val="134"/>
      </rPr>
      <t>英尺。以此方式进行传送时，你必须能够看到那个受咒目标。
先决条件：第</t>
    </r>
    <r>
      <rPr>
        <sz val="10"/>
        <color theme="1"/>
        <rFont val="Times New Roman"/>
        <charset val="134"/>
      </rPr>
      <t>7</t>
    </r>
    <r>
      <rPr>
        <sz val="10"/>
        <color theme="1"/>
        <rFont val="宋体"/>
        <charset val="134"/>
      </rPr>
      <t>级，习得法术</t>
    </r>
    <r>
      <rPr>
        <sz val="10"/>
        <color theme="1"/>
        <rFont val="Times New Roman"/>
        <charset val="134"/>
      </rPr>
      <t xml:space="preserve"> </t>
    </r>
    <r>
      <rPr>
        <sz val="10"/>
        <color theme="1"/>
        <rFont val="宋体"/>
        <charset val="134"/>
      </rPr>
      <t>脆弱诅咒</t>
    </r>
    <r>
      <rPr>
        <sz val="10"/>
        <color theme="1"/>
        <rFont val="Times New Roman"/>
        <charset val="134"/>
      </rPr>
      <t xml:space="preserve">hex </t>
    </r>
    <r>
      <rPr>
        <sz val="10"/>
        <color theme="1"/>
        <rFont val="宋体"/>
        <charset val="134"/>
      </rPr>
      <t>、或具有可施加诅咒的邪术师特性</t>
    </r>
  </si>
  <si>
    <r>
      <rPr>
        <sz val="10"/>
        <color theme="1"/>
        <rFont val="宋体"/>
        <charset val="134"/>
      </rPr>
      <t>法师之笔</t>
    </r>
  </si>
  <si>
    <r>
      <rPr>
        <sz val="10"/>
        <color theme="1"/>
        <rFont val="宋体"/>
        <charset val="134"/>
      </rPr>
      <t>以一个附赠动作，你能用魔法创造一支微型羽毛笔。
这支魔法羽毛笔具有以下特性：
这支毛笔不需要墨水，当你用它书写时，它会在用于书写的表面上自行生成墨水，颜色由你选择。
若你使用这根羽毛笔来将法术抄入法术书，你只需花费每个法术等级</t>
    </r>
    <r>
      <rPr>
        <sz val="10"/>
        <color theme="1"/>
        <rFont val="Times New Roman"/>
        <charset val="134"/>
      </rPr>
      <t>2</t>
    </r>
    <r>
      <rPr>
        <sz val="10"/>
        <color theme="1"/>
        <rFont val="宋体"/>
        <charset val="134"/>
      </rPr>
      <t>分钟的时间。
若你用羽毛笔书写的文本在你身边</t>
    </r>
    <r>
      <rPr>
        <sz val="10"/>
        <color theme="1"/>
        <rFont val="Times New Roman"/>
        <charset val="134"/>
      </rPr>
      <t>5</t>
    </r>
    <r>
      <rPr>
        <sz val="10"/>
        <color theme="1"/>
        <rFont val="宋体"/>
        <charset val="134"/>
      </rPr>
      <t>尺范围之内，你可以用一个附赠动作在文字上方晃动羽毛将其消除。
这根羽毛笔将在你创造另一支笔或是死亡时消失。</t>
    </r>
  </si>
  <si>
    <r>
      <rPr>
        <sz val="10"/>
        <color theme="1"/>
        <rFont val="宋体"/>
        <charset val="134"/>
      </rPr>
      <t>奥能震荡</t>
    </r>
  </si>
  <si>
    <r>
      <rPr>
        <sz val="10"/>
        <color theme="1"/>
        <rFont val="宋体"/>
        <charset val="134"/>
      </rPr>
      <t>当你使用魔法武器以一次攻击检定命中一名目标，或钢铁守卫命中一名目标时，你可以将奥术能量引导至这次打击中，以创造以下的效应：</t>
    </r>
    <r>
      <rPr>
        <sz val="10"/>
        <color theme="1"/>
        <rFont val="Times New Roman"/>
        <charset val="134"/>
      </rPr>
      <t xml:space="preserve">
</t>
    </r>
    <r>
      <rPr>
        <sz val="10"/>
        <color theme="1"/>
        <rFont val="宋体"/>
        <charset val="134"/>
      </rPr>
      <t>毁灭能量</t>
    </r>
    <r>
      <rPr>
        <sz val="10"/>
        <color theme="1"/>
        <rFont val="Times New Roman"/>
        <charset val="134"/>
      </rPr>
      <t>Destructive Energy</t>
    </r>
    <r>
      <rPr>
        <sz val="10"/>
        <color theme="1"/>
        <rFont val="宋体"/>
        <charset val="134"/>
      </rPr>
      <t>。目标额外受到</t>
    </r>
    <r>
      <rPr>
        <sz val="10"/>
        <color theme="1"/>
        <rFont val="Times New Roman"/>
        <charset val="134"/>
      </rPr>
      <t>2d6</t>
    </r>
    <r>
      <rPr>
        <sz val="10"/>
        <color theme="1"/>
        <rFont val="宋体"/>
        <charset val="134"/>
      </rPr>
      <t>力场伤害。</t>
    </r>
    <r>
      <rPr>
        <sz val="10"/>
        <color theme="1"/>
        <rFont val="Times New Roman"/>
        <charset val="134"/>
      </rPr>
      <t xml:space="preserve">
</t>
    </r>
    <r>
      <rPr>
        <sz val="10"/>
        <color theme="1"/>
        <rFont val="宋体"/>
        <charset val="134"/>
      </rPr>
      <t>复苏能量</t>
    </r>
    <r>
      <rPr>
        <sz val="10"/>
        <color theme="1"/>
        <rFont val="Times New Roman"/>
        <charset val="134"/>
      </rPr>
      <t>Restorative Energy</t>
    </r>
    <r>
      <rPr>
        <sz val="10"/>
        <color theme="1"/>
        <rFont val="宋体"/>
        <charset val="134"/>
      </rPr>
      <t>。选择距离目标</t>
    </r>
    <r>
      <rPr>
        <sz val="10"/>
        <color theme="1"/>
        <rFont val="Times New Roman"/>
        <charset val="134"/>
      </rPr>
      <t>30</t>
    </r>
    <r>
      <rPr>
        <sz val="10"/>
        <color theme="1"/>
        <rFont val="宋体"/>
        <charset val="134"/>
      </rPr>
      <t>尺以内的一个你可见的生物或物体。治愈能量涌进选择的对象，为其恢复</t>
    </r>
    <r>
      <rPr>
        <sz val="10"/>
        <color theme="1"/>
        <rFont val="Times New Roman"/>
        <charset val="134"/>
      </rPr>
      <t>2d6</t>
    </r>
    <r>
      <rPr>
        <sz val="10"/>
        <color theme="1"/>
        <rFont val="宋体"/>
        <charset val="134"/>
      </rPr>
      <t>生命值。</t>
    </r>
    <r>
      <rPr>
        <sz val="10"/>
        <color theme="1"/>
        <rFont val="Times New Roman"/>
        <charset val="134"/>
      </rPr>
      <t xml:space="preserve">
</t>
    </r>
    <r>
      <rPr>
        <sz val="10"/>
        <color theme="1"/>
        <rFont val="宋体"/>
        <charset val="134"/>
      </rPr>
      <t>你可以引导能量的次数等于你的智力调整值（至少</t>
    </r>
    <r>
      <rPr>
        <sz val="10"/>
        <color theme="1"/>
        <rFont val="Times New Roman"/>
        <charset val="134"/>
      </rPr>
      <t>1</t>
    </r>
    <r>
      <rPr>
        <sz val="10"/>
        <color theme="1"/>
        <rFont val="宋体"/>
        <charset val="134"/>
      </rPr>
      <t>次），但你无法在一回合内如此做超过一次。当你完成长休时，你重获所有已消耗的次数。</t>
    </r>
  </si>
  <si>
    <r>
      <rPr>
        <sz val="10"/>
        <color theme="1"/>
        <rFont val="宋体"/>
        <charset val="134"/>
      </rPr>
      <t>瞬间移动</t>
    </r>
  </si>
  <si>
    <r>
      <rPr>
        <sz val="10"/>
        <color theme="1"/>
        <rFont val="宋体"/>
        <charset val="134"/>
      </rPr>
      <t>你可以无需消耗法术位施展迷踪步</t>
    </r>
    <r>
      <rPr>
        <sz val="10"/>
        <color theme="1"/>
        <rFont val="Times New Roman"/>
        <charset val="134"/>
      </rPr>
      <t xml:space="preserve">Mistry Step </t>
    </r>
    <r>
      <rPr>
        <sz val="10"/>
        <color theme="1"/>
        <rFont val="宋体"/>
        <charset val="134"/>
      </rPr>
      <t>，你只有在完成一次长休后才能再这样做。你也可以消耗</t>
    </r>
    <r>
      <rPr>
        <sz val="10"/>
        <color theme="1"/>
        <rFont val="Times New Roman"/>
        <charset val="134"/>
      </rPr>
      <t>1</t>
    </r>
    <r>
      <rPr>
        <sz val="10"/>
        <color theme="1"/>
        <rFont val="宋体"/>
        <charset val="134"/>
      </rPr>
      <t>枚灵能骰（无需动作）来重置此特性的使用权。</t>
    </r>
  </si>
  <si>
    <r>
      <rPr>
        <sz val="10"/>
        <color theme="1"/>
        <rFont val="宋体"/>
        <charset val="134"/>
      </rPr>
      <t>诱变剂</t>
    </r>
    <r>
      <rPr>
        <sz val="10"/>
        <color theme="1"/>
        <rFont val="Times New Roman"/>
        <charset val="134"/>
      </rPr>
      <t>-</t>
    </r>
    <r>
      <rPr>
        <sz val="10"/>
        <color theme="1"/>
        <rFont val="宋体"/>
        <charset val="134"/>
      </rPr>
      <t>精通</t>
    </r>
  </si>
  <si>
    <r>
      <rPr>
        <sz val="10"/>
        <color theme="1"/>
        <rFont val="宋体"/>
        <charset val="134"/>
      </rPr>
      <t>你进行的感知检定具有优势。
副作用：你进行的魅力检定具有劣势。</t>
    </r>
  </si>
  <si>
    <r>
      <rPr>
        <sz val="10"/>
        <color theme="1"/>
        <rFont val="宋体"/>
        <charset val="134"/>
      </rPr>
      <t>神经毒剂</t>
    </r>
  </si>
  <si>
    <r>
      <rPr>
        <sz val="10"/>
        <color theme="1"/>
        <rFont val="宋体"/>
        <charset val="134"/>
      </rPr>
      <t>先决：药剂师等级</t>
    </r>
    <r>
      <rPr>
        <sz val="10"/>
        <color theme="1"/>
        <rFont val="Times New Roman"/>
        <charset val="134"/>
      </rPr>
      <t xml:space="preserve">14+ 
</t>
    </r>
    <r>
      <rPr>
        <sz val="10"/>
        <color theme="1"/>
        <rFont val="宋体"/>
        <charset val="134"/>
      </rPr>
      <t>当你通过药剂师法术造成毒素伤害时，作为替换你可以选择造成心灵伤害。</t>
    </r>
  </si>
  <si>
    <t>花式枪法</t>
  </si>
  <si>
    <r>
      <rPr>
        <sz val="10"/>
        <color theme="1"/>
        <rFont val="宋体"/>
        <charset val="134"/>
      </rPr>
      <t>你华丽的武器技巧赋予你以下增益。</t>
    </r>
    <r>
      <rPr>
        <sz val="10"/>
        <color theme="1"/>
        <rFont val="Times New Roman"/>
        <charset val="134"/>
      </rPr>
      <t xml:space="preserve">
</t>
    </r>
    <r>
      <rPr>
        <sz val="10"/>
        <color theme="1"/>
        <rFont val="宋体"/>
        <charset val="134"/>
      </rPr>
      <t>沙鹰回旋</t>
    </r>
    <r>
      <rPr>
        <sz val="10"/>
        <color theme="1"/>
        <rFont val="Times New Roman"/>
        <charset val="134"/>
      </rPr>
      <t>Gun Spinning</t>
    </r>
    <r>
      <rPr>
        <sz val="10"/>
        <color theme="1"/>
        <rFont val="宋体"/>
        <charset val="134"/>
      </rPr>
      <t>。</t>
    </r>
    <r>
      <rPr>
        <sz val="10"/>
        <color theme="1"/>
        <rFont val="Times New Roman"/>
        <charset val="134"/>
      </rPr>
      <t xml:space="preserve"> </t>
    </r>
    <r>
      <rPr>
        <sz val="10"/>
        <color theme="1"/>
        <rFont val="宋体"/>
        <charset val="134"/>
      </rPr>
      <t>每回合一次，当你使用其中一把远程武器进行魅力（表演）或敏捷（巧手）检定时，你可以无需消耗地投掷一枚风险骰并加入属性检定中。</t>
    </r>
    <r>
      <rPr>
        <sz val="10"/>
        <color theme="1"/>
        <rFont val="Times New Roman"/>
        <charset val="134"/>
      </rPr>
      <t xml:space="preserve">
</t>
    </r>
    <r>
      <rPr>
        <sz val="10"/>
        <color theme="1"/>
        <rFont val="宋体"/>
        <charset val="134"/>
      </rPr>
      <t>快速填装</t>
    </r>
    <r>
      <rPr>
        <sz val="10"/>
        <color theme="1"/>
        <rFont val="Times New Roman"/>
        <charset val="134"/>
      </rPr>
      <t>Speed Loader</t>
    </r>
    <r>
      <rPr>
        <sz val="10"/>
        <color theme="1"/>
        <rFont val="宋体"/>
        <charset val="134"/>
      </rPr>
      <t>。</t>
    </r>
    <r>
      <rPr>
        <sz val="10"/>
        <color theme="1"/>
        <rFont val="Times New Roman"/>
        <charset val="134"/>
      </rPr>
      <t xml:space="preserve"> </t>
    </r>
    <r>
      <rPr>
        <sz val="10"/>
        <color theme="1"/>
        <rFont val="宋体"/>
        <charset val="134"/>
      </rPr>
      <t>你的回合内，你可以为具有换弹词条的武器换弹而无需执行动作或附赠动作。</t>
    </r>
  </si>
  <si>
    <t>欺骗戒律</t>
  </si>
  <si>
    <t>狱言家在加入墟寂教团时向摩洛克立下誓言。这些戒律要求他们渗透到权力的最顶端，操纵他们麾下所有人。
吾声为兵。即使我的蛊惑失败，只要敌人还能听见，局势就在我掌控。
疑心即真。无需彻底说服，播撒怀疑的种子，等待果实诞生。
相信是不需要理由的！九真一假，只说谎言等于什么也没说。
谎不过二。同样的招式易于预判。保持游走，切换目标，引起怀疑。</t>
  </si>
  <si>
    <t>连击破坏者</t>
  </si>
  <si>
    <r>
      <rPr>
        <sz val="10"/>
        <color theme="1"/>
        <rFont val="宋体"/>
        <charset val="134"/>
      </rPr>
      <t>当你使用交叉反击将触发伤害降至</t>
    </r>
    <r>
      <rPr>
        <sz val="10"/>
        <color theme="1"/>
        <rFont val="Times New Roman"/>
        <charset val="134"/>
      </rPr>
      <t>0</t>
    </r>
    <r>
      <rPr>
        <sz val="10"/>
        <color theme="1"/>
        <rFont val="宋体"/>
        <charset val="134"/>
      </rPr>
      <t>时，你重获</t>
    </r>
    <r>
      <rPr>
        <sz val="10"/>
        <color theme="1"/>
        <rFont val="Times New Roman"/>
        <charset val="134"/>
      </rPr>
      <t>1</t>
    </r>
    <r>
      <rPr>
        <sz val="10"/>
        <color theme="1"/>
        <rFont val="宋体"/>
        <charset val="134"/>
      </rPr>
      <t>点锐气。</t>
    </r>
  </si>
  <si>
    <r>
      <rPr>
        <sz val="10"/>
        <color theme="1"/>
        <rFont val="宋体"/>
        <charset val="134"/>
      </rPr>
      <t>月亮结社</t>
    </r>
  </si>
  <si>
    <r>
      <rPr>
        <sz val="10"/>
        <color theme="1"/>
        <rFont val="宋体"/>
        <charset val="134"/>
      </rPr>
      <t>野兽起源</t>
    </r>
  </si>
  <si>
    <r>
      <rPr>
        <sz val="10"/>
        <color theme="1"/>
        <rFont val="宋体"/>
        <charset val="134"/>
      </rPr>
      <t>踏上野兽道途的野蛮人点燃其灵魂深处熊熊燃烧的兽性火花以激活狂暴。其内心的野兽在嗥叫中被释放，在狂怒中爆发，并改变野蛮人的形态。这些野蛮人可能体内住着一只原初精魂，又或是某个化兽者的后人。请你为自己的野性之力选择一种起源，或在下方的</t>
    </r>
    <r>
      <rPr>
        <sz val="10"/>
        <color theme="1"/>
        <rFont val="Times New Roman"/>
        <charset val="134"/>
      </rPr>
      <t>“</t>
    </r>
    <r>
      <rPr>
        <sz val="10"/>
        <color theme="1"/>
        <rFont val="宋体"/>
        <charset val="134"/>
      </rPr>
      <t>野兽起源表</t>
    </r>
    <r>
      <rPr>
        <sz val="10"/>
        <color theme="1"/>
        <rFont val="Times New Roman"/>
        <charset val="134"/>
      </rPr>
      <t>”</t>
    </r>
    <r>
      <rPr>
        <sz val="10"/>
        <color theme="1"/>
        <rFont val="宋体"/>
        <charset val="134"/>
      </rPr>
      <t xml:space="preserve">随机选择。
</t>
    </r>
    <r>
      <rPr>
        <sz val="10"/>
        <color theme="1"/>
        <rFont val="Times New Roman"/>
        <charset val="134"/>
      </rPr>
      <t>D4</t>
    </r>
    <r>
      <rPr>
        <sz val="10"/>
        <color theme="1"/>
        <rFont val="宋体"/>
        <charset val="134"/>
      </rPr>
      <t xml:space="preserve">野兽起源
</t>
    </r>
    <r>
      <rPr>
        <sz val="10"/>
        <color theme="1"/>
        <rFont val="Times New Roman"/>
        <charset val="134"/>
      </rPr>
      <t xml:space="preserve"> 1  </t>
    </r>
    <r>
      <rPr>
        <sz val="10"/>
        <color theme="1"/>
        <rFont val="宋体"/>
        <charset val="134"/>
      </rPr>
      <t>你的生父或生母是一个兽化人，你也遗传了这方面的一些诅咒。</t>
    </r>
    <r>
      <rPr>
        <sz val="10"/>
        <color theme="1"/>
        <rFont val="Times New Roman"/>
        <charset val="134"/>
      </rPr>
      <t xml:space="preserve"> 
 2  </t>
    </r>
    <r>
      <rPr>
        <sz val="10"/>
        <color theme="1"/>
        <rFont val="宋体"/>
        <charset val="134"/>
      </rPr>
      <t>你是一位大德鲁伊的后人，并且继承了变形部分躯体的能力。</t>
    </r>
    <r>
      <rPr>
        <sz val="10"/>
        <color theme="1"/>
        <rFont val="Times New Roman"/>
        <charset val="134"/>
      </rPr>
      <t xml:space="preserve"> 
 3  </t>
    </r>
    <r>
      <rPr>
        <sz val="10"/>
        <color theme="1"/>
        <rFont val="宋体"/>
        <charset val="134"/>
      </rPr>
      <t>一只精类的精魂赐予你变换不同野兽形态的能力。</t>
    </r>
    <r>
      <rPr>
        <sz val="10"/>
        <color theme="1"/>
        <rFont val="Times New Roman"/>
        <charset val="134"/>
      </rPr>
      <t xml:space="preserve"> 
 4  </t>
    </r>
    <r>
      <rPr>
        <sz val="10"/>
        <color theme="1"/>
        <rFont val="宋体"/>
        <charset val="134"/>
      </rPr>
      <t>一只上古野兽的精魂住在你的体内，为你打开走上此道途的大门。</t>
    </r>
    <r>
      <rPr>
        <sz val="10"/>
        <color theme="1"/>
        <rFont val="Times New Roman"/>
        <charset val="134"/>
      </rPr>
      <t xml:space="preserve"> </t>
    </r>
  </si>
  <si>
    <r>
      <rPr>
        <sz val="10"/>
        <color theme="1"/>
        <rFont val="宋体"/>
        <charset val="134"/>
      </rPr>
      <t>传播鼓舞</t>
    </r>
  </si>
  <si>
    <r>
      <rPr>
        <sz val="10"/>
        <color theme="1"/>
        <rFont val="宋体"/>
        <charset val="134"/>
      </rPr>
      <t>当你成功激励了他人之后，你那雄辩言辞的力量会散播开去。当一个距离你</t>
    </r>
    <r>
      <rPr>
        <sz val="10"/>
        <color theme="1"/>
        <rFont val="Times New Roman"/>
        <charset val="134"/>
      </rPr>
      <t>60</t>
    </r>
    <r>
      <rPr>
        <sz val="10"/>
        <color theme="1"/>
        <rFont val="宋体"/>
        <charset val="134"/>
      </rPr>
      <t>尺内的生物使用了你的诗人激励骰增益了一次攻击检定、属性检定、或豁免检定并且成功之后，你可以用你的反应去借此鼓励另一个能够听见你的生物（除了你）。那个生物会获得一个诗人激励骰，而你并不会因此消耗你的诗人激励次数。
你可以使用这个能力的次数等于你的魅力调整值（最低为一次）次，完成一次长休后你重获该能力所有被消耗的使用次数。</t>
    </r>
  </si>
  <si>
    <r>
      <rPr>
        <sz val="10"/>
        <color theme="1"/>
        <rFont val="宋体"/>
        <charset val="134"/>
      </rPr>
      <t>秩序领域法术</t>
    </r>
  </si>
  <si>
    <r>
      <rPr>
        <sz val="10"/>
        <color theme="1"/>
        <rFont val="Times New Roman"/>
        <charset val="134"/>
      </rPr>
      <t>1st——</t>
    </r>
    <r>
      <rPr>
        <sz val="10"/>
        <color theme="1"/>
        <rFont val="宋体"/>
        <charset val="134"/>
      </rPr>
      <t xml:space="preserve">命令术，英雄气概
</t>
    </r>
    <r>
      <rPr>
        <sz val="10"/>
        <color theme="1"/>
        <rFont val="Times New Roman"/>
        <charset val="134"/>
      </rPr>
      <t>3rd——</t>
    </r>
    <r>
      <rPr>
        <sz val="10"/>
        <color theme="1"/>
        <rFont val="宋体"/>
        <charset val="134"/>
      </rPr>
      <t xml:space="preserve">人类定身术，诚实之域
</t>
    </r>
    <r>
      <rPr>
        <sz val="10"/>
        <color theme="1"/>
        <rFont val="Times New Roman"/>
        <charset val="134"/>
      </rPr>
      <t>5th——</t>
    </r>
    <r>
      <rPr>
        <sz val="10"/>
        <color theme="1"/>
        <rFont val="宋体"/>
        <charset val="134"/>
      </rPr>
      <t xml:space="preserve">群体治愈真言，缓慢术
</t>
    </r>
    <r>
      <rPr>
        <sz val="10"/>
        <color theme="1"/>
        <rFont val="Times New Roman"/>
        <charset val="134"/>
      </rPr>
      <t>7th——</t>
    </r>
    <r>
      <rPr>
        <sz val="10"/>
        <color theme="1"/>
        <rFont val="宋体"/>
        <charset val="134"/>
      </rPr>
      <t xml:space="preserve">强迫术，生物定位术
</t>
    </r>
    <r>
      <rPr>
        <sz val="10"/>
        <color theme="1"/>
        <rFont val="Times New Roman"/>
        <charset val="134"/>
      </rPr>
      <t>9th——</t>
    </r>
    <r>
      <rPr>
        <sz val="10"/>
        <color theme="1"/>
        <rFont val="宋体"/>
        <charset val="134"/>
      </rPr>
      <t>通神术，支配人类</t>
    </r>
  </si>
  <si>
    <r>
      <rPr>
        <sz val="10"/>
        <color theme="1"/>
        <rFont val="宋体"/>
        <charset val="134"/>
      </rPr>
      <t>忠诚召唤</t>
    </r>
  </si>
  <si>
    <r>
      <rPr>
        <sz val="10"/>
        <color theme="1"/>
        <rFont val="宋体"/>
        <charset val="134"/>
      </rPr>
      <t>你通联的自然精魂会在你最为无助的时候保护你。
若你的生命值降到</t>
    </r>
    <r>
      <rPr>
        <sz val="10"/>
        <color theme="1"/>
        <rFont val="Times New Roman"/>
        <charset val="134"/>
      </rPr>
      <t>0</t>
    </r>
    <r>
      <rPr>
        <sz val="10"/>
        <color theme="1"/>
        <rFont val="宋体"/>
        <charset val="134"/>
      </rPr>
      <t>，或非自愿地变得失能，你可以立即获得召唤野兽法术的好处，如同它是以一个</t>
    </r>
    <r>
      <rPr>
        <sz val="10"/>
        <color theme="1"/>
        <rFont val="Times New Roman"/>
        <charset val="134"/>
      </rPr>
      <t>9</t>
    </r>
    <r>
      <rPr>
        <sz val="10"/>
        <color theme="1"/>
        <rFont val="宋体"/>
        <charset val="134"/>
      </rPr>
      <t>级法术位施展的那样。
它召唤出四只由你选择的、挑战等级</t>
    </r>
    <r>
      <rPr>
        <sz val="10"/>
        <color theme="1"/>
        <rFont val="Times New Roman"/>
        <charset val="134"/>
      </rPr>
      <t>2</t>
    </r>
    <r>
      <rPr>
        <sz val="10"/>
        <color theme="1"/>
        <rFont val="宋体"/>
        <charset val="134"/>
      </rPr>
      <t>或更低的野兽。
被召唤的野兽出现在你周围</t>
    </r>
    <r>
      <rPr>
        <sz val="10"/>
        <color theme="1"/>
        <rFont val="Times New Roman"/>
        <charset val="134"/>
      </rPr>
      <t>20</t>
    </r>
    <r>
      <rPr>
        <sz val="10"/>
        <color theme="1"/>
        <rFont val="宋体"/>
        <charset val="134"/>
      </rPr>
      <t>英尺内。
如它们没有从你那里获得命令，它们会保护你免受伤害并攻击你的敌人。
此法术持续</t>
    </r>
    <r>
      <rPr>
        <sz val="10"/>
        <color theme="1"/>
        <rFont val="Times New Roman"/>
        <charset val="134"/>
      </rPr>
      <t>1</t>
    </r>
    <r>
      <rPr>
        <sz val="10"/>
        <color theme="1"/>
        <rFont val="宋体"/>
        <charset val="134"/>
      </rPr>
      <t>小时，无需专注，或直到你解消它（无需动作）。
一旦你使用了此特性，你无法再次使用它，直到你完成了一次长休息为止。</t>
    </r>
  </si>
  <si>
    <r>
      <rPr>
        <sz val="10"/>
        <color theme="1"/>
        <rFont val="宋体"/>
        <charset val="134"/>
      </rPr>
      <t>每当你获得一个战士等级，就可以将你准备列表上的一道法术替换为另一道法师法术，你必须拥有替换后法术对应环阶的法术位才可以替换。</t>
    </r>
  </si>
  <si>
    <r>
      <rPr>
        <sz val="10"/>
        <color theme="1"/>
        <rFont val="宋体"/>
        <charset val="134"/>
      </rPr>
      <t>热能袭</t>
    </r>
  </si>
  <si>
    <r>
      <rPr>
        <sz val="10"/>
        <color theme="1"/>
        <rFont val="宋体"/>
        <charset val="134"/>
      </rPr>
      <t>你获得引导自己的气，将其转化为灼热能量波的技艺。
当你在你的回合中执行了攻击动作，你可以立即消耗</t>
    </r>
    <r>
      <rPr>
        <sz val="10"/>
        <color theme="1"/>
        <rFont val="Times New Roman"/>
        <charset val="134"/>
      </rPr>
      <t>2</t>
    </r>
    <r>
      <rPr>
        <sz val="10"/>
        <color theme="1"/>
        <rFont val="宋体"/>
        <charset val="134"/>
      </rPr>
      <t>点气，以附赠动作施放法术</t>
    </r>
    <r>
      <rPr>
        <sz val="10"/>
        <color theme="1"/>
        <rFont val="Times New Roman"/>
        <charset val="134"/>
      </rPr>
      <t xml:space="preserve"> </t>
    </r>
    <r>
      <rPr>
        <sz val="10"/>
        <color theme="1"/>
        <rFont val="宋体"/>
        <charset val="134"/>
      </rPr>
      <t>燃烧之手</t>
    </r>
    <r>
      <rPr>
        <sz val="10"/>
        <color theme="1"/>
        <rFont val="Times New Roman"/>
        <charset val="134"/>
      </rPr>
      <t xml:space="preserve">burning hands </t>
    </r>
    <r>
      <rPr>
        <sz val="10"/>
        <color theme="1"/>
        <rFont val="宋体"/>
        <charset val="134"/>
      </rPr>
      <t>。
你可以消耗额外的气来施展更高环版本的法术</t>
    </r>
    <r>
      <rPr>
        <sz val="10"/>
        <color theme="1"/>
        <rFont val="Times New Roman"/>
        <charset val="134"/>
      </rPr>
      <t xml:space="preserve"> </t>
    </r>
    <r>
      <rPr>
        <sz val="10"/>
        <color theme="1"/>
        <rFont val="宋体"/>
        <charset val="134"/>
      </rPr>
      <t>燃烧之手</t>
    </r>
    <r>
      <rPr>
        <sz val="10"/>
        <color theme="1"/>
        <rFont val="Times New Roman"/>
        <charset val="134"/>
      </rPr>
      <t xml:space="preserve">burning hands </t>
    </r>
    <r>
      <rPr>
        <sz val="10"/>
        <color theme="1"/>
        <rFont val="宋体"/>
        <charset val="134"/>
      </rPr>
      <t>，每消耗一点额外的气都能使法术的环阶上升</t>
    </r>
    <r>
      <rPr>
        <sz val="10"/>
        <color theme="1"/>
        <rFont val="Times New Roman"/>
        <charset val="134"/>
      </rPr>
      <t>1</t>
    </r>
    <r>
      <rPr>
        <sz val="10"/>
        <color theme="1"/>
        <rFont val="宋体"/>
        <charset val="134"/>
      </rPr>
      <t>环。你最多可以在这个法术上花费的气（</t>
    </r>
    <r>
      <rPr>
        <sz val="10"/>
        <color theme="1"/>
        <rFont val="Times New Roman"/>
        <charset val="134"/>
      </rPr>
      <t>2+</t>
    </r>
    <r>
      <rPr>
        <sz val="10"/>
        <color theme="1"/>
        <rFont val="宋体"/>
        <charset val="134"/>
      </rPr>
      <t>额外的点数）等同你武僧等级的一半。</t>
    </r>
  </si>
  <si>
    <r>
      <rPr>
        <sz val="10"/>
        <color theme="1"/>
        <rFont val="宋体"/>
        <charset val="134"/>
      </rPr>
      <t>护卫光环</t>
    </r>
  </si>
  <si>
    <r>
      <rPr>
        <sz val="10"/>
        <color theme="1"/>
        <rFont val="宋体"/>
        <charset val="134"/>
      </rPr>
      <t>你可以以自己的健康为代价保护盟友免受伤害。
当一个处于你</t>
    </r>
    <r>
      <rPr>
        <sz val="10"/>
        <color theme="1"/>
        <rFont val="Times New Roman"/>
        <charset val="134"/>
      </rPr>
      <t>10</t>
    </r>
    <r>
      <rPr>
        <sz val="10"/>
        <color theme="1"/>
        <rFont val="宋体"/>
        <charset val="134"/>
      </rPr>
      <t>尺内的生物受到伤害时，你可以用一个反应动作，魔法性地使你代替该生物承受此伤害。
此特性不会传递任何该伤害可能附带的效果，该伤害也无法被任何方式减少。
在</t>
    </r>
    <r>
      <rPr>
        <sz val="10"/>
        <color theme="1"/>
        <rFont val="Times New Roman"/>
        <charset val="134"/>
      </rPr>
      <t>18</t>
    </r>
    <r>
      <rPr>
        <sz val="10"/>
        <color theme="1"/>
        <rFont val="宋体"/>
        <charset val="134"/>
      </rPr>
      <t>级，此光环的距离增加到</t>
    </r>
    <r>
      <rPr>
        <sz val="10"/>
        <color theme="1"/>
        <rFont val="Times New Roman"/>
        <charset val="134"/>
      </rPr>
      <t>30</t>
    </r>
    <r>
      <rPr>
        <sz val="10"/>
        <color theme="1"/>
        <rFont val="宋体"/>
        <charset val="134"/>
      </rPr>
      <t>英尺。</t>
    </r>
  </si>
  <si>
    <r>
      <rPr>
        <sz val="10"/>
        <color theme="1"/>
        <rFont val="宋体"/>
        <charset val="134"/>
      </rPr>
      <t>狩猎开始</t>
    </r>
  </si>
  <si>
    <r>
      <rPr>
        <sz val="10"/>
        <color theme="1"/>
        <rFont val="宋体"/>
        <charset val="134"/>
      </rPr>
      <t>你能够专注于你的一名敌人，来增加你对它的伤害。
以一个附赠动作，你选择一名</t>
    </r>
    <r>
      <rPr>
        <sz val="10"/>
        <color theme="1"/>
        <rFont val="Times New Roman"/>
        <charset val="134"/>
      </rPr>
      <t>60</t>
    </r>
    <r>
      <rPr>
        <sz val="10"/>
        <color theme="1"/>
        <rFont val="宋体"/>
        <charset val="134"/>
      </rPr>
      <t>尺范围内对你可见角色作为该特性的目标。
每回合你以一次武器攻击第一次击中该目标，它额外受到</t>
    </r>
    <r>
      <rPr>
        <sz val="10"/>
        <color theme="1"/>
        <rFont val="Times New Roman"/>
        <charset val="134"/>
      </rPr>
      <t>1d6</t>
    </r>
    <r>
      <rPr>
        <sz val="10"/>
        <color theme="1"/>
        <rFont val="宋体"/>
        <charset val="134"/>
      </rPr>
      <t>的武器伤害。
该收益持续到你完成一次短休或者长休。
如果你选择一名不同的目标，它会提前结束。</t>
    </r>
  </si>
  <si>
    <r>
      <rPr>
        <sz val="10"/>
        <color theme="1"/>
        <rFont val="宋体"/>
        <charset val="134"/>
      </rPr>
      <t>战术大师</t>
    </r>
  </si>
  <si>
    <r>
      <rPr>
        <sz val="10"/>
        <color theme="1"/>
        <rFont val="宋体"/>
        <charset val="134"/>
      </rPr>
      <t>你可以把协助动作作为附赠动作使用。
此外，当你使用协助动作帮助一个盟友攻击一个生物时，如果目标可以看到你或者听到你的话，攻击的目标可以在</t>
    </r>
    <r>
      <rPr>
        <sz val="10"/>
        <color theme="1"/>
        <rFont val="Times New Roman"/>
        <charset val="134"/>
      </rPr>
      <t>30</t>
    </r>
    <r>
      <rPr>
        <sz val="10"/>
        <color theme="1"/>
        <rFont val="宋体"/>
        <charset val="134"/>
      </rPr>
      <t>尺以内，而不是你的</t>
    </r>
    <r>
      <rPr>
        <sz val="10"/>
        <color theme="1"/>
        <rFont val="Times New Roman"/>
        <charset val="134"/>
      </rPr>
      <t>5</t>
    </r>
    <r>
      <rPr>
        <sz val="10"/>
        <color theme="1"/>
        <rFont val="宋体"/>
        <charset val="134"/>
      </rPr>
      <t>尺之内。</t>
    </r>
  </si>
  <si>
    <r>
      <rPr>
        <sz val="10"/>
        <color theme="1"/>
        <rFont val="宋体"/>
        <charset val="134"/>
      </rPr>
      <t>神秘复原</t>
    </r>
  </si>
  <si>
    <r>
      <rPr>
        <sz val="10"/>
        <color theme="1"/>
        <rFont val="宋体"/>
        <charset val="134"/>
      </rPr>
      <t>你具备了克服重伤的能力。
当你的</t>
    </r>
    <r>
      <rPr>
        <sz val="10"/>
        <color theme="1"/>
        <rFont val="Times New Roman"/>
        <charset val="134"/>
      </rPr>
      <t>hp</t>
    </r>
    <r>
      <rPr>
        <sz val="10"/>
        <color theme="1"/>
        <rFont val="宋体"/>
        <charset val="134"/>
      </rPr>
      <t>不足一半时，以一个附赠动作，你可以获得等同于你一半生命值的生命。
一旦你使用了这个特性，你就不能再使用它，直到你完成一次长休息。</t>
    </r>
  </si>
  <si>
    <r>
      <rPr>
        <sz val="10"/>
        <color theme="1"/>
        <rFont val="宋体"/>
        <charset val="134"/>
      </rPr>
      <t>你可以以自己为目标施展一次</t>
    </r>
    <r>
      <rPr>
        <sz val="10"/>
        <color theme="1"/>
        <rFont val="Times New Roman"/>
        <charset val="134"/>
      </rPr>
      <t xml:space="preserve"> </t>
    </r>
    <r>
      <rPr>
        <sz val="10"/>
        <color theme="1"/>
        <rFont val="宋体"/>
        <charset val="134"/>
      </rPr>
      <t>行动自如</t>
    </r>
    <r>
      <rPr>
        <sz val="10"/>
        <color theme="1"/>
        <rFont val="Times New Roman"/>
        <charset val="134"/>
      </rPr>
      <t xml:space="preserve">freedom of movement </t>
    </r>
    <r>
      <rPr>
        <sz val="10"/>
        <color theme="1"/>
        <rFont val="宋体"/>
        <charset val="134"/>
      </rPr>
      <t>法术，且无需消耗法术位。完成一次长休后，你重获如此施展该法术的权利。
先决条件：第</t>
    </r>
    <r>
      <rPr>
        <sz val="10"/>
        <color theme="1"/>
        <rFont val="Times New Roman"/>
        <charset val="134"/>
      </rPr>
      <t>7</t>
    </r>
    <r>
      <rPr>
        <sz val="10"/>
        <color theme="1"/>
        <rFont val="宋体"/>
        <charset val="134"/>
      </rPr>
      <t>级</t>
    </r>
  </si>
  <si>
    <r>
      <rPr>
        <sz val="10"/>
        <color theme="1"/>
        <rFont val="宋体"/>
        <charset val="134"/>
      </rPr>
      <t>觉醒魔典</t>
    </r>
  </si>
  <si>
    <r>
      <rPr>
        <sz val="10"/>
        <color theme="1"/>
        <rFont val="宋体"/>
        <charset val="134"/>
      </rPr>
      <t>通过特别准备的墨水和书士会所传承的咒语，你唤醒了法术书中具有智能的奥法存在。
当你持握法术时，它将为你提供以下增益：
你可以将本书用作施展法师法术的法器。
当你消耗法术位施展一个法师法术时，你可以将它的伤害类型替换为你法术书内另一个法术的伤害类型：你的法术书用魔法改变了此次施法所用的奥法公式，后一个法术的等级必须与你花费的法术位等级相同。
当你用仪式施法施展一个法术时，你可以使用法术的正常施法时间，而不用额外增加</t>
    </r>
    <r>
      <rPr>
        <sz val="10"/>
        <color theme="1"/>
        <rFont val="Times New Roman"/>
        <charset val="134"/>
      </rPr>
      <t>10</t>
    </r>
    <r>
      <rPr>
        <sz val="10"/>
        <color theme="1"/>
        <rFont val="宋体"/>
        <charset val="134"/>
      </rPr>
      <t>分钟，你必须完成一次长休才能再次使用此增益。
如有必要，你可以在一次短休时用你的法师之笔，在空白书本或是你与之同调的魔法法术书上画下奥术魔印，短休结束时，你原本法术书内的意识将会带着旧书它所记载的所有法术转移到新书之中、将其变为你的法术书，如果旧书依旧在某处存在，它上面所记载的所有法术将消失。</t>
    </r>
  </si>
  <si>
    <r>
      <rPr>
        <sz val="10"/>
        <color theme="1"/>
        <rFont val="宋体"/>
        <charset val="134"/>
      </rPr>
      <t>改良守卫</t>
    </r>
  </si>
  <si>
    <r>
      <rPr>
        <sz val="10"/>
        <color theme="1"/>
        <rFont val="宋体"/>
        <charset val="134"/>
      </rPr>
      <t>你的奥能震荡和钢铁守卫变得更加强力，使你获得以下增益：</t>
    </r>
    <r>
      <rPr>
        <sz val="10"/>
        <color theme="1"/>
        <rFont val="Times New Roman"/>
        <charset val="134"/>
      </rPr>
      <t xml:space="preserve">
</t>
    </r>
    <r>
      <rPr>
        <sz val="10"/>
        <color theme="1"/>
        <rFont val="宋体"/>
        <charset val="134"/>
      </rPr>
      <t>强化激荡</t>
    </r>
    <r>
      <rPr>
        <sz val="10"/>
        <color theme="1"/>
        <rFont val="Times New Roman"/>
        <charset val="134"/>
      </rPr>
      <t>Improved Jolt</t>
    </r>
    <r>
      <rPr>
        <sz val="10"/>
        <color theme="1"/>
        <rFont val="宋体"/>
        <charset val="134"/>
      </rPr>
      <t>。你的奥能震荡的额外伤害和生命恢复提升为</t>
    </r>
    <r>
      <rPr>
        <sz val="10"/>
        <color theme="1"/>
        <rFont val="Times New Roman"/>
        <charset val="134"/>
      </rPr>
      <t xml:space="preserve">4d6
</t>
    </r>
    <r>
      <rPr>
        <sz val="10"/>
        <color theme="1"/>
        <rFont val="宋体"/>
        <charset val="134"/>
      </rPr>
      <t>强化偏转</t>
    </r>
    <r>
      <rPr>
        <sz val="10"/>
        <color theme="1"/>
        <rFont val="Times New Roman"/>
        <charset val="134"/>
      </rPr>
      <t>Improved Deflection</t>
    </r>
    <r>
      <rPr>
        <sz val="10"/>
        <color theme="1"/>
        <rFont val="宋体"/>
        <charset val="134"/>
      </rPr>
      <t>。每当你的钢铁守卫使用它的偏转攻击时，攻击者受到</t>
    </r>
    <r>
      <rPr>
        <sz val="10"/>
        <color theme="1"/>
        <rFont val="Times New Roman"/>
        <charset val="134"/>
      </rPr>
      <t>1d4</t>
    </r>
    <r>
      <rPr>
        <sz val="10"/>
        <color theme="1"/>
        <rFont val="宋体"/>
        <charset val="134"/>
      </rPr>
      <t>加你的智力调整值的力场伤害。</t>
    </r>
  </si>
  <si>
    <r>
      <rPr>
        <sz val="10"/>
        <color theme="1"/>
        <rFont val="宋体"/>
        <charset val="134"/>
      </rPr>
      <t>裂曲推进</t>
    </r>
  </si>
  <si>
    <r>
      <rPr>
        <sz val="10"/>
        <color theme="1"/>
        <rFont val="宋体"/>
        <charset val="134"/>
      </rPr>
      <t>当一个目标在对抗你的念力驱使的豁免中失败时，你可以改为将其传送至你</t>
    </r>
    <r>
      <rPr>
        <sz val="10"/>
        <color theme="1"/>
        <rFont val="Times New Roman"/>
        <charset val="134"/>
      </rPr>
      <t>30</t>
    </r>
    <r>
      <rPr>
        <sz val="10"/>
        <color theme="1"/>
        <rFont val="宋体"/>
        <charset val="134"/>
      </rPr>
      <t>尺内一处与你齐平的未占据空间，而非将其推开。</t>
    </r>
  </si>
  <si>
    <r>
      <rPr>
        <sz val="10"/>
        <color theme="1"/>
        <rFont val="宋体"/>
        <charset val="134"/>
      </rPr>
      <t>诱变剂</t>
    </r>
    <r>
      <rPr>
        <sz val="10"/>
        <color theme="1"/>
        <rFont val="Times New Roman"/>
        <charset val="134"/>
      </rPr>
      <t>-</t>
    </r>
    <r>
      <rPr>
        <sz val="10"/>
        <color theme="1"/>
        <rFont val="宋体"/>
        <charset val="134"/>
      </rPr>
      <t>余烬</t>
    </r>
  </si>
  <si>
    <r>
      <rPr>
        <sz val="10"/>
        <color theme="1"/>
        <rFont val="宋体"/>
        <charset val="134"/>
      </rPr>
      <t>你获得火焰伤害的抗性。
副作用：你获得寒冷伤害的易伤。</t>
    </r>
  </si>
  <si>
    <r>
      <rPr>
        <sz val="10"/>
        <color theme="1"/>
        <rFont val="宋体"/>
        <charset val="134"/>
      </rPr>
      <t>你获得一项传奇恩惠专长（见第五章）或其他一项你选择的适用的专长。推荐选择能量抗性之恩惠</t>
    </r>
    <r>
      <rPr>
        <sz val="10"/>
        <color theme="1"/>
        <rFont val="Times New Roman"/>
        <charset val="134"/>
      </rPr>
      <t>Boon of Energy Resistance</t>
    </r>
    <r>
      <rPr>
        <sz val="10"/>
        <color theme="1"/>
        <rFont val="宋体"/>
        <charset val="134"/>
      </rPr>
      <t>。</t>
    </r>
  </si>
  <si>
    <t>凌弹飞截【战技】</t>
  </si>
  <si>
    <r>
      <rPr>
        <sz val="10"/>
        <color theme="1"/>
        <rFont val="宋体"/>
        <charset val="134"/>
      </rPr>
      <t>你能够击落凌空的射弹。当位于你</t>
    </r>
    <r>
      <rPr>
        <sz val="10"/>
        <color theme="1"/>
        <rFont val="Times New Roman"/>
        <charset val="134"/>
      </rPr>
      <t>30</t>
    </r>
    <r>
      <rPr>
        <sz val="10"/>
        <color theme="1"/>
        <rFont val="宋体"/>
        <charset val="134"/>
      </rPr>
      <t>尺的盟友内被一次攻击命中时，你能够以反应消耗一枚风险骰，令盟友获得战技千钧一发的增益来对抗那次攻击。你必须持握远程武器以使用该战技。</t>
    </r>
  </si>
  <si>
    <t>摩洛克之赐</t>
  </si>
  <si>
    <r>
      <rPr>
        <sz val="10"/>
        <color theme="1"/>
        <rFont val="宋体"/>
        <charset val="134"/>
      </rPr>
      <t>当摩洛克接纳你成为他的邪狱使时，你获得游说或欺瞒的熟练（由你选择）。如果你已拥有你选择技能的熟练，则在检定时加入双倍熟练加值。</t>
    </r>
    <r>
      <rPr>
        <sz val="10"/>
        <color theme="1"/>
        <rFont val="Times New Roman"/>
        <charset val="134"/>
      </rPr>
      <t xml:space="preserve"> 
</t>
    </r>
    <r>
      <rPr>
        <sz val="10"/>
        <color theme="1"/>
        <rFont val="宋体"/>
        <charset val="134"/>
      </rPr>
      <t>此外，你的叉舌特性将赋予你一门额外的语言（</t>
    </r>
    <r>
      <rPr>
        <sz val="10"/>
        <color theme="1"/>
        <rFont val="Times New Roman"/>
        <charset val="134"/>
      </rPr>
      <t>3</t>
    </r>
    <r>
      <rPr>
        <sz val="10"/>
        <color theme="1"/>
        <rFont val="宋体"/>
        <charset val="134"/>
      </rPr>
      <t>级时共三门，</t>
    </r>
    <r>
      <rPr>
        <sz val="10"/>
        <color theme="1"/>
        <rFont val="Times New Roman"/>
        <charset val="134"/>
      </rPr>
      <t>9</t>
    </r>
    <r>
      <rPr>
        <sz val="10"/>
        <color theme="1"/>
        <rFont val="宋体"/>
        <charset val="134"/>
      </rPr>
      <t>级时共四门），每当你使用此特性获得的语言说话时，能够听见并理解你的生物将受到你潜在的邪恶影响，使你在影响这些生物的魅力检定中具有优势。</t>
    </r>
  </si>
  <si>
    <t>K.O.</t>
  </si>
  <si>
    <r>
      <rPr>
        <sz val="10"/>
        <color theme="1"/>
        <rFont val="宋体"/>
        <charset val="134"/>
      </rPr>
      <t>你获得以下增益。
击倒</t>
    </r>
    <r>
      <rPr>
        <sz val="10"/>
        <color theme="1"/>
        <rFont val="Times New Roman"/>
        <charset val="134"/>
      </rPr>
      <t>Coldcock</t>
    </r>
    <r>
      <rPr>
        <sz val="10"/>
        <color theme="1"/>
        <rFont val="宋体"/>
        <charset val="134"/>
      </rPr>
      <t>。当你对一名生物造成重击时，其必须进行一次体质豁免（</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你的力量调整值</t>
    </r>
    <r>
      <rPr>
        <sz val="10"/>
        <color theme="1"/>
        <rFont val="Times New Roman"/>
        <charset val="134"/>
      </rPr>
      <t>+</t>
    </r>
    <r>
      <rPr>
        <sz val="10"/>
        <color theme="1"/>
        <rFont val="宋体"/>
        <charset val="134"/>
      </rPr>
      <t>熟练加值）。豁免失败则其陷入昏迷状态，持续</t>
    </r>
    <r>
      <rPr>
        <sz val="10"/>
        <color theme="1"/>
        <rFont val="Times New Roman"/>
        <charset val="134"/>
      </rPr>
      <t>1</t>
    </r>
    <r>
      <rPr>
        <sz val="10"/>
        <color theme="1"/>
        <rFont val="宋体"/>
        <charset val="134"/>
      </rPr>
      <t>分钟或在其受到任意伤害时提前结束。
升龙</t>
    </r>
    <r>
      <rPr>
        <sz val="10"/>
        <color theme="1"/>
        <rFont val="Times New Roman"/>
        <charset val="134"/>
      </rPr>
      <t>Uppercut</t>
    </r>
    <r>
      <rPr>
        <sz val="10"/>
        <color theme="1"/>
        <rFont val="宋体"/>
        <charset val="134"/>
      </rPr>
      <t>。当你以徒手打击命中一名生物时，你能以反应消耗</t>
    </r>
    <r>
      <rPr>
        <sz val="10"/>
        <color theme="1"/>
        <rFont val="Times New Roman"/>
        <charset val="134"/>
      </rPr>
      <t>1</t>
    </r>
    <r>
      <rPr>
        <sz val="10"/>
        <color theme="1"/>
        <rFont val="宋体"/>
        <charset val="134"/>
      </rPr>
      <t>点锐气来使此次攻击重击命中。此反应一经使用，直至完成短休或长休你都无法再次使用。</t>
    </r>
  </si>
  <si>
    <r>
      <rPr>
        <sz val="10"/>
        <color theme="1"/>
        <rFont val="宋体"/>
        <charset val="134"/>
      </rPr>
      <t>海洋结社</t>
    </r>
  </si>
  <si>
    <r>
      <rPr>
        <sz val="10"/>
        <color theme="1"/>
        <rFont val="宋体"/>
        <charset val="134"/>
      </rPr>
      <t>野兽之形</t>
    </r>
  </si>
  <si>
    <r>
      <rPr>
        <sz val="10"/>
        <color theme="1"/>
        <rFont val="宋体"/>
        <charset val="134"/>
      </rPr>
      <t xml:space="preserve">你能在进入狂暴时变形，展现潜在的野兽之力。你将长出一种天生武器，直至狂暴结束。它对你来说被视为一件简易近战武器，并正常使用你的力量调整值进行攻击检定与伤害掷骰。天生武器将一直存在，直到你狂暴结束为止。
你在每次进入狂暴时，可以选择如下的天生武器之一：
</t>
    </r>
    <r>
      <rPr>
        <sz val="10"/>
        <color theme="1"/>
        <rFont val="Times New Roman"/>
        <charset val="134"/>
      </rPr>
      <t xml:space="preserve">• </t>
    </r>
    <r>
      <rPr>
        <sz val="10"/>
        <color theme="1"/>
        <rFont val="宋体"/>
        <charset val="134"/>
      </rPr>
      <t>啃咬</t>
    </r>
    <r>
      <rPr>
        <sz val="10"/>
        <color theme="1"/>
        <rFont val="Times New Roman"/>
        <charset val="134"/>
      </rPr>
      <t>Bite</t>
    </r>
    <r>
      <rPr>
        <sz val="10"/>
        <color theme="1"/>
        <rFont val="宋体"/>
        <charset val="134"/>
      </rPr>
      <t>。</t>
    </r>
    <r>
      <rPr>
        <sz val="10"/>
        <color theme="1"/>
        <rFont val="Times New Roman"/>
        <charset val="134"/>
      </rPr>
      <t xml:space="preserve"> </t>
    </r>
    <r>
      <rPr>
        <sz val="10"/>
        <color theme="1"/>
        <rFont val="宋体"/>
        <charset val="134"/>
      </rPr>
      <t>你的嘴变成一张野兽的血盆大口或双颚长得巨大（由你选择）。它在击中时造成</t>
    </r>
    <r>
      <rPr>
        <sz val="10"/>
        <color theme="1"/>
        <rFont val="Times New Roman"/>
        <charset val="134"/>
      </rPr>
      <t>1d8</t>
    </r>
    <r>
      <rPr>
        <sz val="10"/>
        <color theme="1"/>
        <rFont val="宋体"/>
        <charset val="134"/>
      </rPr>
      <t>穿刺伤害。每个你的回合一次，当你用这一啃咬攻击命中一个生物，</t>
    </r>
    <r>
      <rPr>
        <sz val="10"/>
        <color theme="1"/>
        <rFont val="Times New Roman"/>
        <charset val="134"/>
      </rPr>
      <t xml:space="preserve"> </t>
    </r>
    <r>
      <rPr>
        <sz val="10"/>
        <color theme="1"/>
        <rFont val="宋体"/>
        <charset val="134"/>
      </rPr>
      <t xml:space="preserve">并且你的生命值数值小于一半时，你能恢复等于你的熟练加值点的生命值。
</t>
    </r>
    <r>
      <rPr>
        <sz val="10"/>
        <color theme="1"/>
        <rFont val="Times New Roman"/>
        <charset val="134"/>
      </rPr>
      <t xml:space="preserve">• </t>
    </r>
    <r>
      <rPr>
        <sz val="10"/>
        <color theme="1"/>
        <rFont val="宋体"/>
        <charset val="134"/>
      </rPr>
      <t>爪击</t>
    </r>
    <r>
      <rPr>
        <sz val="10"/>
        <color theme="1"/>
        <rFont val="Times New Roman"/>
        <charset val="134"/>
      </rPr>
      <t>Claws</t>
    </r>
    <r>
      <rPr>
        <sz val="10"/>
        <color theme="1"/>
        <rFont val="宋体"/>
        <charset val="134"/>
      </rPr>
      <t>。</t>
    </r>
    <r>
      <rPr>
        <sz val="10"/>
        <color theme="1"/>
        <rFont val="Times New Roman"/>
        <charset val="134"/>
      </rPr>
      <t xml:space="preserve"> </t>
    </r>
    <r>
      <rPr>
        <sz val="10"/>
        <color theme="1"/>
        <rFont val="宋体"/>
        <charset val="134"/>
      </rPr>
      <t>你的双手变成利爪，它们在你手空闲时可以作为武器使用。它在击中时造成</t>
    </r>
    <r>
      <rPr>
        <sz val="10"/>
        <color theme="1"/>
        <rFont val="Times New Roman"/>
        <charset val="134"/>
      </rPr>
      <t>1d6</t>
    </r>
    <r>
      <rPr>
        <sz val="10"/>
        <color theme="1"/>
        <rFont val="宋体"/>
        <charset val="134"/>
      </rPr>
      <t xml:space="preserve">挥砍伤害。此外，当你在自己的回合使用攻击动作进行了爪击，你可以追加执行一次爪击作为该攻击动作的一部分（一回合一次）。
</t>
    </r>
    <r>
      <rPr>
        <sz val="10"/>
        <color theme="1"/>
        <rFont val="Times New Roman"/>
        <charset val="134"/>
      </rPr>
      <t xml:space="preserve">• </t>
    </r>
    <r>
      <rPr>
        <sz val="10"/>
        <color theme="1"/>
        <rFont val="宋体"/>
        <charset val="134"/>
      </rPr>
      <t>尾击</t>
    </r>
    <r>
      <rPr>
        <sz val="10"/>
        <color theme="1"/>
        <rFont val="Times New Roman"/>
        <charset val="134"/>
      </rPr>
      <t>Tail</t>
    </r>
    <r>
      <rPr>
        <sz val="10"/>
        <color theme="1"/>
        <rFont val="宋体"/>
        <charset val="134"/>
      </rPr>
      <t>。你长出一条如长鞭般带刺的尾巴，其造成</t>
    </r>
    <r>
      <rPr>
        <sz val="10"/>
        <color theme="1"/>
        <rFont val="Times New Roman"/>
        <charset val="134"/>
      </rPr>
      <t>1d8</t>
    </r>
    <r>
      <rPr>
        <sz val="10"/>
        <color theme="1"/>
        <rFont val="宋体"/>
        <charset val="134"/>
      </rPr>
      <t>穿刺伤害，具有</t>
    </r>
    <r>
      <rPr>
        <sz val="10"/>
        <color theme="1"/>
        <rFont val="Times New Roman"/>
        <charset val="134"/>
      </rPr>
      <t xml:space="preserve"> </t>
    </r>
    <r>
      <rPr>
        <sz val="10"/>
        <color theme="1"/>
        <rFont val="宋体"/>
        <charset val="134"/>
      </rPr>
      <t>触及</t>
    </r>
    <r>
      <rPr>
        <sz val="10"/>
        <color theme="1"/>
        <rFont val="Times New Roman"/>
        <charset val="134"/>
      </rPr>
      <t xml:space="preserve">Reach </t>
    </r>
    <r>
      <rPr>
        <sz val="10"/>
        <color theme="1"/>
        <rFont val="宋体"/>
        <charset val="134"/>
      </rPr>
      <t>属性。如果一个你可见的、距离你</t>
    </r>
    <r>
      <rPr>
        <sz val="10"/>
        <color theme="1"/>
        <rFont val="Times New Roman"/>
        <charset val="134"/>
      </rPr>
      <t>10</t>
    </r>
    <r>
      <rPr>
        <sz val="10"/>
        <color theme="1"/>
        <rFont val="宋体"/>
        <charset val="134"/>
      </rPr>
      <t>尺以内的生物发动的攻击击中了你，你可以用反应挥起你的尾巴，骰一个</t>
    </r>
    <r>
      <rPr>
        <sz val="10"/>
        <color theme="1"/>
        <rFont val="Times New Roman"/>
        <charset val="134"/>
      </rPr>
      <t>d8</t>
    </r>
    <r>
      <rPr>
        <sz val="10"/>
        <color theme="1"/>
        <rFont val="宋体"/>
        <charset val="134"/>
      </rPr>
      <t>并将骰值加在你的</t>
    </r>
    <r>
      <rPr>
        <sz val="10"/>
        <color theme="1"/>
        <rFont val="Times New Roman"/>
        <charset val="134"/>
      </rPr>
      <t>AC</t>
    </r>
    <r>
      <rPr>
        <sz val="10"/>
        <color theme="1"/>
        <rFont val="宋体"/>
        <charset val="134"/>
      </rPr>
      <t>上，可能导致这次攻击打失。</t>
    </r>
  </si>
  <si>
    <r>
      <rPr>
        <sz val="10"/>
        <color theme="1"/>
        <rFont val="宋体"/>
        <charset val="134"/>
      </rPr>
      <t>呢喃指引</t>
    </r>
  </si>
  <si>
    <r>
      <rPr>
        <sz val="10"/>
        <color theme="1"/>
        <rFont val="宋体"/>
        <charset val="134"/>
      </rPr>
      <t>你可以通过与精魂沟通来引导你和其他人。你习得戏法神导术</t>
    </r>
    <r>
      <rPr>
        <sz val="10"/>
        <color theme="1"/>
        <rFont val="Times New Roman"/>
        <charset val="134"/>
      </rPr>
      <t>guidance</t>
    </r>
    <r>
      <rPr>
        <sz val="10"/>
        <color theme="1"/>
        <rFont val="宋体"/>
        <charset val="134"/>
      </rPr>
      <t>，且不计入你已习得的吟游诗人戏法数量。对你来说，当你施展神导术</t>
    </r>
    <r>
      <rPr>
        <sz val="10"/>
        <color theme="1"/>
        <rFont val="Times New Roman"/>
        <charset val="134"/>
      </rPr>
      <t>guidance</t>
    </r>
    <r>
      <rPr>
        <sz val="10"/>
        <color theme="1"/>
        <rFont val="宋体"/>
        <charset val="134"/>
      </rPr>
      <t>时，其施法距离为</t>
    </r>
    <r>
      <rPr>
        <sz val="10"/>
        <color theme="1"/>
        <rFont val="Times New Roman"/>
        <charset val="134"/>
      </rPr>
      <t>60</t>
    </r>
    <r>
      <rPr>
        <sz val="10"/>
        <color theme="1"/>
        <rFont val="宋体"/>
        <charset val="134"/>
      </rPr>
      <t>尺。</t>
    </r>
  </si>
  <si>
    <r>
      <rPr>
        <sz val="10"/>
        <color theme="1"/>
        <rFont val="宋体"/>
        <charset val="134"/>
      </rPr>
      <t>你获得重甲的熟练项。你还获得威吓、或游说技能的熟练项（由你选择）。</t>
    </r>
  </si>
  <si>
    <r>
      <rPr>
        <sz val="10"/>
        <color theme="1"/>
        <rFont val="宋体"/>
        <charset val="134"/>
      </rPr>
      <t>孢子结社法术</t>
    </r>
  </si>
  <si>
    <r>
      <rPr>
        <sz val="10"/>
        <color theme="1"/>
        <rFont val="宋体"/>
        <charset val="134"/>
      </rPr>
      <t>你和真菌间形成了共生连接，而你踏入生死循环的能力为你带来了特定的法术。
在</t>
    </r>
    <r>
      <rPr>
        <sz val="10"/>
        <color theme="1"/>
        <rFont val="Times New Roman"/>
        <charset val="134"/>
      </rPr>
      <t>2</t>
    </r>
    <r>
      <rPr>
        <sz val="10"/>
        <color theme="1"/>
        <rFont val="宋体"/>
        <charset val="134"/>
      </rPr>
      <t>级时，你学会戏法寒冷之触。
在</t>
    </r>
    <r>
      <rPr>
        <sz val="10"/>
        <color theme="1"/>
        <rFont val="Times New Roman"/>
        <charset val="134"/>
      </rPr>
      <t>3</t>
    </r>
    <r>
      <rPr>
        <sz val="10"/>
        <color theme="1"/>
        <rFont val="宋体"/>
        <charset val="134"/>
      </rPr>
      <t>级，</t>
    </r>
    <r>
      <rPr>
        <sz val="10"/>
        <color theme="1"/>
        <rFont val="Times New Roman"/>
        <charset val="134"/>
      </rPr>
      <t>5</t>
    </r>
    <r>
      <rPr>
        <sz val="10"/>
        <color theme="1"/>
        <rFont val="宋体"/>
        <charset val="134"/>
      </rPr>
      <t>级，</t>
    </r>
    <r>
      <rPr>
        <sz val="10"/>
        <color theme="1"/>
        <rFont val="Times New Roman"/>
        <charset val="134"/>
      </rPr>
      <t>7</t>
    </r>
    <r>
      <rPr>
        <sz val="10"/>
        <color theme="1"/>
        <rFont val="宋体"/>
        <charset val="134"/>
      </rPr>
      <t>级，和</t>
    </r>
    <r>
      <rPr>
        <sz val="10"/>
        <color theme="1"/>
        <rFont val="Times New Roman"/>
        <charset val="134"/>
      </rPr>
      <t>9</t>
    </r>
    <r>
      <rPr>
        <sz val="10"/>
        <color theme="1"/>
        <rFont val="宋体"/>
        <charset val="134"/>
      </rPr>
      <t>级你获得下表：孢子之环法术中对应等级列出的法术。
一旦你获得了这些法术之一，你总是准备了该法术，而其不计入你每天可准备的法术的限额中。
若你获得了一个没有出现在德鲁伊法术列表中的法术，该法术对你而言是一个德鲁伊法术。
德鲁伊等级</t>
    </r>
    <r>
      <rPr>
        <sz val="10"/>
        <color theme="1"/>
        <rFont val="Times New Roman"/>
        <charset val="134"/>
      </rPr>
      <t xml:space="preserve"> </t>
    </r>
    <r>
      <rPr>
        <sz val="10"/>
        <color theme="1"/>
        <rFont val="宋体"/>
        <charset val="134"/>
      </rPr>
      <t xml:space="preserve">法术
</t>
    </r>
    <r>
      <rPr>
        <sz val="10"/>
        <color theme="1"/>
        <rFont val="Times New Roman"/>
        <charset val="134"/>
      </rPr>
      <t>3</t>
    </r>
    <r>
      <rPr>
        <sz val="10"/>
        <color theme="1"/>
        <rFont val="宋体"/>
        <charset val="134"/>
      </rPr>
      <t>级</t>
    </r>
    <r>
      <rPr>
        <sz val="10"/>
        <color theme="1"/>
        <rFont val="Times New Roman"/>
        <charset val="134"/>
      </rPr>
      <t xml:space="preserve"> </t>
    </r>
    <r>
      <rPr>
        <sz val="10"/>
        <color theme="1"/>
        <rFont val="宋体"/>
        <charset val="134"/>
      </rPr>
      <t>遗体防腐，目盲</t>
    </r>
    <r>
      <rPr>
        <sz val="10"/>
        <color theme="1"/>
        <rFont val="Times New Roman"/>
        <charset val="134"/>
      </rPr>
      <t>/</t>
    </r>
    <r>
      <rPr>
        <sz val="10"/>
        <color theme="1"/>
        <rFont val="宋体"/>
        <charset val="134"/>
      </rPr>
      <t xml:space="preserve">耳聋术
</t>
    </r>
    <r>
      <rPr>
        <sz val="10"/>
        <color theme="1"/>
        <rFont val="Times New Roman"/>
        <charset val="134"/>
      </rPr>
      <t>5</t>
    </r>
    <r>
      <rPr>
        <sz val="10"/>
        <color theme="1"/>
        <rFont val="宋体"/>
        <charset val="134"/>
      </rPr>
      <t>级</t>
    </r>
    <r>
      <rPr>
        <sz val="10"/>
        <color theme="1"/>
        <rFont val="Times New Roman"/>
        <charset val="134"/>
      </rPr>
      <t xml:space="preserve"> </t>
    </r>
    <r>
      <rPr>
        <sz val="10"/>
        <color theme="1"/>
        <rFont val="宋体"/>
        <charset val="134"/>
      </rPr>
      <t xml:space="preserve">操纵死尸，气化形体
</t>
    </r>
    <r>
      <rPr>
        <sz val="10"/>
        <color theme="1"/>
        <rFont val="Times New Roman"/>
        <charset val="134"/>
      </rPr>
      <t>7</t>
    </r>
    <r>
      <rPr>
        <sz val="10"/>
        <color theme="1"/>
        <rFont val="宋体"/>
        <charset val="134"/>
      </rPr>
      <t>级</t>
    </r>
    <r>
      <rPr>
        <sz val="10"/>
        <color theme="1"/>
        <rFont val="Times New Roman"/>
        <charset val="134"/>
      </rPr>
      <t xml:space="preserve"> </t>
    </r>
    <r>
      <rPr>
        <sz val="10"/>
        <color theme="1"/>
        <rFont val="宋体"/>
        <charset val="134"/>
      </rPr>
      <t xml:space="preserve">枯萎术，困惑术
</t>
    </r>
    <r>
      <rPr>
        <sz val="10"/>
        <color theme="1"/>
        <rFont val="Times New Roman"/>
        <charset val="134"/>
      </rPr>
      <t>9</t>
    </r>
    <r>
      <rPr>
        <sz val="10"/>
        <color theme="1"/>
        <rFont val="宋体"/>
        <charset val="134"/>
      </rPr>
      <t>级</t>
    </r>
    <r>
      <rPr>
        <sz val="10"/>
        <color theme="1"/>
        <rFont val="Times New Roman"/>
        <charset val="134"/>
      </rPr>
      <t xml:space="preserve"> </t>
    </r>
    <r>
      <rPr>
        <sz val="10"/>
        <color theme="1"/>
        <rFont val="宋体"/>
        <charset val="134"/>
      </rPr>
      <t>死云术，疫病术</t>
    </r>
  </si>
  <si>
    <r>
      <rPr>
        <sz val="10"/>
        <color theme="1"/>
        <rFont val="宋体"/>
        <charset val="134"/>
      </rPr>
      <t>阳炎爆</t>
    </r>
  </si>
  <si>
    <r>
      <rPr>
        <sz val="10"/>
        <color theme="1"/>
        <rFont val="宋体"/>
        <charset val="134"/>
      </rPr>
      <t>你得到创造出一个光球，以此引发一场毁灭性爆炸的能力。
以一个动作，你可以魔法性地创造一个法球，并将其向</t>
    </r>
    <r>
      <rPr>
        <sz val="10"/>
        <color theme="1"/>
        <rFont val="Times New Roman"/>
        <charset val="134"/>
      </rPr>
      <t>150</t>
    </r>
    <r>
      <rPr>
        <sz val="10"/>
        <color theme="1"/>
        <rFont val="宋体"/>
        <charset val="134"/>
      </rPr>
      <t>尺内你选择的任意一点投掷出去。法球在那里瞬间扩张成一个光芒四射的区域。以目标点为中心，半径</t>
    </r>
    <r>
      <rPr>
        <sz val="10"/>
        <color theme="1"/>
        <rFont val="Times New Roman"/>
        <charset val="134"/>
      </rPr>
      <t>20</t>
    </r>
    <r>
      <rPr>
        <sz val="10"/>
        <color theme="1"/>
        <rFont val="宋体"/>
        <charset val="134"/>
      </rPr>
      <t>尺范围内的所有生物必须立即通过一次体质豁免，豁免失败将受到</t>
    </r>
    <r>
      <rPr>
        <sz val="10"/>
        <color theme="1"/>
        <rFont val="Times New Roman"/>
        <charset val="134"/>
      </rPr>
      <t>2d6</t>
    </r>
    <r>
      <rPr>
        <sz val="10"/>
        <color theme="1"/>
        <rFont val="宋体"/>
        <charset val="134"/>
      </rPr>
      <t>的光耀伤害。若生物处于完全掩护下，且那掩体不透光，那么它不需要为此进行豁免。
你可以花费气以提高这枚光球的威力。每消耗一点气都能使这一球体的伤害上升</t>
    </r>
    <r>
      <rPr>
        <sz val="10"/>
        <color theme="1"/>
        <rFont val="Times New Roman"/>
        <charset val="134"/>
      </rPr>
      <t>2d6</t>
    </r>
    <r>
      <rPr>
        <sz val="10"/>
        <color theme="1"/>
        <rFont val="宋体"/>
        <charset val="134"/>
      </rPr>
      <t>，你最多为此消耗</t>
    </r>
    <r>
      <rPr>
        <sz val="10"/>
        <color theme="1"/>
        <rFont val="Times New Roman"/>
        <charset val="134"/>
      </rPr>
      <t>3</t>
    </r>
    <r>
      <rPr>
        <sz val="10"/>
        <color theme="1"/>
        <rFont val="宋体"/>
        <charset val="134"/>
      </rPr>
      <t>点气。</t>
    </r>
  </si>
  <si>
    <r>
      <rPr>
        <sz val="10"/>
        <color theme="1"/>
        <rFont val="宋体"/>
        <charset val="134"/>
      </rPr>
      <t>守护之魂</t>
    </r>
  </si>
  <si>
    <r>
      <rPr>
        <sz val="10"/>
        <color theme="1"/>
        <rFont val="宋体"/>
        <charset val="134"/>
      </rPr>
      <t>神圣的实体在战斗中为你治疗伤口。
若你在战斗中结束你的回合时，剩余的生命值少于一半，且你未处于失能状态，则你恢复等于</t>
    </r>
    <r>
      <rPr>
        <sz val="10"/>
        <color theme="1"/>
        <rFont val="Times New Roman"/>
        <charset val="134"/>
      </rPr>
      <t>1d6+</t>
    </r>
    <r>
      <rPr>
        <sz val="10"/>
        <color theme="1"/>
        <rFont val="宋体"/>
        <charset val="134"/>
      </rPr>
      <t>你圣武士等级一半的生命值。</t>
    </r>
  </si>
  <si>
    <r>
      <rPr>
        <sz val="10"/>
        <color theme="1"/>
        <rFont val="宋体"/>
        <charset val="134"/>
      </rPr>
      <t>卓越防守</t>
    </r>
  </si>
  <si>
    <r>
      <rPr>
        <sz val="10"/>
        <color theme="1"/>
        <rFont val="宋体"/>
        <charset val="134"/>
      </rPr>
      <t>对于你的猎物对你的身体和精神的攻击，你拥有额外韧性。
无论何时你的狩猎开始特性目标使你做出一个豁免投和你做一次技能检定来脱离目标的擒抱，加</t>
    </r>
    <r>
      <rPr>
        <sz val="10"/>
        <color theme="1"/>
        <rFont val="Times New Roman"/>
        <charset val="134"/>
      </rPr>
      <t>1d6</t>
    </r>
    <r>
      <rPr>
        <sz val="10"/>
        <color theme="1"/>
        <rFont val="宋体"/>
        <charset val="134"/>
      </rPr>
      <t>到你的那次投掷上。</t>
    </r>
  </si>
  <si>
    <r>
      <rPr>
        <sz val="10"/>
        <color theme="1"/>
        <rFont val="宋体"/>
        <charset val="134"/>
      </rPr>
      <t>洞察力</t>
    </r>
  </si>
  <si>
    <r>
      <rPr>
        <sz val="10"/>
        <color theme="1"/>
        <rFont val="宋体"/>
        <charset val="134"/>
      </rPr>
      <t>如果你至少花</t>
    </r>
    <r>
      <rPr>
        <sz val="10"/>
        <color theme="1"/>
        <rFont val="Times New Roman"/>
        <charset val="134"/>
      </rPr>
      <t>1</t>
    </r>
    <r>
      <rPr>
        <sz val="10"/>
        <color theme="1"/>
        <rFont val="宋体"/>
        <charset val="134"/>
      </rPr>
      <t xml:space="preserve">分钟观察或与战斗之外的其他生物进行交互，你可以了解到跟你自己的能力相比较的某些信息。
</t>
    </r>
    <r>
      <rPr>
        <sz val="10"/>
        <color theme="1"/>
        <rFont val="Times New Roman"/>
        <charset val="134"/>
      </rPr>
      <t>DM</t>
    </r>
    <r>
      <rPr>
        <sz val="10"/>
        <color theme="1"/>
        <rFont val="宋体"/>
        <charset val="134"/>
      </rPr>
      <t>告诉你，在你选择的下列两个特征中，是否你的相等、优越或低等：
智力值
感知值
魅力值
职业等级（如果有的话）
如果你的</t>
    </r>
    <r>
      <rPr>
        <sz val="10"/>
        <color theme="1"/>
        <rFont val="Times New Roman"/>
        <charset val="134"/>
      </rPr>
      <t>DM</t>
    </r>
    <r>
      <rPr>
        <sz val="10"/>
        <color theme="1"/>
        <rFont val="宋体"/>
        <charset val="134"/>
      </rPr>
      <t>允许，你也有可能知道这个生物的一段经历或者它的一个性格特征，如果它有的话。</t>
    </r>
  </si>
  <si>
    <r>
      <rPr>
        <sz val="10"/>
        <color theme="1"/>
        <rFont val="宋体"/>
        <charset val="134"/>
      </rPr>
      <t>幽暗之瞳</t>
    </r>
  </si>
  <si>
    <r>
      <rPr>
        <sz val="10"/>
        <color theme="1"/>
        <rFont val="宋体"/>
        <charset val="134"/>
      </rPr>
      <t>你获得</t>
    </r>
    <r>
      <rPr>
        <sz val="10"/>
        <color theme="1"/>
        <rFont val="Times New Roman"/>
        <charset val="134"/>
      </rPr>
      <t>120</t>
    </r>
    <r>
      <rPr>
        <sz val="10"/>
        <color theme="1"/>
        <rFont val="宋体"/>
        <charset val="134"/>
      </rPr>
      <t>尺黑暗视觉。
当你在该职业</t>
    </r>
    <r>
      <rPr>
        <sz val="10"/>
        <color theme="1"/>
        <rFont val="Times New Roman"/>
        <charset val="134"/>
      </rPr>
      <t>3</t>
    </r>
    <r>
      <rPr>
        <sz val="10"/>
        <color theme="1"/>
        <rFont val="宋体"/>
        <charset val="134"/>
      </rPr>
      <t>级时，你掌握了黑暗术，这不会占用你术士已知法术数量。
你可以用</t>
    </r>
    <r>
      <rPr>
        <sz val="10"/>
        <color theme="1"/>
        <rFont val="Times New Roman"/>
        <charset val="134"/>
      </rPr>
      <t>2</t>
    </r>
    <r>
      <rPr>
        <sz val="10"/>
        <color theme="1"/>
        <rFont val="宋体"/>
        <charset val="134"/>
      </rPr>
      <t>点术法点或</t>
    </r>
    <r>
      <rPr>
        <sz val="10"/>
        <color theme="1"/>
        <rFont val="Times New Roman"/>
        <charset val="134"/>
      </rPr>
      <t>1</t>
    </r>
    <r>
      <rPr>
        <sz val="10"/>
        <color theme="1"/>
        <rFont val="宋体"/>
        <charset val="134"/>
      </rPr>
      <t>个法术位来释放。
当你用法术点施法时，你能够看穿该法术所制造的黑暗。</t>
    </r>
  </si>
  <si>
    <r>
      <rPr>
        <sz val="10"/>
        <color theme="1"/>
        <rFont val="宋体"/>
        <charset val="134"/>
      </rPr>
      <t>当佩戴者在一次豁免检定中失败，他们可以在骰掷结果上增加一个</t>
    </r>
    <r>
      <rPr>
        <sz val="10"/>
        <color theme="1"/>
        <rFont val="Times New Roman"/>
        <charset val="134"/>
      </rPr>
      <t>d4</t>
    </r>
    <r>
      <rPr>
        <sz val="10"/>
        <color theme="1"/>
        <rFont val="宋体"/>
        <charset val="134"/>
      </rPr>
      <t>骰，这可能将结果变为成功。这一能力可使用的次数等于你的熟练加值，在你完成一次长休之后恢复所有已消耗的次数。
先决条件：第</t>
    </r>
    <r>
      <rPr>
        <sz val="10"/>
        <color theme="1"/>
        <rFont val="Times New Roman"/>
        <charset val="134"/>
      </rPr>
      <t>7</t>
    </r>
    <r>
      <rPr>
        <sz val="10"/>
        <color theme="1"/>
        <rFont val="宋体"/>
        <charset val="134"/>
      </rPr>
      <t>级邪术师，符之魔契</t>
    </r>
  </si>
  <si>
    <r>
      <rPr>
        <sz val="10"/>
        <color theme="1"/>
        <rFont val="宋体"/>
        <charset val="134"/>
      </rPr>
      <t>神识显现</t>
    </r>
  </si>
  <si>
    <r>
      <rPr>
        <sz val="10"/>
        <color theme="1"/>
        <rFont val="宋体"/>
        <charset val="134"/>
      </rPr>
      <t>你能将你觉醒法术书中的意识召唤出来。
当你持有该法术书时，你可以以一个附赠动作令书中的意识显现为一个微型的灵体物件，使其悬浮于距离你</t>
    </r>
    <r>
      <rPr>
        <sz val="10"/>
        <color theme="1"/>
        <rFont val="Times New Roman"/>
        <charset val="134"/>
      </rPr>
      <t>60</t>
    </r>
    <r>
      <rPr>
        <sz val="10"/>
        <color theme="1"/>
        <rFont val="宋体"/>
        <charset val="134"/>
      </rPr>
      <t>尺以内且未被占据的、由你选择的空间中。
这一灵体意识是无形的，不会占据其空间，并会在其周围半径</t>
    </r>
    <r>
      <rPr>
        <sz val="10"/>
        <color theme="1"/>
        <rFont val="Times New Roman"/>
        <charset val="134"/>
      </rPr>
      <t>10</t>
    </r>
    <r>
      <rPr>
        <sz val="10"/>
        <color theme="1"/>
        <rFont val="宋体"/>
        <charset val="134"/>
      </rPr>
      <t>尺范围内发出微光光照。
它看上去如同一本灵体卷宗、一摞文字、或是一位历史中的学者（由你选择）。
显现时，该灵体意识能够听音视物，并具有</t>
    </r>
    <r>
      <rPr>
        <sz val="10"/>
        <color theme="1"/>
        <rFont val="Times New Roman"/>
        <charset val="134"/>
      </rPr>
      <t>60</t>
    </r>
    <r>
      <rPr>
        <sz val="10"/>
        <color theme="1"/>
        <rFont val="宋体"/>
        <charset val="134"/>
      </rPr>
      <t>尺的黑暗视觉。
它能用心灵感应将它所看见和听到的信息分享给你（无需动作）。
每当你在自己的回合内施放法师法术时，你可以使用灵体意识的感官、如同身处它所在的空间一样释放该法术。
你能使用该能力的次数等于你的熟练价值，完成一次长休后，你将重获所有消耗掉的使用次数。
以一个附赠动作，你可以令灵体意识飘浮到其周围</t>
    </r>
    <r>
      <rPr>
        <sz val="10"/>
        <color theme="1"/>
        <rFont val="Times New Roman"/>
        <charset val="134"/>
      </rPr>
      <t>30</t>
    </r>
    <r>
      <rPr>
        <sz val="10"/>
        <color theme="1"/>
        <rFont val="宋体"/>
        <charset val="134"/>
      </rPr>
      <t>尺内、你或它可见且未被占据的空间。
灵体意识可以穿过生物但不能穿过物件。
若遇到以下情况之一，灵体意识的显现将会停止：与你的距离超过</t>
    </r>
    <r>
      <rPr>
        <sz val="10"/>
        <color theme="1"/>
        <rFont val="Times New Roman"/>
        <charset val="134"/>
      </rPr>
      <t>300</t>
    </r>
    <r>
      <rPr>
        <sz val="10"/>
        <color theme="1"/>
        <rFont val="宋体"/>
        <charset val="134"/>
      </rPr>
      <t>尺，成为解除魔法的目标，觉醒魔法书被摧毁，你死亡时，或是你以一个附赠动作将其驱散。
召唤过灵体意识后，你必须完成一次长休、或是消耗一枚任意环位的法术位，才能再次召唤。</t>
    </r>
  </si>
  <si>
    <t>制图师行业工具</t>
  </si>
  <si>
    <r>
      <rPr>
        <sz val="10"/>
        <color theme="1"/>
        <rFont val="宋体"/>
        <charset val="134"/>
      </rPr>
      <t>你获得以下增益。</t>
    </r>
    <r>
      <rPr>
        <sz val="10"/>
        <color theme="1"/>
        <rFont val="Times New Roman"/>
        <charset val="134"/>
      </rPr>
      <t xml:space="preserve">
</t>
    </r>
    <r>
      <rPr>
        <sz val="10"/>
        <color theme="1"/>
        <rFont val="宋体"/>
        <charset val="134"/>
      </rPr>
      <t>工具熟练</t>
    </r>
    <r>
      <rPr>
        <sz val="10"/>
        <color theme="1"/>
        <rFont val="Times New Roman"/>
        <charset val="134"/>
      </rPr>
      <t>Tool Proficiency</t>
    </r>
    <r>
      <rPr>
        <sz val="10"/>
        <color theme="1"/>
        <rFont val="宋体"/>
        <charset val="134"/>
      </rPr>
      <t>。你获得书法工具和制图工具的熟练项。如果你已经拥有其中之一的熟练项，则你获得另一种你选择的工匠工具的熟练（或如果你有全部两种熟练，选择另外两种）。</t>
    </r>
    <r>
      <rPr>
        <sz val="10"/>
        <color theme="1"/>
        <rFont val="Times New Roman"/>
        <charset val="134"/>
      </rPr>
      <t xml:space="preserve">
</t>
    </r>
    <r>
      <rPr>
        <sz val="10"/>
        <color theme="1"/>
        <rFont val="宋体"/>
        <charset val="134"/>
      </rPr>
      <t>卷轴制造</t>
    </r>
    <r>
      <rPr>
        <sz val="10"/>
        <color theme="1"/>
        <rFont val="Times New Roman"/>
        <charset val="134"/>
      </rPr>
      <t>Scroll Crafting</t>
    </r>
    <r>
      <rPr>
        <sz val="10"/>
        <color theme="1"/>
        <rFont val="宋体"/>
        <charset val="134"/>
      </rPr>
      <t>。当你使用《玩家手册》的制造规则制作法术卷轴</t>
    </r>
    <r>
      <rPr>
        <sz val="10"/>
        <color theme="1"/>
        <rFont val="Times New Roman"/>
        <charset val="134"/>
      </rPr>
      <t>Spell Scroll</t>
    </r>
    <r>
      <rPr>
        <sz val="10"/>
        <color theme="1"/>
        <rFont val="宋体"/>
        <charset val="134"/>
      </rPr>
      <t>时，制造所需花费的时间减半。</t>
    </r>
  </si>
  <si>
    <r>
      <rPr>
        <sz val="10"/>
        <color theme="1"/>
        <rFont val="宋体"/>
        <charset val="134"/>
      </rPr>
      <t>裂曲空间</t>
    </r>
  </si>
  <si>
    <r>
      <rPr>
        <sz val="10"/>
        <color theme="1"/>
        <rFont val="宋体"/>
        <charset val="134"/>
      </rPr>
      <t>当你施展粉碎音波</t>
    </r>
    <r>
      <rPr>
        <sz val="10"/>
        <color theme="1"/>
        <rFont val="Times New Roman"/>
        <charset val="134"/>
      </rPr>
      <t>Shatter</t>
    </r>
    <r>
      <rPr>
        <sz val="10"/>
        <color theme="1"/>
        <rFont val="宋体"/>
        <charset val="134"/>
      </rPr>
      <t>时，你可以消耗一枚灵能骰以修改该法术，使其半径变为</t>
    </r>
    <r>
      <rPr>
        <sz val="10"/>
        <color theme="1"/>
        <rFont val="Times New Roman"/>
        <charset val="134"/>
      </rPr>
      <t>20</t>
    </r>
    <r>
      <rPr>
        <sz val="10"/>
        <color theme="1"/>
        <rFont val="宋体"/>
        <charset val="134"/>
      </rPr>
      <t>尺。</t>
    </r>
    <r>
      <rPr>
        <sz val="10"/>
        <color theme="1"/>
        <rFont val="Times New Roman"/>
        <charset val="134"/>
      </rPr>
      <t xml:space="preserve"> 
</t>
    </r>
    <r>
      <rPr>
        <sz val="10"/>
        <color theme="1"/>
        <rFont val="宋体"/>
        <charset val="134"/>
      </rPr>
      <t>此外，于此法术中豁免失败的生物还会被向着球状区域的中心直线拉近，直至距球心最近的未占据空间。</t>
    </r>
  </si>
  <si>
    <r>
      <rPr>
        <sz val="10"/>
        <color theme="1"/>
        <rFont val="宋体"/>
        <charset val="134"/>
      </rPr>
      <t>诱变剂</t>
    </r>
    <r>
      <rPr>
        <sz val="10"/>
        <color theme="1"/>
        <rFont val="Times New Roman"/>
        <charset val="134"/>
      </rPr>
      <t>-</t>
    </r>
    <r>
      <rPr>
        <sz val="10"/>
        <color theme="1"/>
        <rFont val="宋体"/>
        <charset val="134"/>
      </rPr>
      <t>凛冽</t>
    </r>
  </si>
  <si>
    <r>
      <rPr>
        <sz val="10"/>
        <color theme="1"/>
        <rFont val="宋体"/>
        <charset val="134"/>
      </rPr>
      <t>你获得寒冷伤害的抗性。
副作用：你获得火焰伤害的易伤。</t>
    </r>
  </si>
  <si>
    <r>
      <rPr>
        <sz val="10"/>
        <color theme="1"/>
        <rFont val="宋体"/>
        <charset val="134"/>
      </rPr>
      <t>奇迹疗愈力</t>
    </r>
  </si>
  <si>
    <r>
      <rPr>
        <sz val="10"/>
        <color theme="1"/>
        <rFont val="宋体"/>
        <charset val="134"/>
      </rPr>
      <t>你可以花费五分钟时间将力量引导到人数等同于你智力调整值的生物上（可以包括你自己）来促进其恢复的速度达到异常级。在此期间，你必须使用一个使用次数至少还剩</t>
    </r>
    <r>
      <rPr>
        <sz val="10"/>
        <color theme="1"/>
        <rFont val="Times New Roman"/>
        <charset val="134"/>
      </rPr>
      <t>1</t>
    </r>
    <r>
      <rPr>
        <sz val="10"/>
        <color theme="1"/>
        <rFont val="宋体"/>
        <charset val="134"/>
      </rPr>
      <t>次的医疗包来照料这些生物。这些生物恢复生命值，法术位，生命骰和其他能力，如同完成了一次长休。一个生物</t>
    </r>
    <r>
      <rPr>
        <sz val="10"/>
        <color theme="1"/>
        <rFont val="Times New Roman"/>
        <charset val="134"/>
      </rPr>
      <t>24</t>
    </r>
    <r>
      <rPr>
        <sz val="10"/>
        <color theme="1"/>
        <rFont val="宋体"/>
        <charset val="134"/>
      </rPr>
      <t>小时内只能从一次奇迹疗愈力中获得好处。一旦使用了这个能力，你不能再使用它直到完成一次长休。</t>
    </r>
  </si>
  <si>
    <t>连珠弹射</t>
  </si>
  <si>
    <r>
      <rPr>
        <sz val="10"/>
        <color theme="1"/>
        <rFont val="宋体"/>
        <charset val="134"/>
      </rPr>
      <t>每个你的回合一次，当你使用武器发动远程攻击命中一名生物时，你能够将射弹偏转弹射至额外的目标。</t>
    </r>
    <r>
      <rPr>
        <sz val="10"/>
        <color theme="1"/>
        <rFont val="Times New Roman"/>
        <charset val="134"/>
      </rPr>
      <t xml:space="preserve">
</t>
    </r>
    <r>
      <rPr>
        <sz val="10"/>
        <color theme="1"/>
        <rFont val="宋体"/>
        <charset val="134"/>
      </rPr>
      <t>选择另一名位于首个目标</t>
    </r>
    <r>
      <rPr>
        <sz val="10"/>
        <color theme="1"/>
        <rFont val="Times New Roman"/>
        <charset val="134"/>
      </rPr>
      <t>30</t>
    </r>
    <r>
      <rPr>
        <sz val="10"/>
        <color theme="1"/>
        <rFont val="宋体"/>
        <charset val="134"/>
      </rPr>
      <t>尺内的目标，对其进行一次攻击检定。命中则你可以对</t>
    </r>
    <r>
      <rPr>
        <sz val="10"/>
        <color theme="1"/>
        <rFont val="Times New Roman"/>
        <charset val="134"/>
      </rPr>
      <t>30</t>
    </r>
    <r>
      <rPr>
        <sz val="10"/>
        <color theme="1"/>
        <rFont val="宋体"/>
        <charset val="134"/>
      </rPr>
      <t>尺内的新目标重复此攻击，直至你失手或共发动了五次攻击。每次使用此特性时，你无法重复指定某生物为目标。</t>
    </r>
    <r>
      <rPr>
        <sz val="10"/>
        <color theme="1"/>
        <rFont val="Times New Roman"/>
        <charset val="134"/>
      </rPr>
      <t xml:space="preserve">
</t>
    </r>
    <r>
      <rPr>
        <sz val="10"/>
        <color theme="1"/>
        <rFont val="宋体"/>
        <charset val="134"/>
      </rPr>
      <t>此特性一经使用，直至你完成短休或长休都无法再次使用。你也可以消耗两枚风险骰（无需动作）来重置此特性的使用权。</t>
    </r>
  </si>
  <si>
    <t>魅惑众敌</t>
  </si>
  <si>
    <r>
      <rPr>
        <sz val="10"/>
        <color theme="1"/>
        <rFont val="宋体"/>
        <charset val="134"/>
      </rPr>
      <t>当你使用附赠动作对一名类人生物施加缄印时，你可以尝试魅惑他。目标必须成功通过一次魅力豁免，否则被你魅惑，持续</t>
    </r>
    <r>
      <rPr>
        <sz val="10"/>
        <color theme="1"/>
        <rFont val="Times New Roman"/>
        <charset val="134"/>
      </rPr>
      <t>1</t>
    </r>
    <r>
      <rPr>
        <sz val="10"/>
        <color theme="1"/>
        <rFont val="宋体"/>
        <charset val="134"/>
      </rPr>
      <t>小时或在你或你的同伴对其造成任何伤害时提前结束。陷入魅惑期间，目标将你视为友好的熟人。魅惑状态结束时，目标会知道他曾被你魅惑。
当你使用该附赠动作时，你可以额外焚灭一名或更多位于你</t>
    </r>
    <r>
      <rPr>
        <sz val="10"/>
        <color theme="1"/>
        <rFont val="Times New Roman"/>
        <charset val="134"/>
      </rPr>
      <t>30</t>
    </r>
    <r>
      <rPr>
        <sz val="10"/>
        <color theme="1"/>
        <rFont val="宋体"/>
        <charset val="134"/>
      </rPr>
      <t>尺内的受禁类人生物身上的一枚或更多缄印，并尝试魅惑这些目标。在受到焚灭缄印的伤害后，每个目标都必须成功通过魅力豁免，否则将受到相同的魅惑效应。
你可以使用此特性的次数等于你的魅力调整值（至少一次），当你完成长休时，重获所有已消耗的使用次数。</t>
    </r>
  </si>
  <si>
    <r>
      <rPr>
        <sz val="10"/>
        <color theme="1"/>
        <rFont val="宋体"/>
        <charset val="134"/>
      </rPr>
      <t>星辰结社</t>
    </r>
  </si>
  <si>
    <r>
      <rPr>
        <sz val="10"/>
        <color theme="1"/>
        <rFont val="宋体"/>
        <charset val="134"/>
      </rPr>
      <t>兽性之魂</t>
    </r>
  </si>
  <si>
    <r>
      <rPr>
        <sz val="10"/>
        <color theme="1"/>
        <rFont val="宋体"/>
        <charset val="134"/>
      </rPr>
      <t>你体内的野性精魂的力量不断成长，这使得你用野兽之形</t>
    </r>
    <r>
      <rPr>
        <sz val="10"/>
        <color theme="1"/>
        <rFont val="Times New Roman"/>
        <charset val="134"/>
      </rPr>
      <t xml:space="preserve">Form of Beast </t>
    </r>
    <r>
      <rPr>
        <sz val="10"/>
        <color theme="1"/>
        <rFont val="宋体"/>
        <charset val="134"/>
      </rPr>
      <t xml:space="preserve">特性的天生武器攻击对非魔法攻击或伤害具有抗性或免疫的目标时视为魔法武器的攻击。
你还能改变你的形态来适应周遭环境，当你完成一次短休或长休后，你选择以下增益之一，获得之。这一增益将一直持续直至你再次完成短休或长休为止：
</t>
    </r>
    <r>
      <rPr>
        <sz val="10"/>
        <color theme="1"/>
        <rFont val="Times New Roman"/>
        <charset val="134"/>
      </rPr>
      <t xml:space="preserve">• </t>
    </r>
    <r>
      <rPr>
        <sz val="10"/>
        <color theme="1"/>
        <rFont val="宋体"/>
        <charset val="134"/>
      </rPr>
      <t xml:space="preserve">你获得等于步行速度的游泳速度，并且能够在水中呼吸。
</t>
    </r>
    <r>
      <rPr>
        <sz val="10"/>
        <color theme="1"/>
        <rFont val="Times New Roman"/>
        <charset val="134"/>
      </rPr>
      <t xml:space="preserve">• </t>
    </r>
    <r>
      <rPr>
        <sz val="10"/>
        <color theme="1"/>
        <rFont val="宋体"/>
        <charset val="134"/>
      </rPr>
      <t xml:space="preserve">你获得等于步行速度的攀爬速度。你无需进行属性检定也可攀爬于困难表面，包括倒挂天花板。
</t>
    </r>
    <r>
      <rPr>
        <sz val="10"/>
        <color theme="1"/>
        <rFont val="Times New Roman"/>
        <charset val="134"/>
      </rPr>
      <t xml:space="preserve">• </t>
    </r>
    <r>
      <rPr>
        <sz val="10"/>
        <color theme="1"/>
        <rFont val="宋体"/>
        <charset val="134"/>
      </rPr>
      <t>每回合一次，你能在跳跃时进行一次力量（运动）检定，使你的跳跃距离延长等于检定结果的尺数。</t>
    </r>
  </si>
  <si>
    <r>
      <rPr>
        <sz val="10"/>
        <color theme="1"/>
        <rFont val="宋体"/>
        <charset val="134"/>
      </rPr>
      <t>精魂法器</t>
    </r>
  </si>
  <si>
    <r>
      <rPr>
        <sz val="10"/>
        <color theme="1"/>
        <rFont val="宋体"/>
        <charset val="134"/>
      </rPr>
      <t>你使用工具来与精魂沟通，无论这些精魂是历史上的人物，还是虚构的原型。以下物品可作为你施展吟游诗人法术的法器：一根蜡烛、一个水晶球、一个头骨、一个通灵板或者一副塔罗卡牌。
从</t>
    </r>
    <r>
      <rPr>
        <sz val="10"/>
        <color theme="1"/>
        <rFont val="Times New Roman"/>
        <charset val="134"/>
      </rPr>
      <t>6</t>
    </r>
    <r>
      <rPr>
        <sz val="10"/>
        <color theme="1"/>
        <rFont val="宋体"/>
        <charset val="134"/>
      </rPr>
      <t>级开始，当你通过精魂法器施放一个造成伤害或恢复生命的吟游诗人法术时，投一枚</t>
    </r>
    <r>
      <rPr>
        <sz val="10"/>
        <color theme="1"/>
        <rFont val="Times New Roman"/>
        <charset val="134"/>
      </rPr>
      <t>d6</t>
    </r>
    <r>
      <rPr>
        <sz val="10"/>
        <color theme="1"/>
        <rFont val="宋体"/>
        <charset val="134"/>
      </rPr>
      <t>，你在该法术的一次伤害或治疗掷骰中获得等同于该</t>
    </r>
    <r>
      <rPr>
        <sz val="10"/>
        <color theme="1"/>
        <rFont val="Times New Roman"/>
        <charset val="134"/>
      </rPr>
      <t>d6</t>
    </r>
    <r>
      <rPr>
        <sz val="10"/>
        <color theme="1"/>
        <rFont val="宋体"/>
        <charset val="134"/>
      </rPr>
      <t>掷骰结果的加值。</t>
    </r>
  </si>
  <si>
    <r>
      <rPr>
        <sz val="10"/>
        <color theme="1"/>
        <rFont val="宋体"/>
        <charset val="134"/>
      </rPr>
      <t>权威之音</t>
    </r>
  </si>
  <si>
    <r>
      <rPr>
        <sz val="10"/>
        <color theme="1"/>
        <rFont val="宋体"/>
        <charset val="134"/>
      </rPr>
      <t>你可以调用律法的力量来驱使一位盟友进攻。
如果你施展了一个一环或高于一环并目标是一位盟友的法术，那位盟友可以在法术后立即使用她们的反应来对你指定且能看见的一名目标进行一次武器攻击。
如果法术指定了超过一名盟友，则由你来选择发动攻击的盟友。</t>
    </r>
  </si>
  <si>
    <r>
      <rPr>
        <sz val="10"/>
        <color theme="1"/>
        <rFont val="宋体"/>
        <charset val="134"/>
      </rPr>
      <t>孢子光晕</t>
    </r>
  </si>
  <si>
    <r>
      <rPr>
        <sz val="10"/>
        <color theme="1"/>
        <rFont val="宋体"/>
        <charset val="134"/>
      </rPr>
      <t>你被无形的坏死的孢子包围着，直到你把他们释放到附近的生物上。
当一个生物进入你的</t>
    </r>
    <r>
      <rPr>
        <sz val="10"/>
        <color theme="1"/>
        <rFont val="Times New Roman"/>
        <charset val="134"/>
      </rPr>
      <t>10</t>
    </r>
    <r>
      <rPr>
        <sz val="10"/>
        <color theme="1"/>
        <rFont val="宋体"/>
        <charset val="134"/>
      </rPr>
      <t>英尺内时，或在其中开始其回合时，你可以使用反应来激发孢子光晕特性。
造成</t>
    </r>
    <r>
      <rPr>
        <sz val="10"/>
        <color theme="1"/>
        <rFont val="Times New Roman"/>
        <charset val="134"/>
      </rPr>
      <t>1d4</t>
    </r>
    <r>
      <rPr>
        <sz val="10"/>
        <color theme="1"/>
        <rFont val="宋体"/>
        <charset val="134"/>
      </rPr>
      <t>点暗蚀伤害，除非其通过一个等同于你法术</t>
    </r>
    <r>
      <rPr>
        <sz val="10"/>
        <color theme="1"/>
        <rFont val="Times New Roman"/>
        <charset val="134"/>
      </rPr>
      <t>DC</t>
    </r>
    <r>
      <rPr>
        <sz val="10"/>
        <color theme="1"/>
        <rFont val="宋体"/>
        <charset val="134"/>
      </rPr>
      <t>的体质豁免。
此伤害在</t>
    </r>
    <r>
      <rPr>
        <sz val="10"/>
        <color theme="1"/>
        <rFont val="Times New Roman"/>
        <charset val="134"/>
      </rPr>
      <t>6</t>
    </r>
    <r>
      <rPr>
        <sz val="10"/>
        <color theme="1"/>
        <rFont val="宋体"/>
        <charset val="134"/>
      </rPr>
      <t>级时提高到</t>
    </r>
    <r>
      <rPr>
        <sz val="10"/>
        <color theme="1"/>
        <rFont val="Times New Roman"/>
        <charset val="134"/>
      </rPr>
      <t>1d6</t>
    </r>
    <r>
      <rPr>
        <sz val="10"/>
        <color theme="1"/>
        <rFont val="宋体"/>
        <charset val="134"/>
      </rPr>
      <t>，在</t>
    </r>
    <r>
      <rPr>
        <sz val="10"/>
        <color theme="1"/>
        <rFont val="Times New Roman"/>
        <charset val="134"/>
      </rPr>
      <t>10</t>
    </r>
    <r>
      <rPr>
        <sz val="10"/>
        <color theme="1"/>
        <rFont val="宋体"/>
        <charset val="134"/>
      </rPr>
      <t>级时提高到</t>
    </r>
    <r>
      <rPr>
        <sz val="10"/>
        <color theme="1"/>
        <rFont val="Times New Roman"/>
        <charset val="134"/>
      </rPr>
      <t>1d8</t>
    </r>
    <r>
      <rPr>
        <sz val="10"/>
        <color theme="1"/>
        <rFont val="宋体"/>
        <charset val="134"/>
      </rPr>
      <t>，在</t>
    </r>
    <r>
      <rPr>
        <sz val="10"/>
        <color theme="1"/>
        <rFont val="Times New Roman"/>
        <charset val="134"/>
      </rPr>
      <t>14</t>
    </r>
    <r>
      <rPr>
        <sz val="10"/>
        <color theme="1"/>
        <rFont val="宋体"/>
        <charset val="134"/>
      </rPr>
      <t>级时提高到</t>
    </r>
    <r>
      <rPr>
        <sz val="10"/>
        <color theme="1"/>
        <rFont val="Times New Roman"/>
        <charset val="134"/>
      </rPr>
      <t>1d10</t>
    </r>
    <r>
      <rPr>
        <sz val="10"/>
        <color theme="1"/>
        <rFont val="宋体"/>
        <charset val="134"/>
      </rPr>
      <t>。</t>
    </r>
  </si>
  <si>
    <r>
      <rPr>
        <sz val="10"/>
        <color theme="1"/>
        <rFont val="宋体"/>
        <charset val="134"/>
      </rPr>
      <t>你可以使用奥术法器作为你法师法术的施法法器。</t>
    </r>
  </si>
  <si>
    <r>
      <rPr>
        <sz val="10"/>
        <color theme="1"/>
        <rFont val="宋体"/>
        <charset val="134"/>
      </rPr>
      <t>光辉护盾</t>
    </r>
  </si>
  <si>
    <r>
      <rPr>
        <sz val="10"/>
        <color theme="1"/>
        <rFont val="宋体"/>
        <charset val="134"/>
      </rPr>
      <t>你的身躯被永久包覆在魔法性的耀眼灵光之中。
你发散出</t>
    </r>
    <r>
      <rPr>
        <sz val="10"/>
        <color theme="1"/>
        <rFont val="Times New Roman"/>
        <charset val="134"/>
      </rPr>
      <t>30</t>
    </r>
    <r>
      <rPr>
        <sz val="10"/>
        <color theme="1"/>
        <rFont val="宋体"/>
        <charset val="134"/>
      </rPr>
      <t>尺的明亮光照和那之外</t>
    </r>
    <r>
      <rPr>
        <sz val="10"/>
        <color theme="1"/>
        <rFont val="Times New Roman"/>
        <charset val="134"/>
      </rPr>
      <t>30</t>
    </r>
    <r>
      <rPr>
        <sz val="10"/>
        <color theme="1"/>
        <rFont val="宋体"/>
        <charset val="134"/>
      </rPr>
      <t>尺的微光光照。你可以以一个附赠动作将这一光照熄灭或将其恢复。
光照未被熄灭的情况下，如果有生物对你发动近战攻击并击中了你，你可以用你的反应对那个生物造成</t>
    </r>
    <r>
      <rPr>
        <sz val="10"/>
        <color theme="1"/>
        <rFont val="Times New Roman"/>
        <charset val="134"/>
      </rPr>
      <t xml:space="preserve"> 5+</t>
    </r>
    <r>
      <rPr>
        <sz val="10"/>
        <color theme="1"/>
        <rFont val="宋体"/>
        <charset val="134"/>
      </rPr>
      <t>你的感知调整值</t>
    </r>
    <r>
      <rPr>
        <sz val="10"/>
        <color theme="1"/>
        <rFont val="Times New Roman"/>
        <charset val="134"/>
      </rPr>
      <t xml:space="preserve"> </t>
    </r>
    <r>
      <rPr>
        <sz val="10"/>
        <color theme="1"/>
        <rFont val="宋体"/>
        <charset val="134"/>
      </rPr>
      <t>点的光耀伤害。</t>
    </r>
  </si>
  <si>
    <r>
      <rPr>
        <sz val="10"/>
        <color theme="1"/>
        <rFont val="宋体"/>
        <charset val="134"/>
      </rPr>
      <t>救赎使节</t>
    </r>
  </si>
  <si>
    <r>
      <rPr>
        <sz val="10"/>
        <color theme="1"/>
        <rFont val="宋体"/>
        <charset val="134"/>
      </rPr>
      <t>你成为了和平的化身，使你获得下述好处：
你对于其他生物造成的所有伤害具有抗力（它们的攻击、法术、和其他效果）。
当一个生物以一次攻击对你造成伤害时，它受到等同于其对你造成的一半伤害的光耀伤害。
当你对一个生物攻击、施法或以此特性以外的方式造成伤害，那么在完成一次长休息之前此特性对该生物无效。</t>
    </r>
  </si>
  <si>
    <r>
      <rPr>
        <sz val="10"/>
        <color theme="1"/>
        <rFont val="宋体"/>
        <charset val="134"/>
      </rPr>
      <t>魔法克星</t>
    </r>
  </si>
  <si>
    <r>
      <rPr>
        <sz val="10"/>
        <color theme="1"/>
        <rFont val="宋体"/>
        <charset val="134"/>
      </rPr>
      <t xml:space="preserve">你获得打断其他人的魔法的能力。
</t>
    </r>
    <r>
      <rPr>
        <sz val="10"/>
        <color theme="1"/>
        <rFont val="Times New Roman"/>
        <charset val="134"/>
      </rPr>
      <t>60</t>
    </r>
    <r>
      <rPr>
        <sz val="10"/>
        <color theme="1"/>
        <rFont val="宋体"/>
        <charset val="134"/>
      </rPr>
      <t>尺内，当你看到一名角色使用法术或者传送，你可以用你的反应魔法性地来尝试打断它。
角色必须成功通过一个难度等同于你的施法</t>
    </r>
    <r>
      <rPr>
        <sz val="10"/>
        <color theme="1"/>
        <rFont val="Times New Roman"/>
        <charset val="134"/>
      </rPr>
      <t>DC</t>
    </r>
    <r>
      <rPr>
        <sz val="10"/>
        <color theme="1"/>
        <rFont val="宋体"/>
        <charset val="134"/>
      </rPr>
      <t>的感知豁免，否则它的法术和传送失败并浪费。
你使用该特性后，不能再次使用它直到你完成一次短休或者长休。</t>
    </r>
  </si>
  <si>
    <r>
      <rPr>
        <sz val="10"/>
        <color theme="1"/>
        <rFont val="宋体"/>
        <charset val="134"/>
      </rPr>
      <t>误导</t>
    </r>
  </si>
  <si>
    <r>
      <rPr>
        <sz val="10"/>
        <color theme="1"/>
        <rFont val="宋体"/>
        <charset val="134"/>
      </rPr>
      <t>你的急才有时候能让另一个生物代替你承受攻击。
每当你成为一次攻击的目标，并且在你的</t>
    </r>
    <r>
      <rPr>
        <sz val="10"/>
        <color theme="1"/>
        <rFont val="Times New Roman"/>
        <charset val="134"/>
      </rPr>
      <t>5</t>
    </r>
    <r>
      <rPr>
        <sz val="10"/>
        <color theme="1"/>
        <rFont val="宋体"/>
        <charset val="134"/>
      </rPr>
      <t>尺距离内有生物为你对抗这次攻击提供了掩蔽，你可以使用你的反应将这次攻击的目标转移给这个生物。</t>
    </r>
  </si>
  <si>
    <r>
      <rPr>
        <sz val="10"/>
        <color theme="1"/>
        <rFont val="宋体"/>
        <charset val="134"/>
      </rPr>
      <t>终焉之力</t>
    </r>
  </si>
  <si>
    <r>
      <rPr>
        <sz val="10"/>
        <color theme="1"/>
        <rFont val="宋体"/>
        <charset val="134"/>
      </rPr>
      <t>存在于生和死的朦胧状态中使得你难以被击败。
当生命值被降至</t>
    </r>
    <r>
      <rPr>
        <sz val="10"/>
        <color theme="1"/>
        <rFont val="Times New Roman"/>
        <charset val="134"/>
      </rPr>
      <t>0</t>
    </r>
    <r>
      <rPr>
        <sz val="10"/>
        <color theme="1"/>
        <rFont val="宋体"/>
        <charset val="134"/>
      </rPr>
      <t>点时，你可以通过一个</t>
    </r>
    <r>
      <rPr>
        <sz val="10"/>
        <color theme="1"/>
        <rFont val="Times New Roman"/>
        <charset val="134"/>
      </rPr>
      <t>DC=</t>
    </r>
    <r>
      <rPr>
        <sz val="10"/>
        <color theme="1"/>
        <rFont val="宋体"/>
        <charset val="134"/>
      </rPr>
      <t>该次所受伤害</t>
    </r>
    <r>
      <rPr>
        <sz val="10"/>
        <color theme="1"/>
        <rFont val="Times New Roman"/>
        <charset val="134"/>
      </rPr>
      <t>+5</t>
    </r>
    <r>
      <rPr>
        <sz val="10"/>
        <color theme="1"/>
        <rFont val="宋体"/>
        <charset val="134"/>
      </rPr>
      <t>的魅力豁免。
若豁免成功，作为代替你的生命值被降至</t>
    </r>
    <r>
      <rPr>
        <sz val="10"/>
        <color theme="1"/>
        <rFont val="Times New Roman"/>
        <charset val="134"/>
      </rPr>
      <t>1</t>
    </r>
    <r>
      <rPr>
        <sz val="10"/>
        <color theme="1"/>
        <rFont val="宋体"/>
        <charset val="134"/>
      </rPr>
      <t>点。
若该次伤害为光耀或重击时你不可使用此能力。
当你通过豁免后直到下一次长休前不能再使用此能力。</t>
    </r>
  </si>
  <si>
    <r>
      <rPr>
        <sz val="10"/>
        <color theme="1"/>
        <rFont val="宋体"/>
        <charset val="134"/>
      </rPr>
      <t>先决：等级</t>
    </r>
    <r>
      <rPr>
        <sz val="10"/>
        <color theme="1"/>
        <rFont val="Times New Roman"/>
        <charset val="134"/>
      </rPr>
      <t xml:space="preserve">7+
</t>
    </r>
    <r>
      <rPr>
        <sz val="10"/>
        <color theme="1"/>
        <rFont val="宋体"/>
        <charset val="134"/>
      </rPr>
      <t>以一个动作，你可以变形为恐狼、巨蜘蛛或巨章鱼，遵循与法术变形术</t>
    </r>
    <r>
      <rPr>
        <sz val="10"/>
        <color theme="1"/>
        <rFont val="Times New Roman"/>
        <charset val="134"/>
      </rPr>
      <t>polymorph</t>
    </r>
    <r>
      <rPr>
        <sz val="10"/>
        <color theme="1"/>
        <rFont val="宋体"/>
        <charset val="134"/>
      </rPr>
      <t>相同的规则，但你保留你的智力，感知和魅力值。你同样保留你所有的豁免熟练，并获得这些生物的豁免熟练；此外，你还会保留该野兽形态在物理上能执行的技能熟练项。如果该生物拥有与你相同的熟练项，且数据卡中的加值高于你，则你使用该生物的加值。你保留说话的能力，并且可以施展仅具有言语成分的法术。</t>
    </r>
    <r>
      <rPr>
        <sz val="10"/>
        <color theme="1"/>
        <rFont val="Times New Roman"/>
        <charset val="134"/>
      </rPr>
      <t xml:space="preserve">
</t>
    </r>
    <r>
      <rPr>
        <sz val="10"/>
        <color theme="1"/>
        <rFont val="宋体"/>
        <charset val="134"/>
      </rPr>
      <t>你可以保持该形态</t>
    </r>
    <r>
      <rPr>
        <sz val="10"/>
        <color theme="1"/>
        <rFont val="Times New Roman"/>
        <charset val="134"/>
      </rPr>
      <t>1</t>
    </r>
    <r>
      <rPr>
        <sz val="10"/>
        <color theme="1"/>
        <rFont val="宋体"/>
        <charset val="134"/>
      </rPr>
      <t>小时，或直到该形态的生命值降至</t>
    </r>
    <r>
      <rPr>
        <sz val="10"/>
        <color theme="1"/>
        <rFont val="Times New Roman"/>
        <charset val="134"/>
      </rPr>
      <t>0</t>
    </r>
    <r>
      <rPr>
        <sz val="10"/>
        <color theme="1"/>
        <rFont val="宋体"/>
        <charset val="134"/>
      </rPr>
      <t>时，你恢复为正常形态。若你因生命值降至</t>
    </r>
    <r>
      <rPr>
        <sz val="10"/>
        <color theme="1"/>
        <rFont val="Times New Roman"/>
        <charset val="134"/>
      </rPr>
      <t>0</t>
    </r>
    <r>
      <rPr>
        <sz val="10"/>
        <color theme="1"/>
        <rFont val="宋体"/>
        <charset val="134"/>
      </rPr>
      <t>而恢复原形，则该伤害的溢出伤害量将传递至你的正常形态。</t>
    </r>
    <r>
      <rPr>
        <sz val="10"/>
        <color theme="1"/>
        <rFont val="Times New Roman"/>
        <charset val="134"/>
      </rPr>
      <t xml:space="preserve">
</t>
    </r>
    <r>
      <rPr>
        <sz val="10"/>
        <color theme="1"/>
        <rFont val="宋体"/>
        <charset val="134"/>
      </rPr>
      <t>一旦你使用了此祈唤，直至完成一次长休你都无法再次使用。</t>
    </r>
  </si>
  <si>
    <r>
      <rPr>
        <sz val="10"/>
        <color theme="1"/>
        <rFont val="宋体"/>
        <charset val="134"/>
      </rPr>
      <t>书士宗师</t>
    </r>
  </si>
  <si>
    <r>
      <rPr>
        <sz val="10"/>
        <color theme="1"/>
        <rFont val="宋体"/>
        <charset val="134"/>
      </rPr>
      <t>每当你完成一次长休，你可以令你的法师笔触碰一张空白的纸张或是羊皮纸，以将你觉醒魔典中的一个法术并复制到这张纸上、并制造一个魔法卷轴。
你制造卷轴时，魔典必须在你</t>
    </r>
    <r>
      <rPr>
        <sz val="10"/>
        <color theme="1"/>
        <rFont val="Times New Roman"/>
        <charset val="134"/>
      </rPr>
      <t>5</t>
    </r>
    <r>
      <rPr>
        <sz val="10"/>
        <color theme="1"/>
        <rFont val="宋体"/>
        <charset val="134"/>
      </rPr>
      <t>尺之内，被复制的法术必须是</t>
    </r>
    <r>
      <rPr>
        <sz val="10"/>
        <color theme="1"/>
        <rFont val="Times New Roman"/>
        <charset val="134"/>
      </rPr>
      <t>1</t>
    </r>
    <r>
      <rPr>
        <sz val="10"/>
        <color theme="1"/>
        <rFont val="宋体"/>
        <charset val="134"/>
      </rPr>
      <t>环或</t>
    </r>
    <r>
      <rPr>
        <sz val="10"/>
        <color theme="1"/>
        <rFont val="Times New Roman"/>
        <charset val="134"/>
      </rPr>
      <t>2</t>
    </r>
    <r>
      <rPr>
        <sz val="10"/>
        <color theme="1"/>
        <rFont val="宋体"/>
        <charset val="134"/>
      </rPr>
      <t>环法术，且施法时间必须为</t>
    </r>
    <r>
      <rPr>
        <sz val="10"/>
        <color theme="1"/>
        <rFont val="Times New Roman"/>
        <charset val="134"/>
      </rPr>
      <t>1</t>
    </r>
    <r>
      <rPr>
        <sz val="10"/>
        <color theme="1"/>
        <rFont val="宋体"/>
        <charset val="134"/>
      </rPr>
      <t>个动作。
卷轴将增强法术的力量，令其视为比平常高</t>
    </r>
    <r>
      <rPr>
        <sz val="10"/>
        <color theme="1"/>
        <rFont val="Times New Roman"/>
        <charset val="134"/>
      </rPr>
      <t>1</t>
    </r>
    <r>
      <rPr>
        <sz val="10"/>
        <color theme="1"/>
        <rFont val="宋体"/>
        <charset val="134"/>
      </rPr>
      <t>环阶的法术。
你可以以一个动作阅读卷轴来施展其中的法术。
卷轴对其他任何人都不可理解，且当你施展其中法术、或是完成下次长休后，卷轴上记载的法术将会消失。
你同样熟练于制造城主指南第七章中所描述的法术卷轴。
若你使用你的法术笔制造卷轴，所需要花费的金币和时间减半。</t>
    </r>
  </si>
  <si>
    <t>制图师法术</t>
  </si>
  <si>
    <r>
      <rPr>
        <sz val="10"/>
        <color theme="1"/>
        <rFont val="宋体"/>
        <charset val="134"/>
      </rPr>
      <t>当你到达制图师法术表中特定的奇械师等级时，你就始终准备着表中对应的法术。</t>
    </r>
    <r>
      <rPr>
        <sz val="10"/>
        <color theme="1"/>
        <rFont val="Times New Roman"/>
        <charset val="134"/>
      </rPr>
      <t xml:space="preserve">
</t>
    </r>
    <r>
      <rPr>
        <sz val="10"/>
        <color theme="1"/>
        <rFont val="宋体"/>
        <charset val="134"/>
      </rPr>
      <t>制图师法术</t>
    </r>
    <r>
      <rPr>
        <sz val="10"/>
        <color theme="1"/>
        <rFont val="Times New Roman"/>
        <charset val="134"/>
      </rPr>
      <t xml:space="preserve">Cartographer Spells </t>
    </r>
    <r>
      <rPr>
        <sz val="10"/>
        <color theme="1"/>
        <rFont val="宋体"/>
        <charset val="134"/>
      </rPr>
      <t>奇械师等级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妖火</t>
    </r>
    <r>
      <rPr>
        <sz val="10"/>
        <color theme="1"/>
        <rFont val="Times New Roman"/>
        <charset val="134"/>
      </rPr>
      <t>Faerie Fire</t>
    </r>
    <r>
      <rPr>
        <sz val="10"/>
        <color theme="1"/>
        <rFont val="宋体"/>
        <charset val="134"/>
      </rPr>
      <t>，光导箭</t>
    </r>
    <r>
      <rPr>
        <sz val="10"/>
        <color theme="1"/>
        <rFont val="Times New Roman"/>
        <charset val="134"/>
      </rPr>
      <t>Guiding Bolt</t>
    </r>
    <r>
      <rPr>
        <sz val="10"/>
        <color theme="1"/>
        <rFont val="宋体"/>
        <charset val="134"/>
      </rPr>
      <t>，治愈真言</t>
    </r>
    <r>
      <rPr>
        <sz val="10"/>
        <color theme="1"/>
        <rFont val="Times New Roman"/>
        <charset val="134"/>
      </rPr>
      <t xml:space="preserve">Healing Word 
5 </t>
    </r>
    <r>
      <rPr>
        <sz val="10"/>
        <color theme="1"/>
        <rFont val="宋体"/>
        <charset val="134"/>
      </rPr>
      <t>物件定位术</t>
    </r>
    <r>
      <rPr>
        <sz val="10"/>
        <color theme="1"/>
        <rFont val="Times New Roman"/>
        <charset val="134"/>
      </rPr>
      <t>Locate Object</t>
    </r>
    <r>
      <rPr>
        <sz val="10"/>
        <color theme="1"/>
        <rFont val="宋体"/>
        <charset val="134"/>
      </rPr>
      <t>，心灵尖刺</t>
    </r>
    <r>
      <rPr>
        <sz val="10"/>
        <color theme="1"/>
        <rFont val="Times New Roman"/>
        <charset val="134"/>
      </rPr>
      <t xml:space="preserve">Mind Spike  
9 </t>
    </r>
    <r>
      <rPr>
        <sz val="10"/>
        <color theme="1"/>
        <rFont val="宋体"/>
        <charset val="134"/>
      </rPr>
      <t>召雷术</t>
    </r>
    <r>
      <rPr>
        <sz val="10"/>
        <color theme="1"/>
        <rFont val="Times New Roman"/>
        <charset val="134"/>
      </rPr>
      <t>Call Lightning</t>
    </r>
    <r>
      <rPr>
        <sz val="10"/>
        <color theme="1"/>
        <rFont val="宋体"/>
        <charset val="134"/>
      </rPr>
      <t>，鹰眼术</t>
    </r>
    <r>
      <rPr>
        <sz val="10"/>
        <color theme="1"/>
        <rFont val="Times New Roman"/>
        <charset val="134"/>
      </rPr>
      <t xml:space="preserve">Clairvoyance 
13 </t>
    </r>
    <r>
      <rPr>
        <sz val="10"/>
        <color theme="1"/>
        <rFont val="宋体"/>
        <charset val="134"/>
      </rPr>
      <t>放逐术</t>
    </r>
    <r>
      <rPr>
        <sz val="10"/>
        <color theme="1"/>
        <rFont val="Times New Roman"/>
        <charset val="134"/>
      </rPr>
      <t>Banishment</t>
    </r>
    <r>
      <rPr>
        <sz val="10"/>
        <color theme="1"/>
        <rFont val="宋体"/>
        <charset val="134"/>
      </rPr>
      <t>，生物定位术</t>
    </r>
    <r>
      <rPr>
        <sz val="10"/>
        <color theme="1"/>
        <rFont val="Times New Roman"/>
        <charset val="134"/>
      </rPr>
      <t xml:space="preserve">Locate Creature 
17 </t>
    </r>
    <r>
      <rPr>
        <sz val="10"/>
        <color theme="1"/>
        <rFont val="宋体"/>
        <charset val="134"/>
      </rPr>
      <t>探知术</t>
    </r>
    <r>
      <rPr>
        <sz val="10"/>
        <color theme="1"/>
        <rFont val="Times New Roman"/>
        <charset val="134"/>
      </rPr>
      <t>Scrying</t>
    </r>
    <r>
      <rPr>
        <sz val="10"/>
        <color theme="1"/>
        <rFont val="宋体"/>
        <charset val="134"/>
      </rPr>
      <t>，传送法阵</t>
    </r>
    <r>
      <rPr>
        <sz val="10"/>
        <color theme="1"/>
        <rFont val="Times New Roman"/>
        <charset val="134"/>
      </rPr>
      <t xml:space="preserve">Teleportation Circle  </t>
    </r>
  </si>
  <si>
    <r>
      <rPr>
        <sz val="10"/>
        <color theme="1"/>
        <rFont val="宋体"/>
        <charset val="134"/>
      </rPr>
      <t>传送战法</t>
    </r>
  </si>
  <si>
    <r>
      <rPr>
        <sz val="10"/>
        <color theme="1"/>
        <rFont val="宋体"/>
        <charset val="134"/>
      </rPr>
      <t>在你施展迷踪步</t>
    </r>
    <r>
      <rPr>
        <sz val="10"/>
        <color theme="1"/>
        <rFont val="Times New Roman"/>
        <charset val="134"/>
      </rPr>
      <t xml:space="preserve">Mistry Step </t>
    </r>
    <r>
      <rPr>
        <sz val="10"/>
        <color theme="1"/>
        <rFont val="宋体"/>
        <charset val="134"/>
      </rPr>
      <t>后，作为该附赠动作的一部分，你可以立即施展一道施法时间为动作的灵能使戏法。</t>
    </r>
  </si>
  <si>
    <r>
      <rPr>
        <sz val="10"/>
        <color theme="1"/>
        <rFont val="宋体"/>
        <charset val="134"/>
      </rPr>
      <t>诱变剂</t>
    </r>
    <r>
      <rPr>
        <sz val="10"/>
        <color theme="1"/>
        <rFont val="Times New Roman"/>
        <charset val="134"/>
      </rPr>
      <t>-</t>
    </r>
    <r>
      <rPr>
        <sz val="10"/>
        <color theme="1"/>
        <rFont val="宋体"/>
        <charset val="134"/>
      </rPr>
      <t>不穿</t>
    </r>
  </si>
  <si>
    <r>
      <rPr>
        <sz val="10"/>
        <color theme="1"/>
        <rFont val="宋体"/>
        <charset val="134"/>
      </rPr>
      <t>你获得穿刺伤害的抗性。
副作用：你获得挥砍伤害的易伤。</t>
    </r>
  </si>
  <si>
    <r>
      <rPr>
        <sz val="10"/>
        <color theme="1"/>
        <rFont val="宋体"/>
        <charset val="134"/>
      </rPr>
      <t>高级心理学</t>
    </r>
  </si>
  <si>
    <r>
      <rPr>
        <sz val="10"/>
        <color theme="1"/>
        <rFont val="宋体"/>
        <charset val="134"/>
      </rPr>
      <t>你习得戏法魔能爆。你获得奥秘技能的熟练。如果你已经有了这个技能的熟练，那么你获得另一个你任选技能的熟练项。</t>
    </r>
  </si>
  <si>
    <t>布法制律【战技】</t>
  </si>
  <si>
    <r>
      <rPr>
        <sz val="10"/>
        <color theme="1"/>
        <rFont val="宋体"/>
        <charset val="134"/>
      </rPr>
      <t>你能够以附赠动作消耗一枚风险骰，以警戒威胁你同伴的威胁。选择一名位于你</t>
    </r>
    <r>
      <rPr>
        <sz val="10"/>
        <color theme="1"/>
        <rFont val="Times New Roman"/>
        <charset val="134"/>
      </rPr>
      <t>60</t>
    </r>
    <r>
      <rPr>
        <sz val="10"/>
        <color theme="1"/>
        <rFont val="宋体"/>
        <charset val="134"/>
      </rPr>
      <t>尺内的你可见的盟友。该盟友获得等于风险骰骰值的临时生命值。直至你的下个回合开始，若该盟友被一次攻击命中，你能够以反应使用武器对攻击者发动一次远程攻击。</t>
    </r>
  </si>
  <si>
    <r>
      <rPr>
        <sz val="10"/>
        <color theme="1"/>
        <rFont val="宋体"/>
        <charset val="134"/>
      </rPr>
      <t>你获得以下两个招引狱力选项：
口蜜腹剑</t>
    </r>
    <r>
      <rPr>
        <sz val="10"/>
        <color theme="1"/>
        <rFont val="Times New Roman"/>
        <charset val="134"/>
      </rPr>
      <t>Honey-Sweet Blades</t>
    </r>
    <r>
      <rPr>
        <sz val="10"/>
        <color theme="1"/>
        <rFont val="宋体"/>
        <charset val="134"/>
      </rPr>
      <t>。你对受禁生物发动武器攻击时，你可以在此次攻击中获得优势（无需动作）。若此次攻击命中，则造成重击。
众叛亲离</t>
    </r>
    <r>
      <rPr>
        <sz val="10"/>
        <color theme="1"/>
        <rFont val="Times New Roman"/>
        <charset val="134"/>
      </rPr>
      <t>Turncoat</t>
    </r>
    <r>
      <rPr>
        <sz val="10"/>
        <color theme="1"/>
        <rFont val="宋体"/>
        <charset val="134"/>
      </rPr>
      <t>。以一个动作，你鼓动唇舌对抗敌人。你选择位于你</t>
    </r>
    <r>
      <rPr>
        <sz val="10"/>
        <color theme="1"/>
        <rFont val="Times New Roman"/>
        <charset val="134"/>
      </rPr>
      <t>60</t>
    </r>
    <r>
      <rPr>
        <sz val="10"/>
        <color theme="1"/>
        <rFont val="宋体"/>
        <charset val="134"/>
      </rPr>
      <t>尺内能听见你的敌对生物，数量至多等于你的熟练加值。每个目标必须成功通过一次魅力豁免，否则需使用其反应对你选择的单一目标发动武器攻击。受此特性影响的生物无法攻击其自身。</t>
    </r>
  </si>
  <si>
    <r>
      <rPr>
        <sz val="10"/>
        <color theme="1"/>
        <rFont val="宋体"/>
        <charset val="134"/>
      </rPr>
      <t>梦境结社</t>
    </r>
  </si>
  <si>
    <r>
      <rPr>
        <sz val="10"/>
        <color theme="1"/>
        <rFont val="宋体"/>
        <charset val="134"/>
      </rPr>
      <t>狂怒之染</t>
    </r>
  </si>
  <si>
    <r>
      <rPr>
        <sz val="10"/>
        <color theme="1"/>
        <rFont val="宋体"/>
        <charset val="134"/>
      </rPr>
      <t>当你在狂暴时用天生武器命中一个敌人时，你体内的精魂将带着狂怒诅咒目标，使之进行一次感知豁免（</t>
    </r>
    <r>
      <rPr>
        <sz val="10"/>
        <color theme="1"/>
        <rFont val="Times New Roman"/>
        <charset val="134"/>
      </rPr>
      <t>DC=8+</t>
    </r>
    <r>
      <rPr>
        <sz val="10"/>
        <color theme="1"/>
        <rFont val="宋体"/>
        <charset val="134"/>
      </rPr>
      <t>你的体质调整值</t>
    </r>
    <r>
      <rPr>
        <sz val="10"/>
        <color theme="1"/>
        <rFont val="Times New Roman"/>
        <charset val="134"/>
      </rPr>
      <t>+</t>
    </r>
    <r>
      <rPr>
        <sz val="10"/>
        <color theme="1"/>
        <rFont val="宋体"/>
        <charset val="134"/>
      </rPr>
      <t xml:space="preserve">你的熟练值），豁免失败将遭受以下效应之一（由你选择）：
</t>
    </r>
    <r>
      <rPr>
        <sz val="10"/>
        <color theme="1"/>
        <rFont val="Times New Roman"/>
        <charset val="134"/>
      </rPr>
      <t xml:space="preserve">• </t>
    </r>
    <r>
      <rPr>
        <sz val="10"/>
        <color theme="1"/>
        <rFont val="宋体"/>
        <charset val="134"/>
      </rPr>
      <t xml:space="preserve">目标用反应对一个由你选择且你能看见的生物发动一次近战攻击。
</t>
    </r>
    <r>
      <rPr>
        <sz val="10"/>
        <color theme="1"/>
        <rFont val="Times New Roman"/>
        <charset val="134"/>
      </rPr>
      <t xml:space="preserve">• </t>
    </r>
    <r>
      <rPr>
        <sz val="10"/>
        <color theme="1"/>
        <rFont val="宋体"/>
        <charset val="134"/>
      </rPr>
      <t>目标受到</t>
    </r>
    <r>
      <rPr>
        <sz val="10"/>
        <color theme="1"/>
        <rFont val="Times New Roman"/>
        <charset val="134"/>
      </rPr>
      <t>2d12</t>
    </r>
    <r>
      <rPr>
        <sz val="10"/>
        <color theme="1"/>
        <rFont val="宋体"/>
        <charset val="134"/>
      </rPr>
      <t>心灵伤害。
你能使用本特性的次数等于你的熟练加值次，完成一次长休后，你重获所有已消耗的次数。</t>
    </r>
  </si>
  <si>
    <r>
      <rPr>
        <sz val="10"/>
        <color theme="1"/>
        <rFont val="宋体"/>
        <charset val="134"/>
      </rPr>
      <t>彼岸故事</t>
    </r>
  </si>
  <si>
    <r>
      <rPr>
        <sz val="10"/>
        <color theme="1"/>
        <rFont val="宋体"/>
        <charset val="134"/>
      </rPr>
      <t>你与那些借由你来讲述自己故事的精魂沟通。当你持握你的精魂法器时，你可以使用一个附赠动作，消耗一次你的诗人激励来投掷一次精魂故事表。诗人激励骰的掷骰结果将决定精魂们引导你说出何种故事。这个故事将保存在你脑海中，直到你用掉该故事的效果，或者完成一次短休或长休。
你可以使用一个动作选择</t>
    </r>
    <r>
      <rPr>
        <sz val="10"/>
        <color theme="1"/>
        <rFont val="Times New Roman"/>
        <charset val="134"/>
      </rPr>
      <t>30</t>
    </r>
    <r>
      <rPr>
        <sz val="10"/>
        <color theme="1"/>
        <rFont val="宋体"/>
        <charset val="134"/>
      </rPr>
      <t>尺内一个你能够看到的生物（可以是你自身）作为故事效果所影响的目标。一旦这样做之后，在下一次投掷故事表以前，你都无法再次使用此故事的效果。
你的脑海中一次只能保存一种故事，再次投掷精魂故事表将立刻结束之前一个故事的效果。
如果故事的效果需要进行豁免，其</t>
    </r>
    <r>
      <rPr>
        <sz val="10"/>
        <color theme="1"/>
        <rFont val="Times New Roman"/>
        <charset val="134"/>
      </rPr>
      <t>DC</t>
    </r>
    <r>
      <rPr>
        <sz val="10"/>
        <color theme="1"/>
        <rFont val="宋体"/>
        <charset val="134"/>
      </rPr>
      <t>为你的法术豁免</t>
    </r>
    <r>
      <rPr>
        <sz val="10"/>
        <color theme="1"/>
        <rFont val="Times New Roman"/>
        <charset val="134"/>
      </rPr>
      <t>DC</t>
    </r>
    <r>
      <rPr>
        <sz val="10"/>
        <color theme="1"/>
        <rFont val="宋体"/>
        <charset val="134"/>
      </rPr>
      <t>。</t>
    </r>
  </si>
  <si>
    <r>
      <rPr>
        <sz val="10"/>
        <color theme="1"/>
        <rFont val="宋体"/>
        <charset val="134"/>
      </rPr>
      <t>引导神力：秩序之令</t>
    </r>
  </si>
  <si>
    <r>
      <rPr>
        <sz val="10"/>
        <color theme="1"/>
        <rFont val="宋体"/>
        <charset val="134"/>
      </rPr>
      <t>你可以用你的引导神力来对他人施以恐吓。
以一个动作，你展示出你的圣徽，</t>
    </r>
    <r>
      <rPr>
        <sz val="10"/>
        <color theme="1"/>
        <rFont val="Times New Roman"/>
        <charset val="134"/>
      </rPr>
      <t>30</t>
    </r>
    <r>
      <rPr>
        <sz val="10"/>
        <color theme="1"/>
        <rFont val="宋体"/>
        <charset val="134"/>
      </rPr>
      <t>尺内你所指定的每个能看到或听到你的生物必须成功通过一次感知豁免，否则直到你下个回合结束或受到一次伤害，生物将被你魅惑。
当生物豁免失败时，你还可以指定任意被你魅惑的生物扔掉手中所持物。</t>
    </r>
  </si>
  <si>
    <r>
      <rPr>
        <sz val="10"/>
        <color theme="1"/>
        <rFont val="宋体"/>
        <charset val="134"/>
      </rPr>
      <t>一体共生</t>
    </r>
  </si>
  <si>
    <r>
      <rPr>
        <sz val="10"/>
        <color theme="1"/>
        <rFont val="宋体"/>
        <charset val="134"/>
      </rPr>
      <t>你获得了向体内的孢子引导魔法的能力。
当你使用你的荒野形态特性时，你可以唤醒这些孢子，而非进行变形。
当你这样做的时候，你每在此职业上具有一个等级便获得</t>
    </r>
    <r>
      <rPr>
        <sz val="10"/>
        <color theme="1"/>
        <rFont val="Times New Roman"/>
        <charset val="134"/>
      </rPr>
      <t>4</t>
    </r>
    <r>
      <rPr>
        <sz val="10"/>
        <color theme="1"/>
        <rFont val="宋体"/>
        <charset val="134"/>
      </rPr>
      <t>点临时生命值。
当你这样做时，你获得下列好处：
当你的孢子光晕特性造成伤害时，额外骰一个伤害骰加在原有的伤害骰上。
并且你的近战武器攻击对任何被击中的目标造成额外的</t>
    </r>
    <r>
      <rPr>
        <sz val="10"/>
        <color theme="1"/>
        <rFont val="Times New Roman"/>
        <charset val="134"/>
      </rPr>
      <t>1d6</t>
    </r>
    <r>
      <rPr>
        <sz val="10"/>
        <color theme="1"/>
        <rFont val="宋体"/>
        <charset val="134"/>
      </rPr>
      <t>点暗蚀伤害。
这些好处持续</t>
    </r>
    <r>
      <rPr>
        <sz val="10"/>
        <color theme="1"/>
        <rFont val="Times New Roman"/>
        <charset val="134"/>
      </rPr>
      <t>10</t>
    </r>
    <r>
      <rPr>
        <sz val="10"/>
        <color theme="1"/>
        <rFont val="宋体"/>
        <charset val="134"/>
      </rPr>
      <t>分钟，或直到你失去所有临时生命值或再次使用了你的荒野形态。</t>
    </r>
  </si>
  <si>
    <r>
      <rPr>
        <sz val="10"/>
        <color theme="1"/>
        <rFont val="宋体"/>
        <charset val="134"/>
      </rPr>
      <t>战争联结</t>
    </r>
  </si>
  <si>
    <r>
      <rPr>
        <sz val="10"/>
        <color theme="1"/>
        <rFont val="宋体"/>
        <charset val="134"/>
      </rPr>
      <t>你习得一种让你和你的武器建立魔法联结的仪式。你执行持续一小时的仪式，且可在短休时进行。整个仪式过程中武器必须在你的触及范围内，直至仪式结束前，该武器必须一直在你触手可及的范围内，以完成联结。若该武器已与另一名战士建立联结，或是一把已被他人同调的魔法物品，仪式则会失败。
联结建立后，只要你不处于失能状态，使用联结武器时就不会被缴械。如果联结武器与你处于同一位面，则你可以用一个附赠动作使其立即传送到你手中。
你至多可以拥有两把建立联结的武器，但一个附赠动作只能召唤一把武器。如果你试图和第三把武器建立联结，则必须与已经联结的两把武器其中的一把取消联结。</t>
    </r>
  </si>
  <si>
    <r>
      <rPr>
        <sz val="10"/>
        <color theme="1"/>
        <rFont val="宋体"/>
        <charset val="134"/>
      </rPr>
      <t>星我之臂</t>
    </r>
  </si>
  <si>
    <r>
      <rPr>
        <sz val="10"/>
        <color theme="1"/>
        <rFont val="宋体"/>
        <charset val="134"/>
      </rPr>
      <t>你对气的掌握允许你召唤出星我的一部分。
以一个附赠动作，你可以花费</t>
    </r>
    <r>
      <rPr>
        <sz val="10"/>
        <color theme="1"/>
        <rFont val="Times New Roman"/>
        <charset val="134"/>
      </rPr>
      <t>1</t>
    </r>
    <r>
      <rPr>
        <sz val="10"/>
        <color theme="1"/>
        <rFont val="宋体"/>
        <charset val="134"/>
      </rPr>
      <t>点气来召唤你的星我之臂，当你这么做时，你选择的每一个你所见的</t>
    </r>
    <r>
      <rPr>
        <sz val="10"/>
        <color theme="1"/>
        <rFont val="Times New Roman"/>
        <charset val="134"/>
      </rPr>
      <t>10</t>
    </r>
    <r>
      <rPr>
        <sz val="10"/>
        <color theme="1"/>
        <rFont val="宋体"/>
        <charset val="134"/>
      </rPr>
      <t>尺范围内的生物必须进行一次敏捷豁免检定，如果失败则受到相当于你两倍武艺骰的力场伤害。
在</t>
    </r>
    <r>
      <rPr>
        <sz val="10"/>
        <color theme="1"/>
        <rFont val="Times New Roman"/>
        <charset val="134"/>
      </rPr>
      <t>10</t>
    </r>
    <r>
      <rPr>
        <sz val="10"/>
        <color theme="1"/>
        <rFont val="宋体"/>
        <charset val="134"/>
      </rPr>
      <t>分钟内，这些幽光般的手臂会盘旋在你的肩膀附近或环绕着你的手臂（由你选择），你来决定手臂们的外观，如果你失能或死亡，它们就会立即消失。
当星我之臂出现时，你将获得如下增益：
你进行力量检定和力量豁免检定时，可以用你的感知调整值来代替力量力量调整值。
你可以用星我之臂进行徒手攻击。
当你在自己回合用星我之臂进行徒手攻击时，你的触及范围增加</t>
    </r>
    <r>
      <rPr>
        <sz val="10"/>
        <color theme="1"/>
        <rFont val="Times New Roman"/>
        <charset val="134"/>
      </rPr>
      <t>5</t>
    </r>
    <r>
      <rPr>
        <sz val="10"/>
        <color theme="1"/>
        <rFont val="宋体"/>
        <charset val="134"/>
      </rPr>
      <t>尺。
当你用星我之臂进行徒手攻击时，可以用感知调整值代替力量或敏捷调整值来进行攻击检定和伤害检定，它们的伤害类型是力场。</t>
    </r>
  </si>
  <si>
    <r>
      <rPr>
        <sz val="10"/>
        <color theme="1"/>
        <rFont val="宋体"/>
        <charset val="134"/>
      </rPr>
      <t>守望圣誓法术</t>
    </r>
  </si>
  <si>
    <r>
      <rPr>
        <sz val="10"/>
        <color theme="1"/>
        <rFont val="宋体"/>
        <charset val="134"/>
      </rPr>
      <t>圣武士等级</t>
    </r>
    <r>
      <rPr>
        <sz val="10"/>
        <color theme="1"/>
        <rFont val="Times New Roman"/>
        <charset val="134"/>
      </rPr>
      <t>—</t>
    </r>
    <r>
      <rPr>
        <sz val="10"/>
        <color theme="1"/>
        <rFont val="宋体"/>
        <charset val="134"/>
      </rPr>
      <t xml:space="preserve">法术
</t>
    </r>
    <r>
      <rPr>
        <sz val="10"/>
        <color theme="1"/>
        <rFont val="Times New Roman"/>
        <charset val="134"/>
      </rPr>
      <t>3</t>
    </r>
    <r>
      <rPr>
        <sz val="10"/>
        <color theme="1"/>
        <rFont val="宋体"/>
        <charset val="134"/>
      </rPr>
      <t>级</t>
    </r>
    <r>
      <rPr>
        <sz val="10"/>
        <color theme="1"/>
        <rFont val="Times New Roman"/>
        <charset val="134"/>
      </rPr>
      <t>—</t>
    </r>
    <r>
      <rPr>
        <sz val="10"/>
        <color theme="1"/>
        <rFont val="宋体"/>
        <charset val="134"/>
      </rPr>
      <t xml:space="preserve">警报术，侦测魔法
</t>
    </r>
    <r>
      <rPr>
        <sz val="10"/>
        <color theme="1"/>
        <rFont val="Times New Roman"/>
        <charset val="134"/>
      </rPr>
      <t>5</t>
    </r>
    <r>
      <rPr>
        <sz val="10"/>
        <color theme="1"/>
        <rFont val="宋体"/>
        <charset val="134"/>
      </rPr>
      <t>级</t>
    </r>
    <r>
      <rPr>
        <sz val="10"/>
        <color theme="1"/>
        <rFont val="Times New Roman"/>
        <charset val="134"/>
      </rPr>
      <t>—</t>
    </r>
    <r>
      <rPr>
        <sz val="10"/>
        <color theme="1"/>
        <rFont val="宋体"/>
        <charset val="134"/>
      </rPr>
      <t xml:space="preserve">月华之光，识破隐形
</t>
    </r>
    <r>
      <rPr>
        <sz val="10"/>
        <color theme="1"/>
        <rFont val="Times New Roman"/>
        <charset val="134"/>
      </rPr>
      <t>9</t>
    </r>
    <r>
      <rPr>
        <sz val="10"/>
        <color theme="1"/>
        <rFont val="宋体"/>
        <charset val="134"/>
      </rPr>
      <t>级</t>
    </r>
    <r>
      <rPr>
        <sz val="10"/>
        <color theme="1"/>
        <rFont val="Times New Roman"/>
        <charset val="134"/>
      </rPr>
      <t>—</t>
    </r>
    <r>
      <rPr>
        <sz val="10"/>
        <color theme="1"/>
        <rFont val="宋体"/>
        <charset val="134"/>
      </rPr>
      <t xml:space="preserve">法术反制，回避侦测
</t>
    </r>
    <r>
      <rPr>
        <sz val="10"/>
        <color theme="1"/>
        <rFont val="Times New Roman"/>
        <charset val="134"/>
      </rPr>
      <t>13</t>
    </r>
    <r>
      <rPr>
        <sz val="10"/>
        <color theme="1"/>
        <rFont val="宋体"/>
        <charset val="134"/>
      </rPr>
      <t>级</t>
    </r>
    <r>
      <rPr>
        <sz val="10"/>
        <color theme="1"/>
        <rFont val="Times New Roman"/>
        <charset val="134"/>
      </rPr>
      <t>—</t>
    </r>
    <r>
      <rPr>
        <sz val="10"/>
        <color theme="1"/>
        <rFont val="宋体"/>
        <charset val="134"/>
      </rPr>
      <t xml:space="preserve">净化灵光，放逐术
</t>
    </r>
    <r>
      <rPr>
        <sz val="10"/>
        <color theme="1"/>
        <rFont val="Times New Roman"/>
        <charset val="134"/>
      </rPr>
      <t>17</t>
    </r>
    <r>
      <rPr>
        <sz val="10"/>
        <color theme="1"/>
        <rFont val="宋体"/>
        <charset val="134"/>
      </rPr>
      <t>级</t>
    </r>
    <r>
      <rPr>
        <sz val="10"/>
        <color theme="1"/>
        <rFont val="Times New Roman"/>
        <charset val="134"/>
      </rPr>
      <t>—</t>
    </r>
    <r>
      <rPr>
        <sz val="10"/>
        <color theme="1"/>
        <rFont val="宋体"/>
        <charset val="134"/>
      </rPr>
      <t>怪物定身术，探知</t>
    </r>
  </si>
  <si>
    <r>
      <rPr>
        <sz val="10"/>
        <color theme="1"/>
        <rFont val="宋体"/>
        <charset val="134"/>
      </rPr>
      <t>杀手反制</t>
    </r>
  </si>
  <si>
    <r>
      <rPr>
        <sz val="10"/>
        <color theme="1"/>
        <rFont val="宋体"/>
        <charset val="134"/>
      </rPr>
      <t>当你的猎物企图干扰你时你能够反击。
如果你的狩猎开始特性目标使你做出一个豁免投，你能够使用你的反应来对其做出一次武器攻击。
你在进行豁免检定前立刻做出该攻击。
如果你击中，你的豁免自动成功，否则只造成普通攻击效果。</t>
    </r>
  </si>
  <si>
    <r>
      <rPr>
        <sz val="10"/>
        <color theme="1"/>
        <rFont val="宋体"/>
        <charset val="134"/>
      </rPr>
      <t>心灵欺骗</t>
    </r>
  </si>
  <si>
    <r>
      <rPr>
        <sz val="10"/>
        <color theme="1"/>
        <rFont val="宋体"/>
        <charset val="134"/>
      </rPr>
      <t>除非你允许，否则你的思想不能被心灵感应或者其他能力阅读。
如果你使用魅力（欺瞒）检定并在与思想阅读者的感知（洞悉）检定的对抗之中胜出，你还可以伪造思想使对方信以为真。
此外，不管你说什么，你总是可以选择让魔法判定你在说真话并显现出相应的迹象。
你也不会因为魔法效应的影响而被强迫说出真话。</t>
    </r>
  </si>
  <si>
    <r>
      <rPr>
        <sz val="10"/>
        <color theme="1"/>
        <rFont val="宋体"/>
        <charset val="134"/>
      </rPr>
      <t>凶兆猎犬</t>
    </r>
  </si>
  <si>
    <r>
      <rPr>
        <sz val="10"/>
        <color theme="1"/>
        <rFont val="宋体"/>
        <charset val="134"/>
      </rPr>
      <t>你获得一种能力，你能够驱使嚎叫的幽暗生物来折磨你的敌人的。
你可以以一个附赠动作消耗</t>
    </r>
    <r>
      <rPr>
        <sz val="10"/>
        <color theme="1"/>
        <rFont val="Times New Roman"/>
        <charset val="134"/>
      </rPr>
      <t>3</t>
    </r>
    <r>
      <rPr>
        <sz val="10"/>
        <color theme="1"/>
        <rFont val="宋体"/>
        <charset val="134"/>
      </rPr>
      <t>点术法点选择一个</t>
    </r>
    <r>
      <rPr>
        <sz val="10"/>
        <color theme="1"/>
        <rFont val="Times New Roman"/>
        <charset val="134"/>
      </rPr>
      <t>120</t>
    </r>
    <r>
      <rPr>
        <sz val="10"/>
        <color theme="1"/>
        <rFont val="宋体"/>
        <charset val="134"/>
      </rPr>
      <t>尺内你可见的生物作为目标，用魔法召唤一头凶兆猎犬的猎犬去猎杀它。
凶兆猎犬用恐狼的模板但有以下变化：
猎犬的体型由大体型变为中等体型，猎犬视作怪兽而不是野兽。
当猎犬被召唤时获得等同于你术士等级一半的临时生命值。
猎犬可以像穿越困难地形一样穿过其他生物或物体。
如果当猎犬的回合结束时处于某个物体内则会受到</t>
    </r>
    <r>
      <rPr>
        <sz val="10"/>
        <color theme="1"/>
        <rFont val="Times New Roman"/>
        <charset val="134"/>
      </rPr>
      <t>5</t>
    </r>
    <r>
      <rPr>
        <sz val="10"/>
        <color theme="1"/>
        <rFont val="宋体"/>
        <charset val="134"/>
      </rPr>
      <t>点的力场伤害。
当猎犬的回合开始时，自动知晓猎物的所在。
如果目标处于躲藏状态，它对猎犬来说不再处于该状态。
猎犬被召唤时出现在目标</t>
    </r>
    <r>
      <rPr>
        <sz val="10"/>
        <color theme="1"/>
        <rFont val="Times New Roman"/>
        <charset val="134"/>
      </rPr>
      <t>30</t>
    </r>
    <r>
      <rPr>
        <sz val="10"/>
        <color theme="1"/>
        <rFont val="宋体"/>
        <charset val="134"/>
      </rPr>
      <t>尺内一个由你选择的空间。
为猎犬投掷先攻。
当猎犬行动时，它只能以最短路径冲向目标猎物，以及只能在攻击目标猎物时执行动作。
猎犬可以使用借机攻击，但对象只能是目标猎物。
此外，当凶兆猎犬在目标猎物</t>
    </r>
    <r>
      <rPr>
        <sz val="10"/>
        <color theme="1"/>
        <rFont val="Times New Roman"/>
        <charset val="134"/>
      </rPr>
      <t>5</t>
    </r>
    <r>
      <rPr>
        <sz val="10"/>
        <color theme="1"/>
        <rFont val="宋体"/>
        <charset val="134"/>
      </rPr>
      <t>尺内时，目标对你所释放的任何法术的豁免上都承受劣势。
凶兆猎犬会在它自己降为</t>
    </r>
    <r>
      <rPr>
        <sz val="10"/>
        <color theme="1"/>
        <rFont val="Times New Roman"/>
        <charset val="134"/>
      </rPr>
      <t>0</t>
    </r>
    <r>
      <rPr>
        <sz val="10"/>
        <color theme="1"/>
        <rFont val="宋体"/>
        <charset val="134"/>
      </rPr>
      <t>血、猎物降为</t>
    </r>
    <r>
      <rPr>
        <sz val="10"/>
        <color theme="1"/>
        <rFont val="Times New Roman"/>
        <charset val="134"/>
      </rPr>
      <t>0</t>
    </r>
    <r>
      <rPr>
        <sz val="10"/>
        <color theme="1"/>
        <rFont val="宋体"/>
        <charset val="134"/>
      </rPr>
      <t>血或</t>
    </r>
    <r>
      <rPr>
        <sz val="10"/>
        <color theme="1"/>
        <rFont val="Times New Roman"/>
        <charset val="134"/>
      </rPr>
      <t>5</t>
    </r>
    <r>
      <rPr>
        <sz val="10"/>
        <color theme="1"/>
        <rFont val="宋体"/>
        <charset val="134"/>
      </rPr>
      <t>分钟后消失。</t>
    </r>
  </si>
  <si>
    <r>
      <rPr>
        <sz val="10"/>
        <color theme="1"/>
        <rFont val="宋体"/>
        <charset val="134"/>
      </rPr>
      <t>联络宗主</t>
    </r>
  </si>
  <si>
    <r>
      <rPr>
        <sz val="10"/>
        <color theme="1"/>
        <rFont val="宋体"/>
        <charset val="134"/>
      </rPr>
      <t>在过去，你通常需要通过各种渠道才能联络宗主。但现在，你可以直接联络宗主本身。你始终准备了法术异界探知</t>
    </r>
    <r>
      <rPr>
        <sz val="10"/>
        <color theme="1"/>
        <rFont val="Times New Roman"/>
        <charset val="134"/>
      </rPr>
      <t xml:space="preserve">Contact Other Plane </t>
    </r>
    <r>
      <rPr>
        <sz val="10"/>
        <color theme="1"/>
        <rFont val="宋体"/>
        <charset val="134"/>
      </rPr>
      <t>。你可以无需消耗法术位地以此特性来联络宗主，并自动通过该法术的豁免。
每当你以此方式施展了该法术，你都不能再这么做，直到你完成了一次长休。</t>
    </r>
  </si>
  <si>
    <r>
      <rPr>
        <sz val="10"/>
        <color theme="1"/>
        <rFont val="宋体"/>
        <charset val="134"/>
      </rPr>
      <t>书人合一</t>
    </r>
  </si>
  <si>
    <r>
      <rPr>
        <sz val="10"/>
        <color theme="1"/>
        <rFont val="宋体"/>
        <charset val="134"/>
      </rPr>
      <t>你和你的觉醒魔法书的联系已经变得如此深刻，以至于你的灵魂已经和它缠结在一起。
携带这本书时，你在所有智力（奥秘）检定中具有优势，因为法术书能够帮助你记住魔法学识。
此外，如果你在法术书的意识处于显现状态时受到伤害，你可以利用你的反应驱散灵体意识、利用其中的魔法来拯救自己，从而避免所有对你的伤害，之后，掷</t>
    </r>
    <r>
      <rPr>
        <sz val="10"/>
        <color theme="1"/>
        <rFont val="Times New Roman"/>
        <charset val="134"/>
      </rPr>
      <t>3d6</t>
    </r>
    <r>
      <rPr>
        <sz val="10"/>
        <color theme="1"/>
        <rFont val="宋体"/>
        <charset val="134"/>
      </rPr>
      <t>，法术书暂时失去由你自选的法术，其环阶之和必须大于或等于骰值。
例如，如果骰值是</t>
    </r>
    <r>
      <rPr>
        <sz val="10"/>
        <color theme="1"/>
        <rFont val="Times New Roman"/>
        <charset val="134"/>
      </rPr>
      <t>9</t>
    </r>
    <r>
      <rPr>
        <sz val="10"/>
        <color theme="1"/>
        <rFont val="宋体"/>
        <charset val="134"/>
      </rPr>
      <t>，则从书中消失的法术环阶之和至少为</t>
    </r>
    <r>
      <rPr>
        <sz val="10"/>
        <color theme="1"/>
        <rFont val="Times New Roman"/>
        <charset val="134"/>
      </rPr>
      <t>9——</t>
    </r>
    <r>
      <rPr>
        <sz val="10"/>
        <color theme="1"/>
        <rFont val="宋体"/>
        <charset val="134"/>
      </rPr>
      <t>或许是一个</t>
    </r>
    <r>
      <rPr>
        <sz val="10"/>
        <color theme="1"/>
        <rFont val="Times New Roman"/>
        <charset val="134"/>
      </rPr>
      <t>9</t>
    </r>
    <r>
      <rPr>
        <sz val="10"/>
        <color theme="1"/>
        <rFont val="宋体"/>
        <charset val="134"/>
      </rPr>
      <t>环法术，或是三个</t>
    </r>
    <r>
      <rPr>
        <sz val="10"/>
        <color theme="1"/>
        <rFont val="Times New Roman"/>
        <charset val="134"/>
      </rPr>
      <t>3</t>
    </r>
    <r>
      <rPr>
        <sz val="10"/>
        <color theme="1"/>
        <rFont val="宋体"/>
        <charset val="134"/>
      </rPr>
      <t>环法术，或其他组合方式。
如果书中没有足够的法术来支付这个代价，你就会降到</t>
    </r>
    <r>
      <rPr>
        <sz val="10"/>
        <color theme="1"/>
        <rFont val="Times New Roman"/>
        <charset val="134"/>
      </rPr>
      <t>0</t>
    </r>
    <r>
      <rPr>
        <sz val="10"/>
        <color theme="1"/>
        <rFont val="宋体"/>
        <charset val="134"/>
      </rPr>
      <t>点生命。
你必须完成</t>
    </r>
    <r>
      <rPr>
        <sz val="10"/>
        <color theme="1"/>
        <rFont val="Times New Roman"/>
        <charset val="134"/>
      </rPr>
      <t>1d6</t>
    </r>
    <r>
      <rPr>
        <sz val="10"/>
        <color theme="1"/>
        <rFont val="宋体"/>
        <charset val="134"/>
      </rPr>
      <t>次长休，才能再次施放失去的法术；在此期间，即使你在卷轴上或其他法术书中找到这些法术，也不能施展它们。
完成所需的长休次数后，法术会重新出现在法术书中，用过这个反应之后，你必须完成一次长休才能再次使用。</t>
    </r>
  </si>
  <si>
    <t>冒险者的地图匣</t>
  </si>
  <si>
    <r>
      <rPr>
        <sz val="10"/>
        <color theme="1"/>
        <rFont val="宋体"/>
        <charset val="134"/>
      </rPr>
      <t>每当你持握着制图工具完成一次长休时，你可以触碰至少两名、至多</t>
    </r>
    <r>
      <rPr>
        <sz val="10"/>
        <color theme="1"/>
        <rFont val="Times New Roman"/>
        <charset val="134"/>
      </rPr>
      <t>1+</t>
    </r>
    <r>
      <rPr>
        <sz val="10"/>
        <color theme="1"/>
        <rFont val="宋体"/>
        <charset val="134"/>
      </rPr>
      <t>你智力调整值名（至少</t>
    </r>
    <r>
      <rPr>
        <sz val="10"/>
        <color theme="1"/>
        <rFont val="Times New Roman"/>
        <charset val="134"/>
      </rPr>
      <t>2</t>
    </r>
    <r>
      <rPr>
        <sz val="10"/>
        <color theme="1"/>
        <rFont val="宋体"/>
        <charset val="134"/>
      </rPr>
      <t>名）生物（其中一个可以是你自己），用该工具创造一套魔法地图。每个目标都会获得一份持续显示所有地图持有者相对位置、但对其他人来说无法辨认的魔法地图。地图会一直存在，直到你死亡或你再度使用这一特性为止，届时，你以此特性创造的还存在着的所有地图都会立刻消失。携带魔法地图期间，所选目标获得以下增益：</t>
    </r>
    <r>
      <rPr>
        <sz val="10"/>
        <color theme="1"/>
        <rFont val="Times New Roman"/>
        <charset val="134"/>
      </rPr>
      <t xml:space="preserve">
</t>
    </r>
    <r>
      <rPr>
        <sz val="10"/>
        <color theme="1"/>
        <rFont val="宋体"/>
        <charset val="134"/>
      </rPr>
      <t>警觉</t>
    </r>
    <r>
      <rPr>
        <sz val="10"/>
        <color theme="1"/>
        <rFont val="Times New Roman"/>
        <charset val="134"/>
      </rPr>
      <t>Awareness</t>
    </r>
    <r>
      <rPr>
        <sz val="10"/>
        <color theme="1"/>
        <rFont val="宋体"/>
        <charset val="134"/>
      </rPr>
      <t>。</t>
    </r>
    <r>
      <rPr>
        <sz val="10"/>
        <color theme="1"/>
        <rFont val="Times New Roman"/>
        <charset val="134"/>
      </rPr>
      <t xml:space="preserve"> </t>
    </r>
    <r>
      <rPr>
        <sz val="10"/>
        <color theme="1"/>
        <rFont val="宋体"/>
        <charset val="134"/>
      </rPr>
      <t>目标进行的先攻检定具有</t>
    </r>
    <r>
      <rPr>
        <sz val="10"/>
        <color theme="1"/>
        <rFont val="Times New Roman"/>
        <charset val="134"/>
      </rPr>
      <t>1d4</t>
    </r>
    <r>
      <rPr>
        <sz val="10"/>
        <color theme="1"/>
        <rFont val="宋体"/>
        <charset val="134"/>
      </rPr>
      <t>加值。</t>
    </r>
    <r>
      <rPr>
        <sz val="10"/>
        <color theme="1"/>
        <rFont val="Times New Roman"/>
        <charset val="134"/>
      </rPr>
      <t xml:space="preserve">
</t>
    </r>
    <r>
      <rPr>
        <sz val="10"/>
        <color theme="1"/>
        <rFont val="宋体"/>
        <charset val="134"/>
      </rPr>
      <t>定位</t>
    </r>
    <r>
      <rPr>
        <sz val="10"/>
        <color theme="1"/>
        <rFont val="Times New Roman"/>
        <charset val="134"/>
      </rPr>
      <t>Positioning</t>
    </r>
    <r>
      <rPr>
        <sz val="10"/>
        <color theme="1"/>
        <rFont val="宋体"/>
        <charset val="134"/>
      </rPr>
      <t>。</t>
    </r>
    <r>
      <rPr>
        <sz val="10"/>
        <color theme="1"/>
        <rFont val="Times New Roman"/>
        <charset val="134"/>
      </rPr>
      <t xml:space="preserve"> </t>
    </r>
    <r>
      <rPr>
        <sz val="10"/>
        <color theme="1"/>
        <rFont val="宋体"/>
        <charset val="134"/>
      </rPr>
      <t>目标知晓其他所有与自身处于同一存在位面的地图持有者所在的位置。当需要能够看到效果目标施展一道法术或创造某个效应时，持有地图者可以无视其视觉或掩护，选择另一个地图持有者为目标。只要另一位地图持有者仍在该效果范围之内。</t>
    </r>
  </si>
  <si>
    <r>
      <rPr>
        <sz val="10"/>
        <color theme="1"/>
        <rFont val="宋体"/>
        <charset val="134"/>
      </rPr>
      <t>诡谲易位</t>
    </r>
  </si>
  <si>
    <r>
      <rPr>
        <sz val="10"/>
        <color theme="1"/>
        <rFont val="宋体"/>
        <charset val="134"/>
      </rPr>
      <t>当一个你可见的生物对你发动一次攻击检定时，你可以执行一个反应，消耗</t>
    </r>
    <r>
      <rPr>
        <sz val="10"/>
        <color theme="1"/>
        <rFont val="Times New Roman"/>
        <charset val="134"/>
      </rPr>
      <t>1</t>
    </r>
    <r>
      <rPr>
        <sz val="10"/>
        <color theme="1"/>
        <rFont val="宋体"/>
        <charset val="134"/>
      </rPr>
      <t>枚灵能骰并选择你</t>
    </r>
    <r>
      <rPr>
        <sz val="10"/>
        <color theme="1"/>
        <rFont val="Times New Roman"/>
        <charset val="134"/>
      </rPr>
      <t>30</t>
    </r>
    <r>
      <rPr>
        <sz val="10"/>
        <color theme="1"/>
        <rFont val="宋体"/>
        <charset val="134"/>
      </rPr>
      <t>尺内一名你可见的未陷入失能状态的自愿生物。你与该生物随即通过传送互换彼此的位置。该次攻击的目标随即变为与你互换位置的生物。</t>
    </r>
  </si>
  <si>
    <r>
      <rPr>
        <sz val="10"/>
        <color theme="1"/>
        <rFont val="宋体"/>
        <charset val="134"/>
      </rPr>
      <t>诱变剂</t>
    </r>
    <r>
      <rPr>
        <sz val="10"/>
        <color theme="1"/>
        <rFont val="Times New Roman"/>
        <charset val="134"/>
      </rPr>
      <t>-</t>
    </r>
    <r>
      <rPr>
        <sz val="10"/>
        <color theme="1"/>
        <rFont val="宋体"/>
        <charset val="134"/>
      </rPr>
      <t>庇护</t>
    </r>
  </si>
  <si>
    <r>
      <rPr>
        <sz val="10"/>
        <color theme="1"/>
        <rFont val="宋体"/>
        <charset val="134"/>
      </rPr>
      <t>你得到对挥砍伤害的抗性。
副作用：你得到钝击伤害的易伤。</t>
    </r>
  </si>
  <si>
    <r>
      <rPr>
        <sz val="10"/>
        <color theme="1"/>
        <rFont val="宋体"/>
        <charset val="134"/>
      </rPr>
      <t>精神师法术</t>
    </r>
  </si>
  <si>
    <r>
      <rPr>
        <sz val="10"/>
        <color theme="1"/>
        <rFont val="宋体"/>
        <charset val="134"/>
      </rPr>
      <t>当你达到此职业特定等级时，你视为已经准备了特定的法术，如精神师法术表所示。这些法术计入你的药剂师法术，且不计入你的药剂师准备法术。
药剂师等级</t>
    </r>
    <r>
      <rPr>
        <sz val="10"/>
        <color theme="1"/>
        <rFont val="Times New Roman"/>
        <charset val="134"/>
      </rPr>
      <t xml:space="preserve">   </t>
    </r>
    <r>
      <rPr>
        <sz val="10"/>
        <color theme="1"/>
        <rFont val="宋体"/>
        <charset val="134"/>
      </rPr>
      <t xml:space="preserve">法术
</t>
    </r>
    <r>
      <rPr>
        <sz val="10"/>
        <color theme="1"/>
        <rFont val="Times New Roman"/>
        <charset val="134"/>
      </rPr>
      <t>1</t>
    </r>
    <r>
      <rPr>
        <sz val="10"/>
        <color theme="1"/>
        <rFont val="宋体"/>
        <charset val="134"/>
      </rPr>
      <t>级</t>
    </r>
    <r>
      <rPr>
        <sz val="10"/>
        <color theme="1"/>
        <rFont val="Times New Roman"/>
        <charset val="134"/>
      </rPr>
      <t xml:space="preserve">   </t>
    </r>
    <r>
      <rPr>
        <sz val="10"/>
        <color theme="1"/>
        <rFont val="宋体"/>
        <charset val="134"/>
      </rPr>
      <t xml:space="preserve">魅惑人类，塔莎狂笑术
</t>
    </r>
    <r>
      <rPr>
        <sz val="10"/>
        <color theme="1"/>
        <rFont val="Times New Roman"/>
        <charset val="134"/>
      </rPr>
      <t>3</t>
    </r>
    <r>
      <rPr>
        <sz val="10"/>
        <color theme="1"/>
        <rFont val="宋体"/>
        <charset val="134"/>
      </rPr>
      <t>级</t>
    </r>
    <r>
      <rPr>
        <sz val="10"/>
        <color theme="1"/>
        <rFont val="Times New Roman"/>
        <charset val="134"/>
      </rPr>
      <t xml:space="preserve">   </t>
    </r>
    <r>
      <rPr>
        <sz val="10"/>
        <color theme="1"/>
        <rFont val="宋体"/>
        <charset val="134"/>
      </rPr>
      <t xml:space="preserve">侦测思想，暗示术
</t>
    </r>
    <r>
      <rPr>
        <sz val="10"/>
        <color theme="1"/>
        <rFont val="Times New Roman"/>
        <charset val="134"/>
      </rPr>
      <t>5</t>
    </r>
    <r>
      <rPr>
        <sz val="10"/>
        <color theme="1"/>
        <rFont val="宋体"/>
        <charset val="134"/>
      </rPr>
      <t>级</t>
    </r>
    <r>
      <rPr>
        <sz val="10"/>
        <color theme="1"/>
        <rFont val="Times New Roman"/>
        <charset val="134"/>
      </rPr>
      <t xml:space="preserve">   </t>
    </r>
    <r>
      <rPr>
        <sz val="10"/>
        <color theme="1"/>
        <rFont val="宋体"/>
        <charset val="134"/>
      </rPr>
      <t xml:space="preserve">催眠图纹，高等幻影
</t>
    </r>
    <r>
      <rPr>
        <sz val="10"/>
        <color theme="1"/>
        <rFont val="Times New Roman"/>
        <charset val="134"/>
      </rPr>
      <t>7</t>
    </r>
    <r>
      <rPr>
        <sz val="10"/>
        <color theme="1"/>
        <rFont val="宋体"/>
        <charset val="134"/>
      </rPr>
      <t>级</t>
    </r>
    <r>
      <rPr>
        <sz val="10"/>
        <color theme="1"/>
        <rFont val="Times New Roman"/>
        <charset val="134"/>
      </rPr>
      <t xml:space="preserve">   </t>
    </r>
    <r>
      <rPr>
        <sz val="10"/>
        <color theme="1"/>
        <rFont val="宋体"/>
        <charset val="134"/>
      </rPr>
      <t xml:space="preserve">秘法眼，任意门
</t>
    </r>
    <r>
      <rPr>
        <sz val="10"/>
        <color theme="1"/>
        <rFont val="Times New Roman"/>
        <charset val="134"/>
      </rPr>
      <t>9</t>
    </r>
    <r>
      <rPr>
        <sz val="10"/>
        <color theme="1"/>
        <rFont val="宋体"/>
        <charset val="134"/>
      </rPr>
      <t>级</t>
    </r>
    <r>
      <rPr>
        <sz val="10"/>
        <color theme="1"/>
        <rFont val="Times New Roman"/>
        <charset val="134"/>
      </rPr>
      <t xml:space="preserve">   </t>
    </r>
    <r>
      <rPr>
        <sz val="10"/>
        <color theme="1"/>
        <rFont val="宋体"/>
        <charset val="134"/>
      </rPr>
      <t>活化物件，篡改记忆</t>
    </r>
  </si>
  <si>
    <t>冷目灵光</t>
  </si>
  <si>
    <r>
      <rPr>
        <sz val="10"/>
        <color theme="1"/>
        <rFont val="宋体"/>
        <charset val="134"/>
      </rPr>
      <t>你身上散发出坚韧意志的灵光，覆盖源自你的</t>
    </r>
    <r>
      <rPr>
        <sz val="10"/>
        <color theme="1"/>
        <rFont val="Times New Roman"/>
        <charset val="134"/>
      </rPr>
      <t>10</t>
    </r>
    <r>
      <rPr>
        <sz val="10"/>
        <color theme="1"/>
        <rFont val="宋体"/>
        <charset val="134"/>
      </rPr>
      <t>尺光环区域。你和身处光环区域内的盟友为避免或结束恐慌状态时进行的豁免检定具有优势。在你陷入失能状态期间，此灵光失效。</t>
    </r>
  </si>
  <si>
    <t>摩洛克之禁令</t>
  </si>
  <si>
    <r>
      <rPr>
        <sz val="10"/>
        <color theme="1"/>
        <rFont val="宋体"/>
        <charset val="134"/>
      </rPr>
      <t>牧人结社</t>
    </r>
  </si>
  <si>
    <r>
      <rPr>
        <sz val="10"/>
        <color theme="1"/>
        <rFont val="宋体"/>
        <charset val="134"/>
      </rPr>
      <t>狩猎之唤</t>
    </r>
  </si>
  <si>
    <r>
      <rPr>
        <sz val="10"/>
        <color theme="1"/>
        <rFont val="宋体"/>
        <charset val="134"/>
      </rPr>
      <t>你内心的那匹强大野兽使你能激发盟友的凶性，并强化自己的耐性。当你进入狂暴时，你可以选择你周围</t>
    </r>
    <r>
      <rPr>
        <sz val="10"/>
        <color theme="1"/>
        <rFont val="Times New Roman"/>
        <charset val="134"/>
      </rPr>
      <t>30</t>
    </r>
    <r>
      <rPr>
        <sz val="10"/>
        <color theme="1"/>
        <rFont val="宋体"/>
        <charset val="134"/>
      </rPr>
      <t>尺内的数个你可见的其他自愿生物，其数量至多等同于你的你的体质调整值（至少</t>
    </r>
    <r>
      <rPr>
        <sz val="10"/>
        <color theme="1"/>
        <rFont val="Times New Roman"/>
        <charset val="134"/>
      </rPr>
      <t>1</t>
    </r>
    <r>
      <rPr>
        <sz val="10"/>
        <color theme="1"/>
        <rFont val="宋体"/>
        <charset val="134"/>
      </rPr>
      <t xml:space="preserve">）个。
你获得等同于接受狩猎之唤特性的生物数量五倍点的临时生命值。直至你的狂暴结束前，被选择的这些生物可以分别在每个自己的回合中使用一次以下能力：
</t>
    </r>
    <r>
      <rPr>
        <sz val="10"/>
        <color theme="1"/>
        <rFont val="Times New Roman"/>
        <charset val="134"/>
      </rPr>
      <t xml:space="preserve">• </t>
    </r>
    <r>
      <rPr>
        <sz val="10"/>
        <color theme="1"/>
        <rFont val="宋体"/>
        <charset val="134"/>
      </rPr>
      <t>当攻击检定命中一个目标并造成伤害时，可以骰一个</t>
    </r>
    <r>
      <rPr>
        <sz val="10"/>
        <color theme="1"/>
        <rFont val="Times New Roman"/>
        <charset val="134"/>
      </rPr>
      <t>d6</t>
    </r>
    <r>
      <rPr>
        <sz val="10"/>
        <color theme="1"/>
        <rFont val="宋体"/>
        <charset val="134"/>
      </rPr>
      <t>，并在伤害中获得骰出结果的加值。
你能使用狩猎之唤的次数等于你的熟练加值次，完成一次长休后，你重获所有已消耗的次数。</t>
    </r>
  </si>
  <si>
    <r>
      <rPr>
        <sz val="10"/>
        <color theme="1"/>
        <rFont val="宋体"/>
        <charset val="134"/>
      </rPr>
      <t>精魂故事表</t>
    </r>
  </si>
  <si>
    <r>
      <rPr>
        <sz val="10"/>
        <color theme="1"/>
        <rFont val="宋体"/>
        <charset val="134"/>
      </rPr>
      <t xml:space="preserve">诗人激励骰结果　通过你讲述的故事
</t>
    </r>
    <r>
      <rPr>
        <sz val="10"/>
        <color theme="1"/>
        <rFont val="Times New Roman"/>
        <charset val="134"/>
      </rPr>
      <t>1</t>
    </r>
    <r>
      <rPr>
        <sz val="10"/>
        <color theme="1"/>
        <rFont val="宋体"/>
        <charset val="134"/>
      </rPr>
      <t>、聪慧的动物的故事</t>
    </r>
    <r>
      <rPr>
        <sz val="10"/>
        <color theme="1"/>
        <rFont val="Times New Roman"/>
        <charset val="134"/>
      </rPr>
      <t xml:space="preserve">Tale of the Clever Animal
</t>
    </r>
    <r>
      <rPr>
        <sz val="10"/>
        <color theme="1"/>
        <rFont val="宋体"/>
        <charset val="134"/>
      </rPr>
      <t>接下来的</t>
    </r>
    <r>
      <rPr>
        <sz val="10"/>
        <color theme="1"/>
        <rFont val="Times New Roman"/>
        <charset val="134"/>
      </rPr>
      <t>10</t>
    </r>
    <r>
      <rPr>
        <sz val="10"/>
        <color theme="1"/>
        <rFont val="宋体"/>
        <charset val="134"/>
      </rPr>
      <t>分钟内，每当目标进行一次智力、感知或魅力检定时，目标可以在投掷</t>
    </r>
    <r>
      <rPr>
        <sz val="10"/>
        <color theme="1"/>
        <rFont val="Times New Roman"/>
        <charset val="134"/>
      </rPr>
      <t>d20</t>
    </r>
    <r>
      <rPr>
        <sz val="10"/>
        <color theme="1"/>
        <rFont val="宋体"/>
        <charset val="134"/>
      </rPr>
      <t xml:space="preserve">后额外立刻投掷一个额外的骰子，并将数值加到检定结果之中。额外骰的面数和你的诗人激励骰相同。
</t>
    </r>
    <r>
      <rPr>
        <sz val="10"/>
        <color theme="1"/>
        <rFont val="Times New Roman"/>
        <charset val="134"/>
      </rPr>
      <t>2</t>
    </r>
    <r>
      <rPr>
        <sz val="10"/>
        <color theme="1"/>
        <rFont val="宋体"/>
        <charset val="134"/>
      </rPr>
      <t>、著名决斗家的故事</t>
    </r>
    <r>
      <rPr>
        <sz val="10"/>
        <color theme="1"/>
        <rFont val="Times New Roman"/>
        <charset val="134"/>
      </rPr>
      <t xml:space="preserve">Tale of the Renowned Duelist
</t>
    </r>
    <r>
      <rPr>
        <sz val="10"/>
        <color theme="1"/>
        <rFont val="宋体"/>
        <charset val="134"/>
      </rPr>
      <t>你对目标进行一次近战法术攻击。若命中，则目标受到等同于</t>
    </r>
    <r>
      <rPr>
        <sz val="10"/>
        <color theme="1"/>
        <rFont val="Times New Roman"/>
        <charset val="134"/>
      </rPr>
      <t>2</t>
    </r>
    <r>
      <rPr>
        <sz val="10"/>
        <color theme="1"/>
        <rFont val="宋体"/>
        <charset val="134"/>
      </rPr>
      <t>个你的诗人激励骰的掷骰结果</t>
    </r>
    <r>
      <rPr>
        <sz val="10"/>
        <color theme="1"/>
        <rFont val="Times New Roman"/>
        <charset val="134"/>
      </rPr>
      <t>+</t>
    </r>
    <r>
      <rPr>
        <sz val="10"/>
        <color theme="1"/>
        <rFont val="宋体"/>
        <charset val="134"/>
      </rPr>
      <t xml:space="preserve">你的魅力调整值的力场伤害。
</t>
    </r>
    <r>
      <rPr>
        <sz val="10"/>
        <color theme="1"/>
        <rFont val="Times New Roman"/>
        <charset val="134"/>
      </rPr>
      <t>3</t>
    </r>
    <r>
      <rPr>
        <sz val="10"/>
        <color theme="1"/>
        <rFont val="宋体"/>
        <charset val="134"/>
      </rPr>
      <t>、挚友们的故事</t>
    </r>
    <r>
      <rPr>
        <sz val="10"/>
        <color theme="1"/>
        <rFont val="Times New Roman"/>
        <charset val="134"/>
      </rPr>
      <t xml:space="preserve"> Tale of the Beloved Friends
</t>
    </r>
    <r>
      <rPr>
        <sz val="10"/>
        <color theme="1"/>
        <rFont val="宋体"/>
        <charset val="134"/>
      </rPr>
      <t>目标和其所选的另一个在其</t>
    </r>
    <r>
      <rPr>
        <sz val="10"/>
        <color theme="1"/>
        <rFont val="Times New Roman"/>
        <charset val="134"/>
      </rPr>
      <t>5</t>
    </r>
    <r>
      <rPr>
        <sz val="10"/>
        <color theme="1"/>
        <rFont val="宋体"/>
        <charset val="134"/>
      </rPr>
      <t>尺内且其可见的生物获得临时生命值，数值等于</t>
    </r>
    <r>
      <rPr>
        <sz val="10"/>
        <color theme="1"/>
        <rFont val="Times New Roman"/>
        <charset val="134"/>
      </rPr>
      <t>1</t>
    </r>
    <r>
      <rPr>
        <sz val="10"/>
        <color theme="1"/>
        <rFont val="宋体"/>
        <charset val="134"/>
      </rPr>
      <t>个你的诗人激励骰的掷骰结果</t>
    </r>
    <r>
      <rPr>
        <sz val="10"/>
        <color theme="1"/>
        <rFont val="Times New Roman"/>
        <charset val="134"/>
      </rPr>
      <t>+</t>
    </r>
    <r>
      <rPr>
        <sz val="10"/>
        <color theme="1"/>
        <rFont val="宋体"/>
        <charset val="134"/>
      </rPr>
      <t xml:space="preserve">你的魅力调整值。
</t>
    </r>
    <r>
      <rPr>
        <sz val="10"/>
        <color theme="1"/>
        <rFont val="Times New Roman"/>
        <charset val="134"/>
      </rPr>
      <t>4</t>
    </r>
    <r>
      <rPr>
        <sz val="10"/>
        <color theme="1"/>
        <rFont val="宋体"/>
        <charset val="134"/>
      </rPr>
      <t>、逃亡的故事</t>
    </r>
    <r>
      <rPr>
        <sz val="10"/>
        <color theme="1"/>
        <rFont val="Times New Roman"/>
        <charset val="134"/>
      </rPr>
      <t xml:space="preserve">Tale of the Runaway
</t>
    </r>
    <r>
      <rPr>
        <sz val="10"/>
        <color theme="1"/>
        <rFont val="宋体"/>
        <charset val="134"/>
      </rPr>
      <t>目标可以立即使用其反应来传送至多</t>
    </r>
    <r>
      <rPr>
        <sz val="10"/>
        <color theme="1"/>
        <rFont val="Times New Roman"/>
        <charset val="134"/>
      </rPr>
      <t>30</t>
    </r>
    <r>
      <rPr>
        <sz val="10"/>
        <color theme="1"/>
        <rFont val="宋体"/>
        <charset val="134"/>
      </rPr>
      <t>尺，到一处其可见且未被占据的空间。当目标传送时，其能选择至多相当于你的魅力调整值（最少为</t>
    </r>
    <r>
      <rPr>
        <sz val="10"/>
        <color theme="1"/>
        <rFont val="Times New Roman"/>
        <charset val="134"/>
      </rPr>
      <t>0</t>
    </r>
    <r>
      <rPr>
        <sz val="10"/>
        <color theme="1"/>
        <rFont val="宋体"/>
        <charset val="134"/>
      </rPr>
      <t>）数量的、在其</t>
    </r>
    <r>
      <rPr>
        <sz val="10"/>
        <color theme="1"/>
        <rFont val="Times New Roman"/>
        <charset val="134"/>
      </rPr>
      <t>30</t>
    </r>
    <r>
      <rPr>
        <sz val="10"/>
        <color theme="1"/>
        <rFont val="宋体"/>
        <charset val="134"/>
      </rPr>
      <t xml:space="preserve">尺内的可见生物立即执行相同的反应。
</t>
    </r>
    <r>
      <rPr>
        <sz val="10"/>
        <color theme="1"/>
        <rFont val="Times New Roman"/>
        <charset val="134"/>
      </rPr>
      <t>5</t>
    </r>
    <r>
      <rPr>
        <sz val="10"/>
        <color theme="1"/>
        <rFont val="宋体"/>
        <charset val="134"/>
      </rPr>
      <t>、复仇者的故事</t>
    </r>
    <r>
      <rPr>
        <sz val="10"/>
        <color theme="1"/>
        <rFont val="Times New Roman"/>
        <charset val="134"/>
      </rPr>
      <t xml:space="preserve"> Tale of the Avenger
</t>
    </r>
    <r>
      <rPr>
        <sz val="10"/>
        <color theme="1"/>
        <rFont val="宋体"/>
        <charset val="134"/>
      </rPr>
      <t>在</t>
    </r>
    <r>
      <rPr>
        <sz val="10"/>
        <color theme="1"/>
        <rFont val="Times New Roman"/>
        <charset val="134"/>
      </rPr>
      <t>1</t>
    </r>
    <r>
      <rPr>
        <sz val="10"/>
        <color theme="1"/>
        <rFont val="宋体"/>
        <charset val="134"/>
      </rPr>
      <t>分钟里，任何使用近战攻击命中目标的生物会受到相当于</t>
    </r>
    <r>
      <rPr>
        <sz val="10"/>
        <color theme="1"/>
        <rFont val="Times New Roman"/>
        <charset val="134"/>
      </rPr>
      <t>1</t>
    </r>
    <r>
      <rPr>
        <sz val="10"/>
        <color theme="1"/>
        <rFont val="宋体"/>
        <charset val="134"/>
      </rPr>
      <t xml:space="preserve">个你的诗人激励骰的掷骰结果的力场伤害。
</t>
    </r>
    <r>
      <rPr>
        <sz val="10"/>
        <color theme="1"/>
        <rFont val="Times New Roman"/>
        <charset val="134"/>
      </rPr>
      <t>6</t>
    </r>
    <r>
      <rPr>
        <sz val="10"/>
        <color theme="1"/>
        <rFont val="宋体"/>
        <charset val="134"/>
      </rPr>
      <t>、旅行者的故事</t>
    </r>
    <r>
      <rPr>
        <sz val="10"/>
        <color theme="1"/>
        <rFont val="Times New Roman"/>
        <charset val="134"/>
      </rPr>
      <t xml:space="preserve"> Tale of theTraveler
</t>
    </r>
    <r>
      <rPr>
        <sz val="10"/>
        <color theme="1"/>
        <rFont val="宋体"/>
        <charset val="134"/>
      </rPr>
      <t>目标获得临时生命值，数值为一个你的诗人激励骰的掷骰结果</t>
    </r>
    <r>
      <rPr>
        <sz val="10"/>
        <color theme="1"/>
        <rFont val="Times New Roman"/>
        <charset val="134"/>
      </rPr>
      <t>+</t>
    </r>
    <r>
      <rPr>
        <sz val="10"/>
        <color theme="1"/>
        <rFont val="宋体"/>
        <charset val="134"/>
      </rPr>
      <t>你的诗人等级。当其拥有这些临时生命值时，其移动速度增加</t>
    </r>
    <r>
      <rPr>
        <sz val="10"/>
        <color theme="1"/>
        <rFont val="Times New Roman"/>
        <charset val="134"/>
      </rPr>
      <t>10</t>
    </r>
    <r>
      <rPr>
        <sz val="10"/>
        <color theme="1"/>
        <rFont val="宋体"/>
        <charset val="134"/>
      </rPr>
      <t>尺，并在其</t>
    </r>
    <r>
      <rPr>
        <sz val="10"/>
        <color theme="1"/>
        <rFont val="Times New Roman"/>
        <charset val="134"/>
      </rPr>
      <t>AC</t>
    </r>
    <r>
      <rPr>
        <sz val="10"/>
        <color theme="1"/>
        <rFont val="宋体"/>
        <charset val="134"/>
      </rPr>
      <t>上获得</t>
    </r>
    <r>
      <rPr>
        <sz val="10"/>
        <color theme="1"/>
        <rFont val="Times New Roman"/>
        <charset val="134"/>
      </rPr>
      <t>+1</t>
    </r>
    <r>
      <rPr>
        <sz val="10"/>
        <color theme="1"/>
        <rFont val="宋体"/>
        <charset val="134"/>
      </rPr>
      <t xml:space="preserve">加值。
</t>
    </r>
    <r>
      <rPr>
        <sz val="10"/>
        <color theme="1"/>
        <rFont val="Times New Roman"/>
        <charset val="134"/>
      </rPr>
      <t>7</t>
    </r>
    <r>
      <rPr>
        <sz val="10"/>
        <color theme="1"/>
        <rFont val="宋体"/>
        <charset val="134"/>
      </rPr>
      <t>、欺诈者的故事</t>
    </r>
    <r>
      <rPr>
        <sz val="10"/>
        <color theme="1"/>
        <rFont val="Times New Roman"/>
        <charset val="134"/>
      </rPr>
      <t xml:space="preserve"> Tale of the Beguiler
</t>
    </r>
    <r>
      <rPr>
        <sz val="10"/>
        <color theme="1"/>
        <rFont val="宋体"/>
        <charset val="134"/>
      </rPr>
      <t>目标进行一次感知豁免，失败则受到数值等同于</t>
    </r>
    <r>
      <rPr>
        <sz val="10"/>
        <color theme="1"/>
        <rFont val="Times New Roman"/>
        <charset val="134"/>
      </rPr>
      <t>2</t>
    </r>
    <r>
      <rPr>
        <sz val="10"/>
        <color theme="1"/>
        <rFont val="宋体"/>
        <charset val="134"/>
      </rPr>
      <t>个你的诗人激励骰的掷骰结果的心灵伤害，并陷入失能</t>
    </r>
    <r>
      <rPr>
        <sz val="10"/>
        <color theme="1"/>
        <rFont val="Times New Roman"/>
        <charset val="134"/>
      </rPr>
      <t>incapacitated</t>
    </r>
    <r>
      <rPr>
        <sz val="10"/>
        <color theme="1"/>
        <rFont val="宋体"/>
        <charset val="134"/>
      </rPr>
      <t xml:space="preserve">直到其下一个回合结束。
</t>
    </r>
    <r>
      <rPr>
        <sz val="10"/>
        <color theme="1"/>
        <rFont val="Times New Roman"/>
        <charset val="134"/>
      </rPr>
      <t>8</t>
    </r>
    <r>
      <rPr>
        <sz val="10"/>
        <color theme="1"/>
        <rFont val="宋体"/>
        <charset val="134"/>
      </rPr>
      <t>、鬼魅的故事</t>
    </r>
    <r>
      <rPr>
        <sz val="10"/>
        <color theme="1"/>
        <rFont val="Times New Roman"/>
        <charset val="134"/>
      </rPr>
      <t xml:space="preserve">Tale of the Phantom
</t>
    </r>
    <r>
      <rPr>
        <sz val="10"/>
        <color theme="1"/>
        <rFont val="宋体"/>
        <charset val="134"/>
      </rPr>
      <t>目标变为隐形</t>
    </r>
    <r>
      <rPr>
        <sz val="10"/>
        <color theme="1"/>
        <rFont val="Times New Roman"/>
        <charset val="134"/>
      </rPr>
      <t>invisible</t>
    </r>
    <r>
      <rPr>
        <sz val="10"/>
        <color theme="1"/>
        <rFont val="宋体"/>
        <charset val="134"/>
      </rPr>
      <t>，直到其下一个回合结束，或以攻击命中一个生物。如果目标在这次隐形期间攻击命中了一个生物，被攻击的生物受到暗蚀伤害，数值等同于</t>
    </r>
    <r>
      <rPr>
        <sz val="10"/>
        <color theme="1"/>
        <rFont val="Times New Roman"/>
        <charset val="134"/>
      </rPr>
      <t>1</t>
    </r>
    <r>
      <rPr>
        <sz val="10"/>
        <color theme="1"/>
        <rFont val="宋体"/>
        <charset val="134"/>
      </rPr>
      <t>个你的诗人激励骰的掷骰结果，并陷入对目标的恐慌</t>
    </r>
    <r>
      <rPr>
        <sz val="10"/>
        <color theme="1"/>
        <rFont val="Times New Roman"/>
        <charset val="134"/>
      </rPr>
      <t>frightened</t>
    </r>
    <r>
      <rPr>
        <sz val="10"/>
        <color theme="1"/>
        <rFont val="宋体"/>
        <charset val="134"/>
      </rPr>
      <t xml:space="preserve">之中，持续到该生物的下一个回合结束。
</t>
    </r>
    <r>
      <rPr>
        <sz val="10"/>
        <color theme="1"/>
        <rFont val="Times New Roman"/>
        <charset val="134"/>
      </rPr>
      <t>9</t>
    </r>
    <r>
      <rPr>
        <sz val="10"/>
        <color theme="1"/>
        <rFont val="宋体"/>
        <charset val="134"/>
      </rPr>
      <t>、凶蛮恶汉的故事</t>
    </r>
    <r>
      <rPr>
        <sz val="10"/>
        <color theme="1"/>
        <rFont val="Times New Roman"/>
        <charset val="134"/>
      </rPr>
      <t xml:space="preserve"> Tale of the Brute </t>
    </r>
    <r>
      <rPr>
        <sz val="10"/>
        <color theme="1"/>
        <rFont val="宋体"/>
        <charset val="134"/>
      </rPr>
      <t>目标所选择的</t>
    </r>
    <r>
      <rPr>
        <sz val="10"/>
        <color theme="1"/>
        <rFont val="Times New Roman"/>
        <charset val="134"/>
      </rPr>
      <t>30</t>
    </r>
    <r>
      <rPr>
        <sz val="10"/>
        <color theme="1"/>
        <rFont val="宋体"/>
        <charset val="134"/>
      </rPr>
      <t>尺内其可见的每个生物都必须进行一次力量豁免。若豁免失败，该生物受到</t>
    </r>
    <r>
      <rPr>
        <sz val="10"/>
        <color theme="1"/>
        <rFont val="Times New Roman"/>
        <charset val="134"/>
      </rPr>
      <t>3</t>
    </r>
    <r>
      <rPr>
        <sz val="10"/>
        <color theme="1"/>
        <rFont val="宋体"/>
        <charset val="134"/>
      </rPr>
      <t>个你的诗人激励骰的掷骰结果的雷鸣伤害，并倒地</t>
    </r>
    <r>
      <rPr>
        <sz val="10"/>
        <color theme="1"/>
        <rFont val="Times New Roman"/>
        <charset val="134"/>
      </rPr>
      <t>prone</t>
    </r>
    <r>
      <rPr>
        <sz val="10"/>
        <color theme="1"/>
        <rFont val="宋体"/>
        <charset val="134"/>
      </rPr>
      <t>。若豁免成功，该生物受到的伤害减半，并且不会倒地</t>
    </r>
    <r>
      <rPr>
        <sz val="10"/>
        <color theme="1"/>
        <rFont val="Times New Roman"/>
        <charset val="134"/>
      </rPr>
      <t>prone</t>
    </r>
    <r>
      <rPr>
        <sz val="10"/>
        <color theme="1"/>
        <rFont val="宋体"/>
        <charset val="134"/>
      </rPr>
      <t xml:space="preserve">。
</t>
    </r>
    <r>
      <rPr>
        <sz val="10"/>
        <color theme="1"/>
        <rFont val="Times New Roman"/>
        <charset val="134"/>
      </rPr>
      <t>10</t>
    </r>
    <r>
      <rPr>
        <sz val="10"/>
        <color theme="1"/>
        <rFont val="宋体"/>
        <charset val="134"/>
      </rPr>
      <t>、巨龙的故事</t>
    </r>
    <r>
      <rPr>
        <sz val="10"/>
        <color theme="1"/>
        <rFont val="Times New Roman"/>
        <charset val="134"/>
      </rPr>
      <t xml:space="preserve"> Tale of the Dragon</t>
    </r>
    <r>
      <rPr>
        <sz val="10"/>
        <color theme="1"/>
        <rFont val="宋体"/>
        <charset val="134"/>
      </rPr>
      <t>目标从口中喷出</t>
    </r>
    <r>
      <rPr>
        <sz val="10"/>
        <color theme="1"/>
        <rFont val="Times New Roman"/>
        <charset val="134"/>
      </rPr>
      <t>30</t>
    </r>
    <r>
      <rPr>
        <sz val="10"/>
        <color theme="1"/>
        <rFont val="宋体"/>
        <charset val="134"/>
      </rPr>
      <t>尺锥形的火焰。在范围内的每个生物都必须进行一次敏捷豁免，若豁免失败则受到</t>
    </r>
    <r>
      <rPr>
        <sz val="10"/>
        <color theme="1"/>
        <rFont val="Times New Roman"/>
        <charset val="134"/>
      </rPr>
      <t>4</t>
    </r>
    <r>
      <rPr>
        <sz val="10"/>
        <color theme="1"/>
        <rFont val="宋体"/>
        <charset val="134"/>
      </rPr>
      <t xml:space="preserve">个你的诗人激励骰的掷骰结果的火焰伤害，若豁免则成功伤害减半。
</t>
    </r>
    <r>
      <rPr>
        <sz val="10"/>
        <color theme="1"/>
        <rFont val="Times New Roman"/>
        <charset val="134"/>
      </rPr>
      <t>11</t>
    </r>
    <r>
      <rPr>
        <sz val="10"/>
        <color theme="1"/>
        <rFont val="宋体"/>
        <charset val="134"/>
      </rPr>
      <t>、天使的故事</t>
    </r>
    <r>
      <rPr>
        <sz val="10"/>
        <color theme="1"/>
        <rFont val="Times New Roman"/>
        <charset val="134"/>
      </rPr>
      <t xml:space="preserve"> Tale of the Angel</t>
    </r>
    <r>
      <rPr>
        <sz val="10"/>
        <color theme="1"/>
        <rFont val="宋体"/>
        <charset val="134"/>
      </rPr>
      <t>目标恢复相当于</t>
    </r>
    <r>
      <rPr>
        <sz val="10"/>
        <color theme="1"/>
        <rFont val="Times New Roman"/>
        <charset val="134"/>
      </rPr>
      <t>2</t>
    </r>
    <r>
      <rPr>
        <sz val="10"/>
        <color theme="1"/>
        <rFont val="宋体"/>
        <charset val="134"/>
      </rPr>
      <t>个你的诗人激励骰的掷骰结果</t>
    </r>
    <r>
      <rPr>
        <sz val="10"/>
        <color theme="1"/>
        <rFont val="Times New Roman"/>
        <charset val="134"/>
      </rPr>
      <t>+</t>
    </r>
    <r>
      <rPr>
        <sz val="10"/>
        <color theme="1"/>
        <rFont val="宋体"/>
        <charset val="134"/>
      </rPr>
      <t>你的魅力调整值的生命值，并且你结束目标身上正起作用的状态中的一个，可结束的状态如下：目盲</t>
    </r>
    <r>
      <rPr>
        <sz val="10"/>
        <color theme="1"/>
        <rFont val="Times New Roman"/>
        <charset val="134"/>
      </rPr>
      <t>blinded</t>
    </r>
    <r>
      <rPr>
        <sz val="10"/>
        <color theme="1"/>
        <rFont val="宋体"/>
        <charset val="134"/>
      </rPr>
      <t>，耳聋</t>
    </r>
    <r>
      <rPr>
        <sz val="10"/>
        <color theme="1"/>
        <rFont val="Times New Roman"/>
        <charset val="134"/>
      </rPr>
      <t>deafened</t>
    </r>
    <r>
      <rPr>
        <sz val="10"/>
        <color theme="1"/>
        <rFont val="宋体"/>
        <charset val="134"/>
      </rPr>
      <t>，麻痹</t>
    </r>
    <r>
      <rPr>
        <sz val="10"/>
        <color theme="1"/>
        <rFont val="Times New Roman"/>
        <charset val="134"/>
      </rPr>
      <t>paralyzed</t>
    </r>
    <r>
      <rPr>
        <sz val="10"/>
        <color theme="1"/>
        <rFont val="宋体"/>
        <charset val="134"/>
      </rPr>
      <t>，石化</t>
    </r>
    <r>
      <rPr>
        <sz val="10"/>
        <color theme="1"/>
        <rFont val="Times New Roman"/>
        <charset val="134"/>
      </rPr>
      <t>petrified</t>
    </r>
    <r>
      <rPr>
        <sz val="10"/>
        <color theme="1"/>
        <rFont val="宋体"/>
        <charset val="134"/>
      </rPr>
      <t>或中毒</t>
    </r>
    <r>
      <rPr>
        <sz val="10"/>
        <color theme="1"/>
        <rFont val="Times New Roman"/>
        <charset val="134"/>
      </rPr>
      <t>poisoned</t>
    </r>
    <r>
      <rPr>
        <sz val="10"/>
        <color theme="1"/>
        <rFont val="宋体"/>
        <charset val="134"/>
      </rPr>
      <t xml:space="preserve">。
</t>
    </r>
    <r>
      <rPr>
        <sz val="10"/>
        <color theme="1"/>
        <rFont val="Times New Roman"/>
        <charset val="134"/>
      </rPr>
      <t>12</t>
    </r>
    <r>
      <rPr>
        <sz val="10"/>
        <color theme="1"/>
        <rFont val="宋体"/>
        <charset val="134"/>
      </rPr>
      <t>、夺魂故事</t>
    </r>
    <r>
      <rPr>
        <sz val="10"/>
        <color theme="1"/>
        <rFont val="Times New Roman"/>
        <charset val="134"/>
      </rPr>
      <t xml:space="preserve"> Tale of the Mind-Bender</t>
    </r>
    <r>
      <rPr>
        <sz val="10"/>
        <color theme="1"/>
        <rFont val="宋体"/>
        <charset val="134"/>
      </rPr>
      <t>你从某个超凡的存在那里唤起了一则超越人的理解能力的寓言。目标必须成功通过一次智力豁免，否则受到相当于</t>
    </r>
    <r>
      <rPr>
        <sz val="10"/>
        <color theme="1"/>
        <rFont val="Times New Roman"/>
        <charset val="134"/>
      </rPr>
      <t>3</t>
    </r>
    <r>
      <rPr>
        <sz val="10"/>
        <color theme="1"/>
        <rFont val="宋体"/>
        <charset val="134"/>
      </rPr>
      <t>个你的诗人激励骰的掷骰结果的心灵伤害，并被震慑</t>
    </r>
    <r>
      <rPr>
        <sz val="10"/>
        <color theme="1"/>
        <rFont val="Times New Roman"/>
        <charset val="134"/>
      </rPr>
      <t>stunned</t>
    </r>
    <r>
      <rPr>
        <sz val="10"/>
        <color theme="1"/>
        <rFont val="宋体"/>
        <charset val="134"/>
      </rPr>
      <t>直到其下一个回合结束。</t>
    </r>
  </si>
  <si>
    <r>
      <rPr>
        <sz val="10"/>
        <color theme="1"/>
        <rFont val="宋体"/>
        <charset val="134"/>
      </rPr>
      <t>法律化身</t>
    </r>
  </si>
  <si>
    <r>
      <rPr>
        <sz val="10"/>
        <color theme="1"/>
        <rFont val="宋体"/>
        <charset val="134"/>
      </rPr>
      <t>你变得十分擅于引导魔法能量来强迫他人。
如果你用一个</t>
    </r>
    <r>
      <rPr>
        <sz val="10"/>
        <color theme="1"/>
        <rFont val="Times New Roman"/>
        <charset val="134"/>
      </rPr>
      <t>1</t>
    </r>
    <r>
      <rPr>
        <sz val="10"/>
        <color theme="1"/>
        <rFont val="宋体"/>
        <charset val="134"/>
      </rPr>
      <t>环或更高的法术位施展一个附魔学派的法术，倘若这个法术的施法时间是</t>
    </r>
    <r>
      <rPr>
        <sz val="10"/>
        <color theme="1"/>
        <rFont val="Times New Roman"/>
        <charset val="134"/>
      </rPr>
      <t>1</t>
    </r>
    <r>
      <rPr>
        <sz val="10"/>
        <color theme="1"/>
        <rFont val="宋体"/>
        <charset val="134"/>
      </rPr>
      <t>动作，你可以在这次施法时将法术的施法时间改为</t>
    </r>
    <r>
      <rPr>
        <sz val="10"/>
        <color theme="1"/>
        <rFont val="Times New Roman"/>
        <charset val="134"/>
      </rPr>
      <t>1</t>
    </r>
    <r>
      <rPr>
        <sz val="10"/>
        <color theme="1"/>
        <rFont val="宋体"/>
        <charset val="134"/>
      </rPr>
      <t>附赠动作。
你可以使用该特性的次数等于你的感知调整值（最少一次）。完成一次长休后，你将重获其所有消耗掉的使用次数。</t>
    </r>
  </si>
  <si>
    <r>
      <rPr>
        <sz val="10"/>
        <color theme="1"/>
        <rFont val="宋体"/>
        <charset val="134"/>
      </rPr>
      <t>真菌感染</t>
    </r>
  </si>
  <si>
    <r>
      <rPr>
        <sz val="10"/>
        <color theme="1"/>
        <rFont val="宋体"/>
        <charset val="134"/>
      </rPr>
      <t>你的孢子获得了感染并活化遗体的能力。
如果一个小型或中型的野兽或类人生物在你十尺内死亡，你可以以一个反应动作活化它，令它站起并具有</t>
    </r>
    <r>
      <rPr>
        <sz val="10"/>
        <color theme="1"/>
        <rFont val="Times New Roman"/>
        <charset val="134"/>
      </rPr>
      <t>1</t>
    </r>
    <r>
      <rPr>
        <sz val="10"/>
        <color theme="1"/>
        <rFont val="宋体"/>
        <charset val="134"/>
      </rPr>
      <t>点生命值。
该生物使用</t>
    </r>
    <r>
      <rPr>
        <sz val="10"/>
        <color theme="1"/>
        <rFont val="Times New Roman"/>
        <charset val="134"/>
      </rPr>
      <t>MM</t>
    </r>
    <r>
      <rPr>
        <sz val="10"/>
        <color theme="1"/>
        <rFont val="宋体"/>
        <charset val="134"/>
      </rPr>
      <t>中僵尸的属性，它将持续活化状态</t>
    </r>
    <r>
      <rPr>
        <sz val="10"/>
        <color theme="1"/>
        <rFont val="Times New Roman"/>
        <charset val="134"/>
      </rPr>
      <t>1</t>
    </r>
    <r>
      <rPr>
        <sz val="10"/>
        <color theme="1"/>
        <rFont val="宋体"/>
        <charset val="134"/>
      </rPr>
      <t>小时，之后会倒下死去。
在战斗中，它的回合紧接着你的。
它遵从你的精神指令，而它只能进行攻击动作，进行一次近战攻击。
该特性的可用次数等于你的感知调整值（至少一次）。
而已消耗的特性使用次数则可以通过完成一次长休进行恢复。</t>
    </r>
  </si>
  <si>
    <r>
      <rPr>
        <sz val="10"/>
        <color theme="1"/>
        <rFont val="宋体"/>
        <charset val="134"/>
      </rPr>
      <t>战争魔法</t>
    </r>
  </si>
  <si>
    <r>
      <rPr>
        <sz val="10"/>
        <color theme="1"/>
        <rFont val="宋体"/>
        <charset val="134"/>
      </rPr>
      <t>星我之容</t>
    </r>
  </si>
  <si>
    <r>
      <rPr>
        <sz val="10"/>
        <color theme="1"/>
        <rFont val="宋体"/>
        <charset val="134"/>
      </rPr>
      <t>你可以召唤你的星我之容，以一个附赠动作，或者作为你召唤星我之臂时的附赠动作中的一部分，你可以花费</t>
    </r>
    <r>
      <rPr>
        <sz val="10"/>
        <color theme="1"/>
        <rFont val="Times New Roman"/>
        <charset val="134"/>
      </rPr>
      <t>1</t>
    </r>
    <r>
      <rPr>
        <sz val="10"/>
        <color theme="1"/>
        <rFont val="宋体"/>
        <charset val="134"/>
      </rPr>
      <t>点气来召唤星我之容，持续</t>
    </r>
    <r>
      <rPr>
        <sz val="10"/>
        <color theme="1"/>
        <rFont val="Times New Roman"/>
        <charset val="134"/>
      </rPr>
      <t>10</t>
    </r>
    <r>
      <rPr>
        <sz val="10"/>
        <color theme="1"/>
        <rFont val="宋体"/>
        <charset val="134"/>
      </rPr>
      <t>分钟，如果你失能或死亡，则它会立即消失。
幽光般的头盔或面具遮挡着你的脸，你来决定它的外观。
当星我之容存在时，你将获得如下增益：
星之视觉：你在黑暗中拥有</t>
    </r>
    <r>
      <rPr>
        <sz val="10"/>
        <color theme="1"/>
        <rFont val="Times New Roman"/>
        <charset val="134"/>
      </rPr>
      <t>120</t>
    </r>
    <r>
      <rPr>
        <sz val="10"/>
        <color theme="1"/>
        <rFont val="宋体"/>
        <charset val="134"/>
      </rPr>
      <t>尺的可视距离，而无论其属于魔法黑暗还是非魔法黑暗。
灵魂感知：你的感知（洞悉）和魅力（威吓）检定具有优势。
灵魂之语：当你说话时，你可以将你的话语指向你选择的一个</t>
    </r>
    <r>
      <rPr>
        <sz val="10"/>
        <color theme="1"/>
        <rFont val="Times New Roman"/>
        <charset val="134"/>
      </rPr>
      <t>60</t>
    </r>
    <r>
      <rPr>
        <sz val="10"/>
        <color theme="1"/>
        <rFont val="宋体"/>
        <charset val="134"/>
      </rPr>
      <t>尺范围内的可视生物，这种情况下只有这个生物才能听到你的声音。
或者你可以放大你的声音，这种情况下</t>
    </r>
    <r>
      <rPr>
        <sz val="10"/>
        <color theme="1"/>
        <rFont val="Times New Roman"/>
        <charset val="134"/>
      </rPr>
      <t>600</t>
    </r>
    <r>
      <rPr>
        <sz val="10"/>
        <color theme="1"/>
        <rFont val="宋体"/>
        <charset val="134"/>
      </rPr>
      <t>尺内的所有生物都能听到你的声音。</t>
    </r>
  </si>
  <si>
    <r>
      <rPr>
        <sz val="10"/>
        <color theme="1"/>
        <rFont val="宋体"/>
        <charset val="134"/>
      </rPr>
      <t>引导神力</t>
    </r>
    <r>
      <rPr>
        <sz val="10"/>
        <color theme="1"/>
        <rFont val="Times New Roman"/>
        <charset val="134"/>
      </rPr>
      <t>-</t>
    </r>
    <r>
      <rPr>
        <sz val="10"/>
        <color theme="1"/>
        <rFont val="宋体"/>
        <charset val="134"/>
      </rPr>
      <t>守望</t>
    </r>
  </si>
  <si>
    <r>
      <rPr>
        <sz val="10"/>
        <color theme="1"/>
        <rFont val="宋体"/>
        <charset val="134"/>
      </rPr>
      <t>若选取此誓言，你获得以下两种引导神力选项。
守望者的意志：你可以使用你的引导神力，将信仰的守护力量融入你的存在之中。
以一个动作，你可以选择</t>
    </r>
    <r>
      <rPr>
        <sz val="10"/>
        <color theme="1"/>
        <rFont val="Times New Roman"/>
        <charset val="134"/>
      </rPr>
      <t>30</t>
    </r>
    <r>
      <rPr>
        <sz val="10"/>
        <color theme="1"/>
        <rFont val="宋体"/>
        <charset val="134"/>
      </rPr>
      <t>尺内你可见的生物，数量至多等同于你的魅力调整值（至少为</t>
    </r>
    <r>
      <rPr>
        <sz val="10"/>
        <color theme="1"/>
        <rFont val="Times New Roman"/>
        <charset val="134"/>
      </rPr>
      <t>1</t>
    </r>
    <r>
      <rPr>
        <sz val="10"/>
        <color theme="1"/>
        <rFont val="宋体"/>
        <charset val="134"/>
      </rPr>
      <t>）。
在</t>
    </r>
    <r>
      <rPr>
        <sz val="10"/>
        <color theme="1"/>
        <rFont val="Times New Roman"/>
        <charset val="134"/>
      </rPr>
      <t>1</t>
    </r>
    <r>
      <rPr>
        <sz val="10"/>
        <color theme="1"/>
        <rFont val="宋体"/>
        <charset val="134"/>
      </rPr>
      <t>分钟内，你和所有被选择的生物在智力、感知和魅力豁免上都获得优势。
驱散异域：你可以使用你的引导神力惩罚来自异界的存在。
以一个动作，你展示你的圣徽，你</t>
    </r>
    <r>
      <rPr>
        <sz val="10"/>
        <color theme="1"/>
        <rFont val="Times New Roman"/>
        <charset val="134"/>
      </rPr>
      <t>30</t>
    </r>
    <r>
      <rPr>
        <sz val="10"/>
        <color theme="1"/>
        <rFont val="宋体"/>
        <charset val="134"/>
      </rPr>
      <t>尺范围内能够听到你祷言的异怪、天界生物、元素、精类或邪魔都必须进行一次感知豁免，豁免失败者将受到驱散，其效应持续</t>
    </r>
    <r>
      <rPr>
        <sz val="10"/>
        <color theme="1"/>
        <rFont val="Times New Roman"/>
        <charset val="134"/>
      </rPr>
      <t>1</t>
    </r>
    <r>
      <rPr>
        <sz val="10"/>
        <color theme="1"/>
        <rFont val="宋体"/>
        <charset val="134"/>
      </rPr>
      <t>分钟或直至其受到任何伤害。
以此方式被驱散的生物必须花费其回合内的所有移动速度尽量远离你，且无法主动靠近你</t>
    </r>
    <r>
      <rPr>
        <sz val="10"/>
        <color theme="1"/>
        <rFont val="Times New Roman"/>
        <charset val="134"/>
      </rPr>
      <t>30</t>
    </r>
    <r>
      <rPr>
        <sz val="10"/>
        <color theme="1"/>
        <rFont val="宋体"/>
        <charset val="134"/>
      </rPr>
      <t>尺内。
被驱散的生物无法执行反应，只能使用既有的疾走动作或从任何妨碍其移动的效应中挣脱，该生物无路可走时将执行回避动作。</t>
    </r>
  </si>
  <si>
    <r>
      <rPr>
        <sz val="10"/>
        <color theme="1"/>
        <rFont val="宋体"/>
        <charset val="134"/>
      </rPr>
      <t>蜂聚集群</t>
    </r>
  </si>
  <si>
    <r>
      <rPr>
        <sz val="10"/>
        <color theme="1"/>
        <rFont val="宋体"/>
        <charset val="134"/>
      </rPr>
      <t>无形自然精魂形成的集群与你形影不离并会在战斗中对你施以援手。
直到你死亡，集群会存在于你的空间中，在你身上爬行或在你周身的空间里飞舞或窜动。
你决定集群的外观，或者你通过按照集群外观表格掷骰生成其外表。
群聚的昆虫、微小的枯枝怪、飞舞的群鸟、好动的皮克精
在你的回合中每回合一次，当你以一次攻击命中一个生物之后，你能让集群以以下一种方式助你一臂之力。
这次攻击的目标因集群受到</t>
    </r>
    <r>
      <rPr>
        <sz val="10"/>
        <color theme="1"/>
        <rFont val="Times New Roman"/>
        <charset val="134"/>
      </rPr>
      <t>1d6</t>
    </r>
    <r>
      <rPr>
        <sz val="10"/>
        <color theme="1"/>
        <rFont val="宋体"/>
        <charset val="134"/>
      </rPr>
      <t>穿刺伤害。
这次攻击的目标必须成功通过对抗你法术</t>
    </r>
    <r>
      <rPr>
        <sz val="10"/>
        <color theme="1"/>
        <rFont val="Times New Roman"/>
        <charset val="134"/>
      </rPr>
      <t>DC</t>
    </r>
    <r>
      <rPr>
        <sz val="10"/>
        <color theme="1"/>
        <rFont val="宋体"/>
        <charset val="134"/>
      </rPr>
      <t>的力量豁免检定否则被集群朝你选择的方向水平移动最多</t>
    </r>
    <r>
      <rPr>
        <sz val="10"/>
        <color theme="1"/>
        <rFont val="Times New Roman"/>
        <charset val="134"/>
      </rPr>
      <t>15</t>
    </r>
    <r>
      <rPr>
        <sz val="10"/>
        <color theme="1"/>
        <rFont val="宋体"/>
        <charset val="134"/>
      </rPr>
      <t>尺。
你被集群朝着你所选择的方向水平移动</t>
    </r>
    <r>
      <rPr>
        <sz val="10"/>
        <color theme="1"/>
        <rFont val="Times New Roman"/>
        <charset val="134"/>
      </rPr>
      <t>5</t>
    </r>
    <r>
      <rPr>
        <sz val="10"/>
        <color theme="1"/>
        <rFont val="宋体"/>
        <charset val="134"/>
      </rPr>
      <t>尺。</t>
    </r>
  </si>
  <si>
    <r>
      <rPr>
        <sz val="10"/>
        <color theme="1"/>
        <rFont val="宋体"/>
        <charset val="134"/>
      </rPr>
      <t>散兵战术</t>
    </r>
  </si>
  <si>
    <r>
      <rPr>
        <sz val="10"/>
        <color theme="1"/>
        <rFont val="宋体"/>
        <charset val="134"/>
      </rPr>
      <t>你在战斗中变得难以被压制。
当一个敌人在你周围</t>
    </r>
    <r>
      <rPr>
        <sz val="10"/>
        <color theme="1"/>
        <rFont val="Times New Roman"/>
        <charset val="134"/>
      </rPr>
      <t>5</t>
    </r>
    <r>
      <rPr>
        <sz val="10"/>
        <color theme="1"/>
        <rFont val="宋体"/>
        <charset val="134"/>
      </rPr>
      <t>英尺内结束其回合时，你可以以一个反应移动至多你速度的一半。
此移动不会导致借机攻击。</t>
    </r>
  </si>
  <si>
    <r>
      <rPr>
        <sz val="10"/>
        <color theme="1"/>
        <rFont val="宋体"/>
        <charset val="134"/>
      </rPr>
      <t>幽影漫步</t>
    </r>
  </si>
  <si>
    <r>
      <rPr>
        <sz val="10"/>
        <color theme="1"/>
        <rFont val="宋体"/>
        <charset val="134"/>
      </rPr>
      <t>你获得在暗影间穿梭的能力。
当你处于微光或黑暗中时，以一个附赠动作你可以魔法地将自己传送至</t>
    </r>
    <r>
      <rPr>
        <sz val="10"/>
        <color theme="1"/>
        <rFont val="Times New Roman"/>
        <charset val="134"/>
      </rPr>
      <t>120</t>
    </r>
    <r>
      <rPr>
        <sz val="10"/>
        <color theme="1"/>
        <rFont val="宋体"/>
        <charset val="134"/>
      </rPr>
      <t>尺内另一处未被占据并自己可见的微光或黑暗中。</t>
    </r>
  </si>
  <si>
    <t>9+</t>
  </si>
  <si>
    <r>
      <rPr>
        <sz val="10"/>
        <color theme="1"/>
        <rFont val="宋体"/>
        <charset val="134"/>
      </rPr>
      <t>守护馈赠</t>
    </r>
  </si>
  <si>
    <r>
      <rPr>
        <sz val="10"/>
        <color theme="1"/>
        <rFont val="宋体"/>
        <charset val="134"/>
      </rPr>
      <t>先决：魔契师等级</t>
    </r>
    <r>
      <rPr>
        <sz val="10"/>
        <color theme="1"/>
        <rFont val="Times New Roman"/>
        <charset val="134"/>
      </rPr>
      <t>9+</t>
    </r>
    <r>
      <rPr>
        <sz val="10"/>
        <color theme="1"/>
        <rFont val="宋体"/>
        <charset val="134"/>
      </rPr>
      <t>，具有书之魔契祈唤
你召唤影之书时，一张新的书页会在其中出现。在你的允许之下，一个生物可以使用一个动作来将他的名字写在这一页上，这一页能包括的名字数量等于你的魅力调整值（至少为</t>
    </r>
    <r>
      <rPr>
        <sz val="10"/>
        <color theme="1"/>
        <rFont val="Times New Roman"/>
        <charset val="134"/>
      </rPr>
      <t>1</t>
    </r>
    <r>
      <rPr>
        <sz val="10"/>
        <color theme="1"/>
        <rFont val="宋体"/>
        <charset val="134"/>
      </rPr>
      <t>）。当一个名字在这一页上的生物生命值降为</t>
    </r>
    <r>
      <rPr>
        <sz val="10"/>
        <color theme="1"/>
        <rFont val="Times New Roman"/>
        <charset val="134"/>
      </rPr>
      <t>0</t>
    </r>
    <r>
      <rPr>
        <sz val="10"/>
        <color theme="1"/>
        <rFont val="宋体"/>
        <charset val="134"/>
      </rPr>
      <t>，但是还没有立刻死亡，这个生物的生命值魔法化的变为</t>
    </r>
    <r>
      <rPr>
        <sz val="10"/>
        <color theme="1"/>
        <rFont val="Times New Roman"/>
        <charset val="134"/>
      </rPr>
      <t>1</t>
    </r>
    <r>
      <rPr>
        <sz val="10"/>
        <color theme="1"/>
        <rFont val="宋体"/>
        <charset val="134"/>
      </rPr>
      <t>点。每当这个魔法效应被触发，直到你完成一次长休前，没有任何生物可以再次触发该效应。
你能够以一个魔法动作，以触摸的形式消除一个在书页上的名字。</t>
    </r>
    <r>
      <rPr>
        <sz val="10"/>
        <color theme="1"/>
        <rFont val="Times New Roman"/>
        <charset val="134"/>
      </rPr>
      <t xml:space="preserve"> </t>
    </r>
  </si>
  <si>
    <r>
      <rPr>
        <sz val="10"/>
        <color theme="1"/>
        <rFont val="宋体"/>
        <charset val="134"/>
      </rPr>
      <t>司书学识</t>
    </r>
  </si>
  <si>
    <r>
      <rPr>
        <sz val="10"/>
        <color theme="1"/>
        <rFont val="宋体"/>
        <charset val="134"/>
      </rPr>
      <t>你与所有书籍都具备着奥术连结，这使得你可以解开其中的隐秘，无论是小册子还是大部头。若你持续触碰一件承载了一份文稿的物件一分钟，你便可了解关于这副文稿内容的基本信息及实用知识，除非这份文稿被以暗语或密码加密。若这份书籍或文稿是一件魔法物品或魔法物件，则你还能知晓其词条，以及该如何使用它、是否需要同调、具有多少充能。你还能知晓这件物品是否正在被一道持续中的法术影响，以及正在影响该物品的是什么法术。若该物品是被一道法术创造的，则你还能知晓这道法术的名字。</t>
    </r>
  </si>
  <si>
    <t>地图魔法</t>
  </si>
  <si>
    <r>
      <rPr>
        <sz val="10"/>
        <color theme="1"/>
        <rFont val="宋体"/>
        <charset val="134"/>
      </rPr>
      <t>你获得以下增益。</t>
    </r>
    <r>
      <rPr>
        <sz val="10"/>
        <color theme="1"/>
        <rFont val="Times New Roman"/>
        <charset val="134"/>
      </rPr>
      <t xml:space="preserve">
</t>
    </r>
    <r>
      <rPr>
        <sz val="10"/>
        <color theme="1"/>
        <rFont val="宋体"/>
        <charset val="134"/>
      </rPr>
      <t>照明绘图</t>
    </r>
    <r>
      <rPr>
        <sz val="10"/>
        <color theme="1"/>
        <rFont val="Times New Roman"/>
        <charset val="134"/>
      </rPr>
      <t>Illuminated Cartography</t>
    </r>
    <r>
      <rPr>
        <sz val="10"/>
        <color theme="1"/>
        <rFont val="宋体"/>
        <charset val="134"/>
      </rPr>
      <t>。你可以无需消耗法术位地施展妖火</t>
    </r>
    <r>
      <rPr>
        <sz val="10"/>
        <color theme="1"/>
        <rFont val="Times New Roman"/>
        <charset val="134"/>
      </rPr>
      <t>Faerie Fire</t>
    </r>
    <r>
      <rPr>
        <sz val="10"/>
        <color theme="1"/>
        <rFont val="宋体"/>
        <charset val="134"/>
      </rPr>
      <t>。受影响的生物将会如同墨水描绘一般清晰。你可以这么做的次数等于你的智力调整值（最小为</t>
    </r>
    <r>
      <rPr>
        <sz val="10"/>
        <color theme="1"/>
        <rFont val="Times New Roman"/>
        <charset val="134"/>
      </rPr>
      <t>1</t>
    </r>
    <r>
      <rPr>
        <sz val="10"/>
        <color theme="1"/>
        <rFont val="宋体"/>
        <charset val="134"/>
      </rPr>
      <t>次）。你在完成长休时重获所有已消耗的使用次数。</t>
    </r>
    <r>
      <rPr>
        <sz val="10"/>
        <color theme="1"/>
        <rFont val="Times New Roman"/>
        <charset val="134"/>
      </rPr>
      <t xml:space="preserve">
</t>
    </r>
    <r>
      <rPr>
        <sz val="10"/>
        <color theme="1"/>
        <rFont val="宋体"/>
        <charset val="134"/>
      </rPr>
      <t>传送门跃</t>
    </r>
    <r>
      <rPr>
        <sz val="10"/>
        <color theme="1"/>
        <rFont val="Times New Roman"/>
        <charset val="134"/>
      </rPr>
      <t>Portal Jump</t>
    </r>
    <r>
      <rPr>
        <sz val="10"/>
        <color theme="1"/>
        <rFont val="宋体"/>
        <charset val="134"/>
      </rPr>
      <t>。在你的回合内，你可以花费等于你速度一半的移动力（向下取整）传送至位于你或你</t>
    </r>
    <r>
      <rPr>
        <sz val="10"/>
        <color theme="1"/>
        <rFont val="Times New Roman"/>
        <charset val="134"/>
      </rPr>
      <t>30</t>
    </r>
    <r>
      <rPr>
        <sz val="10"/>
        <color theme="1"/>
        <rFont val="宋体"/>
        <charset val="134"/>
      </rPr>
      <t>尺内持有你冒险者的地图匣地图的生物</t>
    </r>
    <r>
      <rPr>
        <sz val="10"/>
        <color theme="1"/>
        <rFont val="Times New Roman"/>
        <charset val="134"/>
      </rPr>
      <t>10</t>
    </r>
    <r>
      <rPr>
        <sz val="10"/>
        <color theme="1"/>
        <rFont val="宋体"/>
        <charset val="134"/>
      </rPr>
      <t>尺内的你可见的未占据空间。若你的速度为</t>
    </r>
    <r>
      <rPr>
        <sz val="10"/>
        <color theme="1"/>
        <rFont val="Times New Roman"/>
        <charset val="134"/>
      </rPr>
      <t>0</t>
    </r>
    <r>
      <rPr>
        <sz val="10"/>
        <color theme="1"/>
        <rFont val="宋体"/>
        <charset val="134"/>
      </rPr>
      <t>，你不能使用此增益。</t>
    </r>
  </si>
  <si>
    <r>
      <rPr>
        <sz val="10"/>
        <color theme="1"/>
        <rFont val="宋体"/>
        <charset val="134"/>
      </rPr>
      <t>群体瞬间移动</t>
    </r>
  </si>
  <si>
    <r>
      <rPr>
        <sz val="10"/>
        <color theme="1"/>
        <rFont val="宋体"/>
        <charset val="134"/>
      </rPr>
      <t>以一个魔法动作，你消耗</t>
    </r>
    <r>
      <rPr>
        <sz val="10"/>
        <color theme="1"/>
        <rFont val="Times New Roman"/>
        <charset val="134"/>
      </rPr>
      <t>4</t>
    </r>
    <r>
      <rPr>
        <sz val="10"/>
        <color theme="1"/>
        <rFont val="宋体"/>
        <charset val="134"/>
      </rPr>
      <t>枚灵能骰并选择一定数量的位于你</t>
    </r>
    <r>
      <rPr>
        <sz val="10"/>
        <color theme="1"/>
        <rFont val="Times New Roman"/>
        <charset val="134"/>
      </rPr>
      <t>30</t>
    </r>
    <r>
      <rPr>
        <sz val="10"/>
        <color theme="1"/>
        <rFont val="宋体"/>
        <charset val="134"/>
      </rPr>
      <t>尺内、体型不超过巨型的生物。选择的生物数量至多等于你的智力调整值（最低一名生物）。每名被你选择的生物都将传送至位于你</t>
    </r>
    <r>
      <rPr>
        <sz val="10"/>
        <color theme="1"/>
        <rFont val="Times New Roman"/>
        <charset val="134"/>
      </rPr>
      <t>150</t>
    </r>
    <r>
      <rPr>
        <sz val="10"/>
        <color theme="1"/>
        <rFont val="宋体"/>
        <charset val="134"/>
      </rPr>
      <t>尺内你可见的一点。非自愿的生物需要成功于一次对抗你法术豁免</t>
    </r>
    <r>
      <rPr>
        <sz val="10"/>
        <color theme="1"/>
        <rFont val="Times New Roman"/>
        <charset val="134"/>
      </rPr>
      <t>DC</t>
    </r>
    <r>
      <rPr>
        <sz val="10"/>
        <color theme="1"/>
        <rFont val="宋体"/>
        <charset val="134"/>
      </rPr>
      <t>的感知豁免检定才能免受影响。</t>
    </r>
  </si>
  <si>
    <r>
      <rPr>
        <sz val="10"/>
        <color theme="1"/>
        <rFont val="宋体"/>
        <charset val="134"/>
      </rPr>
      <t>诱变剂</t>
    </r>
    <r>
      <rPr>
        <sz val="10"/>
        <color theme="1"/>
        <rFont val="Times New Roman"/>
        <charset val="134"/>
      </rPr>
      <t>-</t>
    </r>
    <r>
      <rPr>
        <sz val="10"/>
        <color theme="1"/>
        <rFont val="宋体"/>
        <charset val="134"/>
      </rPr>
      <t>不破</t>
    </r>
  </si>
  <si>
    <r>
      <rPr>
        <sz val="10"/>
        <color theme="1"/>
        <rFont val="宋体"/>
        <charset val="134"/>
      </rPr>
      <t>你得到对钝击伤害的抗性。
副作用：你得到穿刺伤害的易伤。</t>
    </r>
  </si>
  <si>
    <r>
      <rPr>
        <sz val="10"/>
        <color theme="1"/>
        <rFont val="宋体"/>
        <charset val="134"/>
      </rPr>
      <t>精神控制力</t>
    </r>
  </si>
  <si>
    <r>
      <rPr>
        <sz val="10"/>
        <color theme="1"/>
        <rFont val="宋体"/>
        <charset val="134"/>
      </rPr>
      <t>你为解锁内心深处的空间努力钻研，已经可以释放自己内心深处未被开发的潜能。这一能量表现为一组心灵点骰池。你获得四个心灵点。在</t>
    </r>
    <r>
      <rPr>
        <sz val="10"/>
        <color theme="1"/>
        <rFont val="Times New Roman"/>
        <charset val="134"/>
      </rPr>
      <t>6</t>
    </r>
    <r>
      <rPr>
        <sz val="10"/>
        <color theme="1"/>
        <rFont val="宋体"/>
        <charset val="134"/>
      </rPr>
      <t>级你额外再获得两个，</t>
    </r>
    <r>
      <rPr>
        <sz val="10"/>
        <color theme="1"/>
        <rFont val="Times New Roman"/>
        <charset val="134"/>
      </rPr>
      <t>10</t>
    </r>
    <r>
      <rPr>
        <sz val="10"/>
        <color theme="1"/>
        <rFont val="宋体"/>
        <charset val="134"/>
      </rPr>
      <t>级另外获得两个，在</t>
    </r>
    <r>
      <rPr>
        <sz val="10"/>
        <color theme="1"/>
        <rFont val="Times New Roman"/>
        <charset val="134"/>
      </rPr>
      <t>14</t>
    </r>
    <r>
      <rPr>
        <sz val="10"/>
        <color theme="1"/>
        <rFont val="宋体"/>
        <charset val="134"/>
      </rPr>
      <t>级再额外获得两个。它们可以被用来施展以下详述的灵能力。当你已经消耗了全部的心灵点时，你便不能再使用这些能力。当你完成一次短休或长休后，你恢复所有已经用掉的心灵点。
脑力突破</t>
    </r>
    <r>
      <rPr>
        <sz val="10"/>
        <color theme="1"/>
        <rFont val="Times New Roman"/>
        <charset val="134"/>
      </rPr>
      <t>Cerebral Breakthrough</t>
    </r>
    <r>
      <rPr>
        <sz val="10"/>
        <color theme="1"/>
        <rFont val="宋体"/>
        <charset val="134"/>
      </rPr>
      <t>。当你施展一个造成伤害的药剂师法术时，你可以消耗一个心灵点来重骰任意数量的伤害骰。你必须使用新结果。
心胜于物</t>
    </r>
    <r>
      <rPr>
        <sz val="10"/>
        <color theme="1"/>
        <rFont val="Times New Roman"/>
        <charset val="134"/>
      </rPr>
      <t>Mind Over Matter</t>
    </r>
    <r>
      <rPr>
        <sz val="10"/>
        <color theme="1"/>
        <rFont val="宋体"/>
        <charset val="134"/>
      </rPr>
      <t>。当你承受伤害时，你可以用一个反应并消耗一个心灵点，来使伤害减少等同于你药剂师等级的数值。
心灵语者</t>
    </r>
    <r>
      <rPr>
        <sz val="10"/>
        <color theme="1"/>
        <rFont val="Times New Roman"/>
        <charset val="134"/>
      </rPr>
      <t>Mind Whisperer</t>
    </r>
    <r>
      <rPr>
        <sz val="10"/>
        <color theme="1"/>
        <rFont val="宋体"/>
        <charset val="134"/>
      </rPr>
      <t>。当你施展一个不造成伤害的药剂师法术时，你可以消耗一个心灵点来忽略预言和姿势成分地施展它。</t>
    </r>
    <r>
      <rPr>
        <sz val="10"/>
        <color theme="1"/>
        <rFont val="Times New Roman"/>
        <charset val="134"/>
      </rPr>
      <t xml:space="preserve"> </t>
    </r>
  </si>
  <si>
    <t>举起手来</t>
  </si>
  <si>
    <r>
      <rPr>
        <sz val="10"/>
        <color theme="1"/>
        <rFont val="宋体"/>
        <charset val="134"/>
      </rPr>
      <t>当你对一名生物造成重击时，你要求目标投降以替代对其发射射弹。目标必须成功进行一次感知豁免对抗你的战技豁免</t>
    </r>
    <r>
      <rPr>
        <sz val="10"/>
        <color theme="1"/>
        <rFont val="Times New Roman"/>
        <charset val="134"/>
      </rPr>
      <t>DC</t>
    </r>
    <r>
      <rPr>
        <sz val="10"/>
        <color theme="1"/>
        <rFont val="宋体"/>
        <charset val="134"/>
      </rPr>
      <t>，否则陷入恐慌与失能状态，持续</t>
    </r>
    <r>
      <rPr>
        <sz val="10"/>
        <color theme="1"/>
        <rFont val="Times New Roman"/>
        <charset val="134"/>
      </rPr>
      <t>1</t>
    </r>
    <r>
      <rPr>
        <sz val="10"/>
        <color theme="1"/>
        <rFont val="宋体"/>
        <charset val="134"/>
      </rPr>
      <t>分钟。若该生物受到任意伤害、你陷入失能状态或你死亡，这些状态提前结束。该生物在其每个回合结束时重复感知豁免，成功则终止其身上的这些状态。</t>
    </r>
  </si>
  <si>
    <t>红色套话</t>
  </si>
  <si>
    <r>
      <rPr>
        <sz val="10"/>
        <color theme="1"/>
        <rFont val="宋体"/>
        <charset val="134"/>
      </rPr>
      <t>先决：邪狱使等级</t>
    </r>
    <r>
      <rPr>
        <sz val="10"/>
        <color theme="1"/>
        <rFont val="Times New Roman"/>
        <charset val="134"/>
      </rPr>
      <t>7+</t>
    </r>
    <r>
      <rPr>
        <sz val="10"/>
        <color theme="1"/>
        <rFont val="宋体"/>
        <charset val="134"/>
      </rPr>
      <t>（狱言家）
当你进行魅力检定时，你可以消耗一枚缄印将</t>
    </r>
    <r>
      <rPr>
        <sz val="10"/>
        <color theme="1"/>
        <rFont val="Times New Roman"/>
        <charset val="134"/>
      </rPr>
      <t>D20</t>
    </r>
    <r>
      <rPr>
        <sz val="10"/>
        <color theme="1"/>
        <rFont val="宋体"/>
        <charset val="134"/>
      </rPr>
      <t>投出的</t>
    </r>
    <r>
      <rPr>
        <sz val="10"/>
        <color theme="1"/>
        <rFont val="Times New Roman"/>
        <charset val="134"/>
      </rPr>
      <t>9</t>
    </r>
    <r>
      <rPr>
        <sz val="10"/>
        <color theme="1"/>
        <rFont val="宋体"/>
        <charset val="134"/>
      </rPr>
      <t>及以下的结果视为</t>
    </r>
    <r>
      <rPr>
        <sz val="10"/>
        <color theme="1"/>
        <rFont val="Times New Roman"/>
        <charset val="134"/>
      </rPr>
      <t>10</t>
    </r>
    <r>
      <rPr>
        <sz val="10"/>
        <color theme="1"/>
        <rFont val="宋体"/>
        <charset val="134"/>
      </rPr>
      <t>。</t>
    </r>
  </si>
  <si>
    <r>
      <rPr>
        <sz val="10"/>
        <color theme="1"/>
        <rFont val="宋体"/>
        <charset val="134"/>
      </rPr>
      <t>孢子结社</t>
    </r>
  </si>
  <si>
    <r>
      <rPr>
        <sz val="10"/>
        <color theme="1"/>
        <rFont val="宋体"/>
        <charset val="134"/>
      </rPr>
      <t>巨人之力</t>
    </r>
  </si>
  <si>
    <r>
      <rPr>
        <sz val="10"/>
        <color theme="1"/>
        <rFont val="宋体"/>
        <charset val="134"/>
      </rPr>
      <t>你获得说、读、写巨人语的能力。若你已经习得巨人语，则可以改为自选另一种语言。此外，你选择并习得以下戏法之一：</t>
    </r>
    <r>
      <rPr>
        <sz val="10"/>
        <color theme="1"/>
        <rFont val="Times New Roman"/>
        <charset val="134"/>
      </rPr>
      <t xml:space="preserve"> </t>
    </r>
    <r>
      <rPr>
        <sz val="10"/>
        <color theme="1"/>
        <rFont val="宋体"/>
        <charset val="134"/>
      </rPr>
      <t>德鲁伊伎俩</t>
    </r>
    <r>
      <rPr>
        <sz val="10"/>
        <color theme="1"/>
        <rFont val="Times New Roman"/>
        <charset val="134"/>
      </rPr>
      <t xml:space="preserve">druidcraft </t>
    </r>
    <r>
      <rPr>
        <sz val="10"/>
        <color theme="1"/>
        <rFont val="宋体"/>
        <charset val="134"/>
      </rPr>
      <t>、奇术</t>
    </r>
    <r>
      <rPr>
        <sz val="10"/>
        <color theme="1"/>
        <rFont val="Times New Roman"/>
        <charset val="134"/>
      </rPr>
      <t xml:space="preserve">thaumaturgy </t>
    </r>
    <r>
      <rPr>
        <sz val="10"/>
        <color theme="1"/>
        <rFont val="宋体"/>
        <charset val="134"/>
      </rPr>
      <t>。这个法术的施法属性为感知。</t>
    </r>
  </si>
  <si>
    <r>
      <rPr>
        <sz val="10"/>
        <color theme="1"/>
        <rFont val="宋体"/>
        <charset val="134"/>
      </rPr>
      <t>精魂集会</t>
    </r>
  </si>
  <si>
    <r>
      <rPr>
        <sz val="10"/>
        <color theme="1"/>
        <rFont val="宋体"/>
        <charset val="134"/>
      </rPr>
      <t>精魂赐予你超自然的洞悉能力。你可以进行一个小时的仪式，使用精魂法器来与精魂们沟通（这可以在短休或长休中进行）。你可以召集等同于你熟练加值数目的自愿生物来参与仪式（可以包括你自己）。仪式结束时，你可以从任意职业的法术列表中选择一个法术，你暂时性地习得该法术。
你习得的法术的环级需等于参加仪式的生物数目，该法术必须为预言或死灵学派，并且必须是你可以施放的环级的法术。该法术对你而言是诗人法术，但不计入你已知的诗人法术数量中。
一旦你举行了仪式，直到开始一次长休前都不能再次这样做，你临时习得的法术持续直到你开始一次长休。</t>
    </r>
  </si>
  <si>
    <r>
      <rPr>
        <sz val="10"/>
        <color theme="1"/>
        <rFont val="宋体"/>
        <charset val="134"/>
      </rPr>
      <t>秩序之怒</t>
    </r>
  </si>
  <si>
    <r>
      <rPr>
        <sz val="10"/>
        <color theme="1"/>
        <rFont val="宋体"/>
        <charset val="134"/>
      </rPr>
      <t>在你与盟友的共同努力下，你们所面对的敌人必将被毁灭。你回合内对一名生物造成了神圣打击的伤害后，你可以诅咒该生物。下一次当你的一名盟友以一次攻击命中被诅咒的生物时，目标将额外受到</t>
    </r>
    <r>
      <rPr>
        <sz val="10"/>
        <color theme="1"/>
        <rFont val="Times New Roman"/>
        <charset val="134"/>
      </rPr>
      <t>2d8</t>
    </r>
    <r>
      <rPr>
        <sz val="10"/>
        <color theme="1"/>
        <rFont val="宋体"/>
        <charset val="134"/>
      </rPr>
      <t>心灵伤害，随后诅咒结束。你一回合只能以这种方式诅咒生物一次，且没有使用的诅咒将在你的下回合的开始时消失。</t>
    </r>
  </si>
  <si>
    <r>
      <rPr>
        <sz val="10"/>
        <color theme="1"/>
        <rFont val="宋体"/>
        <charset val="134"/>
      </rPr>
      <t>扩散孢子</t>
    </r>
  </si>
  <si>
    <r>
      <rPr>
        <sz val="10"/>
        <color theme="1"/>
        <rFont val="宋体"/>
        <charset val="134"/>
      </rPr>
      <t>你获得了在一片区域内散布致命的孢子的能力。
当你的一体共生特性处于开启状态下，你可以用一个附赠动作，将真菌孢子抛向至多</t>
    </r>
    <r>
      <rPr>
        <sz val="10"/>
        <color theme="1"/>
        <rFont val="Times New Roman"/>
        <charset val="134"/>
      </rPr>
      <t>30</t>
    </r>
    <r>
      <rPr>
        <sz val="10"/>
        <color theme="1"/>
        <rFont val="宋体"/>
        <charset val="134"/>
      </rPr>
      <t>英尺外，它们将漂浮在那里</t>
    </r>
    <r>
      <rPr>
        <sz val="10"/>
        <color theme="1"/>
        <rFont val="Times New Roman"/>
        <charset val="134"/>
      </rPr>
      <t>10</t>
    </r>
    <r>
      <rPr>
        <sz val="10"/>
        <color theme="1"/>
        <rFont val="宋体"/>
        <charset val="134"/>
      </rPr>
      <t>英尺见方的空间中，持续</t>
    </r>
    <r>
      <rPr>
        <sz val="10"/>
        <color theme="1"/>
        <rFont val="Times New Roman"/>
        <charset val="134"/>
      </rPr>
      <t>1</t>
    </r>
    <r>
      <rPr>
        <sz val="10"/>
        <color theme="1"/>
        <rFont val="宋体"/>
        <charset val="134"/>
      </rPr>
      <t>分钟。
若你再次使用此特性，或使用一个附赠动作取消掉，或你的一体共生特性不再起作用，这片孢子将提前消失。
任何在此空间内开始其回合的生物受到你的孢子光晕伤害，除非其通过一个等同于你法术</t>
    </r>
    <r>
      <rPr>
        <sz val="10"/>
        <color theme="1"/>
        <rFont val="Times New Roman"/>
        <charset val="134"/>
      </rPr>
      <t>DC</t>
    </r>
    <r>
      <rPr>
        <sz val="10"/>
        <color theme="1"/>
        <rFont val="宋体"/>
        <charset val="134"/>
      </rPr>
      <t>的体质豁免，一个生物每轮只能受到一次该伤害。
只要这片孢子存在，你就不能使用你孢子光晕的反应动作。</t>
    </r>
  </si>
  <si>
    <r>
      <rPr>
        <sz val="10"/>
        <color theme="1"/>
        <rFont val="宋体"/>
        <charset val="134"/>
      </rPr>
      <t>奥法打击</t>
    </r>
  </si>
  <si>
    <t>你习得用武器攻击削弱敌人对你法术抵抗能力的方法。当你使用一把武器命中一个生物后，直到你的下个回合结束为止，该生物在对抗你法术所进行的下一次豁免检定中具有劣势。</t>
  </si>
  <si>
    <r>
      <rPr>
        <sz val="10"/>
        <color theme="1"/>
        <rFont val="宋体"/>
        <charset val="134"/>
      </rPr>
      <t>星我之躯</t>
    </r>
  </si>
  <si>
    <r>
      <rPr>
        <sz val="10"/>
        <color theme="1"/>
        <rFont val="宋体"/>
        <charset val="134"/>
      </rPr>
      <t>当你同时召唤星我之臂和星我之容时，你可以让你的星我之躯出现（不需要任何动作），这个幽光般的躯体如同一件盔甲般复盖着你的身体，与星我之臂和星我之容相连。
你来决定它的外观，当星我之躯出现时，你将获得如下增益：
拨挡能量：当你受到强酸、冷冻、火焰、力场、闪电或雷鸣伤害时，你可以用你的反应来偏转它，如果你这么做，则你所受的该次伤害减少</t>
    </r>
    <r>
      <rPr>
        <sz val="10"/>
        <color theme="1"/>
        <rFont val="Times New Roman"/>
        <charset val="134"/>
      </rPr>
      <t>1D10+</t>
    </r>
    <r>
      <rPr>
        <sz val="10"/>
        <color theme="1"/>
        <rFont val="宋体"/>
        <charset val="134"/>
      </rPr>
      <t>你的感知调整值（最小减少</t>
    </r>
    <r>
      <rPr>
        <sz val="10"/>
        <color theme="1"/>
        <rFont val="Times New Roman"/>
        <charset val="134"/>
      </rPr>
      <t>1</t>
    </r>
    <r>
      <rPr>
        <sz val="10"/>
        <color theme="1"/>
        <rFont val="宋体"/>
        <charset val="134"/>
      </rPr>
      <t>）。
注能之臂：你的每回合中有一次机会，当你用星我之臂攻击命中目标时，你可以对目标造成额外伤害，相当于你的武艺骰。</t>
    </r>
  </si>
  <si>
    <r>
      <rPr>
        <sz val="10"/>
        <color theme="1"/>
        <rFont val="宋体"/>
        <charset val="134"/>
      </rPr>
      <t>哨卫灵光</t>
    </r>
  </si>
  <si>
    <r>
      <rPr>
        <sz val="10"/>
        <color theme="1"/>
        <rFont val="宋体"/>
        <charset val="134"/>
      </rPr>
      <t>若你未失能，你散发出一道令人保持警觉的灵光。
当你和你</t>
    </r>
    <r>
      <rPr>
        <sz val="10"/>
        <color theme="1"/>
        <rFont val="Times New Roman"/>
        <charset val="134"/>
      </rPr>
      <t>10</t>
    </r>
    <r>
      <rPr>
        <sz val="10"/>
        <color theme="1"/>
        <rFont val="宋体"/>
        <charset val="134"/>
      </rPr>
      <t xml:space="preserve">尺内由你选择的生物进行一次先攻检定时，获得等同于你熟练加值的加值。
</t>
    </r>
    <r>
      <rPr>
        <sz val="10"/>
        <color theme="1"/>
        <rFont val="Times New Roman"/>
        <charset val="134"/>
      </rPr>
      <t>18</t>
    </r>
    <r>
      <rPr>
        <sz val="10"/>
        <color theme="1"/>
        <rFont val="宋体"/>
        <charset val="134"/>
      </rPr>
      <t>级起，灵光的范围增长至</t>
    </r>
    <r>
      <rPr>
        <sz val="10"/>
        <color theme="1"/>
        <rFont val="Times New Roman"/>
        <charset val="134"/>
      </rPr>
      <t>30</t>
    </r>
    <r>
      <rPr>
        <sz val="10"/>
        <color theme="1"/>
        <rFont val="宋体"/>
        <charset val="134"/>
      </rPr>
      <t>尺。</t>
    </r>
  </si>
  <si>
    <r>
      <rPr>
        <sz val="10"/>
        <color theme="1"/>
        <rFont val="宋体"/>
        <charset val="134"/>
      </rPr>
      <t>集群牧者魔法</t>
    </r>
  </si>
  <si>
    <r>
      <rPr>
        <sz val="10"/>
        <color theme="1"/>
        <rFont val="宋体"/>
        <charset val="134"/>
      </rPr>
      <t>如果你之前并未掌握，你学会法师之手戏法，当你施展它的时候，其形式是聚集在一起的自然精魂。
同样，你会在到达指定游侠等级时，学会一个额外的</t>
    </r>
    <r>
      <rPr>
        <sz val="10"/>
        <color theme="1"/>
        <rFont val="Times New Roman"/>
        <charset val="134"/>
      </rPr>
      <t>1</t>
    </r>
    <r>
      <rPr>
        <sz val="10"/>
        <color theme="1"/>
        <rFont val="宋体"/>
        <charset val="134"/>
      </rPr>
      <t xml:space="preserve">环或更高环阶的法术，如集群牧者法术列表所示。
这些法术对你视为游侠法术，但它不计入你的已知法术总数中。
</t>
    </r>
    <r>
      <rPr>
        <sz val="10"/>
        <color theme="1"/>
        <rFont val="Times New Roman"/>
        <charset val="134"/>
      </rPr>
      <t xml:space="preserve">3rd
</t>
    </r>
    <r>
      <rPr>
        <sz val="10"/>
        <color theme="1"/>
        <rFont val="宋体"/>
        <charset val="134"/>
      </rPr>
      <t xml:space="preserve">妖火术，法师之手
</t>
    </r>
    <r>
      <rPr>
        <sz val="10"/>
        <color theme="1"/>
        <rFont val="Times New Roman"/>
        <charset val="134"/>
      </rPr>
      <t xml:space="preserve">5th
</t>
    </r>
    <r>
      <rPr>
        <sz val="10"/>
        <color theme="1"/>
        <rFont val="宋体"/>
        <charset val="134"/>
      </rPr>
      <t xml:space="preserve">蛛网术
</t>
    </r>
    <r>
      <rPr>
        <sz val="10"/>
        <color theme="1"/>
        <rFont val="Times New Roman"/>
        <charset val="134"/>
      </rPr>
      <t xml:space="preserve">9th
</t>
    </r>
    <r>
      <rPr>
        <sz val="10"/>
        <color theme="1"/>
        <rFont val="宋体"/>
        <charset val="134"/>
      </rPr>
      <t xml:space="preserve">气化形体
</t>
    </r>
    <r>
      <rPr>
        <sz val="10"/>
        <color theme="1"/>
        <rFont val="Times New Roman"/>
        <charset val="134"/>
      </rPr>
      <t xml:space="preserve">13th
</t>
    </r>
    <r>
      <rPr>
        <sz val="10"/>
        <color theme="1"/>
        <rFont val="宋体"/>
        <charset val="134"/>
      </rPr>
      <t xml:space="preserve">秘法眼
</t>
    </r>
    <r>
      <rPr>
        <sz val="10"/>
        <color theme="1"/>
        <rFont val="Times New Roman"/>
        <charset val="134"/>
      </rPr>
      <t xml:space="preserve">17th
</t>
    </r>
    <r>
      <rPr>
        <sz val="10"/>
        <color theme="1"/>
        <rFont val="宋体"/>
        <charset val="134"/>
      </rPr>
      <t>疫病虫群</t>
    </r>
  </si>
  <si>
    <r>
      <rPr>
        <sz val="10"/>
        <color theme="1"/>
        <rFont val="宋体"/>
        <charset val="134"/>
      </rPr>
      <t>生存专家</t>
    </r>
  </si>
  <si>
    <r>
      <rPr>
        <sz val="10"/>
        <color theme="1"/>
        <rFont val="宋体"/>
        <charset val="134"/>
      </rPr>
      <t>你得到对于自然和生存技能的熟练。
当使用上述熟练进行的任何属性检定中，你的熟练加值加倍。</t>
    </r>
  </si>
  <si>
    <r>
      <rPr>
        <sz val="10"/>
        <color theme="1"/>
        <rFont val="宋体"/>
        <charset val="134"/>
      </rPr>
      <t>幽暗形态</t>
    </r>
  </si>
  <si>
    <r>
      <rPr>
        <sz val="10"/>
        <color theme="1"/>
        <rFont val="宋体"/>
        <charset val="134"/>
      </rPr>
      <t>你可以耗费</t>
    </r>
    <r>
      <rPr>
        <sz val="10"/>
        <color theme="1"/>
        <rFont val="Times New Roman"/>
        <charset val="134"/>
      </rPr>
      <t>6</t>
    </r>
    <r>
      <rPr>
        <sz val="10"/>
        <color theme="1"/>
        <rFont val="宋体"/>
        <charset val="134"/>
      </rPr>
      <t>点术法点以一个附赠动作魔法地将自己转变为暗影形态。
在此形态中，你对除力场和光耀之外的所有伤害形势都具有抗性。
并且你可以像穿越困难地形一般地穿过其他生物或物体。
若回合结束时你处于某个物体内则会受到</t>
    </r>
    <r>
      <rPr>
        <sz val="10"/>
        <color theme="1"/>
        <rFont val="Times New Roman"/>
        <charset val="134"/>
      </rPr>
      <t>5</t>
    </r>
    <r>
      <rPr>
        <sz val="10"/>
        <color theme="1"/>
        <rFont val="宋体"/>
        <charset val="134"/>
      </rPr>
      <t>点的力场伤害。
你能维持这种状态</t>
    </r>
    <r>
      <rPr>
        <sz val="10"/>
        <color theme="1"/>
        <rFont val="Times New Roman"/>
        <charset val="134"/>
      </rPr>
      <t>1</t>
    </r>
    <r>
      <rPr>
        <sz val="10"/>
        <color theme="1"/>
        <rFont val="宋体"/>
        <charset val="134"/>
      </rPr>
      <t>分钟。
当你以一个附赠动作来解除暗影形态、处于失能或死亡时会提前结束状态效果。</t>
    </r>
  </si>
  <si>
    <r>
      <rPr>
        <sz val="10"/>
        <color theme="1"/>
        <rFont val="宋体"/>
        <charset val="134"/>
      </rPr>
      <t>饮命者</t>
    </r>
  </si>
  <si>
    <r>
      <rPr>
        <sz val="10"/>
        <color theme="1"/>
        <rFont val="宋体"/>
        <charset val="134"/>
      </rPr>
      <t>先决：魔契师等级</t>
    </r>
    <r>
      <rPr>
        <sz val="10"/>
        <color theme="1"/>
        <rFont val="Times New Roman"/>
        <charset val="134"/>
      </rPr>
      <t>9+</t>
    </r>
    <r>
      <rPr>
        <sz val="10"/>
        <color theme="1"/>
        <rFont val="宋体"/>
        <charset val="134"/>
      </rPr>
      <t>，具有刃之魔契祈唤
每回合一次，当你用契约武器命中一个生物时，你可以对其额外造成</t>
    </r>
    <r>
      <rPr>
        <sz val="10"/>
        <color theme="1"/>
        <rFont val="Times New Roman"/>
        <charset val="134"/>
      </rPr>
      <t>1d6</t>
    </r>
    <r>
      <rPr>
        <sz val="10"/>
        <color theme="1"/>
        <rFont val="宋体"/>
        <charset val="134"/>
      </rPr>
      <t>的暗蚀、心灵或光耀伤害（由你选择），且你可以投掷并消耗一颗你的生命骰，恢复等于其骰值再加上你的体质调整值（最小为</t>
    </r>
    <r>
      <rPr>
        <sz val="10"/>
        <color theme="1"/>
        <rFont val="Times New Roman"/>
        <charset val="134"/>
      </rPr>
      <t>1</t>
    </r>
    <r>
      <rPr>
        <sz val="10"/>
        <color theme="1"/>
        <rFont val="宋体"/>
        <charset val="134"/>
      </rPr>
      <t>）点生命值。</t>
    </r>
  </si>
  <si>
    <r>
      <rPr>
        <sz val="10"/>
        <color theme="1"/>
        <rFont val="宋体"/>
        <charset val="134"/>
      </rPr>
      <t>编写法术</t>
    </r>
  </si>
  <si>
    <r>
      <rPr>
        <sz val="10"/>
        <color theme="1"/>
        <rFont val="宋体"/>
        <charset val="134"/>
      </rPr>
      <t>从你的法术书中选择一道一环或更高的法术。当你准备该法术时，你可以赋予以下一条或多条增益：
你在该法术上的法术豁免</t>
    </r>
    <r>
      <rPr>
        <sz val="10"/>
        <color theme="1"/>
        <rFont val="Times New Roman"/>
        <charset val="134"/>
      </rPr>
      <t xml:space="preserve">DC+1
</t>
    </r>
    <r>
      <rPr>
        <sz val="10"/>
        <color theme="1"/>
        <rFont val="宋体"/>
        <charset val="134"/>
      </rPr>
      <t>若该法术造成伤害，则你可以将其改为另一种由你选择的伤害类型。
若该法术需要豁免，则你可以将其豁免类型改为智力豁免。
你可以多次准备你所选择的这道法术，但每次准备时都必须选择不同的增益组合。以此被修改的法术会如常占用你的准备法术数量。
当你对法术进行这些修改时，你还可以更改这道法术的名字，例如将燃烧之手</t>
    </r>
    <r>
      <rPr>
        <sz val="10"/>
        <color theme="1"/>
        <rFont val="Times New Roman"/>
        <charset val="134"/>
      </rPr>
      <t>Burning Hands</t>
    </r>
    <r>
      <rPr>
        <sz val="10"/>
        <color theme="1"/>
        <rFont val="宋体"/>
        <charset val="134"/>
      </rPr>
      <t>修改为造成寒冷伤害并需要进行智力豁免的版本后，其名字也许会被修改为封冻心神</t>
    </r>
    <r>
      <rPr>
        <sz val="10"/>
        <color theme="1"/>
        <rFont val="Times New Roman"/>
        <charset val="134"/>
      </rPr>
      <t xml:space="preserve">Mind Freeze </t>
    </r>
    <r>
      <rPr>
        <sz val="10"/>
        <color theme="1"/>
        <rFont val="宋体"/>
        <charset val="134"/>
      </rPr>
      <t>。
当你完成一次长休时，你可以改变你所选择的那道法术。此时，你先前赋予那道法术的增益将会消失，且你也失去你准备的那些以此特性修改后的法术。</t>
    </r>
  </si>
  <si>
    <t>精准引导</t>
  </si>
  <si>
    <r>
      <rPr>
        <sz val="10"/>
        <color theme="1"/>
        <rFont val="宋体"/>
        <charset val="134"/>
      </rPr>
      <t>每回合一次，每当你施展一道制图师法术列表的法术或在以攻击检定命中受你妖火</t>
    </r>
    <r>
      <rPr>
        <sz val="10"/>
        <color theme="1"/>
        <rFont val="Times New Roman"/>
        <charset val="134"/>
      </rPr>
      <t>Faerie Fire</t>
    </r>
    <r>
      <rPr>
        <sz val="10"/>
        <color theme="1"/>
        <rFont val="宋体"/>
        <charset val="134"/>
      </rPr>
      <t>影响的生物时，你可以将你的智力调整值加到该法术或攻击造成的其中一个伤害掷骰中。</t>
    </r>
    <r>
      <rPr>
        <sz val="10"/>
        <color theme="1"/>
        <rFont val="Times New Roman"/>
        <charset val="134"/>
      </rPr>
      <t xml:space="preserve">
</t>
    </r>
    <r>
      <rPr>
        <sz val="10"/>
        <color theme="1"/>
        <rFont val="宋体"/>
        <charset val="134"/>
      </rPr>
      <t>此外，受到伤害不会使你失去妖火</t>
    </r>
    <r>
      <rPr>
        <sz val="10"/>
        <color theme="1"/>
        <rFont val="Times New Roman"/>
        <charset val="134"/>
      </rPr>
      <t>Faerie Fire</t>
    </r>
    <r>
      <rPr>
        <sz val="10"/>
        <color theme="1"/>
        <rFont val="宋体"/>
        <charset val="134"/>
      </rPr>
      <t>的专注。</t>
    </r>
  </si>
  <si>
    <r>
      <rPr>
        <sz val="10"/>
        <color theme="1"/>
        <rFont val="宋体"/>
        <charset val="134"/>
      </rPr>
      <t>诱变剂</t>
    </r>
    <r>
      <rPr>
        <sz val="10"/>
        <color theme="1"/>
        <rFont val="Times New Roman"/>
        <charset val="134"/>
      </rPr>
      <t>-</t>
    </r>
    <r>
      <rPr>
        <sz val="10"/>
        <color theme="1"/>
        <rFont val="宋体"/>
        <charset val="134"/>
      </rPr>
      <t>潜能</t>
    </r>
  </si>
  <si>
    <r>
      <rPr>
        <sz val="10"/>
        <color theme="1"/>
        <rFont val="宋体"/>
        <charset val="134"/>
      </rPr>
      <t>你的力量值及其上限提升</t>
    </r>
    <r>
      <rPr>
        <sz val="10"/>
        <color theme="1"/>
        <rFont val="Times New Roman"/>
        <charset val="134"/>
      </rPr>
      <t xml:space="preserve"> 3 </t>
    </r>
    <r>
      <rPr>
        <sz val="10"/>
        <color theme="1"/>
        <rFont val="宋体"/>
        <charset val="134"/>
      </rPr>
      <t>点。此加值在第</t>
    </r>
    <r>
      <rPr>
        <sz val="10"/>
        <color theme="1"/>
        <rFont val="Times New Roman"/>
        <charset val="134"/>
      </rPr>
      <t xml:space="preserve"> 11 </t>
    </r>
    <r>
      <rPr>
        <sz val="10"/>
        <color theme="1"/>
        <rFont val="宋体"/>
        <charset val="134"/>
      </rPr>
      <t>级变为</t>
    </r>
    <r>
      <rPr>
        <sz val="10"/>
        <color theme="1"/>
        <rFont val="Times New Roman"/>
        <charset val="134"/>
      </rPr>
      <t>+4</t>
    </r>
    <r>
      <rPr>
        <sz val="10"/>
        <color theme="1"/>
        <rFont val="宋体"/>
        <charset val="134"/>
      </rPr>
      <t>，第</t>
    </r>
    <r>
      <rPr>
        <sz val="10"/>
        <color theme="1"/>
        <rFont val="Times New Roman"/>
        <charset val="134"/>
      </rPr>
      <t xml:space="preserve"> 18 </t>
    </r>
    <r>
      <rPr>
        <sz val="10"/>
        <color theme="1"/>
        <rFont val="宋体"/>
        <charset val="134"/>
      </rPr>
      <t>级变为</t>
    </r>
    <r>
      <rPr>
        <sz val="10"/>
        <color theme="1"/>
        <rFont val="Times New Roman"/>
        <charset val="134"/>
      </rPr>
      <t>+5</t>
    </r>
    <r>
      <rPr>
        <sz val="10"/>
        <color theme="1"/>
        <rFont val="宋体"/>
        <charset val="134"/>
      </rPr>
      <t>。
副作用：你进行的敏捷豁免具有劣势。</t>
    </r>
  </si>
  <si>
    <r>
      <rPr>
        <sz val="10"/>
        <color theme="1"/>
        <rFont val="宋体"/>
        <charset val="134"/>
      </rPr>
      <t>玄妙绳结</t>
    </r>
  </si>
  <si>
    <r>
      <rPr>
        <sz val="10"/>
        <color theme="1"/>
        <rFont val="宋体"/>
        <charset val="134"/>
      </rPr>
      <t>以一个动作，你触碰一个自愿的生物，与其达成一个心灵联结。联结持续等同于你药剂师等级数值的小时，或直到你中断联结（不需要任何动作）。在任何时候你能联结的生物数量等同于你的熟练加值。以这种方式联结起来的生物，只要彼此距离不超过</t>
    </r>
    <r>
      <rPr>
        <sz val="10"/>
        <color theme="1"/>
        <rFont val="Times New Roman"/>
        <charset val="134"/>
      </rPr>
      <t>100</t>
    </r>
    <r>
      <rPr>
        <sz val="10"/>
        <color theme="1"/>
        <rFont val="宋体"/>
        <charset val="134"/>
      </rPr>
      <t>尺就可以用心灵感应交流。</t>
    </r>
  </si>
  <si>
    <t>天网恢恢</t>
  </si>
  <si>
    <t>每回合一次，当你使用武器发动远程攻击命中不超过大型的生物时，你能够令目标蹒跚。该生物在其下个回合内在执行撤离动作前无法进行移动。</t>
  </si>
  <si>
    <t>寸步不让</t>
  </si>
  <si>
    <r>
      <rPr>
        <sz val="10"/>
        <color theme="1"/>
        <rFont val="宋体"/>
        <charset val="134"/>
      </rPr>
      <t>在你清醒期间，你和每个位于你</t>
    </r>
    <r>
      <rPr>
        <sz val="10"/>
        <color theme="1"/>
        <rFont val="Times New Roman"/>
        <charset val="134"/>
      </rPr>
      <t>10</t>
    </r>
    <r>
      <rPr>
        <sz val="10"/>
        <color theme="1"/>
        <rFont val="宋体"/>
        <charset val="134"/>
      </rPr>
      <t>尺内你选择的生物具有对魅惑状态的免疫。</t>
    </r>
  </si>
  <si>
    <r>
      <rPr>
        <sz val="10"/>
        <color theme="1"/>
        <rFont val="宋体"/>
        <charset val="134"/>
      </rPr>
      <t>野火结社</t>
    </r>
  </si>
  <si>
    <r>
      <rPr>
        <sz val="10"/>
        <color theme="1"/>
        <rFont val="宋体"/>
        <charset val="134"/>
      </rPr>
      <t>巨人之灾</t>
    </r>
  </si>
  <si>
    <r>
      <rPr>
        <sz val="10"/>
        <color theme="1"/>
        <rFont val="宋体"/>
        <charset val="134"/>
      </rPr>
      <t xml:space="preserve">你的狂暴从巨人的原初之力中汲取力量，使你成为强大破坏力的化身。狂暴期间，你获得以下的增益：
</t>
    </r>
    <r>
      <rPr>
        <sz val="10"/>
        <color theme="1"/>
        <rFont val="Times New Roman"/>
        <charset val="134"/>
      </rPr>
      <t xml:space="preserve">• </t>
    </r>
    <r>
      <rPr>
        <sz val="10"/>
        <color theme="1"/>
        <rFont val="宋体"/>
        <charset val="134"/>
      </rPr>
      <t>粉碎投掷</t>
    </r>
    <r>
      <rPr>
        <sz val="10"/>
        <color theme="1"/>
        <rFont val="Times New Roman"/>
        <charset val="134"/>
      </rPr>
      <t>Crushing Throw</t>
    </r>
    <r>
      <rPr>
        <sz val="10"/>
        <color theme="1"/>
        <rFont val="宋体"/>
        <charset val="134"/>
      </rPr>
      <t>。</t>
    </r>
    <r>
      <rPr>
        <sz val="10"/>
        <color theme="1"/>
        <rFont val="Times New Roman"/>
        <charset val="134"/>
      </rPr>
      <t xml:space="preserve"> </t>
    </r>
    <r>
      <rPr>
        <sz val="10"/>
        <color theme="1"/>
        <rFont val="宋体"/>
        <charset val="134"/>
      </rPr>
      <t xml:space="preserve">当你用力量且用投掷武器发动远程武器攻击，并成功命中时，你可以将你的狂暴伤害加值加到这次攻击的伤害掷骰中。
</t>
    </r>
    <r>
      <rPr>
        <sz val="10"/>
        <color theme="1"/>
        <rFont val="Times New Roman"/>
        <charset val="134"/>
      </rPr>
      <t xml:space="preserve">• </t>
    </r>
    <r>
      <rPr>
        <sz val="10"/>
        <color theme="1"/>
        <rFont val="宋体"/>
        <charset val="134"/>
      </rPr>
      <t>巨人体型</t>
    </r>
    <r>
      <rPr>
        <sz val="10"/>
        <color theme="1"/>
        <rFont val="Times New Roman"/>
        <charset val="134"/>
      </rPr>
      <t>Giant Stature</t>
    </r>
    <r>
      <rPr>
        <sz val="10"/>
        <color theme="1"/>
        <rFont val="宋体"/>
        <charset val="134"/>
      </rPr>
      <t>。</t>
    </r>
    <r>
      <rPr>
        <sz val="10"/>
        <color theme="1"/>
        <rFont val="Times New Roman"/>
        <charset val="134"/>
      </rPr>
      <t xml:space="preserve"> </t>
    </r>
    <r>
      <rPr>
        <sz val="10"/>
        <color theme="1"/>
        <rFont val="宋体"/>
        <charset val="134"/>
      </rPr>
      <t>你的触及范围扩大</t>
    </r>
    <r>
      <rPr>
        <sz val="10"/>
        <color theme="1"/>
        <rFont val="Times New Roman"/>
        <charset val="134"/>
      </rPr>
      <t>5</t>
    </r>
    <r>
      <rPr>
        <sz val="10"/>
        <color theme="1"/>
        <rFont val="宋体"/>
        <charset val="134"/>
      </rPr>
      <t>尺。且，如果你的体型小于大型，你的体型变为大型，你穿戴的所有装备也会一同变大。如果没有足够的空间供你增大体型，你的体型保持不变。</t>
    </r>
  </si>
  <si>
    <r>
      <rPr>
        <sz val="10"/>
        <color theme="1"/>
        <rFont val="宋体"/>
        <charset val="134"/>
      </rPr>
      <t>神秘连接</t>
    </r>
  </si>
  <si>
    <r>
      <rPr>
        <sz val="10"/>
        <color theme="1"/>
        <rFont val="宋体"/>
        <charset val="134"/>
      </rPr>
      <t>在使用彼岸故事特性时，你能稍微推动精魂们倾向特定的故事。当你投掷精魂故事表时，你可以掷骰两次，自选其中一个效果使用。如果两次掷骰结果相同，则你此次可以忽略掷骰结果，并从表中任选一个效果使用。</t>
    </r>
  </si>
  <si>
    <r>
      <rPr>
        <sz val="10"/>
        <color theme="1"/>
        <rFont val="宋体"/>
        <charset val="134"/>
      </rPr>
      <t>和平领域法术</t>
    </r>
  </si>
  <si>
    <r>
      <rPr>
        <sz val="10"/>
        <color theme="1"/>
        <rFont val="宋体"/>
        <charset val="134"/>
      </rPr>
      <t>牧师等级</t>
    </r>
    <r>
      <rPr>
        <sz val="10"/>
        <color theme="1"/>
        <rFont val="Times New Roman"/>
        <charset val="134"/>
      </rPr>
      <t>—</t>
    </r>
    <r>
      <rPr>
        <sz val="10"/>
        <color theme="1"/>
        <rFont val="宋体"/>
        <charset val="134"/>
      </rPr>
      <t xml:space="preserve">法术
</t>
    </r>
    <r>
      <rPr>
        <sz val="10"/>
        <color theme="1"/>
        <rFont val="Times New Roman"/>
        <charset val="134"/>
      </rPr>
      <t>1st—</t>
    </r>
    <r>
      <rPr>
        <sz val="10"/>
        <color theme="1"/>
        <rFont val="宋体"/>
        <charset val="134"/>
      </rPr>
      <t xml:space="preserve">英雄气概，庇护术
</t>
    </r>
    <r>
      <rPr>
        <sz val="10"/>
        <color theme="1"/>
        <rFont val="Times New Roman"/>
        <charset val="134"/>
      </rPr>
      <t>3rd—</t>
    </r>
    <r>
      <rPr>
        <sz val="10"/>
        <color theme="1"/>
        <rFont val="宋体"/>
        <charset val="134"/>
      </rPr>
      <t xml:space="preserve">援助术，守护之链
</t>
    </r>
    <r>
      <rPr>
        <sz val="10"/>
        <color theme="1"/>
        <rFont val="Times New Roman"/>
        <charset val="134"/>
      </rPr>
      <t>5th—</t>
    </r>
    <r>
      <rPr>
        <sz val="10"/>
        <color theme="1"/>
        <rFont val="宋体"/>
        <charset val="134"/>
      </rPr>
      <t xml:space="preserve">希望信标，短讯术
</t>
    </r>
    <r>
      <rPr>
        <sz val="10"/>
        <color theme="1"/>
        <rFont val="Times New Roman"/>
        <charset val="134"/>
      </rPr>
      <t>7th—</t>
    </r>
    <r>
      <rPr>
        <sz val="10"/>
        <color theme="1"/>
        <rFont val="宋体"/>
        <charset val="134"/>
      </rPr>
      <t xml:space="preserve">净化灵光，欧提路克弹力法球
</t>
    </r>
    <r>
      <rPr>
        <sz val="10"/>
        <color theme="1"/>
        <rFont val="Times New Roman"/>
        <charset val="134"/>
      </rPr>
      <t>9th—</t>
    </r>
    <r>
      <rPr>
        <sz val="10"/>
        <color theme="1"/>
        <rFont val="宋体"/>
        <charset val="134"/>
      </rPr>
      <t xml:space="preserve">高等复原术，拉瑞心灵连接
</t>
    </r>
  </si>
  <si>
    <r>
      <rPr>
        <sz val="10"/>
        <color theme="1"/>
        <rFont val="宋体"/>
        <charset val="134"/>
      </rPr>
      <t>真菌之躯</t>
    </r>
  </si>
  <si>
    <r>
      <rPr>
        <sz val="10"/>
        <color theme="1"/>
        <rFont val="宋体"/>
        <charset val="134"/>
      </rPr>
      <t>你体内的真菌改变了你：你不再会被目盲，耳聋，恐慌，或中毒；若一次攻击对你造成重击，它不会对你造成额外伤害除非你处于失能状态。</t>
    </r>
  </si>
  <si>
    <r>
      <rPr>
        <sz val="10"/>
        <color theme="1"/>
        <rFont val="宋体"/>
        <charset val="134"/>
      </rPr>
      <t>奥能冲锋</t>
    </r>
  </si>
  <si>
    <r>
      <rPr>
        <sz val="10"/>
        <color theme="1"/>
        <rFont val="宋体"/>
        <charset val="134"/>
      </rPr>
      <t>你可以在使用动作如潮时传送至多</t>
    </r>
    <r>
      <rPr>
        <sz val="10"/>
        <color theme="1"/>
        <rFont val="Times New Roman"/>
        <charset val="134"/>
      </rPr>
      <t>30</t>
    </r>
    <r>
      <rPr>
        <sz val="10"/>
        <color theme="1"/>
        <rFont val="宋体"/>
        <charset val="134"/>
      </rPr>
      <t>尺至一个你能看到的未被占据的空间。你可以在使用动作如潮提供的额外动作之前或之后进行传送。</t>
    </r>
  </si>
  <si>
    <r>
      <rPr>
        <sz val="10"/>
        <color theme="1"/>
        <rFont val="宋体"/>
        <charset val="134"/>
      </rPr>
      <t>星我觉醒</t>
    </r>
  </si>
  <si>
    <r>
      <rPr>
        <sz val="10"/>
        <color theme="1"/>
        <rFont val="宋体"/>
        <charset val="134"/>
      </rPr>
      <t>你与星我之间的连接趋近完美，你能够释放它的全部潜能。
以一个附赠动作，你可以花费</t>
    </r>
    <r>
      <rPr>
        <sz val="10"/>
        <color theme="1"/>
        <rFont val="Times New Roman"/>
        <charset val="134"/>
      </rPr>
      <t>5</t>
    </r>
    <r>
      <rPr>
        <sz val="10"/>
        <color theme="1"/>
        <rFont val="宋体"/>
        <charset val="134"/>
      </rPr>
      <t>点气召唤你的星我之臂、星我之容和星我之躯，这种星我觉醒状态持续</t>
    </r>
    <r>
      <rPr>
        <sz val="10"/>
        <color theme="1"/>
        <rFont val="Times New Roman"/>
        <charset val="134"/>
      </rPr>
      <t>10</t>
    </r>
    <r>
      <rPr>
        <sz val="10"/>
        <color theme="1"/>
        <rFont val="宋体"/>
        <charset val="134"/>
      </rPr>
      <t>分钟，如果你失能或死亡，这种觉醒状态会提前结束。
当你处于星我觉醒时，你将获得如下增益：
灵魂盔甲：你的</t>
    </r>
    <r>
      <rPr>
        <sz val="10"/>
        <color theme="1"/>
        <rFont val="Times New Roman"/>
        <charset val="134"/>
      </rPr>
      <t>AC</t>
    </r>
    <r>
      <rPr>
        <sz val="10"/>
        <color theme="1"/>
        <rFont val="宋体"/>
        <charset val="134"/>
      </rPr>
      <t>获得</t>
    </r>
    <r>
      <rPr>
        <sz val="10"/>
        <color theme="1"/>
        <rFont val="Times New Roman"/>
        <charset val="134"/>
      </rPr>
      <t>+2</t>
    </r>
    <r>
      <rPr>
        <sz val="10"/>
        <color theme="1"/>
        <rFont val="宋体"/>
        <charset val="134"/>
      </rPr>
      <t>加值。
星之连击：当你使用额外攻击特性进行两次攻击时，可以改为三次攻击，所有的攻击必须都是星我之臂进行的。</t>
    </r>
  </si>
  <si>
    <r>
      <rPr>
        <sz val="10"/>
        <color theme="1"/>
        <rFont val="宋体"/>
        <charset val="134"/>
      </rPr>
      <t>警戒呵斥</t>
    </r>
  </si>
  <si>
    <r>
      <rPr>
        <sz val="10"/>
        <color theme="1"/>
        <rFont val="宋体"/>
        <charset val="134"/>
      </rPr>
      <t>你学会了如何惩罚那些对你与受你守护之人施行欺瞒的家伙。
当你或你</t>
    </r>
    <r>
      <rPr>
        <sz val="10"/>
        <color theme="1"/>
        <rFont val="Times New Roman"/>
        <charset val="134"/>
      </rPr>
      <t>30</t>
    </r>
    <r>
      <rPr>
        <sz val="10"/>
        <color theme="1"/>
        <rFont val="宋体"/>
        <charset val="134"/>
      </rPr>
      <t>尺内一个你可见的生物在一次智力、感知或魅力豁免上成功时，你可以用反应对迫使你或该生物进行豁免检定的生物造成力场伤害，数值等同于你的魅力调整值加上</t>
    </r>
    <r>
      <rPr>
        <sz val="10"/>
        <color theme="1"/>
        <rFont val="Times New Roman"/>
        <charset val="134"/>
      </rPr>
      <t>2d8</t>
    </r>
    <r>
      <rPr>
        <sz val="10"/>
        <color theme="1"/>
        <rFont val="宋体"/>
        <charset val="134"/>
      </rPr>
      <t>。</t>
    </r>
  </si>
  <si>
    <r>
      <rPr>
        <sz val="10"/>
        <color theme="1"/>
        <rFont val="宋体"/>
        <charset val="134"/>
      </rPr>
      <t>翻腾浪涌</t>
    </r>
  </si>
  <si>
    <r>
      <rPr>
        <sz val="10"/>
        <color theme="1"/>
        <rFont val="宋体"/>
        <charset val="134"/>
      </rPr>
      <t>你能将你的集群的一部分凝聚成一股集中的力量，来将你托起。
以一个附赠动作，你获得</t>
    </r>
    <r>
      <rPr>
        <sz val="10"/>
        <color theme="1"/>
        <rFont val="Times New Roman"/>
        <charset val="134"/>
      </rPr>
      <t>10</t>
    </r>
    <r>
      <rPr>
        <sz val="10"/>
        <color theme="1"/>
        <rFont val="宋体"/>
        <charset val="134"/>
      </rPr>
      <t>尺飞行速度并且能悬浮在空中，该效应持续</t>
    </r>
    <r>
      <rPr>
        <sz val="10"/>
        <color theme="1"/>
        <rFont val="Times New Roman"/>
        <charset val="134"/>
      </rPr>
      <t>1</t>
    </r>
    <r>
      <rPr>
        <sz val="10"/>
        <color theme="1"/>
        <rFont val="宋体"/>
        <charset val="134"/>
      </rPr>
      <t>分钟或直到你陷入失能状态。
你能使用该特性的次数等于你的熟练加值，而你在结束一次长休后重新获得所有消耗的次数。</t>
    </r>
  </si>
  <si>
    <r>
      <rPr>
        <sz val="10"/>
        <color theme="1"/>
        <rFont val="宋体"/>
        <charset val="134"/>
      </rPr>
      <t>优异灵活</t>
    </r>
  </si>
  <si>
    <r>
      <rPr>
        <sz val="10"/>
        <color theme="1"/>
        <rFont val="宋体"/>
        <charset val="134"/>
      </rPr>
      <t>你的行走速度增加</t>
    </r>
    <r>
      <rPr>
        <sz val="10"/>
        <color theme="1"/>
        <rFont val="Times New Roman"/>
        <charset val="134"/>
      </rPr>
      <t>10</t>
    </r>
    <r>
      <rPr>
        <sz val="10"/>
        <color theme="1"/>
        <rFont val="宋体"/>
        <charset val="134"/>
      </rPr>
      <t>英尺。
若你具有攀爬或游泳速度，这个能力也会增加在这些速度上。</t>
    </r>
  </si>
  <si>
    <r>
      <rPr>
        <sz val="10"/>
        <color theme="1"/>
        <rFont val="宋体"/>
        <charset val="134"/>
      </rPr>
      <t>风语者</t>
    </r>
  </si>
  <si>
    <r>
      <rPr>
        <sz val="10"/>
        <color theme="1"/>
        <rFont val="宋体"/>
        <charset val="134"/>
      </rPr>
      <t>你操纵的奥术魔法浸染着风元素之力。
你可以听、说、读、写原初语。
（了解这种语言允许你了解这些说这种语言的种族，同时你说的话也被他们理解：水族语</t>
    </r>
    <r>
      <rPr>
        <sz val="10"/>
        <color theme="1"/>
        <rFont val="Times New Roman"/>
        <charset val="134"/>
      </rPr>
      <t>,</t>
    </r>
    <r>
      <rPr>
        <sz val="10"/>
        <color theme="1"/>
        <rFont val="宋体"/>
        <charset val="134"/>
      </rPr>
      <t>气族语</t>
    </r>
    <r>
      <rPr>
        <sz val="10"/>
        <color theme="1"/>
        <rFont val="Times New Roman"/>
        <charset val="134"/>
      </rPr>
      <t>,</t>
    </r>
    <r>
      <rPr>
        <sz val="10"/>
        <color theme="1"/>
        <rFont val="宋体"/>
        <charset val="134"/>
      </rPr>
      <t>火族语</t>
    </r>
    <r>
      <rPr>
        <sz val="10"/>
        <color theme="1"/>
        <rFont val="Times New Roman"/>
        <charset val="134"/>
      </rPr>
      <t>,</t>
    </r>
    <r>
      <rPr>
        <sz val="10"/>
        <color theme="1"/>
        <rFont val="宋体"/>
        <charset val="134"/>
      </rPr>
      <t>土族语）。</t>
    </r>
  </si>
  <si>
    <r>
      <rPr>
        <sz val="10"/>
        <color theme="1"/>
        <rFont val="宋体"/>
        <charset val="134"/>
      </rPr>
      <t>穹宇尽视</t>
    </r>
  </si>
  <si>
    <r>
      <rPr>
        <sz val="10"/>
        <color theme="1"/>
        <rFont val="宋体"/>
        <charset val="134"/>
      </rPr>
      <t>先决：魔契师等级</t>
    </r>
    <r>
      <rPr>
        <sz val="10"/>
        <color theme="1"/>
        <rFont val="Times New Roman"/>
        <charset val="134"/>
      </rPr>
      <t xml:space="preserve">9+
</t>
    </r>
    <r>
      <rPr>
        <sz val="10"/>
        <color theme="1"/>
        <rFont val="宋体"/>
        <charset val="134"/>
      </rPr>
      <t>你可以施展秘法眼</t>
    </r>
    <r>
      <rPr>
        <sz val="10"/>
        <color theme="1"/>
        <rFont val="Times New Roman"/>
        <charset val="134"/>
      </rPr>
      <t xml:space="preserve">Arcane Eye </t>
    </r>
    <r>
      <rPr>
        <sz val="10"/>
        <color theme="1"/>
        <rFont val="宋体"/>
        <charset val="134"/>
      </rPr>
      <t>且无需消耗法术位。</t>
    </r>
  </si>
  <si>
    <r>
      <rPr>
        <sz val="10"/>
        <color theme="1"/>
        <rFont val="宋体"/>
        <charset val="134"/>
      </rPr>
      <t>织言者</t>
    </r>
  </si>
  <si>
    <r>
      <rPr>
        <sz val="10"/>
        <color theme="1"/>
        <rFont val="宋体"/>
        <charset val="134"/>
      </rPr>
      <t>你成为了通晓所有言语的大师。你习得战役中所有角色可以习得的语言。</t>
    </r>
  </si>
  <si>
    <r>
      <rPr>
        <sz val="10"/>
        <color theme="1"/>
        <rFont val="宋体"/>
        <charset val="134"/>
      </rPr>
      <t>灵机一动</t>
    </r>
  </si>
  <si>
    <r>
      <rPr>
        <sz val="10"/>
        <color theme="1"/>
        <rFont val="宋体"/>
        <charset val="134"/>
      </rPr>
      <t>当你使用灵光一闪特性时，作为该次反应的一部分，你或一名由你选择的</t>
    </r>
    <r>
      <rPr>
        <sz val="10"/>
        <color theme="1"/>
        <rFont val="Times New Roman"/>
        <charset val="134"/>
      </rPr>
      <t>30</t>
    </r>
    <r>
      <rPr>
        <sz val="10"/>
        <color theme="1"/>
        <rFont val="宋体"/>
        <charset val="134"/>
      </rPr>
      <t>尺内的自愿生物可以传送至多</t>
    </r>
    <r>
      <rPr>
        <sz val="10"/>
        <color theme="1"/>
        <rFont val="Times New Roman"/>
        <charset val="134"/>
      </rPr>
      <t>30</t>
    </r>
    <r>
      <rPr>
        <sz val="10"/>
        <color theme="1"/>
        <rFont val="宋体"/>
        <charset val="134"/>
      </rPr>
      <t>尺至一处你可见的未占据空间中。</t>
    </r>
  </si>
  <si>
    <r>
      <rPr>
        <sz val="10"/>
        <color theme="1"/>
        <rFont val="宋体"/>
        <charset val="134"/>
      </rPr>
      <t>诱变剂</t>
    </r>
    <r>
      <rPr>
        <sz val="10"/>
        <color theme="1"/>
        <rFont val="Times New Roman"/>
        <charset val="134"/>
      </rPr>
      <t>-</t>
    </r>
    <r>
      <rPr>
        <sz val="10"/>
        <color theme="1"/>
        <rFont val="宋体"/>
        <charset val="134"/>
      </rPr>
      <t>迅捷</t>
    </r>
  </si>
  <si>
    <r>
      <rPr>
        <sz val="10"/>
        <color theme="1"/>
        <rFont val="宋体"/>
        <charset val="134"/>
      </rPr>
      <t>你的敏捷值及其上限提升</t>
    </r>
    <r>
      <rPr>
        <sz val="10"/>
        <color theme="1"/>
        <rFont val="Times New Roman"/>
        <charset val="134"/>
      </rPr>
      <t xml:space="preserve"> 3 </t>
    </r>
    <r>
      <rPr>
        <sz val="10"/>
        <color theme="1"/>
        <rFont val="宋体"/>
        <charset val="134"/>
      </rPr>
      <t>点。此加值在第</t>
    </r>
    <r>
      <rPr>
        <sz val="10"/>
        <color theme="1"/>
        <rFont val="Times New Roman"/>
        <charset val="134"/>
      </rPr>
      <t xml:space="preserve"> 11 </t>
    </r>
    <r>
      <rPr>
        <sz val="10"/>
        <color theme="1"/>
        <rFont val="宋体"/>
        <charset val="134"/>
      </rPr>
      <t>级变为</t>
    </r>
    <r>
      <rPr>
        <sz val="10"/>
        <color theme="1"/>
        <rFont val="Times New Roman"/>
        <charset val="134"/>
      </rPr>
      <t>+4</t>
    </r>
    <r>
      <rPr>
        <sz val="10"/>
        <color theme="1"/>
        <rFont val="宋体"/>
        <charset val="134"/>
      </rPr>
      <t>，第</t>
    </r>
    <r>
      <rPr>
        <sz val="10"/>
        <color theme="1"/>
        <rFont val="Times New Roman"/>
        <charset val="134"/>
      </rPr>
      <t xml:space="preserve"> 18 </t>
    </r>
    <r>
      <rPr>
        <sz val="10"/>
        <color theme="1"/>
        <rFont val="宋体"/>
        <charset val="134"/>
      </rPr>
      <t>级变为</t>
    </r>
    <r>
      <rPr>
        <sz val="10"/>
        <color theme="1"/>
        <rFont val="Times New Roman"/>
        <charset val="134"/>
      </rPr>
      <t>+5</t>
    </r>
    <r>
      <rPr>
        <sz val="10"/>
        <color theme="1"/>
        <rFont val="宋体"/>
        <charset val="134"/>
      </rPr>
      <t>。
副作用：你进行的感知豁免具有劣势。</t>
    </r>
  </si>
  <si>
    <r>
      <rPr>
        <sz val="10"/>
        <color theme="1"/>
        <rFont val="宋体"/>
        <charset val="134"/>
      </rPr>
      <t>念力操纵</t>
    </r>
  </si>
  <si>
    <r>
      <rPr>
        <sz val="10"/>
        <color theme="1"/>
        <rFont val="宋体"/>
        <charset val="134"/>
      </rPr>
      <t>你的精神能力允许你控制自身周围的现实结构，这允许你无视重力，只需要一个念头就能让自己飞到空中。以一个附赠动作，你可以消耗一个心灵点，使自己获得等同于步行速度的飞行速度，持续一分钟。在这期间你可以悬停。</t>
    </r>
    <r>
      <rPr>
        <sz val="10"/>
        <color theme="1"/>
        <rFont val="Times New Roman"/>
        <charset val="134"/>
      </rPr>
      <t xml:space="preserve"> </t>
    </r>
  </si>
  <si>
    <t>金星英杰</t>
  </si>
  <si>
    <r>
      <rPr>
        <sz val="10"/>
        <color theme="1"/>
        <rFont val="宋体"/>
        <charset val="134"/>
      </rPr>
      <t>凭借你英勇的枪法，你获得以下增益。</t>
    </r>
    <r>
      <rPr>
        <sz val="10"/>
        <color theme="1"/>
        <rFont val="Times New Roman"/>
        <charset val="134"/>
      </rPr>
      <t xml:space="preserve">
</t>
    </r>
    <r>
      <rPr>
        <sz val="10"/>
        <color theme="1"/>
        <rFont val="宋体"/>
        <charset val="134"/>
      </rPr>
      <t>灵光提升</t>
    </r>
    <r>
      <rPr>
        <sz val="10"/>
        <color theme="1"/>
        <rFont val="Times New Roman"/>
        <charset val="134"/>
      </rPr>
      <t>Improved Aura</t>
    </r>
    <r>
      <rPr>
        <sz val="10"/>
        <color theme="1"/>
        <rFont val="宋体"/>
        <charset val="134"/>
      </rPr>
      <t>。你的特性冷目灵光的范围提升至</t>
    </r>
    <r>
      <rPr>
        <sz val="10"/>
        <color theme="1"/>
        <rFont val="Times New Roman"/>
        <charset val="134"/>
      </rPr>
      <t>30</t>
    </r>
    <r>
      <rPr>
        <sz val="10"/>
        <color theme="1"/>
        <rFont val="宋体"/>
        <charset val="134"/>
      </rPr>
      <t>尺。</t>
    </r>
    <r>
      <rPr>
        <sz val="10"/>
        <color theme="1"/>
        <rFont val="Times New Roman"/>
        <charset val="134"/>
      </rPr>
      <t xml:space="preserve">
</t>
    </r>
    <r>
      <rPr>
        <sz val="10"/>
        <color theme="1"/>
        <rFont val="宋体"/>
        <charset val="134"/>
      </rPr>
      <t>铁律</t>
    </r>
    <r>
      <rPr>
        <sz val="10"/>
        <color theme="1"/>
        <rFont val="Times New Roman"/>
        <charset val="134"/>
      </rPr>
      <t>Iron-Clad Law</t>
    </r>
    <r>
      <rPr>
        <sz val="10"/>
        <color theme="1"/>
        <rFont val="宋体"/>
        <charset val="134"/>
      </rPr>
      <t>。当你使用战技布法制律时，直至你的下个回合开始，该盟友具有对钝击、穿刺和挥砍伤害的抗性。</t>
    </r>
    <r>
      <rPr>
        <sz val="10"/>
        <color theme="1"/>
        <rFont val="Times New Roman"/>
        <charset val="134"/>
      </rPr>
      <t xml:space="preserve">
</t>
    </r>
    <r>
      <rPr>
        <sz val="10"/>
        <color theme="1"/>
        <rFont val="宋体"/>
        <charset val="134"/>
      </rPr>
      <t>慑降</t>
    </r>
    <r>
      <rPr>
        <sz val="10"/>
        <color theme="1"/>
        <rFont val="Times New Roman"/>
        <charset val="134"/>
      </rPr>
      <t>Stunned Surrender</t>
    </r>
    <r>
      <rPr>
        <sz val="10"/>
        <color theme="1"/>
        <rFont val="宋体"/>
        <charset val="134"/>
      </rPr>
      <t>。当一名生物对抗你举起手来特性的豁免检定失败时，其陷入震慑状态替代失能状态。</t>
    </r>
  </si>
  <si>
    <t>交易成立</t>
  </si>
  <si>
    <r>
      <rPr>
        <sz val="10"/>
        <color theme="1"/>
        <rFont val="宋体"/>
        <charset val="134"/>
      </rPr>
      <t>你可以向盟友提出交易</t>
    </r>
    <r>
      <rPr>
        <sz val="10"/>
        <color theme="1"/>
        <rFont val="Times New Roman"/>
        <charset val="134"/>
      </rPr>
      <t>——</t>
    </r>
    <r>
      <rPr>
        <sz val="10"/>
        <color theme="1"/>
        <rFont val="宋体"/>
        <charset val="134"/>
      </rPr>
      <t>但理所当然的，需要付出代价。以一个附赠动作，你选择一名位于你</t>
    </r>
    <r>
      <rPr>
        <sz val="10"/>
        <color theme="1"/>
        <rFont val="Times New Roman"/>
        <charset val="134"/>
      </rPr>
      <t>60</t>
    </r>
    <r>
      <rPr>
        <sz val="10"/>
        <color theme="1"/>
        <rFont val="宋体"/>
        <charset val="134"/>
      </rPr>
      <t>尺内的能听见你的自愿盟友。
在接下来</t>
    </r>
    <r>
      <rPr>
        <sz val="10"/>
        <color theme="1"/>
        <rFont val="Times New Roman"/>
        <charset val="134"/>
      </rPr>
      <t>10</t>
    </r>
    <r>
      <rPr>
        <sz val="10"/>
        <color theme="1"/>
        <rFont val="宋体"/>
        <charset val="134"/>
      </rPr>
      <t>分钟内，该生物可以选择在其进行一次攻击检定或豁免检定时获得优势并在同一掷骰获得等于你熟练加值的加值。若此次攻击命中或此次豁免成功，该生物获得等于你邪狱使等级的临时生命值。若此次攻击失手或此次豁免失败，该生物下一次进行攻击检定或豁免检定时具有劣势。此劣势无法以任何方式被优势抵消。一名生物同时只能与你达成一笔交易。
你可以使用此特性的次数等于你的熟练加值，当你完成长休时，重获所有已消耗的次数。</t>
    </r>
  </si>
  <si>
    <r>
      <rPr>
        <sz val="10"/>
        <color theme="1"/>
        <rFont val="宋体"/>
        <charset val="134"/>
      </rPr>
      <t>共生结社</t>
    </r>
  </si>
  <si>
    <r>
      <rPr>
        <sz val="10"/>
        <color theme="1"/>
        <rFont val="宋体"/>
        <charset val="134"/>
      </rPr>
      <t>元素战刃</t>
    </r>
  </si>
  <si>
    <r>
      <rPr>
        <sz val="10"/>
        <color theme="1"/>
        <rFont val="宋体"/>
        <charset val="134"/>
      </rPr>
      <t>你和巨人的元素力量的链接成长了，并且，你习得了将原初能量注入武器之中的方式。
当你进入狂暴时，你可以选择一件你正持握的武器中，并为它选择并注入以下伤害类型之一：强酸、寒冷、火焰、雷鸣、或闪电。当你在狂暴中挥舞注能的武器时，武器的伤害类型将转变为你选择的伤害类型，并在命中时额外造成</t>
    </r>
    <r>
      <rPr>
        <sz val="10"/>
        <color theme="1"/>
        <rFont val="Times New Roman"/>
        <charset val="134"/>
      </rPr>
      <t>1d6</t>
    </r>
    <r>
      <rPr>
        <sz val="10"/>
        <color theme="1"/>
        <rFont val="宋体"/>
        <charset val="134"/>
      </rPr>
      <t>点所选类型的伤害。此外它还将获得</t>
    </r>
    <r>
      <rPr>
        <sz val="10"/>
        <color theme="1"/>
        <rFont val="Times New Roman"/>
        <charset val="134"/>
      </rPr>
      <t xml:space="preserve"> </t>
    </r>
    <r>
      <rPr>
        <sz val="10"/>
        <color theme="1"/>
        <rFont val="宋体"/>
        <charset val="134"/>
      </rPr>
      <t>投掷</t>
    </r>
    <r>
      <rPr>
        <sz val="10"/>
        <color theme="1"/>
        <rFont val="Times New Roman"/>
        <charset val="134"/>
      </rPr>
      <t xml:space="preserve">Thrown </t>
    </r>
    <r>
      <rPr>
        <sz val="10"/>
        <color theme="1"/>
        <rFont val="宋体"/>
        <charset val="134"/>
      </rPr>
      <t>属性，具有通常射程</t>
    </r>
    <r>
      <rPr>
        <sz val="10"/>
        <color theme="1"/>
        <rFont val="Times New Roman"/>
        <charset val="134"/>
      </rPr>
      <t>20</t>
    </r>
    <r>
      <rPr>
        <sz val="10"/>
        <color theme="1"/>
        <rFont val="宋体"/>
        <charset val="134"/>
      </rPr>
      <t>尺与最大射程</t>
    </r>
    <r>
      <rPr>
        <sz val="10"/>
        <color theme="1"/>
        <rFont val="Times New Roman"/>
        <charset val="134"/>
      </rPr>
      <t>60</t>
    </r>
    <r>
      <rPr>
        <sz val="10"/>
        <color theme="1"/>
        <rFont val="宋体"/>
        <charset val="134"/>
      </rPr>
      <t>尺。如果你投掷这把武器，它不论是否击中目标，它都将在那之后立刻重新出现在你的手中。注能武器的增益将在除你以外的其他生物持握它时将被暂时压制。
在狂暴期间，若你持握着注能武器，你就可以用一个附赠动作改变其伤害类型为另一项，从前文提到的伤害类型中选择。</t>
    </r>
  </si>
  <si>
    <r>
      <rPr>
        <sz val="10"/>
        <color theme="1"/>
        <rFont val="宋体"/>
        <charset val="134"/>
      </rPr>
      <t>悲剧英雄</t>
    </r>
  </si>
  <si>
    <r>
      <rPr>
        <sz val="10"/>
        <color theme="1"/>
        <rFont val="宋体"/>
        <charset val="134"/>
      </rPr>
      <t>一场伟大的演出，有时也需演员付出代价。
当你失败于一次豁免检定时，你可以选择你周边</t>
    </r>
    <r>
      <rPr>
        <sz val="10"/>
        <color theme="1"/>
        <rFont val="Times New Roman"/>
        <charset val="134"/>
      </rPr>
      <t>60</t>
    </r>
    <r>
      <rPr>
        <sz val="10"/>
        <color theme="1"/>
        <rFont val="宋体"/>
        <charset val="134"/>
      </rPr>
      <t>尺范围内任意数量的你可见的其他生物。每个被选中的生物在对抗触发此特性的同一效应时，其豁免检定会获得等于你魅力调整值的加值（至少</t>
    </r>
    <r>
      <rPr>
        <sz val="10"/>
        <color theme="1"/>
        <rFont val="Times New Roman"/>
        <charset val="134"/>
      </rPr>
      <t>+1</t>
    </r>
    <r>
      <rPr>
        <sz val="10"/>
        <color theme="1"/>
        <rFont val="宋体"/>
        <charset val="134"/>
      </rPr>
      <t>），有可能将失败转为成功。</t>
    </r>
  </si>
  <si>
    <r>
      <rPr>
        <sz val="10"/>
        <color theme="1"/>
        <rFont val="宋体"/>
        <charset val="134"/>
      </rPr>
      <t>和平执行</t>
    </r>
  </si>
  <si>
    <r>
      <rPr>
        <sz val="10"/>
        <color theme="1"/>
        <rFont val="宋体"/>
        <charset val="134"/>
      </rPr>
      <t>你获得洞察，表演或游说的熟练项（由你选择）。</t>
    </r>
  </si>
  <si>
    <r>
      <rPr>
        <sz val="10"/>
        <color theme="1"/>
        <rFont val="宋体"/>
        <charset val="134"/>
      </rPr>
      <t>野火法术</t>
    </r>
  </si>
  <si>
    <r>
      <rPr>
        <sz val="10"/>
        <color theme="1"/>
        <rFont val="宋体"/>
        <charset val="134"/>
      </rPr>
      <t>你与野火精魂</t>
    </r>
    <r>
      <rPr>
        <sz val="10"/>
        <color theme="1"/>
        <rFont val="Times New Roman"/>
        <charset val="134"/>
      </rPr>
      <t>——</t>
    </r>
    <r>
      <rPr>
        <sz val="10"/>
        <color theme="1"/>
        <rFont val="宋体"/>
        <charset val="134"/>
      </rPr>
      <t>一位兼具创生和毁灭的原初存在</t>
    </r>
    <r>
      <rPr>
        <sz val="10"/>
        <color theme="1"/>
        <rFont val="Times New Roman"/>
        <charset val="134"/>
      </rPr>
      <t>——</t>
    </r>
    <r>
      <rPr>
        <sz val="10"/>
        <color theme="1"/>
        <rFont val="宋体"/>
        <charset val="134"/>
      </rPr>
      <t>之间的神秘连接业已形成。
当你在此职业到达特定等级时，你与精魂的连接使你获取了一些特定法术的使用权，就如野火结社法术列表所示。
一旦你获得了其中某个法术的使用权，你就会一直准备着它，且不计入你的每日准备法术上限。
如果你学会一个不在德鲁伊法术列表中的法术，该法术对你来说视作德鲁伊法术。
等级</t>
    </r>
    <r>
      <rPr>
        <sz val="10"/>
        <color theme="1"/>
        <rFont val="Times New Roman"/>
        <charset val="134"/>
      </rPr>
      <t xml:space="preserve"> - </t>
    </r>
    <r>
      <rPr>
        <sz val="10"/>
        <color theme="1"/>
        <rFont val="宋体"/>
        <charset val="134"/>
      </rPr>
      <t>扩展法术</t>
    </r>
    <r>
      <rPr>
        <sz val="10"/>
        <color theme="1"/>
        <rFont val="Times New Roman"/>
        <charset val="134"/>
      </rPr>
      <t xml:space="preserve"> 
Lv.2 - </t>
    </r>
    <r>
      <rPr>
        <sz val="10"/>
        <color theme="1"/>
        <rFont val="宋体"/>
        <charset val="134"/>
      </rPr>
      <t>燃烧之手，疗伤术</t>
    </r>
    <r>
      <rPr>
        <sz val="10"/>
        <color theme="1"/>
        <rFont val="Times New Roman"/>
        <charset val="134"/>
      </rPr>
      <t xml:space="preserve"> 
Lv.3 - </t>
    </r>
    <r>
      <rPr>
        <sz val="10"/>
        <color theme="1"/>
        <rFont val="宋体"/>
        <charset val="134"/>
      </rPr>
      <t>炽焰法球，灼热射线</t>
    </r>
    <r>
      <rPr>
        <sz val="10"/>
        <color theme="1"/>
        <rFont val="Times New Roman"/>
        <charset val="134"/>
      </rPr>
      <t xml:space="preserve"> 
Lv.5 - </t>
    </r>
    <r>
      <rPr>
        <sz val="10"/>
        <color theme="1"/>
        <rFont val="宋体"/>
        <charset val="134"/>
      </rPr>
      <t>植物滋长，回生术</t>
    </r>
    <r>
      <rPr>
        <sz val="10"/>
        <color theme="1"/>
        <rFont val="Times New Roman"/>
        <charset val="134"/>
      </rPr>
      <t xml:space="preserve"> 
Lv.7 - </t>
    </r>
    <r>
      <rPr>
        <sz val="10"/>
        <color theme="1"/>
        <rFont val="宋体"/>
        <charset val="134"/>
      </rPr>
      <t>生命灵光，火焰护盾</t>
    </r>
    <r>
      <rPr>
        <sz val="10"/>
        <color theme="1"/>
        <rFont val="Times New Roman"/>
        <charset val="134"/>
      </rPr>
      <t xml:space="preserve"> 
Lv.9 - </t>
    </r>
    <r>
      <rPr>
        <sz val="10"/>
        <color theme="1"/>
        <rFont val="宋体"/>
        <charset val="134"/>
      </rPr>
      <t>焰击术，群体疗伤术</t>
    </r>
    <r>
      <rPr>
        <sz val="10"/>
        <color theme="1"/>
        <rFont val="Times New Roman"/>
        <charset val="134"/>
      </rPr>
      <t xml:space="preserve"> </t>
    </r>
  </si>
  <si>
    <r>
      <rPr>
        <sz val="10"/>
        <color theme="1"/>
        <rFont val="宋体"/>
        <charset val="134"/>
      </rPr>
      <t>精通战争魔法</t>
    </r>
  </si>
  <si>
    <t>当你在自己回合执行攻击动作时，你可以该动作攻击中的两次攻击替换为施展一道施法时间为动作，环阶为一环或二环的你的法师法术。</t>
  </si>
  <si>
    <r>
      <rPr>
        <sz val="10"/>
        <color theme="1"/>
        <rFont val="宋体"/>
        <charset val="134"/>
      </rPr>
      <t>神龙起源</t>
    </r>
  </si>
  <si>
    <r>
      <rPr>
        <sz val="10"/>
        <color theme="1"/>
        <rFont val="宋体"/>
        <charset val="134"/>
      </rPr>
      <t>众所周知，龙神巴哈姆特曾以年轻武僧的装扮行遍多元宇宙，传说有言以此相开山立派，是为神龙宗。此宗派的武学基本便是模仿龙之姿态，使武僧将自身融入世界及其魔法之中。这些武僧们通过对自我魂灵的更新以与巨龙伟力产生共鸣，在战斗中再添威能，成为战友的支撑，甚至腾展龙翼，怒而飞天。但所有武学其实均是为了一个更伟大的目标而生：与物质位面的本质于精神上连结，或谓天人合一之境。
作为神龙宗的学徒，由你决定自己是如何激发出体内的巨龙之力。以下的神龙起源表格提供了些许建议。
神龙起源</t>
    </r>
    <r>
      <rPr>
        <sz val="10"/>
        <color theme="1"/>
        <rFont val="Times New Roman"/>
        <charset val="134"/>
      </rPr>
      <t>Ascendant Dragon Origin d6</t>
    </r>
    <r>
      <rPr>
        <sz val="10"/>
        <color theme="1"/>
        <rFont val="宋体"/>
        <charset val="134"/>
      </rPr>
      <t>起源</t>
    </r>
    <r>
      <rPr>
        <sz val="10"/>
        <color theme="1"/>
        <rFont val="Times New Roman"/>
        <charset val="134"/>
      </rPr>
      <t xml:space="preserve"> 
1</t>
    </r>
    <r>
      <rPr>
        <sz val="10"/>
        <color theme="1"/>
        <rFont val="宋体"/>
        <charset val="134"/>
      </rPr>
      <t>、你通过观察巨龙并将自己的气与它们改天换地的力量相调谐来磨练自己的技艺。</t>
    </r>
    <r>
      <rPr>
        <sz val="10"/>
        <color theme="1"/>
        <rFont val="Times New Roman"/>
        <charset val="134"/>
      </rPr>
      <t xml:space="preserve"> 
2</t>
    </r>
    <r>
      <rPr>
        <sz val="10"/>
        <color theme="1"/>
        <rFont val="宋体"/>
        <charset val="134"/>
      </rPr>
      <t>、一位巨龙主动地帮助你修炼自身的能量。</t>
    </r>
    <r>
      <rPr>
        <sz val="10"/>
        <color theme="1"/>
        <rFont val="Times New Roman"/>
        <charset val="134"/>
      </rPr>
      <t xml:space="preserve"> 
3</t>
    </r>
    <r>
      <rPr>
        <sz val="10"/>
        <color theme="1"/>
        <rFont val="宋体"/>
        <charset val="134"/>
      </rPr>
      <t>、你所在修道院的教义可追溯到百年甚至数百年前一只巨龙的指导，或某位献身于龙神的存在。</t>
    </r>
    <r>
      <rPr>
        <sz val="10"/>
        <color theme="1"/>
        <rFont val="Times New Roman"/>
        <charset val="134"/>
      </rPr>
      <t xml:space="preserve"> 
4</t>
    </r>
    <r>
      <rPr>
        <sz val="10"/>
        <color theme="1"/>
        <rFont val="宋体"/>
        <charset val="134"/>
      </rPr>
      <t>、你在一个远古巨龙巢穴的影响范围内冥想良久，并凭此吸收了环境中的魔力。</t>
    </r>
    <r>
      <rPr>
        <sz val="10"/>
        <color theme="1"/>
        <rFont val="Times New Roman"/>
        <charset val="134"/>
      </rPr>
      <t xml:space="preserve"> 
5</t>
    </r>
    <r>
      <rPr>
        <sz val="10"/>
        <color theme="1"/>
        <rFont val="宋体"/>
        <charset val="134"/>
      </rPr>
      <t>、你找到了一张龙语卷轴，里面包含了令人顿悟的崭新技巧。</t>
    </r>
    <r>
      <rPr>
        <sz val="10"/>
        <color theme="1"/>
        <rFont val="Times New Roman"/>
        <charset val="134"/>
      </rPr>
      <t xml:space="preserve"> 
6</t>
    </r>
    <r>
      <rPr>
        <sz val="10"/>
        <color theme="1"/>
        <rFont val="宋体"/>
        <charset val="134"/>
      </rPr>
      <t>、你梦到了一名五首龙裔，而你醒来时，体内的气就已不同以往，宛如巨龙之息。</t>
    </r>
    <r>
      <rPr>
        <sz val="10"/>
        <color theme="1"/>
        <rFont val="Times New Roman"/>
        <charset val="134"/>
      </rPr>
      <t xml:space="preserve"> </t>
    </r>
  </si>
  <si>
    <r>
      <rPr>
        <sz val="10"/>
        <color theme="1"/>
        <rFont val="宋体"/>
        <charset val="134"/>
      </rPr>
      <t>尘世壁垒</t>
    </r>
  </si>
  <si>
    <r>
      <rPr>
        <sz val="10"/>
        <color theme="1"/>
        <rFont val="宋体"/>
        <charset val="134"/>
      </rPr>
      <t>你展现出神圣力量的火花，以捍卫凡人的世界。
以一个附赠动作，你在</t>
    </r>
    <r>
      <rPr>
        <sz val="10"/>
        <color theme="1"/>
        <rFont val="Times New Roman"/>
        <charset val="134"/>
      </rPr>
      <t>1</t>
    </r>
    <r>
      <rPr>
        <sz val="10"/>
        <color theme="1"/>
        <rFont val="宋体"/>
        <charset val="134"/>
      </rPr>
      <t>分钟内获得以下增益：
你获得</t>
    </r>
    <r>
      <rPr>
        <sz val="10"/>
        <color theme="1"/>
        <rFont val="Times New Roman"/>
        <charset val="134"/>
      </rPr>
      <t>120</t>
    </r>
    <r>
      <rPr>
        <sz val="10"/>
        <color theme="1"/>
        <rFont val="宋体"/>
        <charset val="134"/>
      </rPr>
      <t>尺的真实视觉。
当你对异怪、天界生物、元素、精类或邪魔进行攻击检定时，你获得优势。
当你对一个生物进行攻击并击中，并对其造成伤害时，你可以使其进行一次魅力豁免，若其失败且其不属于此位面，其将被魔法性地放逐到其原本的位面，若目标豁免成功，其在</t>
    </r>
    <r>
      <rPr>
        <sz val="10"/>
        <color theme="1"/>
        <rFont val="Times New Roman"/>
        <charset val="134"/>
      </rPr>
      <t>24</t>
    </r>
    <r>
      <rPr>
        <sz val="10"/>
        <color theme="1"/>
        <rFont val="宋体"/>
        <charset val="134"/>
      </rPr>
      <t>小时内不能再被此能力放逐。
一旦你使用了此能力，你在完成一次长休息之前必须消耗一个</t>
    </r>
    <r>
      <rPr>
        <sz val="10"/>
        <color theme="1"/>
        <rFont val="Times New Roman"/>
        <charset val="134"/>
      </rPr>
      <t>5</t>
    </r>
    <r>
      <rPr>
        <sz val="10"/>
        <color theme="1"/>
        <rFont val="宋体"/>
        <charset val="134"/>
      </rPr>
      <t>环法术位以再次使用此能力。</t>
    </r>
  </si>
  <si>
    <r>
      <rPr>
        <sz val="10"/>
        <color theme="1"/>
        <rFont val="宋体"/>
        <charset val="134"/>
      </rPr>
      <t>壮大集群</t>
    </r>
  </si>
  <si>
    <r>
      <rPr>
        <sz val="10"/>
        <color theme="1"/>
        <rFont val="宋体"/>
        <charset val="134"/>
      </rPr>
      <t>你的蜂聚集群通过以下方式变得更加强大：
蜂聚集群的伤害提升到</t>
    </r>
    <r>
      <rPr>
        <sz val="10"/>
        <color theme="1"/>
        <rFont val="Times New Roman"/>
        <charset val="134"/>
      </rPr>
      <t>d8</t>
    </r>
    <r>
      <rPr>
        <sz val="10"/>
        <color theme="1"/>
        <rFont val="宋体"/>
        <charset val="134"/>
      </rPr>
      <t>。
如果一个生物在对抗被蜂聚集群移动的豁免检定中失败，你也能让集群将该生物击倒在地。
当你被蜂聚集群移动时，直到你下个回合开始它使你获得半身掩护。</t>
    </r>
  </si>
  <si>
    <r>
      <rPr>
        <sz val="10"/>
        <color theme="1"/>
        <rFont val="宋体"/>
        <charset val="134"/>
      </rPr>
      <t>突袭大师</t>
    </r>
  </si>
  <si>
    <r>
      <rPr>
        <sz val="10"/>
        <color theme="1"/>
        <rFont val="宋体"/>
        <charset val="134"/>
      </rPr>
      <t>你精通于引领突袭，在战斗中首先行动。
你在先攻检定时具有优势。
此外，在第一轮战斗中你所命中的第一个生物对你和其他人而言会变得更容易打击；直到你下一回合开始之前，所有对它进行的攻击检定具有优势。</t>
    </r>
  </si>
  <si>
    <r>
      <rPr>
        <sz val="10"/>
        <color theme="1"/>
        <rFont val="宋体"/>
        <charset val="134"/>
      </rPr>
      <t>暴风魔法</t>
    </r>
  </si>
  <si>
    <r>
      <rPr>
        <sz val="10"/>
        <color theme="1"/>
        <rFont val="宋体"/>
        <charset val="134"/>
      </rPr>
      <t>你与风元素魔法紧密联系起来。
每当你在你自己的行动轮内施展一个并非戏法的法术时，你可以用附赠动作导致旋转的风元素飙风围绕着你。
此时你可以飞行</t>
    </r>
    <r>
      <rPr>
        <sz val="10"/>
        <color theme="1"/>
        <rFont val="Times New Roman"/>
        <charset val="134"/>
      </rPr>
      <t>10</t>
    </r>
    <r>
      <rPr>
        <sz val="10"/>
        <color theme="1"/>
        <rFont val="宋体"/>
        <charset val="134"/>
      </rPr>
      <t>尺，而不引起借机攻击。</t>
    </r>
  </si>
  <si>
    <r>
      <rPr>
        <sz val="10"/>
        <color theme="1"/>
        <rFont val="宋体"/>
        <charset val="134"/>
      </rPr>
      <t>一张新的书页出现在你的影之书中。在你的允许之下，一个生物可以使用一个动作来将他的名字写在这一页上，这一页能包括的名字数量等于你的熟练加值。
当一个名字在这一页上的生物生命值降为</t>
    </r>
    <r>
      <rPr>
        <sz val="10"/>
        <color theme="1"/>
        <rFont val="Times New Roman"/>
        <charset val="134"/>
      </rPr>
      <t>0</t>
    </r>
    <r>
      <rPr>
        <sz val="10"/>
        <color theme="1"/>
        <rFont val="宋体"/>
        <charset val="134"/>
      </rPr>
      <t>，但是没有立刻死亡时，这个生物的生命值魔法性的变为</t>
    </r>
    <r>
      <rPr>
        <sz val="10"/>
        <color theme="1"/>
        <rFont val="Times New Roman"/>
        <charset val="134"/>
      </rPr>
      <t>1</t>
    </r>
    <r>
      <rPr>
        <sz val="10"/>
        <color theme="1"/>
        <rFont val="宋体"/>
        <charset val="134"/>
      </rPr>
      <t>点。当这个魔法效应被触发后，该效应无法再被任何生物触发，直到你完成一次长休。
你也可以使用一个动作，触摸书页上的一条名字，魔法性的消除它。
先决条件：第</t>
    </r>
    <r>
      <rPr>
        <sz val="10"/>
        <color theme="1"/>
        <rFont val="Times New Roman"/>
        <charset val="134"/>
      </rPr>
      <t>9</t>
    </r>
    <r>
      <rPr>
        <sz val="10"/>
        <color theme="1"/>
        <rFont val="宋体"/>
        <charset val="134"/>
      </rPr>
      <t>级邪术师，书之魔契</t>
    </r>
  </si>
  <si>
    <r>
      <rPr>
        <sz val="10"/>
        <color theme="1"/>
        <rFont val="宋体"/>
        <charset val="134"/>
      </rPr>
      <t>定制法术</t>
    </r>
  </si>
  <si>
    <r>
      <rPr>
        <sz val="10"/>
        <color theme="1"/>
        <rFont val="宋体"/>
        <charset val="134"/>
      </rPr>
      <t>你可以将一名生物的名字刻录入法术之中，改变其结构。从你的法术书中选择一道带有语言成分、需要专注且环阶为一或更高的法术。当你准备该法术时，你可以诵念一个特定的、除你之外的自愿生物的名字。若该生物即为此法术的唯一目标，则你施展此法术时无需维持专注。</t>
    </r>
  </si>
  <si>
    <r>
      <rPr>
        <sz val="10"/>
        <color theme="1"/>
        <rFont val="宋体"/>
        <charset val="134"/>
      </rPr>
      <t>万能地图匣</t>
    </r>
  </si>
  <si>
    <r>
      <rPr>
        <sz val="10"/>
        <color theme="1"/>
        <rFont val="宋体"/>
        <charset val="134"/>
      </rPr>
      <t>你的冒险者的地图匣特性强化了，你获得以下增益：</t>
    </r>
    <r>
      <rPr>
        <sz val="10"/>
        <color theme="1"/>
        <rFont val="Times New Roman"/>
        <charset val="134"/>
      </rPr>
      <t xml:space="preserve">
</t>
    </r>
    <r>
      <rPr>
        <sz val="10"/>
        <color theme="1"/>
        <rFont val="宋体"/>
        <charset val="134"/>
      </rPr>
      <t>安全归处</t>
    </r>
    <r>
      <rPr>
        <sz val="10"/>
        <color theme="1"/>
        <rFont val="Times New Roman"/>
        <charset val="134"/>
      </rPr>
      <t>Safe Haven</t>
    </r>
    <r>
      <rPr>
        <sz val="10"/>
        <color theme="1"/>
        <rFont val="宋体"/>
        <charset val="134"/>
      </rPr>
      <t>。</t>
    </r>
    <r>
      <rPr>
        <sz val="10"/>
        <color theme="1"/>
        <rFont val="Times New Roman"/>
        <charset val="134"/>
      </rPr>
      <t xml:space="preserve"> </t>
    </r>
    <r>
      <rPr>
        <sz val="10"/>
        <color theme="1"/>
        <rFont val="宋体"/>
        <charset val="134"/>
      </rPr>
      <t>当地图持有者的生命值被降至</t>
    </r>
    <r>
      <rPr>
        <sz val="10"/>
        <color theme="1"/>
        <rFont val="Times New Roman"/>
        <charset val="134"/>
      </rPr>
      <t>0</t>
    </r>
    <r>
      <rPr>
        <sz val="10"/>
        <color theme="1"/>
        <rFont val="宋体"/>
        <charset val="134"/>
      </rPr>
      <t>（但没被立刻杀死）时，该生物可以摧毁它的地图，该生物的生命值变为等于你奇械师等级的两倍，并传送至你或另一个地图持有者周围</t>
    </r>
    <r>
      <rPr>
        <sz val="10"/>
        <color theme="1"/>
        <rFont val="Times New Roman"/>
        <charset val="134"/>
      </rPr>
      <t>5</t>
    </r>
    <r>
      <rPr>
        <sz val="10"/>
        <color theme="1"/>
        <rFont val="宋体"/>
        <charset val="134"/>
      </rPr>
      <t>尺内的一处未占据空间中。</t>
    </r>
    <r>
      <rPr>
        <sz val="10"/>
        <color theme="1"/>
        <rFont val="Times New Roman"/>
        <charset val="134"/>
      </rPr>
      <t xml:space="preserve">
</t>
    </r>
    <r>
      <rPr>
        <sz val="10"/>
        <color theme="1"/>
        <rFont val="宋体"/>
        <charset val="134"/>
      </rPr>
      <t>径路悉晓</t>
    </r>
    <r>
      <rPr>
        <sz val="10"/>
        <color theme="1"/>
        <rFont val="Times New Roman"/>
        <charset val="134"/>
      </rPr>
      <t>Unerring Path</t>
    </r>
    <r>
      <rPr>
        <sz val="10"/>
        <color theme="1"/>
        <rFont val="宋体"/>
        <charset val="134"/>
      </rPr>
      <t>。如果你自己也是冒险者的地图匣特性中的地图持有者之一，你可以无需法术位、无需准备、无需法术成分地施展寻路术</t>
    </r>
    <r>
      <rPr>
        <sz val="10"/>
        <color theme="1"/>
        <rFont val="Times New Roman"/>
        <charset val="134"/>
      </rPr>
      <t xml:space="preserve">Find the Path </t>
    </r>
    <r>
      <rPr>
        <sz val="10"/>
        <color theme="1"/>
        <rFont val="宋体"/>
        <charset val="134"/>
      </rPr>
      <t>。此特性一经使用，在你完成长休前都无法再次使用。</t>
    </r>
  </si>
  <si>
    <r>
      <rPr>
        <sz val="10"/>
        <color theme="1"/>
        <rFont val="宋体"/>
        <charset val="134"/>
      </rPr>
      <t>诱变剂</t>
    </r>
    <r>
      <rPr>
        <sz val="10"/>
        <color theme="1"/>
        <rFont val="Times New Roman"/>
        <charset val="134"/>
      </rPr>
      <t>-</t>
    </r>
    <r>
      <rPr>
        <sz val="10"/>
        <color theme="1"/>
        <rFont val="宋体"/>
        <charset val="134"/>
      </rPr>
      <t>睿智</t>
    </r>
  </si>
  <si>
    <r>
      <rPr>
        <sz val="10"/>
        <color theme="1"/>
        <rFont val="宋体"/>
        <charset val="134"/>
      </rPr>
      <t>你的智力值及其上限提升</t>
    </r>
    <r>
      <rPr>
        <sz val="10"/>
        <color theme="1"/>
        <rFont val="Times New Roman"/>
        <charset val="134"/>
      </rPr>
      <t xml:space="preserve"> 3 </t>
    </r>
    <r>
      <rPr>
        <sz val="10"/>
        <color theme="1"/>
        <rFont val="宋体"/>
        <charset val="134"/>
      </rPr>
      <t>点。此加值在第</t>
    </r>
    <r>
      <rPr>
        <sz val="10"/>
        <color theme="1"/>
        <rFont val="Times New Roman"/>
        <charset val="134"/>
      </rPr>
      <t xml:space="preserve"> 11 </t>
    </r>
    <r>
      <rPr>
        <sz val="10"/>
        <color theme="1"/>
        <rFont val="宋体"/>
        <charset val="134"/>
      </rPr>
      <t>级变为</t>
    </r>
    <r>
      <rPr>
        <sz val="10"/>
        <color theme="1"/>
        <rFont val="Times New Roman"/>
        <charset val="134"/>
      </rPr>
      <t>+4</t>
    </r>
    <r>
      <rPr>
        <sz val="10"/>
        <color theme="1"/>
        <rFont val="宋体"/>
        <charset val="134"/>
      </rPr>
      <t>，第</t>
    </r>
    <r>
      <rPr>
        <sz val="10"/>
        <color theme="1"/>
        <rFont val="Times New Roman"/>
        <charset val="134"/>
      </rPr>
      <t xml:space="preserve"> 18 </t>
    </r>
    <r>
      <rPr>
        <sz val="10"/>
        <color theme="1"/>
        <rFont val="宋体"/>
        <charset val="134"/>
      </rPr>
      <t>级变为</t>
    </r>
    <r>
      <rPr>
        <sz val="10"/>
        <color theme="1"/>
        <rFont val="Times New Roman"/>
        <charset val="134"/>
      </rPr>
      <t>+5</t>
    </r>
    <r>
      <rPr>
        <sz val="10"/>
        <color theme="1"/>
        <rFont val="宋体"/>
        <charset val="134"/>
      </rPr>
      <t>。
副作用：你进行的魅力豁免检定具有劣势。</t>
    </r>
  </si>
  <si>
    <r>
      <rPr>
        <sz val="10"/>
        <color theme="1"/>
        <rFont val="宋体"/>
        <charset val="134"/>
      </rPr>
      <t>心灵魔力</t>
    </r>
  </si>
  <si>
    <r>
      <rPr>
        <sz val="10"/>
        <color theme="1"/>
        <rFont val="宋体"/>
        <charset val="134"/>
      </rPr>
      <t>你获得了一些方式来使用你的潜在心灵能力去改变你的法术和施展，你获得三种新的心灵点使用方式：
既定影响</t>
    </r>
    <r>
      <rPr>
        <sz val="10"/>
        <color theme="1"/>
        <rFont val="Times New Roman"/>
        <charset val="134"/>
      </rPr>
      <t>Prescribed Effects</t>
    </r>
    <r>
      <rPr>
        <sz val="10"/>
        <color theme="1"/>
        <rFont val="宋体"/>
        <charset val="134"/>
      </rPr>
      <t>。每回合一次，当</t>
    </r>
    <r>
      <rPr>
        <sz val="10"/>
        <color theme="1"/>
        <rFont val="Times New Roman"/>
        <charset val="134"/>
      </rPr>
      <t>30</t>
    </r>
    <r>
      <rPr>
        <sz val="10"/>
        <color theme="1"/>
        <rFont val="宋体"/>
        <charset val="134"/>
      </rPr>
      <t>尺范围内你能看见的一个生物成功通过了对抗你施展的法术的智力、感知或魅力豁免检定时，你可以消耗一个心灵点将混乱的灵能量填满它的心灵，强迫目标查询掷骰</t>
    </r>
    <r>
      <rPr>
        <sz val="10"/>
        <color theme="1"/>
        <rFont val="Times New Roman"/>
        <charset val="134"/>
      </rPr>
      <t>d20</t>
    </r>
    <r>
      <rPr>
        <sz val="10"/>
        <color theme="1"/>
        <rFont val="宋体"/>
        <charset val="134"/>
      </rPr>
      <t>并选用较低的豁免结果，这有可能使豁免的成功转变为失败。
心理准备</t>
    </r>
    <r>
      <rPr>
        <sz val="10"/>
        <color theme="1"/>
        <rFont val="Times New Roman"/>
        <charset val="134"/>
      </rPr>
      <t>Mentally Prepared</t>
    </r>
    <r>
      <rPr>
        <sz val="10"/>
        <color theme="1"/>
        <rFont val="宋体"/>
        <charset val="134"/>
      </rPr>
      <t>。每回合一次，当一个在你</t>
    </r>
    <r>
      <rPr>
        <sz val="10"/>
        <color theme="1"/>
        <rFont val="Times New Roman"/>
        <charset val="134"/>
      </rPr>
      <t>30</t>
    </r>
    <r>
      <rPr>
        <sz val="10"/>
        <color theme="1"/>
        <rFont val="宋体"/>
        <charset val="134"/>
      </rPr>
      <t>尺范围内能看到的一个目标，包括你自己，在一次智力、感知或魅力豁免中失败时，你可以消耗一个心灵点将你的智力调整值加到该生物的豁免检定结果中去，这有可能使豁免的失败转为成功。
战逃反应</t>
    </r>
    <r>
      <rPr>
        <sz val="10"/>
        <color theme="1"/>
        <rFont val="Times New Roman"/>
        <charset val="134"/>
      </rPr>
      <t>Fight or Flight Response</t>
    </r>
    <r>
      <rPr>
        <sz val="10"/>
        <color theme="1"/>
        <rFont val="宋体"/>
        <charset val="134"/>
      </rPr>
      <t>。以一个附赠动作，你可以将自己传送到</t>
    </r>
    <r>
      <rPr>
        <sz val="10"/>
        <color theme="1"/>
        <rFont val="Times New Roman"/>
        <charset val="134"/>
      </rPr>
      <t>30</t>
    </r>
    <r>
      <rPr>
        <sz val="10"/>
        <color theme="1"/>
        <rFont val="宋体"/>
        <charset val="134"/>
      </rPr>
      <t>尺范围内你能看到的一个未被占据的空间去。你立刻获得等同于你智力调整值两倍的临时生命值。</t>
    </r>
    <r>
      <rPr>
        <sz val="10"/>
        <color theme="1"/>
        <rFont val="Times New Roman"/>
        <charset val="134"/>
      </rPr>
      <t xml:space="preserve"> </t>
    </r>
  </si>
  <si>
    <t>奸猾鬼谋</t>
  </si>
  <si>
    <r>
      <rPr>
        <sz val="10"/>
        <color theme="1"/>
        <rFont val="宋体"/>
        <charset val="134"/>
      </rPr>
      <t>先决：邪狱使等级</t>
    </r>
    <r>
      <rPr>
        <sz val="10"/>
        <color theme="1"/>
        <rFont val="Times New Roman"/>
        <charset val="134"/>
      </rPr>
      <t>13+</t>
    </r>
    <r>
      <rPr>
        <sz val="10"/>
        <color theme="1"/>
        <rFont val="宋体"/>
        <charset val="134"/>
      </rPr>
      <t>（狱言家）
当一名生物将你作为其攻击、法术或其他魔法效应的目标时，你能够以反应对其施加一枚缄印并迫使该生物进行一次魅力豁免。豁免失败则其必须选定另一名生物作为新的目标或者失去本次的攻击或效应。</t>
    </r>
  </si>
  <si>
    <t>秽染结社</t>
  </si>
  <si>
    <r>
      <rPr>
        <sz val="10"/>
        <color theme="1"/>
        <rFont val="宋体"/>
        <charset val="134"/>
      </rPr>
      <t>伟力推动</t>
    </r>
  </si>
  <si>
    <r>
      <rPr>
        <sz val="10"/>
        <color theme="1"/>
        <rFont val="宋体"/>
        <charset val="134"/>
      </rPr>
      <t>借由你与巨人之力量的链接，你可以猛投战场上的盟友与敌人。狂暴期间，以一个附赠动作，你可以选择触及范围内的一个不超过中型体型的生物，将其移动到你周围</t>
    </r>
    <r>
      <rPr>
        <sz val="10"/>
        <color theme="1"/>
        <rFont val="Times New Roman"/>
        <charset val="134"/>
      </rPr>
      <t>30</t>
    </r>
    <r>
      <rPr>
        <sz val="10"/>
        <color theme="1"/>
        <rFont val="宋体"/>
        <charset val="134"/>
      </rPr>
      <t>尺内的一处你可见的、未被占据的空间。非自愿的生物必须成功通过一次力量豁免（</t>
    </r>
    <r>
      <rPr>
        <sz val="10"/>
        <color theme="1"/>
        <rFont val="Times New Roman"/>
        <charset val="134"/>
      </rPr>
      <t>DC=8+</t>
    </r>
    <r>
      <rPr>
        <sz val="10"/>
        <color theme="1"/>
        <rFont val="宋体"/>
        <charset val="134"/>
      </rPr>
      <t>你的熟练加值</t>
    </r>
    <r>
      <rPr>
        <sz val="10"/>
        <color theme="1"/>
        <rFont val="Times New Roman"/>
        <charset val="134"/>
      </rPr>
      <t>+</t>
    </r>
    <r>
      <rPr>
        <sz val="10"/>
        <color theme="1"/>
        <rFont val="宋体"/>
        <charset val="134"/>
      </rPr>
      <t>你的力量调整值）才能避免遭受这一效应。
若在这次移动结束时，被投掷的生物并未站在一个可以支撑他的固体表面或液体中，该生物将坠落，正常承受摔落伤害并在落地时陷入</t>
    </r>
    <r>
      <rPr>
        <sz val="10"/>
        <color theme="1"/>
        <rFont val="Times New Roman"/>
        <charset val="134"/>
      </rPr>
      <t xml:space="preserve"> </t>
    </r>
    <r>
      <rPr>
        <sz val="10"/>
        <color theme="1"/>
        <rFont val="宋体"/>
        <charset val="134"/>
      </rPr>
      <t>倒地</t>
    </r>
    <r>
      <rPr>
        <sz val="10"/>
        <color theme="1"/>
        <rFont val="Times New Roman"/>
        <charset val="134"/>
      </rPr>
      <t>Prone</t>
    </r>
    <r>
      <rPr>
        <sz val="10"/>
        <color theme="1"/>
        <rFont val="宋体"/>
        <charset val="134"/>
      </rPr>
      <t>。</t>
    </r>
  </si>
  <si>
    <r>
      <rPr>
        <sz val="10"/>
        <color theme="1"/>
        <rFont val="宋体"/>
        <charset val="134"/>
      </rPr>
      <t>百面人生</t>
    </r>
  </si>
  <si>
    <r>
      <rPr>
        <sz val="10"/>
        <color theme="1"/>
        <rFont val="宋体"/>
        <charset val="134"/>
      </rPr>
      <t>你运用自身的魔法与戏剧训练来扮演一个角色。
你可以使用附赠动作通过此特性施展易容术</t>
    </r>
    <r>
      <rPr>
        <sz val="10"/>
        <color theme="1"/>
        <rFont val="Times New Roman"/>
        <charset val="134"/>
      </rPr>
      <t>Disguise Self</t>
    </r>
    <r>
      <rPr>
        <sz val="10"/>
        <color theme="1"/>
        <rFont val="宋体"/>
        <charset val="134"/>
      </rPr>
      <t>。若你以此方式施展易容术</t>
    </r>
    <r>
      <rPr>
        <sz val="10"/>
        <color theme="1"/>
        <rFont val="Times New Roman"/>
        <charset val="134"/>
      </rPr>
      <t>Disguise Self</t>
    </r>
    <r>
      <rPr>
        <sz val="10"/>
        <color theme="1"/>
        <rFont val="宋体"/>
        <charset val="134"/>
      </rPr>
      <t>并扮演一个你可见的特定生物，你便能模仿该生物的言行举止与声音。
一旦你使用了此特性，则直至你完成一次短休或长休前，都无法再次使用。</t>
    </r>
  </si>
  <si>
    <r>
      <rPr>
        <sz val="10"/>
        <color theme="1"/>
        <rFont val="宋体"/>
        <charset val="134"/>
      </rPr>
      <t>勇气联结</t>
    </r>
  </si>
  <si>
    <r>
      <rPr>
        <sz val="10"/>
        <color theme="1"/>
        <rFont val="宋体"/>
        <charset val="134"/>
      </rPr>
      <t>你创造出一条力量的联结，联系彼此之间和平相处的人。以一个动作，你可以选择你周围</t>
    </r>
    <r>
      <rPr>
        <sz val="10"/>
        <color theme="1"/>
        <rFont val="Times New Roman"/>
        <charset val="134"/>
      </rPr>
      <t>30</t>
    </r>
    <r>
      <rPr>
        <sz val="10"/>
        <color theme="1"/>
        <rFont val="宋体"/>
        <charset val="134"/>
      </rPr>
      <t>尺范围内等同于你熟练加值数量的自愿生物（可以包括你自己）。你在他们之间创造出一条持续</t>
    </r>
    <r>
      <rPr>
        <sz val="10"/>
        <color theme="1"/>
        <rFont val="Times New Roman"/>
        <charset val="134"/>
      </rPr>
      <t>10</t>
    </r>
    <r>
      <rPr>
        <sz val="10"/>
        <color theme="1"/>
        <rFont val="宋体"/>
        <charset val="134"/>
      </rPr>
      <t>分钟的魔法联结。当任一联结生物的</t>
    </r>
    <r>
      <rPr>
        <sz val="10"/>
        <color theme="1"/>
        <rFont val="Times New Roman"/>
        <charset val="134"/>
      </rPr>
      <t>30</t>
    </r>
    <r>
      <rPr>
        <sz val="10"/>
        <color theme="1"/>
        <rFont val="宋体"/>
        <charset val="134"/>
      </rPr>
      <t>尺范围内存在另一个或多个被联结的生物时，在他进行的攻击检定、属性检定、或豁免检定时，可以额外掷一枚</t>
    </r>
    <r>
      <rPr>
        <sz val="10"/>
        <color theme="1"/>
        <rFont val="Times New Roman"/>
        <charset val="134"/>
      </rPr>
      <t>d4</t>
    </r>
    <r>
      <rPr>
        <sz val="10"/>
        <color theme="1"/>
        <rFont val="宋体"/>
        <charset val="134"/>
      </rPr>
      <t>并加入那次检定中。每个生物每回合只能因此加一次</t>
    </r>
    <r>
      <rPr>
        <sz val="10"/>
        <color theme="1"/>
        <rFont val="Times New Roman"/>
        <charset val="134"/>
      </rPr>
      <t>d4</t>
    </r>
    <r>
      <rPr>
        <sz val="10"/>
        <color theme="1"/>
        <rFont val="宋体"/>
        <charset val="134"/>
      </rPr>
      <t>。若你再次使用此特性，上一条魔法联结就会立刻终止。</t>
    </r>
    <r>
      <rPr>
        <sz val="10"/>
        <color theme="1"/>
        <rFont val="Times New Roman"/>
        <charset val="134"/>
      </rPr>
      <t xml:space="preserve"> 
</t>
    </r>
    <r>
      <rPr>
        <sz val="10"/>
        <color theme="1"/>
        <rFont val="宋体"/>
        <charset val="134"/>
      </rPr>
      <t>你可以使用此特性的次数等同于你的熟练加值，当你完成一次长休时恢复所有使用次数。</t>
    </r>
  </si>
  <si>
    <r>
      <rPr>
        <sz val="10"/>
        <color theme="1"/>
        <rFont val="宋体"/>
        <charset val="134"/>
      </rPr>
      <t>召唤野火精魂</t>
    </r>
  </si>
  <si>
    <r>
      <rPr>
        <sz val="10"/>
        <color theme="1"/>
        <rFont val="宋体"/>
        <charset val="134"/>
      </rPr>
      <t>你能召唤出与你灵魂连接的原初精魂。
以一个动作，你可以消耗一次荒野形态使用次数召唤你的野火精魂，而不是变化为野兽形态。
精魂出现在你所选择的距离你</t>
    </r>
    <r>
      <rPr>
        <sz val="10"/>
        <color theme="1"/>
        <rFont val="Times New Roman"/>
        <charset val="134"/>
      </rPr>
      <t>30</t>
    </r>
    <r>
      <rPr>
        <sz val="10"/>
        <color theme="1"/>
        <rFont val="宋体"/>
        <charset val="134"/>
      </rPr>
      <t>尺内未被占据的可见空间内。
每个精魂</t>
    </r>
    <r>
      <rPr>
        <sz val="10"/>
        <color theme="1"/>
        <rFont val="Times New Roman"/>
        <charset val="134"/>
      </rPr>
      <t>10</t>
    </r>
    <r>
      <rPr>
        <sz val="10"/>
        <color theme="1"/>
        <rFont val="宋体"/>
        <charset val="134"/>
      </rPr>
      <t>尺内的生物（除你之外）在它出现时都必须成功一次对抗你法术豁免</t>
    </r>
    <r>
      <rPr>
        <sz val="10"/>
        <color theme="1"/>
        <rFont val="Times New Roman"/>
        <charset val="134"/>
      </rPr>
      <t>DC</t>
    </r>
    <r>
      <rPr>
        <sz val="10"/>
        <color theme="1"/>
        <rFont val="宋体"/>
        <charset val="134"/>
      </rPr>
      <t>的敏捷豁免否则受到</t>
    </r>
    <r>
      <rPr>
        <sz val="10"/>
        <color theme="1"/>
        <rFont val="Times New Roman"/>
        <charset val="134"/>
      </rPr>
      <t>2d6</t>
    </r>
    <r>
      <rPr>
        <sz val="10"/>
        <color theme="1"/>
        <rFont val="宋体"/>
        <charset val="134"/>
      </rPr>
      <t>火焰伤害。
野火精魂对你与你的同伴保持友善并遵从你的命令。
在野火精魂资料表中可以看到这只生物的游戏数据，其中几处采用了你的熟练加值（</t>
    </r>
    <r>
      <rPr>
        <sz val="10"/>
        <color theme="1"/>
        <rFont val="Times New Roman"/>
        <charset val="134"/>
      </rPr>
      <t>PB</t>
    </r>
    <r>
      <rPr>
        <sz val="10"/>
        <color theme="1"/>
        <rFont val="宋体"/>
        <charset val="134"/>
      </rPr>
      <t>）。
由你来决定精魂的外形。
一些精魂是熊熊燃烧的枝条虬结而成的人形，而另一些则像是被火焰包裹的野兽。
在战斗中，野火精魂与你使用同一先攻，但在你的回合之后紧接着行动。
它仅能使用回避动作，除非你使用一个附赠动作命令它采取其他动作。
那个动作可以是其资料表上的一个，也可以是其他动作。
如果你陷入失能，精魂可以采取任何它选择的动作，不只是回避。
野火精魂持续存在</t>
    </r>
    <r>
      <rPr>
        <sz val="10"/>
        <color theme="1"/>
        <rFont val="Times New Roman"/>
        <charset val="134"/>
      </rPr>
      <t>1</t>
    </r>
    <r>
      <rPr>
        <sz val="10"/>
        <color theme="1"/>
        <rFont val="宋体"/>
        <charset val="134"/>
      </rPr>
      <t>小时，直到其生命值降低至</t>
    </r>
    <r>
      <rPr>
        <sz val="10"/>
        <color theme="1"/>
        <rFont val="Times New Roman"/>
        <charset val="134"/>
      </rPr>
      <t>0</t>
    </r>
    <r>
      <rPr>
        <sz val="10"/>
        <color theme="1"/>
        <rFont val="宋体"/>
        <charset val="134"/>
      </rPr>
      <t>，或直到你再次使用此特性召唤此精魂，或直到你死亡。</t>
    </r>
  </si>
  <si>
    <r>
      <rPr>
        <sz val="10"/>
        <color theme="1"/>
        <rFont val="宋体"/>
        <charset val="134"/>
      </rPr>
      <t>你内心拥有一个灵能力量的源泉。这股能量表现为灵能骰，它是你从此子职中获得的可消耗能力。灵能武士灵能骰表展示了你在达到特定战士等级后的灵能骰大小与数量。
战士等级</t>
    </r>
    <r>
      <rPr>
        <sz val="10"/>
        <color theme="1"/>
        <rFont val="Times New Roman"/>
        <charset val="134"/>
      </rPr>
      <t xml:space="preserve"> </t>
    </r>
    <r>
      <rPr>
        <sz val="10"/>
        <color theme="1"/>
        <rFont val="宋体"/>
        <charset val="134"/>
      </rPr>
      <t>骰面</t>
    </r>
    <r>
      <rPr>
        <sz val="10"/>
        <color theme="1"/>
        <rFont val="Times New Roman"/>
        <charset val="134"/>
      </rPr>
      <t xml:space="preserve"> </t>
    </r>
    <r>
      <rPr>
        <sz val="10"/>
        <color theme="1"/>
        <rFont val="宋体"/>
        <charset val="134"/>
      </rPr>
      <t xml:space="preserve">数量
</t>
    </r>
    <r>
      <rPr>
        <sz val="10"/>
        <color theme="1"/>
        <rFont val="Times New Roman"/>
        <charset val="134"/>
      </rPr>
      <t xml:space="preserve">3 D6 4
5 D8 6
9 D8 8
11 D10 8
13 D10 10
</t>
    </r>
    <r>
      <rPr>
        <sz val="10"/>
        <color theme="1"/>
        <rFont val="宋体"/>
        <charset val="134"/>
      </rPr>
      <t>此子职中所有需要使用灵能骰的特性只能使用你从该子职获得的灵能骰。你在使用某些能力时需要消耗灵能骰，如异能描述中所述，如果某个异能在你的灵能骰全部消耗完后还需要你使用一个灵能骰，你就不能使用该异能。
你可以在完成短休时重获一枚已消耗的灵能骰，完成长休时重获所有已消耗的灵能骰。
庇护力场</t>
    </r>
    <r>
      <rPr>
        <sz val="10"/>
        <color theme="1"/>
        <rFont val="Times New Roman"/>
        <charset val="134"/>
      </rPr>
      <t>Protective Field</t>
    </r>
    <r>
      <rPr>
        <sz val="10"/>
        <color theme="1"/>
        <rFont val="宋体"/>
        <charset val="134"/>
      </rPr>
      <t>。当你或者另一个位于你</t>
    </r>
    <r>
      <rPr>
        <sz val="10"/>
        <color theme="1"/>
        <rFont val="Times New Roman"/>
        <charset val="134"/>
      </rPr>
      <t>30</t>
    </r>
    <r>
      <rPr>
        <sz val="10"/>
        <color theme="1"/>
        <rFont val="宋体"/>
        <charset val="134"/>
      </rPr>
      <t>尺内的你可见的生物受到伤害时，你可以执行一个反应来消耗一枚灵能骰，对其降低等同于灵能骰骰出的数值加你的智力调整值的伤害（最少</t>
    </r>
    <r>
      <rPr>
        <sz val="10"/>
        <color theme="1"/>
        <rFont val="Times New Roman"/>
        <charset val="134"/>
      </rPr>
      <t>1</t>
    </r>
    <r>
      <rPr>
        <sz val="10"/>
        <color theme="1"/>
        <rFont val="宋体"/>
        <charset val="134"/>
      </rPr>
      <t>点），如同你创造了一面瞬间的念力盾牌。
灵能打击</t>
    </r>
    <r>
      <rPr>
        <sz val="10"/>
        <color theme="1"/>
        <rFont val="Times New Roman"/>
        <charset val="134"/>
      </rPr>
      <t>Psionic Strike</t>
    </r>
    <r>
      <rPr>
        <sz val="10"/>
        <color theme="1"/>
        <rFont val="宋体"/>
        <charset val="134"/>
      </rPr>
      <t>。你可以用灵能驱动你的武器。每个你的回合一次，当你用武器命中并对位于你</t>
    </r>
    <r>
      <rPr>
        <sz val="10"/>
        <color theme="1"/>
        <rFont val="Times New Roman"/>
        <charset val="134"/>
      </rPr>
      <t>30</t>
    </r>
    <r>
      <rPr>
        <sz val="10"/>
        <color theme="1"/>
        <rFont val="宋体"/>
        <charset val="134"/>
      </rPr>
      <t>尺范围内的目标造成伤害时，你可以立即消耗一枚灵能骰，对目标造成等同于灵能骰骰出的数值加你的智力调整值的力场伤害。
念力控物</t>
    </r>
    <r>
      <rPr>
        <sz val="10"/>
        <color theme="1"/>
        <rFont val="Times New Roman"/>
        <charset val="134"/>
      </rPr>
      <t>Telekinetic Movement</t>
    </r>
    <r>
      <rPr>
        <sz val="10"/>
        <color theme="1"/>
        <rFont val="宋体"/>
        <charset val="134"/>
      </rPr>
      <t>。你可以用意念移动一个物体或生物。以一个魔法动作，你选中一个除你以外的自愿生物或一个至多大型的未固定物件。如果你可以看见目标且目标在你</t>
    </r>
    <r>
      <rPr>
        <sz val="10"/>
        <color theme="1"/>
        <rFont val="Times New Roman"/>
        <charset val="134"/>
      </rPr>
      <t>30</t>
    </r>
    <r>
      <rPr>
        <sz val="10"/>
        <color theme="1"/>
        <rFont val="宋体"/>
        <charset val="134"/>
      </rPr>
      <t>尺范围内，你就可以将其移动至多</t>
    </r>
    <r>
      <rPr>
        <sz val="10"/>
        <color theme="1"/>
        <rFont val="Times New Roman"/>
        <charset val="134"/>
      </rPr>
      <t>30</t>
    </r>
    <r>
      <rPr>
        <sz val="10"/>
        <color theme="1"/>
        <rFont val="宋体"/>
        <charset val="134"/>
      </rPr>
      <t>尺至另一个对你可见的未占据空间内。另外，如果目标是一个微型物件，你可以自由给出或收回手中。
此异能一经使用，直至完成短休或长休你都无法再次使用。你也可以消耗一枚灵能骰（无需动作）重置该异能的使用权。</t>
    </r>
  </si>
  <si>
    <r>
      <rPr>
        <sz val="10"/>
        <color theme="1"/>
        <rFont val="宋体"/>
        <charset val="134"/>
      </rPr>
      <t>龙之徒</t>
    </r>
  </si>
  <si>
    <r>
      <rPr>
        <sz val="10"/>
        <color theme="1"/>
        <rFont val="宋体"/>
        <charset val="134"/>
      </rPr>
      <t xml:space="preserve">通过引导你的龙之气，你可以将龙息的精华注入到你的徒手打击之中并依靠你与龙的牵绊来强化自身的气势。你获得以下好处：
</t>
    </r>
    <r>
      <rPr>
        <sz val="10"/>
        <color theme="1"/>
        <rFont val="Times New Roman"/>
        <charset val="134"/>
      </rPr>
      <t xml:space="preserve">• </t>
    </r>
    <r>
      <rPr>
        <sz val="10"/>
        <color theme="1"/>
        <rFont val="宋体"/>
        <charset val="134"/>
      </rPr>
      <t>龙之威仪</t>
    </r>
    <r>
      <rPr>
        <sz val="10"/>
        <color theme="1"/>
        <rFont val="Times New Roman"/>
        <charset val="134"/>
      </rPr>
      <t>Draconic Presence</t>
    </r>
    <r>
      <rPr>
        <sz val="10"/>
        <color theme="1"/>
        <rFont val="宋体"/>
        <charset val="134"/>
      </rPr>
      <t xml:space="preserve">。如果你在一次魅力（威吓）或一次魅力（游说）检定中失败，你可以显现出巨龙的威仪，并用你的反应来重骰此检定。一旦此特性将一次检定结果从失败变为成功，直到你完成一次长休息你无法再使用此特性。
</t>
    </r>
    <r>
      <rPr>
        <sz val="10"/>
        <color theme="1"/>
        <rFont val="Times New Roman"/>
        <charset val="134"/>
      </rPr>
      <t xml:space="preserve">• </t>
    </r>
    <r>
      <rPr>
        <sz val="10"/>
        <color theme="1"/>
        <rFont val="宋体"/>
        <charset val="134"/>
      </rPr>
      <t>龙之打击</t>
    </r>
    <r>
      <rPr>
        <sz val="10"/>
        <color theme="1"/>
        <rFont val="Times New Roman"/>
        <charset val="134"/>
      </rPr>
      <t>Draconic Strike</t>
    </r>
    <r>
      <rPr>
        <sz val="10"/>
        <color theme="1"/>
        <rFont val="宋体"/>
        <charset val="134"/>
      </rPr>
      <t xml:space="preserve">。当你以一次徒手攻击对一个目标造成伤害时，你可以将伤害类型改变为强酸，冷冻，火焰，闪电或毒素。
</t>
    </r>
    <r>
      <rPr>
        <sz val="10"/>
        <color theme="1"/>
        <rFont val="Times New Roman"/>
        <charset val="134"/>
      </rPr>
      <t xml:space="preserve">• </t>
    </r>
    <r>
      <rPr>
        <sz val="10"/>
        <color theme="1"/>
        <rFont val="宋体"/>
        <charset val="134"/>
      </rPr>
      <t>龙之言语</t>
    </r>
    <r>
      <rPr>
        <sz val="10"/>
        <color theme="1"/>
        <rFont val="Times New Roman"/>
        <charset val="134"/>
      </rPr>
      <t>Tongue of Dragons</t>
    </r>
    <r>
      <rPr>
        <sz val="10"/>
        <color theme="1"/>
        <rFont val="宋体"/>
        <charset val="134"/>
      </rPr>
      <t>。你可以说、读、写龙语或其他一种你选择的语言。</t>
    </r>
  </si>
  <si>
    <r>
      <rPr>
        <sz val="10"/>
        <color theme="1"/>
        <rFont val="宋体"/>
        <charset val="134"/>
      </rPr>
      <t>守护之誓法术</t>
    </r>
  </si>
  <si>
    <r>
      <rPr>
        <sz val="10"/>
        <color theme="1"/>
        <rFont val="宋体"/>
        <charset val="134"/>
      </rPr>
      <t>你誓言具有的魔法使你始终准备了特定的法术。当你到达守护之誓法术表中特定的圣武士等级时，你就始终准备了表中对应的法术。
守护之誓法术</t>
    </r>
    <r>
      <rPr>
        <sz val="10"/>
        <color theme="1"/>
        <rFont val="Times New Roman"/>
        <charset val="134"/>
      </rPr>
      <t xml:space="preserve">Oath of Guardian Spells
</t>
    </r>
    <r>
      <rPr>
        <sz val="10"/>
        <color theme="1"/>
        <rFont val="宋体"/>
        <charset val="134"/>
      </rPr>
      <t>圣武士等级</t>
    </r>
    <r>
      <rPr>
        <sz val="10"/>
        <color theme="1"/>
        <rFont val="Times New Roman"/>
        <charset val="134"/>
      </rPr>
      <t xml:space="preserve"> </t>
    </r>
    <r>
      <rPr>
        <sz val="10"/>
        <color theme="1"/>
        <rFont val="宋体"/>
        <charset val="134"/>
      </rPr>
      <t xml:space="preserve">准备法术
</t>
    </r>
    <r>
      <rPr>
        <sz val="10"/>
        <color theme="1"/>
        <rFont val="Times New Roman"/>
        <charset val="134"/>
      </rPr>
      <t xml:space="preserve">3 </t>
    </r>
    <r>
      <rPr>
        <sz val="10"/>
        <color theme="1"/>
        <rFont val="宋体"/>
        <charset val="134"/>
      </rPr>
      <t>警报术</t>
    </r>
    <r>
      <rPr>
        <sz val="10"/>
        <color theme="1"/>
        <rFont val="Times New Roman"/>
        <charset val="134"/>
      </rPr>
      <t>Alarm</t>
    </r>
    <r>
      <rPr>
        <sz val="10"/>
        <color theme="1"/>
        <rFont val="宋体"/>
        <charset val="134"/>
      </rPr>
      <t>，</t>
    </r>
    <r>
      <rPr>
        <sz val="10"/>
        <color theme="1"/>
        <rFont val="Times New Roman"/>
        <charset val="134"/>
      </rPr>
      <t xml:space="preserve"> </t>
    </r>
    <r>
      <rPr>
        <sz val="10"/>
        <color theme="1"/>
        <rFont val="宋体"/>
        <charset val="134"/>
      </rPr>
      <t>虔诚护盾</t>
    </r>
    <r>
      <rPr>
        <sz val="10"/>
        <color theme="1"/>
        <rFont val="Times New Roman"/>
        <charset val="134"/>
      </rPr>
      <t xml:space="preserve">Shield of Faith
5 </t>
    </r>
    <r>
      <rPr>
        <sz val="10"/>
        <color theme="1"/>
        <rFont val="宋体"/>
        <charset val="134"/>
      </rPr>
      <t>次等复原术</t>
    </r>
    <r>
      <rPr>
        <sz val="10"/>
        <color theme="1"/>
        <rFont val="Times New Roman"/>
        <charset val="134"/>
      </rPr>
      <t>Lesser Restoration</t>
    </r>
    <r>
      <rPr>
        <sz val="10"/>
        <color theme="1"/>
        <rFont val="宋体"/>
        <charset val="134"/>
      </rPr>
      <t>，守护之链</t>
    </r>
    <r>
      <rPr>
        <sz val="10"/>
        <color theme="1"/>
        <rFont val="Times New Roman"/>
        <charset val="134"/>
      </rPr>
      <t xml:space="preserve">Warding Bond
9 </t>
    </r>
    <r>
      <rPr>
        <sz val="10"/>
        <color theme="1"/>
        <rFont val="宋体"/>
        <charset val="134"/>
      </rPr>
      <t>希望信标</t>
    </r>
    <r>
      <rPr>
        <sz val="10"/>
        <color theme="1"/>
        <rFont val="Times New Roman"/>
        <charset val="134"/>
      </rPr>
      <t>Beacon of Hope</t>
    </r>
    <r>
      <rPr>
        <sz val="10"/>
        <color theme="1"/>
        <rFont val="宋体"/>
        <charset val="134"/>
      </rPr>
      <t>，</t>
    </r>
    <r>
      <rPr>
        <sz val="10"/>
        <color theme="1"/>
        <rFont val="Times New Roman"/>
        <charset val="134"/>
      </rPr>
      <t xml:space="preserve"> </t>
    </r>
    <r>
      <rPr>
        <sz val="10"/>
        <color theme="1"/>
        <rFont val="宋体"/>
        <charset val="134"/>
      </rPr>
      <t>防护能量</t>
    </r>
    <r>
      <rPr>
        <sz val="10"/>
        <color theme="1"/>
        <rFont val="Times New Roman"/>
        <charset val="134"/>
      </rPr>
      <t xml:space="preserve">Protection from Energy
13 </t>
    </r>
    <r>
      <rPr>
        <sz val="10"/>
        <color theme="1"/>
        <rFont val="宋体"/>
        <charset val="134"/>
      </rPr>
      <t>防死结界</t>
    </r>
    <r>
      <rPr>
        <sz val="10"/>
        <color theme="1"/>
        <rFont val="Times New Roman"/>
        <charset val="134"/>
      </rPr>
      <t>Death Ward</t>
    </r>
    <r>
      <rPr>
        <sz val="10"/>
        <color theme="1"/>
        <rFont val="宋体"/>
        <charset val="134"/>
      </rPr>
      <t>，</t>
    </r>
    <r>
      <rPr>
        <sz val="10"/>
        <color theme="1"/>
        <rFont val="Times New Roman"/>
        <charset val="134"/>
      </rPr>
      <t xml:space="preserve"> </t>
    </r>
    <r>
      <rPr>
        <sz val="10"/>
        <color theme="1"/>
        <rFont val="宋体"/>
        <charset val="134"/>
      </rPr>
      <t>信仰守卫</t>
    </r>
    <r>
      <rPr>
        <sz val="10"/>
        <color theme="1"/>
        <rFont val="Times New Roman"/>
        <charset val="134"/>
      </rPr>
      <t xml:space="preserve">Guardian of Faith
17 </t>
    </r>
    <r>
      <rPr>
        <sz val="10"/>
        <color theme="1"/>
        <rFont val="宋体"/>
        <charset val="134"/>
      </rPr>
      <t>高等复原术</t>
    </r>
    <r>
      <rPr>
        <sz val="10"/>
        <color theme="1"/>
        <rFont val="Times New Roman"/>
        <charset val="134"/>
      </rPr>
      <t>Greater Restoration</t>
    </r>
    <r>
      <rPr>
        <sz val="10"/>
        <color theme="1"/>
        <rFont val="宋体"/>
        <charset val="134"/>
      </rPr>
      <t>，死者复活</t>
    </r>
    <r>
      <rPr>
        <sz val="10"/>
        <color theme="1"/>
        <rFont val="Times New Roman"/>
        <charset val="134"/>
      </rPr>
      <t>Raise Dead</t>
    </r>
  </si>
  <si>
    <r>
      <rPr>
        <sz val="10"/>
        <color theme="1"/>
        <rFont val="宋体"/>
        <charset val="134"/>
      </rPr>
      <t>群逸逃散</t>
    </r>
  </si>
  <si>
    <r>
      <rPr>
        <sz val="10"/>
        <color theme="1"/>
        <rFont val="宋体"/>
        <charset val="134"/>
      </rPr>
      <t>你能将自己散入集群来躲避危险。
当你受到伤害时，你能使用你的反应动作让自己活得对该次伤害的抗性。
你消失在自己的集群之中，然后传送至</t>
    </r>
    <r>
      <rPr>
        <sz val="10"/>
        <color theme="1"/>
        <rFont val="Times New Roman"/>
        <charset val="134"/>
      </rPr>
      <t>30</t>
    </r>
    <r>
      <rPr>
        <sz val="10"/>
        <color theme="1"/>
        <rFont val="宋体"/>
        <charset val="134"/>
      </rPr>
      <t>尺内一个未被占据的空间，你在那里与自己的集群一同重新出现。
你能使用该特性的次数等于你的熟练加值，而你在结束一次长休后重新获得所有消耗的次数。</t>
    </r>
  </si>
  <si>
    <r>
      <rPr>
        <sz val="10"/>
        <color theme="1"/>
        <rFont val="宋体"/>
        <charset val="134"/>
      </rPr>
      <t>突袭打击</t>
    </r>
  </si>
  <si>
    <r>
      <rPr>
        <sz val="10"/>
        <color theme="1"/>
        <rFont val="宋体"/>
        <charset val="134"/>
      </rPr>
      <t>你可以以致命的速度进行打击。
若你在你的回合进行攻击动作，你可以以一个附赠动作进行一次额外的攻击。
此攻击可以从你的偷袭中收益，即使你已经在此回合中使用了它，但是你不能在一回合中对同一目标偷袭一次以上。</t>
    </r>
  </si>
  <si>
    <r>
      <rPr>
        <sz val="10"/>
        <color theme="1"/>
        <rFont val="宋体"/>
        <charset val="134"/>
      </rPr>
      <t>风暴之心</t>
    </r>
  </si>
  <si>
    <r>
      <rPr>
        <sz val="10"/>
        <color theme="1"/>
        <rFont val="宋体"/>
        <charset val="134"/>
      </rPr>
      <t>你对闪电和雷鸣伤害获得抗力。
每当你施展一个</t>
    </r>
    <r>
      <rPr>
        <sz val="10"/>
        <color theme="1"/>
        <rFont val="Times New Roman"/>
        <charset val="134"/>
      </rPr>
      <t>1</t>
    </r>
    <r>
      <rPr>
        <sz val="10"/>
        <color theme="1"/>
        <rFont val="宋体"/>
        <charset val="134"/>
      </rPr>
      <t>环或以上且造成闪电或雷鸣伤害的法术时，猛烈的魔法从你身体内爆发而出。
这次爆发导致所有</t>
    </r>
    <r>
      <rPr>
        <sz val="10"/>
        <color theme="1"/>
        <rFont val="Times New Roman"/>
        <charset val="134"/>
      </rPr>
      <t>10</t>
    </r>
    <r>
      <rPr>
        <sz val="10"/>
        <color theme="1"/>
        <rFont val="宋体"/>
        <charset val="134"/>
      </rPr>
      <t>尺内你选择的可见生物（每次使用此能力都指定），都承受等于你术士等级一半的闪电或雷鸣伤害。</t>
    </r>
  </si>
  <si>
    <r>
      <rPr>
        <sz val="10"/>
        <color theme="1"/>
        <rFont val="宋体"/>
        <charset val="134"/>
      </rPr>
      <t>玄奥秘法</t>
    </r>
  </si>
  <si>
    <r>
      <rPr>
        <sz val="10"/>
        <color theme="1"/>
        <rFont val="宋体"/>
        <charset val="134"/>
      </rPr>
      <t>你的宗主赋予你一种称为秘法的魔法奥秘。你可以选择一个六环的魔契师法术作为你的玄奥秘法。
你可以无需消耗法术位地施展该秘法，但你必须完成一次长休进行才能再次以这种方式施展秘法。
如魔契师特性表所示，当你获得更高的魔契师等级后，你将可以选择更多的魔契师法术来以这种方式施展：第</t>
    </r>
    <r>
      <rPr>
        <sz val="10"/>
        <color theme="1"/>
        <rFont val="Times New Roman"/>
        <charset val="134"/>
      </rPr>
      <t>13</t>
    </r>
    <r>
      <rPr>
        <sz val="10"/>
        <color theme="1"/>
        <rFont val="宋体"/>
        <charset val="134"/>
      </rPr>
      <t>级时可选一个七环法术，</t>
    </r>
    <r>
      <rPr>
        <sz val="10"/>
        <color theme="1"/>
        <rFont val="Times New Roman"/>
        <charset val="134"/>
      </rPr>
      <t>15</t>
    </r>
    <r>
      <rPr>
        <sz val="10"/>
        <color theme="1"/>
        <rFont val="宋体"/>
        <charset val="134"/>
      </rPr>
      <t>级时可选一个八环法术，</t>
    </r>
    <r>
      <rPr>
        <sz val="10"/>
        <color theme="1"/>
        <rFont val="Times New Roman"/>
        <charset val="134"/>
      </rPr>
      <t>17</t>
    </r>
    <r>
      <rPr>
        <sz val="10"/>
        <color theme="1"/>
        <rFont val="宋体"/>
        <charset val="134"/>
      </rPr>
      <t>级时可选一个九环法术。完成一次长休后，所有消耗掉的秘法都会恢复。
每当你提升魔契师等级时，你都可以将一个秘法的法术替换为另一个同环魔契师法术。</t>
    </r>
  </si>
  <si>
    <r>
      <rPr>
        <sz val="10"/>
        <color theme="1"/>
        <rFont val="宋体"/>
        <charset val="134"/>
      </rPr>
      <t>咒言主宰</t>
    </r>
  </si>
  <si>
    <r>
      <rPr>
        <sz val="10"/>
        <color theme="1"/>
        <rFont val="宋体"/>
        <charset val="134"/>
      </rPr>
      <t>当你准备法术时，从一环到五环中选择两道法术，用其编织出交联的一道强大法术，且你可以将其作为单个法术进行准备。交联法术的环阶等于这两道法术法术的环阶相加，但不能超过六环。
你所选择的法术必须具有语言成分且施法时间为动作。
以一个魔法动作，你施展交联法术，同时创造出构成它的那两道法术的效果。</t>
    </r>
  </si>
  <si>
    <r>
      <rPr>
        <sz val="10"/>
        <color theme="1"/>
        <rFont val="宋体"/>
        <charset val="134"/>
      </rPr>
      <t>诱变剂</t>
    </r>
    <r>
      <rPr>
        <sz val="10"/>
        <color theme="1"/>
        <rFont val="Times New Roman"/>
        <charset val="134"/>
      </rPr>
      <t>-</t>
    </r>
    <r>
      <rPr>
        <sz val="10"/>
        <color theme="1"/>
        <rFont val="宋体"/>
        <charset val="134"/>
      </rPr>
      <t>幻惑</t>
    </r>
  </si>
  <si>
    <r>
      <rPr>
        <sz val="10"/>
        <color theme="1"/>
        <rFont val="宋体"/>
        <charset val="134"/>
      </rPr>
      <t>你的皮肤与声音变得可塑，从而微微提升你的外表与存在感。你进行的魅力检定具有优势。
副作用：你的先攻检定具有劣势。</t>
    </r>
  </si>
  <si>
    <r>
      <rPr>
        <sz val="10"/>
        <color theme="1"/>
        <rFont val="宋体"/>
        <charset val="134"/>
      </rPr>
      <t>自我诊断</t>
    </r>
  </si>
  <si>
    <r>
      <rPr>
        <sz val="10"/>
        <color theme="1"/>
        <rFont val="宋体"/>
        <charset val="134"/>
      </rPr>
      <t>如果你没有剩余的心灵点了，你可以用一个附赠动作消耗一个法术位，获得</t>
    </r>
    <r>
      <rPr>
        <sz val="10"/>
        <color theme="1"/>
        <rFont val="Times New Roman"/>
        <charset val="134"/>
      </rPr>
      <t>1d4</t>
    </r>
    <r>
      <rPr>
        <sz val="10"/>
        <color theme="1"/>
        <rFont val="宋体"/>
        <charset val="134"/>
      </rPr>
      <t>个心灵点。</t>
    </r>
    <r>
      <rPr>
        <sz val="10"/>
        <color theme="1"/>
        <rFont val="Times New Roman"/>
        <charset val="134"/>
      </rPr>
      <t xml:space="preserve"> </t>
    </r>
    <r>
      <rPr>
        <sz val="10"/>
        <color theme="1"/>
        <rFont val="宋体"/>
        <charset val="134"/>
      </rPr>
      <t>你还额外获得两种心灵能力：
精密检查</t>
    </r>
    <r>
      <rPr>
        <sz val="10"/>
        <color theme="1"/>
        <rFont val="Times New Roman"/>
        <charset val="134"/>
      </rPr>
      <t>Careful Examination</t>
    </r>
    <r>
      <rPr>
        <sz val="10"/>
        <color theme="1"/>
        <rFont val="宋体"/>
        <charset val="134"/>
      </rPr>
      <t>。每当你施展为一个生物恢复生命值的法术时，你可以消耗一个心灵点。如果你这样做，该法术的所有目标都额外恢复等同于你智力调整值两倍的生命值。
小脑强化</t>
    </r>
    <r>
      <rPr>
        <sz val="10"/>
        <color theme="1"/>
        <rFont val="Times New Roman"/>
        <charset val="134"/>
      </rPr>
      <t>Enhanced Cerebellum</t>
    </r>
    <r>
      <rPr>
        <sz val="10"/>
        <color theme="1"/>
        <rFont val="宋体"/>
        <charset val="134"/>
      </rPr>
      <t>。当你施展任何来自精神师法术特性的一环及更高环阶法术时，你可以如常消耗法术位释放它，或消耗数值等同于其法术环阶的心灵点。</t>
    </r>
    <r>
      <rPr>
        <sz val="10"/>
        <color theme="1"/>
        <rFont val="Times New Roman"/>
        <charset val="134"/>
      </rPr>
      <t xml:space="preserve"> </t>
    </r>
  </si>
  <si>
    <t>等价交换</t>
  </si>
  <si>
    <r>
      <rPr>
        <sz val="10"/>
        <color theme="1"/>
        <rFont val="宋体"/>
        <charset val="134"/>
      </rPr>
      <t>你可以向地狱军团低语，诱捕敌人，召唤盟友。以一个动作，你可以尝试放逐一名位于你</t>
    </r>
    <r>
      <rPr>
        <sz val="10"/>
        <color theme="1"/>
        <rFont val="Times New Roman"/>
        <charset val="134"/>
      </rPr>
      <t>30</t>
    </r>
    <r>
      <rPr>
        <sz val="10"/>
        <color theme="1"/>
        <rFont val="宋体"/>
        <charset val="134"/>
      </rPr>
      <t>尺内的可见生物。目标必须成功通过一次魅力豁免，否则将被放逐到九狱的废墟之中，持续</t>
    </r>
    <r>
      <rPr>
        <sz val="10"/>
        <color theme="1"/>
        <rFont val="Times New Roman"/>
        <charset val="134"/>
      </rPr>
      <t>1</t>
    </r>
    <r>
      <rPr>
        <sz val="10"/>
        <color theme="1"/>
        <rFont val="宋体"/>
        <charset val="134"/>
      </rPr>
      <t>分钟。</t>
    </r>
    <r>
      <rPr>
        <sz val="10"/>
        <color theme="1"/>
        <rFont val="Times New Roman"/>
        <charset val="134"/>
      </rPr>
      <t xml:space="preserve"> </t>
    </r>
    <r>
      <rPr>
        <sz val="10"/>
        <color theme="1"/>
        <rFont val="宋体"/>
        <charset val="134"/>
      </rPr>
      <t>之后目标将重新出现在其原本所在的空间或最近的未占据空间。被放逐的目标在其每个回合结束时，重新进行该豁免，成功则该效应提前结束。成功通过此效应豁免的生物将免疫你的等价交换，持续</t>
    </r>
    <r>
      <rPr>
        <sz val="10"/>
        <color theme="1"/>
        <rFont val="Times New Roman"/>
        <charset val="134"/>
      </rPr>
      <t>24</t>
    </r>
    <r>
      <rPr>
        <sz val="10"/>
        <color theme="1"/>
        <rFont val="宋体"/>
        <charset val="134"/>
      </rPr>
      <t>小时。
此外，当目标以此法被放逐时，一名魔鬼律师</t>
    </r>
    <r>
      <rPr>
        <sz val="10"/>
        <color theme="1"/>
        <rFont val="Times New Roman"/>
        <charset val="134"/>
      </rPr>
      <t>devil jurist</t>
    </r>
    <r>
      <rPr>
        <sz val="10"/>
        <color theme="1"/>
        <rFont val="宋体"/>
        <charset val="134"/>
      </rPr>
      <t>（出自《滚远点！凡人们》，翻译暂缺）或一头角魔</t>
    </r>
    <r>
      <rPr>
        <sz val="10"/>
        <color theme="1"/>
        <rFont val="Times New Roman"/>
        <charset val="134"/>
      </rPr>
      <t>horned devil</t>
    </r>
    <r>
      <rPr>
        <sz val="10"/>
        <color theme="1"/>
        <rFont val="宋体"/>
        <charset val="134"/>
      </rPr>
      <t>（出自《怪物图鉴》）将出现在目标原本所在空间。这名魔鬼将成为你的盟友，听从你的命令，当被放逐的生物重新出现时，该魔鬼消失。
一旦你以此法放逐一名生物，直至完成长休你都无法再如此做。</t>
    </r>
  </si>
  <si>
    <t>枯朽结社</t>
  </si>
  <si>
    <r>
      <rPr>
        <sz val="10"/>
        <color theme="1"/>
        <rFont val="宋体"/>
        <charset val="134"/>
      </rPr>
      <t>创世巨像</t>
    </r>
  </si>
  <si>
    <r>
      <rPr>
        <sz val="10"/>
        <color theme="1"/>
        <rFont val="宋体"/>
        <charset val="134"/>
      </rPr>
      <t>你狂暴中的原初力量增强了。当你狂暴时，你的触及范围再次提升</t>
    </r>
    <r>
      <rPr>
        <sz val="10"/>
        <color theme="1"/>
        <rFont val="Times New Roman"/>
        <charset val="134"/>
      </rPr>
      <t>10</t>
    </r>
    <r>
      <rPr>
        <sz val="10"/>
        <color theme="1"/>
        <rFont val="宋体"/>
        <charset val="134"/>
      </rPr>
      <t>尺，而你的体型可以增大为大型或巨型（由你选择），且你还可以用</t>
    </r>
    <r>
      <rPr>
        <sz val="10"/>
        <color theme="1"/>
        <rFont val="Times New Roman"/>
        <charset val="134"/>
      </rPr>
      <t xml:space="preserve"> </t>
    </r>
    <r>
      <rPr>
        <sz val="10"/>
        <color theme="1"/>
        <rFont val="宋体"/>
        <charset val="134"/>
      </rPr>
      <t>伟力推动</t>
    </r>
    <r>
      <rPr>
        <sz val="10"/>
        <color theme="1"/>
        <rFont val="Times New Roman"/>
        <charset val="134"/>
      </rPr>
      <t xml:space="preserve">Mighty Impel </t>
    </r>
    <r>
      <rPr>
        <sz val="10"/>
        <color theme="1"/>
        <rFont val="宋体"/>
        <charset val="134"/>
      </rPr>
      <t>特性投掷不超过大型体型的生物。
此外，你的</t>
    </r>
    <r>
      <rPr>
        <sz val="10"/>
        <color theme="1"/>
        <rFont val="Times New Roman"/>
        <charset val="134"/>
      </rPr>
      <t xml:space="preserve"> </t>
    </r>
    <r>
      <rPr>
        <sz val="10"/>
        <color theme="1"/>
        <rFont val="宋体"/>
        <charset val="134"/>
      </rPr>
      <t>元素战刃</t>
    </r>
    <r>
      <rPr>
        <sz val="10"/>
        <color theme="1"/>
        <rFont val="Times New Roman"/>
        <charset val="134"/>
      </rPr>
      <t xml:space="preserve">Elemental Cleaver </t>
    </r>
    <r>
      <rPr>
        <sz val="10"/>
        <color theme="1"/>
        <rFont val="宋体"/>
        <charset val="134"/>
      </rPr>
      <t>特性造成的额外伤害提升至</t>
    </r>
    <r>
      <rPr>
        <sz val="10"/>
        <color theme="1"/>
        <rFont val="Times New Roman"/>
        <charset val="134"/>
      </rPr>
      <t>2d6</t>
    </r>
    <r>
      <rPr>
        <sz val="10"/>
        <color theme="1"/>
        <rFont val="宋体"/>
        <charset val="134"/>
      </rPr>
      <t>。</t>
    </r>
  </si>
  <si>
    <r>
      <rPr>
        <sz val="10"/>
        <color theme="1"/>
        <rFont val="宋体"/>
        <charset val="134"/>
      </rPr>
      <t>舞台指导</t>
    </r>
  </si>
  <si>
    <r>
      <rPr>
        <sz val="10"/>
        <color theme="1"/>
        <rFont val="宋体"/>
        <charset val="134"/>
      </rPr>
      <t>你获得了能在激励他人的同时进行指导的能力，让他们能最大程度地发挥你的指引。
当一个能看见你的生物通常需要掷出一枚你的诗人激励骰时，它无需掷出该骰子，而是直接取其可能的最大值。
你能使用本特性的次数等于你的魅力调整值（最少为</t>
    </r>
    <r>
      <rPr>
        <sz val="10"/>
        <color theme="1"/>
        <rFont val="Times New Roman"/>
        <charset val="134"/>
      </rPr>
      <t>1</t>
    </r>
    <r>
      <rPr>
        <sz val="10"/>
        <color theme="1"/>
        <rFont val="宋体"/>
        <charset val="134"/>
      </rPr>
      <t>）。完成一次长休后，你重获所有已消耗的使用次数。</t>
    </r>
  </si>
  <si>
    <r>
      <rPr>
        <sz val="10"/>
        <color theme="1"/>
        <rFont val="宋体"/>
        <charset val="134"/>
      </rPr>
      <t>引导神力：和平抚慰</t>
    </r>
  </si>
  <si>
    <r>
      <rPr>
        <sz val="10"/>
        <color theme="1"/>
        <rFont val="宋体"/>
        <charset val="134"/>
      </rPr>
      <t>你可以用引导神力来减轻痛苦，慰籍心灵。以一个动作，你可以移动等同于你速度的距离，此次移动不会引发借机攻击。当你在此动作期间移动到了任意其他生物周遭</t>
    </r>
    <r>
      <rPr>
        <sz val="10"/>
        <color theme="1"/>
        <rFont val="Times New Roman"/>
        <charset val="134"/>
      </rPr>
      <t>5</t>
    </r>
    <r>
      <rPr>
        <sz val="10"/>
        <color theme="1"/>
        <rFont val="宋体"/>
        <charset val="134"/>
      </rPr>
      <t>尺范围内时，你都可以为其恢复</t>
    </r>
    <r>
      <rPr>
        <sz val="10"/>
        <color theme="1"/>
        <rFont val="Times New Roman"/>
        <charset val="134"/>
      </rPr>
      <t>2d6+</t>
    </r>
    <r>
      <rPr>
        <sz val="10"/>
        <color theme="1"/>
        <rFont val="宋体"/>
        <charset val="134"/>
      </rPr>
      <t>你的感知调整值的生命值（最低</t>
    </r>
    <r>
      <rPr>
        <sz val="10"/>
        <color theme="1"/>
        <rFont val="Times New Roman"/>
        <charset val="134"/>
      </rPr>
      <t>1</t>
    </r>
    <r>
      <rPr>
        <sz val="10"/>
        <color theme="1"/>
        <rFont val="宋体"/>
        <charset val="134"/>
      </rPr>
      <t>点生命值）。每次你使用这个引导神力时，每个生物只能从其中获得一次治疗。</t>
    </r>
  </si>
  <si>
    <r>
      <rPr>
        <sz val="10"/>
        <color theme="1"/>
        <rFont val="宋体"/>
        <charset val="134"/>
      </rPr>
      <t>强化链接</t>
    </r>
  </si>
  <si>
    <r>
      <rPr>
        <sz val="10"/>
        <color theme="1"/>
        <rFont val="宋体"/>
        <charset val="134"/>
      </rPr>
      <t>你与野火精魂的连接增强了你的破坏与恢复法术。
当你在野火精魂处于召唤状态下施展一个造成火焰伤害或回复生命值的法术时，骰一个</t>
    </r>
    <r>
      <rPr>
        <sz val="10"/>
        <color theme="1"/>
        <rFont val="Times New Roman"/>
        <charset val="134"/>
      </rPr>
      <t xml:space="preserve"> d8</t>
    </r>
    <r>
      <rPr>
        <sz val="10"/>
        <color theme="1"/>
        <rFont val="宋体"/>
        <charset val="134"/>
      </rPr>
      <t>，你在该法术的一次掷骰时获得等同于骰出数值的加值。
此外，当你施展一个射程非自身的法术时，该法术可以源自你或你的野火精魂。</t>
    </r>
  </si>
  <si>
    <r>
      <rPr>
        <sz val="10"/>
        <color theme="1"/>
        <rFont val="宋体"/>
        <charset val="134"/>
      </rPr>
      <t>念力精通</t>
    </r>
  </si>
  <si>
    <r>
      <rPr>
        <sz val="10"/>
        <color theme="1"/>
        <rFont val="宋体"/>
        <charset val="134"/>
      </rPr>
      <t>你已经掌握了使用念力异能的新方式，如下所示。
灵力跃动</t>
    </r>
    <r>
      <rPr>
        <sz val="10"/>
        <color theme="1"/>
        <rFont val="Times New Roman"/>
        <charset val="134"/>
      </rPr>
      <t>Psi—Powered Leap</t>
    </r>
    <r>
      <rPr>
        <sz val="10"/>
        <color theme="1"/>
        <rFont val="宋体"/>
        <charset val="134"/>
      </rPr>
      <t>。以一个附赠动作，你获得等同于两倍速度的飞行速度，直到本回合结束为止。一旦你执行了此附赠动作，直到你完成一次短休或长休为止你都不能再次使用它。你也可以消耗一枚灵能骰（无需动作）来再次使用该异能。
念力突刺</t>
    </r>
    <r>
      <rPr>
        <sz val="10"/>
        <color theme="1"/>
        <rFont val="Times New Roman"/>
        <charset val="134"/>
      </rPr>
      <t>Telekinetic Thrust</t>
    </r>
    <r>
      <rPr>
        <sz val="10"/>
        <color theme="1"/>
        <rFont val="宋体"/>
        <charset val="134"/>
      </rPr>
      <t>。当你使用灵能打击对一个目标造成伤害时，你可以迫使目标进行一次力量豁免（</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你的智力调整值</t>
    </r>
    <r>
      <rPr>
        <sz val="10"/>
        <color theme="1"/>
        <rFont val="Times New Roman"/>
        <charset val="134"/>
      </rPr>
      <t>+</t>
    </r>
    <r>
      <rPr>
        <sz val="10"/>
        <color theme="1"/>
        <rFont val="宋体"/>
        <charset val="134"/>
      </rPr>
      <t>你的熟练加值）。如果豁免失败，你可以使目标陷入倒地状态或者将其在任意方向水平移动至多</t>
    </r>
    <r>
      <rPr>
        <sz val="10"/>
        <color theme="1"/>
        <rFont val="Times New Roman"/>
        <charset val="134"/>
      </rPr>
      <t>10</t>
    </r>
    <r>
      <rPr>
        <sz val="10"/>
        <color theme="1"/>
        <rFont val="宋体"/>
        <charset val="134"/>
      </rPr>
      <t>尺。</t>
    </r>
  </si>
  <si>
    <r>
      <rPr>
        <sz val="10"/>
        <color theme="1"/>
        <rFont val="宋体"/>
        <charset val="134"/>
      </rPr>
      <t>龙之息</t>
    </r>
  </si>
  <si>
    <r>
      <rPr>
        <sz val="10"/>
        <color theme="1"/>
        <rFont val="宋体"/>
        <charset val="134"/>
      </rPr>
      <t>你可以引导气来将其化为毁灭性的能量波，如同你所模仿的巨龙。当你在你的回合进行攻击动作，你可以将其中一次攻击替换为喷吐出一团</t>
    </r>
    <r>
      <rPr>
        <sz val="10"/>
        <color theme="1"/>
        <rFont val="Times New Roman"/>
        <charset val="134"/>
      </rPr>
      <t xml:space="preserve"> 20</t>
    </r>
    <r>
      <rPr>
        <sz val="10"/>
        <color theme="1"/>
        <rFont val="宋体"/>
        <charset val="134"/>
      </rPr>
      <t>尺锥状或</t>
    </r>
    <r>
      <rPr>
        <sz val="10"/>
        <color theme="1"/>
        <rFont val="Times New Roman"/>
        <charset val="134"/>
      </rPr>
      <t>30</t>
    </r>
    <r>
      <rPr>
        <sz val="10"/>
        <color theme="1"/>
        <rFont val="宋体"/>
        <charset val="134"/>
      </rPr>
      <t>尺长</t>
    </r>
    <r>
      <rPr>
        <sz val="10"/>
        <color theme="1"/>
        <rFont val="Times New Roman"/>
        <charset val="134"/>
      </rPr>
      <t>5</t>
    </r>
    <r>
      <rPr>
        <sz val="10"/>
        <color theme="1"/>
        <rFont val="宋体"/>
        <charset val="134"/>
      </rPr>
      <t>尺宽线状（由你选择）的龙类能量。选择以下一种伤害类型：强酸，冷冻，火焰，闪电或毒素。范围内的每个生物必须通过一次对抗你的气豁免</t>
    </r>
    <r>
      <rPr>
        <sz val="10"/>
        <color theme="1"/>
        <rFont val="Times New Roman"/>
        <charset val="134"/>
      </rPr>
      <t>DC</t>
    </r>
    <r>
      <rPr>
        <sz val="10"/>
        <color theme="1"/>
        <rFont val="宋体"/>
        <charset val="134"/>
      </rPr>
      <t>的敏捷豁免，豁免失败者将于受到等同两个你武艺骰的对应类型的伤害，豁免成功则伤害减半。
第</t>
    </r>
    <r>
      <rPr>
        <sz val="10"/>
        <color theme="1"/>
        <rFont val="Times New Roman"/>
        <charset val="134"/>
      </rPr>
      <t>11</t>
    </r>
    <r>
      <rPr>
        <sz val="10"/>
        <color theme="1"/>
        <rFont val="宋体"/>
        <charset val="134"/>
      </rPr>
      <t>级时，你的吐息伤害提升到三个你的武艺骰。
你可以使用此特性的次数等同于你的熟练加值（</t>
    </r>
    <r>
      <rPr>
        <sz val="10"/>
        <color theme="1"/>
        <rFont val="Times New Roman"/>
        <charset val="134"/>
      </rPr>
      <t xml:space="preserve"> PB</t>
    </r>
    <r>
      <rPr>
        <sz val="10"/>
        <color theme="1"/>
        <rFont val="宋体"/>
        <charset val="134"/>
      </rPr>
      <t>），且在完成一次长休后恢复所有使用次数。当你没有使用次数时，你可以花费</t>
    </r>
    <r>
      <rPr>
        <sz val="10"/>
        <color theme="1"/>
        <rFont val="Times New Roman"/>
        <charset val="134"/>
      </rPr>
      <t>2</t>
    </r>
    <r>
      <rPr>
        <sz val="10"/>
        <color theme="1"/>
        <rFont val="宋体"/>
        <charset val="134"/>
      </rPr>
      <t>点气来使用此特性。</t>
    </r>
  </si>
  <si>
    <r>
      <rPr>
        <sz val="10"/>
        <color theme="1"/>
        <rFont val="宋体"/>
        <charset val="134"/>
      </rPr>
      <t>肃卫干预</t>
    </r>
  </si>
  <si>
    <r>
      <rPr>
        <sz val="10"/>
        <color theme="1"/>
        <rFont val="宋体"/>
        <charset val="134"/>
      </rPr>
      <t>当一名你可见的生物对位于你</t>
    </r>
    <r>
      <rPr>
        <sz val="10"/>
        <color theme="1"/>
        <rFont val="Times New Roman"/>
        <charset val="134"/>
      </rPr>
      <t>30</t>
    </r>
    <r>
      <rPr>
        <sz val="10"/>
        <color theme="1"/>
        <rFont val="宋体"/>
        <charset val="134"/>
      </rPr>
      <t>尺内的另一名生物进行攻击检定并命中时，以一个反应，你可消耗一次引导神力并传送最多</t>
    </r>
    <r>
      <rPr>
        <sz val="10"/>
        <color theme="1"/>
        <rFont val="Times New Roman"/>
        <charset val="134"/>
      </rPr>
      <t>30</t>
    </r>
    <r>
      <rPr>
        <sz val="10"/>
        <color theme="1"/>
        <rFont val="宋体"/>
        <charset val="134"/>
      </rPr>
      <t>尺至攻击触发范围内一个未被占据的空间，并成为该攻击的目标。</t>
    </r>
  </si>
  <si>
    <r>
      <rPr>
        <sz val="10"/>
        <color theme="1"/>
        <rFont val="宋体"/>
        <charset val="134"/>
      </rPr>
      <t>龙兽守卫起源</t>
    </r>
  </si>
  <si>
    <r>
      <rPr>
        <sz val="10"/>
        <color theme="1"/>
        <rFont val="宋体"/>
        <charset val="134"/>
      </rPr>
      <t>你与自然的连接形式表现为一条龙族精魄，精魄能化形为龙兽。随着你的能量增长，你的龙兽也会一同增长，从四条腿的小伙伴蜕变为宏伟的巨大带翼生物，强壮到能让你骑乘。这一过程中，你也会不断获得增长的，令人敬畏的龙族力量。
思考与你联结的龙族精魄的起源。龙兽守卫起源表提供了范例。
龙兽守卫起源</t>
    </r>
    <r>
      <rPr>
        <sz val="10"/>
        <color theme="1"/>
        <rFont val="Times New Roman"/>
        <charset val="134"/>
      </rPr>
      <t>Drakewarden Origin d6</t>
    </r>
    <r>
      <rPr>
        <sz val="10"/>
        <color theme="1"/>
        <rFont val="宋体"/>
        <charset val="134"/>
      </rPr>
      <t>起源</t>
    </r>
    <r>
      <rPr>
        <sz val="10"/>
        <color theme="1"/>
        <rFont val="Times New Roman"/>
        <charset val="134"/>
      </rPr>
      <t xml:space="preserve"> 
1</t>
    </r>
    <r>
      <rPr>
        <sz val="10"/>
        <color theme="1"/>
        <rFont val="宋体"/>
        <charset val="134"/>
      </rPr>
      <t>、你通过研究龙的鳞片或爪子，或一件从龙的宝库里找到的饰品，从这些徽记物上获取了残留的龙族魔法，构成了联结</t>
    </r>
    <r>
      <rPr>
        <sz val="10"/>
        <color theme="1"/>
        <rFont val="Times New Roman"/>
        <charset val="134"/>
      </rPr>
      <t xml:space="preserve"> 
2</t>
    </r>
    <r>
      <rPr>
        <sz val="10"/>
        <color theme="1"/>
        <rFont val="宋体"/>
        <charset val="134"/>
      </rPr>
      <t>、一个专门收集和保护龙族学问的游侠会社向你传授了他们的道途。</t>
    </r>
    <r>
      <rPr>
        <sz val="10"/>
        <color theme="1"/>
        <rFont val="Times New Roman"/>
        <charset val="134"/>
      </rPr>
      <t xml:space="preserve"> 
3</t>
    </r>
    <r>
      <rPr>
        <sz val="10"/>
        <color theme="1"/>
        <rFont val="宋体"/>
        <charset val="134"/>
      </rPr>
      <t>、一条龙给了你一枚晶球或宝石，并让你进行照看，你没想到的是，龙兽从这块石头里孵化了出来。</t>
    </r>
    <r>
      <rPr>
        <sz val="10"/>
        <color theme="1"/>
        <rFont val="Times New Roman"/>
        <charset val="134"/>
      </rPr>
      <t xml:space="preserve"> 
4</t>
    </r>
    <r>
      <rPr>
        <sz val="10"/>
        <color theme="1"/>
        <rFont val="宋体"/>
        <charset val="134"/>
      </rPr>
      <t>、你曾吞下了几滴龙血，永远给你的自然魔法注入了龙的力量。</t>
    </r>
    <r>
      <rPr>
        <sz val="10"/>
        <color theme="1"/>
        <rFont val="Times New Roman"/>
        <charset val="134"/>
      </rPr>
      <t xml:space="preserve"> 
5</t>
    </r>
    <r>
      <rPr>
        <sz val="10"/>
        <color theme="1"/>
        <rFont val="宋体"/>
        <charset val="134"/>
      </rPr>
      <t>、当你大声朗读巨石柱上的古代龙纹铭文后，你被赋予了力量。</t>
    </r>
    <r>
      <rPr>
        <sz val="10"/>
        <color theme="1"/>
        <rFont val="Times New Roman"/>
        <charset val="134"/>
      </rPr>
      <t xml:space="preserve"> 
6</t>
    </r>
    <r>
      <rPr>
        <sz val="10"/>
        <color theme="1"/>
        <rFont val="宋体"/>
        <charset val="134"/>
      </rPr>
      <t>、你做了一个逼真的梦，你梦见一个神秘的人物，有七只黄色的金丝雀伴随其左右，警告你即将到来的浩劫。当你醒来时，你的龙兽就在你的身边盯着你。</t>
    </r>
    <r>
      <rPr>
        <sz val="10"/>
        <color theme="1"/>
        <rFont val="Times New Roman"/>
        <charset val="134"/>
      </rPr>
      <t xml:space="preserve"> </t>
    </r>
  </si>
  <si>
    <r>
      <rPr>
        <sz val="10"/>
        <color theme="1"/>
        <rFont val="宋体"/>
        <charset val="134"/>
      </rPr>
      <t>梦幻舞步</t>
    </r>
  </si>
  <si>
    <r>
      <rPr>
        <sz val="10"/>
        <color theme="1"/>
        <rFont val="宋体"/>
        <charset val="134"/>
      </rPr>
      <t>你冲刺，攻击，摆脱这些战斗中的动作就像一串模糊的身影。
在你的回合，如果你对一个生物进行一次近身攻击，那个生物在你回合剩下的时间内无法对你进行借机攻击。</t>
    </r>
  </si>
  <si>
    <r>
      <rPr>
        <sz val="10"/>
        <color theme="1"/>
        <rFont val="宋体"/>
        <charset val="134"/>
      </rPr>
      <t>风暴导向</t>
    </r>
  </si>
  <si>
    <r>
      <rPr>
        <sz val="10"/>
        <color theme="1"/>
        <rFont val="宋体"/>
        <charset val="134"/>
      </rPr>
      <t>你获得对你周边气象的微妙掌控。
如果正在下雨，你可以用一个动作，使你身边</t>
    </r>
    <r>
      <rPr>
        <sz val="10"/>
        <color theme="1"/>
        <rFont val="Times New Roman"/>
        <charset val="134"/>
      </rPr>
      <t>20</t>
    </r>
    <r>
      <rPr>
        <sz val="10"/>
        <color theme="1"/>
        <rFont val="宋体"/>
        <charset val="134"/>
      </rPr>
      <t>尺半径的范围停止下雨。
你可以以一个附赠动作终止这一效果。
如果正在刮风，你可以每轮以一个附赠动作掌控你身边一百尺半径范围的风向。
风会保持吹往你指定的方向，直到你的下一个行动轮。
你无法改变风速。</t>
    </r>
  </si>
  <si>
    <t>12+</t>
  </si>
  <si>
    <r>
      <rPr>
        <sz val="10"/>
        <color theme="1"/>
        <rFont val="宋体"/>
        <charset val="134"/>
      </rPr>
      <t>灭世魔刃</t>
    </r>
  </si>
  <si>
    <r>
      <rPr>
        <sz val="10"/>
        <color theme="1"/>
        <rFont val="宋体"/>
        <charset val="134"/>
      </rPr>
      <t>先决：魔契师等级</t>
    </r>
    <r>
      <rPr>
        <sz val="10"/>
        <color theme="1"/>
        <rFont val="Times New Roman"/>
        <charset val="134"/>
      </rPr>
      <t>12+</t>
    </r>
    <r>
      <rPr>
        <sz val="10"/>
        <color theme="1"/>
        <rFont val="宋体"/>
        <charset val="134"/>
      </rPr>
      <t>，具有饥渴魔刃祈唤
饥渴魔刃祈唤为你提供的额外攻击变为两次而非一次。</t>
    </r>
    <r>
      <rPr>
        <sz val="10"/>
        <color theme="1"/>
        <rFont val="Times New Roman"/>
        <charset val="134"/>
      </rPr>
      <t xml:space="preserve"> </t>
    </r>
  </si>
  <si>
    <r>
      <rPr>
        <sz val="10"/>
        <color theme="1"/>
        <rFont val="宋体"/>
        <charset val="134"/>
      </rPr>
      <t>时间变幻</t>
    </r>
  </si>
  <si>
    <r>
      <rPr>
        <sz val="10"/>
        <color theme="1"/>
        <rFont val="宋体"/>
        <charset val="134"/>
      </rPr>
      <t>你可以对生物周围的时间流动的进行魔法性的、有限的控制。在你或你周围</t>
    </r>
    <r>
      <rPr>
        <sz val="10"/>
        <color theme="1"/>
        <rFont val="Times New Roman"/>
        <charset val="134"/>
      </rPr>
      <t>30</t>
    </r>
    <r>
      <rPr>
        <sz val="10"/>
        <color theme="1"/>
        <rFont val="宋体"/>
        <charset val="134"/>
      </rPr>
      <t>尺内你可见的生物进行一次攻击检定、属性检定、或豁免检定后，你可以用反应迫使该生物重投。你可以在得知该检定是否成功后做出这一反应，且该生物必须使用第二次的结果。
你可以使用此特性两次，在你完成一次长休后你重获全部已消耗的使用次数。</t>
    </r>
  </si>
  <si>
    <r>
      <rPr>
        <sz val="10"/>
        <color theme="1"/>
        <rFont val="宋体"/>
        <charset val="134"/>
      </rPr>
      <t>诱变剂</t>
    </r>
    <r>
      <rPr>
        <sz val="10"/>
        <color theme="1"/>
        <rFont val="Times New Roman"/>
        <charset val="134"/>
      </rPr>
      <t>-</t>
    </r>
    <r>
      <rPr>
        <sz val="10"/>
        <color theme="1"/>
        <rFont val="宋体"/>
        <charset val="134"/>
      </rPr>
      <t>流动</t>
    </r>
  </si>
  <si>
    <r>
      <rPr>
        <sz val="10"/>
        <color theme="1"/>
        <rFont val="宋体"/>
        <charset val="134"/>
      </rPr>
      <t>你对擒抱及束缚状态免疫。第</t>
    </r>
    <r>
      <rPr>
        <sz val="10"/>
        <color theme="1"/>
        <rFont val="Times New Roman"/>
        <charset val="134"/>
      </rPr>
      <t xml:space="preserve"> 11 </t>
    </r>
    <r>
      <rPr>
        <sz val="10"/>
        <color theme="1"/>
        <rFont val="宋体"/>
        <charset val="134"/>
      </rPr>
      <t>级起，你同时对麻痹状态免疫。
副作用：你进行的力量检定具有劣势。</t>
    </r>
  </si>
  <si>
    <r>
      <rPr>
        <sz val="10"/>
        <color theme="1"/>
        <rFont val="宋体"/>
        <charset val="134"/>
      </rPr>
      <t>心灵鸿沟</t>
    </r>
  </si>
  <si>
    <r>
      <rPr>
        <sz val="10"/>
        <color theme="1"/>
        <rFont val="宋体"/>
        <charset val="134"/>
      </rPr>
      <t>你获得心灵伤害的抗性，并且免疫魅惑和恐慌。魔法不能使你入睡，并且你在对抗阅读你思想或控制你心灵和行为的法术所进行的豁免检定具有优势，例如支配人类</t>
    </r>
    <r>
      <rPr>
        <sz val="10"/>
        <color theme="1"/>
        <rFont val="Times New Roman"/>
        <charset val="134"/>
      </rPr>
      <t xml:space="preserve"> Dominate Person</t>
    </r>
    <r>
      <rPr>
        <sz val="10"/>
        <color theme="1"/>
        <rFont val="宋体"/>
        <charset val="134"/>
      </rPr>
      <t>。除此之外，当你使用自我诊断特性消耗法术位来恢复心灵点时，你现在可以获得等同于法术位环阶的心灵点。</t>
    </r>
  </si>
  <si>
    <t>无可辩驳（被动）</t>
  </si>
  <si>
    <r>
      <rPr>
        <sz val="10"/>
        <color theme="1"/>
        <rFont val="宋体"/>
        <charset val="134"/>
      </rPr>
      <t>先决：邪狱使等级</t>
    </r>
    <r>
      <rPr>
        <sz val="10"/>
        <color theme="1"/>
        <rFont val="Times New Roman"/>
        <charset val="134"/>
      </rPr>
      <t>18+</t>
    </r>
    <r>
      <rPr>
        <sz val="10"/>
        <color theme="1"/>
        <rFont val="宋体"/>
        <charset val="134"/>
      </rPr>
      <t>（狱言家）
受禁生物的感知和魅力豁免具有劣势。</t>
    </r>
  </si>
  <si>
    <t>落英结社</t>
  </si>
  <si>
    <r>
      <rPr>
        <sz val="10"/>
        <color theme="1"/>
        <rFont val="宋体"/>
        <charset val="134"/>
      </rPr>
      <t>直觉断卜</t>
    </r>
  </si>
  <si>
    <r>
      <rPr>
        <sz val="10"/>
        <color theme="1"/>
        <rFont val="宋体"/>
        <charset val="134"/>
      </rPr>
      <t>你对这个世界的超自然现象有着直觉性的感知。当你执行研究动作进行智力（奥秘）或智力（宗教）检定时，你可以改为进行感知（生存）检定。</t>
    </r>
  </si>
  <si>
    <r>
      <rPr>
        <sz val="10"/>
        <color theme="1"/>
        <rFont val="宋体"/>
        <charset val="134"/>
      </rPr>
      <t>众星登场</t>
    </r>
  </si>
  <si>
    <r>
      <rPr>
        <sz val="10"/>
        <color theme="1"/>
        <rFont val="宋体"/>
        <charset val="134"/>
      </rPr>
      <t>当你使用百变人生特性施展易容术</t>
    </r>
    <r>
      <rPr>
        <sz val="10"/>
        <color theme="1"/>
        <rFont val="Times New Roman"/>
        <charset val="134"/>
      </rPr>
      <t>Disguise Self</t>
    </r>
    <r>
      <rPr>
        <sz val="10"/>
        <color theme="1"/>
        <rFont val="宋体"/>
        <charset val="134"/>
      </rPr>
      <t>时，你可以指定你周边</t>
    </r>
    <r>
      <rPr>
        <sz val="10"/>
        <color theme="1"/>
        <rFont val="Times New Roman"/>
        <charset val="134"/>
      </rPr>
      <t>30</t>
    </r>
    <r>
      <rPr>
        <sz val="10"/>
        <color theme="1"/>
        <rFont val="宋体"/>
        <charset val="134"/>
      </rPr>
      <t>尺范围内至多六位你可见的自愿生物为该法术的目标。由你来决定每个生物变化成的外观。在以此特性施展的易容术效应持续期间，被选中的生物在进行魅力检定时会获得等于你魅力调整值的加值（最少为</t>
    </r>
    <r>
      <rPr>
        <sz val="10"/>
        <color theme="1"/>
        <rFont val="Times New Roman"/>
        <charset val="134"/>
      </rPr>
      <t>+1</t>
    </r>
    <r>
      <rPr>
        <sz val="10"/>
        <color theme="1"/>
        <rFont val="宋体"/>
        <charset val="134"/>
      </rPr>
      <t>）。</t>
    </r>
  </si>
  <si>
    <r>
      <rPr>
        <sz val="10"/>
        <color theme="1"/>
        <rFont val="宋体"/>
        <charset val="134"/>
      </rPr>
      <t>保护联结</t>
    </r>
  </si>
  <si>
    <r>
      <rPr>
        <sz val="10"/>
        <color theme="1"/>
        <rFont val="宋体"/>
        <charset val="134"/>
      </rPr>
      <t>你创造的联结帮助人们同甘共苦。
当一个受到你勇气联结影响的生物即将受到伤害时，</t>
    </r>
    <r>
      <rPr>
        <sz val="10"/>
        <color theme="1"/>
        <rFont val="Times New Roman"/>
        <charset val="134"/>
      </rPr>
      <t>30</t>
    </r>
    <r>
      <rPr>
        <sz val="10"/>
        <color theme="1"/>
        <rFont val="宋体"/>
        <charset val="134"/>
      </rPr>
      <t>尺内的另一个联结生物可以用它的反应来传送到第一个生物的</t>
    </r>
    <r>
      <rPr>
        <sz val="10"/>
        <color theme="1"/>
        <rFont val="Times New Roman"/>
        <charset val="134"/>
      </rPr>
      <t>5</t>
    </r>
    <r>
      <rPr>
        <sz val="10"/>
        <color theme="1"/>
        <rFont val="宋体"/>
        <charset val="134"/>
      </rPr>
      <t>尺内，并为其承受所有伤害。</t>
    </r>
  </si>
  <si>
    <r>
      <rPr>
        <sz val="10"/>
        <color theme="1"/>
        <rFont val="宋体"/>
        <charset val="134"/>
      </rPr>
      <t>灼烧烈焰</t>
    </r>
  </si>
  <si>
    <r>
      <rPr>
        <sz val="10"/>
        <color theme="1"/>
        <rFont val="宋体"/>
        <charset val="134"/>
      </rPr>
      <t>你获得将死亡转化为可以用于治疗或焚烧的魔法火焰的能力。
当一个小型或更大生物在你或你的野火精魂</t>
    </r>
    <r>
      <rPr>
        <sz val="10"/>
        <color theme="1"/>
        <rFont val="Times New Roman"/>
        <charset val="134"/>
      </rPr>
      <t>30</t>
    </r>
    <r>
      <rPr>
        <sz val="10"/>
        <color theme="1"/>
        <rFont val="宋体"/>
        <charset val="134"/>
      </rPr>
      <t>尺内死亡时，无害幽火从其死亡生物空间中涌现并在此处摇曳</t>
    </r>
    <r>
      <rPr>
        <sz val="10"/>
        <color theme="1"/>
        <rFont val="Times New Roman"/>
        <charset val="134"/>
      </rPr>
      <t>1</t>
    </r>
    <r>
      <rPr>
        <sz val="10"/>
        <color theme="1"/>
        <rFont val="宋体"/>
        <charset val="134"/>
      </rPr>
      <t>分钟。
当一个你可见的生物进入该空间时，你可以用反应扑灭那里的幽火并对该生物进行治疗或火焰伤害。
伤害或治疗数值等于</t>
    </r>
    <r>
      <rPr>
        <sz val="10"/>
        <color theme="1"/>
        <rFont val="Times New Roman"/>
        <charset val="134"/>
      </rPr>
      <t>2d10+</t>
    </r>
    <r>
      <rPr>
        <sz val="10"/>
        <color theme="1"/>
        <rFont val="宋体"/>
        <charset val="134"/>
      </rPr>
      <t>你的感知调整值。
你能使用该特性的次数等于你熟练加值，你在完成一次长休后会恢复所有已消耗使用次数。</t>
    </r>
  </si>
  <si>
    <r>
      <rPr>
        <sz val="10"/>
        <color theme="1"/>
        <rFont val="宋体"/>
        <charset val="134"/>
      </rPr>
      <t>意念守护</t>
    </r>
  </si>
  <si>
    <r>
      <rPr>
        <sz val="10"/>
        <color theme="1"/>
        <rFont val="宋体"/>
        <charset val="134"/>
      </rPr>
      <t>你获得心灵伤害的抗性。此外，如果你在你的回合开始时处于魅惑或者恐慌状态，你可以消耗一个灵能骰（无需动作）并结束自己身上全部造成这些状态的效应。</t>
    </r>
  </si>
  <si>
    <r>
      <rPr>
        <sz val="10"/>
        <color theme="1"/>
        <rFont val="宋体"/>
        <charset val="134"/>
      </rPr>
      <t>龙翼翱翔</t>
    </r>
  </si>
  <si>
    <r>
      <rPr>
        <sz val="10"/>
        <color theme="1"/>
        <rFont val="宋体"/>
        <charset val="134"/>
      </rPr>
      <t>当你使用飞檐走壁时，你可以在背后展开虚幻的龙翼，其在你回合结束时消失。当龙翼存在时，你获得与你的步行速度相同的飞行速度。</t>
    </r>
    <r>
      <rPr>
        <sz val="10"/>
        <color theme="1"/>
        <rFont val="Times New Roman"/>
        <charset val="134"/>
      </rPr>
      <t xml:space="preserve"> 
</t>
    </r>
    <r>
      <rPr>
        <sz val="10"/>
        <color theme="1"/>
        <rFont val="宋体"/>
        <charset val="134"/>
      </rPr>
      <t>你可以使用此特性的次数等同于你的熟练加值，且在完成一次长休后恢复所有使用次数。</t>
    </r>
  </si>
  <si>
    <r>
      <rPr>
        <sz val="10"/>
        <color theme="1"/>
        <rFont val="宋体"/>
        <charset val="134"/>
      </rPr>
      <t>刻印打击</t>
    </r>
  </si>
  <si>
    <r>
      <rPr>
        <sz val="10"/>
        <color theme="1"/>
        <rFont val="宋体"/>
        <charset val="134"/>
      </rPr>
      <t>当你使用武器进行攻击检定并命中一个生物时，你可放弃使用该武器的精通属性从而标记该目标，直到你下一回合结束，被标记的生物对除你之外的目标进行的攻击检定具有劣势，并且当它远离你移动时，每移动</t>
    </r>
    <r>
      <rPr>
        <sz val="10"/>
        <color theme="1"/>
        <rFont val="Times New Roman"/>
        <charset val="134"/>
      </rPr>
      <t>1</t>
    </r>
    <r>
      <rPr>
        <sz val="10"/>
        <color theme="1"/>
        <rFont val="宋体"/>
        <charset val="134"/>
      </rPr>
      <t>尺必须花费</t>
    </r>
    <r>
      <rPr>
        <sz val="10"/>
        <color theme="1"/>
        <rFont val="Times New Roman"/>
        <charset val="134"/>
      </rPr>
      <t>2</t>
    </r>
    <r>
      <rPr>
        <sz val="10"/>
        <color theme="1"/>
        <rFont val="宋体"/>
        <charset val="134"/>
      </rPr>
      <t>尺的移动力。当你陷入失能状态，或其他人标记了该生物时，此效果提前结束。</t>
    </r>
  </si>
  <si>
    <r>
      <rPr>
        <sz val="10"/>
        <color theme="1"/>
        <rFont val="宋体"/>
        <charset val="134"/>
      </rPr>
      <t>龙族赠礼</t>
    </r>
  </si>
  <si>
    <r>
      <rPr>
        <sz val="10"/>
        <color theme="1"/>
        <rFont val="宋体"/>
        <charset val="134"/>
      </rPr>
      <t>通过与你龙兽的联结，你获得与龙族之间的联系，增强你的气场，赋予你知识，你获得以下增益</t>
    </r>
    <r>
      <rPr>
        <sz val="10"/>
        <color theme="1"/>
        <rFont val="Times New Roman"/>
        <charset val="134"/>
      </rPr>
      <t xml:space="preserve"> :
• </t>
    </r>
    <r>
      <rPr>
        <sz val="10"/>
        <color theme="1"/>
        <rFont val="宋体"/>
        <charset val="134"/>
      </rPr>
      <t>奇术</t>
    </r>
    <r>
      <rPr>
        <sz val="10"/>
        <color theme="1"/>
        <rFont val="Times New Roman"/>
        <charset val="134"/>
      </rPr>
      <t>Thaumaturgy</t>
    </r>
    <r>
      <rPr>
        <sz val="10"/>
        <color theme="1"/>
        <rFont val="宋体"/>
        <charset val="134"/>
      </rPr>
      <t>。你习得戏法</t>
    </r>
    <r>
      <rPr>
        <sz val="10"/>
        <color theme="1"/>
        <rFont val="Times New Roman"/>
        <charset val="134"/>
      </rPr>
      <t xml:space="preserve"> </t>
    </r>
    <r>
      <rPr>
        <sz val="10"/>
        <color theme="1"/>
        <rFont val="宋体"/>
        <charset val="134"/>
      </rPr>
      <t>奇术</t>
    </r>
    <r>
      <rPr>
        <sz val="10"/>
        <color theme="1"/>
        <rFont val="Times New Roman"/>
        <charset val="134"/>
      </rPr>
      <t xml:space="preserve">Thaumaturgy </t>
    </r>
    <r>
      <rPr>
        <sz val="10"/>
        <color theme="1"/>
        <rFont val="宋体"/>
        <charset val="134"/>
      </rPr>
      <t xml:space="preserve">，这对你而言是一个游侠法术。
</t>
    </r>
    <r>
      <rPr>
        <sz val="10"/>
        <color theme="1"/>
        <rFont val="Times New Roman"/>
        <charset val="134"/>
      </rPr>
      <t xml:space="preserve">• </t>
    </r>
    <r>
      <rPr>
        <sz val="10"/>
        <color theme="1"/>
        <rFont val="宋体"/>
        <charset val="134"/>
      </rPr>
      <t>龙之言语</t>
    </r>
    <r>
      <rPr>
        <sz val="10"/>
        <color theme="1"/>
        <rFont val="Times New Roman"/>
        <charset val="134"/>
      </rPr>
      <t>Tongue of Dragons</t>
    </r>
    <r>
      <rPr>
        <sz val="10"/>
        <color theme="1"/>
        <rFont val="宋体"/>
        <charset val="134"/>
      </rPr>
      <t>。</t>
    </r>
    <r>
      <rPr>
        <sz val="10"/>
        <color theme="1"/>
        <rFont val="Times New Roman"/>
        <charset val="134"/>
      </rPr>
      <t xml:space="preserve"> </t>
    </r>
    <r>
      <rPr>
        <sz val="10"/>
        <color theme="1"/>
        <rFont val="宋体"/>
        <charset val="134"/>
      </rPr>
      <t>你学会说，读，写龙语或另一门你选择的语言。</t>
    </r>
  </si>
  <si>
    <r>
      <rPr>
        <sz val="10"/>
        <color theme="1"/>
        <rFont val="宋体"/>
        <charset val="134"/>
      </rPr>
      <t>时时刻刻都要大胆</t>
    </r>
  </si>
  <si>
    <r>
      <rPr>
        <sz val="10"/>
        <color theme="1"/>
        <rFont val="宋体"/>
        <charset val="134"/>
      </rPr>
      <t>你万无一失的自信驱使着你去战斗。
你将你的魅力调整值加入你的先攻掷骰值。
你也可以通过一种额外的方式来使用偷袭攻击：只要你在目标生物周围</t>
    </r>
    <r>
      <rPr>
        <sz val="10"/>
        <color theme="1"/>
        <rFont val="Times New Roman"/>
        <charset val="134"/>
      </rPr>
      <t>5</t>
    </r>
    <r>
      <rPr>
        <sz val="10"/>
        <color theme="1"/>
        <rFont val="宋体"/>
        <charset val="134"/>
      </rPr>
      <t>尺内，并且没有其他生物在你</t>
    </r>
    <r>
      <rPr>
        <sz val="10"/>
        <color theme="1"/>
        <rFont val="Times New Roman"/>
        <charset val="134"/>
      </rPr>
      <t>5</t>
    </r>
    <r>
      <rPr>
        <sz val="10"/>
        <color theme="1"/>
        <rFont val="宋体"/>
        <charset val="134"/>
      </rPr>
      <t>尺内，你的攻击检定也没有劣势，你就可以无需攻击检定的优势对目标生物进行偷袭。
其他所有关于偷袭的规则依然适用于你。</t>
    </r>
  </si>
  <si>
    <r>
      <rPr>
        <sz val="10"/>
        <color theme="1"/>
        <rFont val="宋体"/>
        <charset val="134"/>
      </rPr>
      <t>暴风狂怒</t>
    </r>
  </si>
  <si>
    <r>
      <rPr>
        <sz val="10"/>
        <color theme="1"/>
        <rFont val="宋体"/>
        <charset val="134"/>
      </rPr>
      <t>每当你在一次近战攻击中被命中，你可以用你的反应动作对攻击者造成等于你术士等级的闪电伤害。
此外，攻击者必须进行一次力量豁免，</t>
    </r>
    <r>
      <rPr>
        <sz val="10"/>
        <color theme="1"/>
        <rFont val="Times New Roman"/>
        <charset val="134"/>
      </rPr>
      <t>DC</t>
    </r>
    <r>
      <rPr>
        <sz val="10"/>
        <color theme="1"/>
        <rFont val="宋体"/>
        <charset val="134"/>
      </rPr>
      <t>等于你的术士法术豁免。
一旦豁免失败，攻击者将被直线推开</t>
    </r>
    <r>
      <rPr>
        <sz val="10"/>
        <color theme="1"/>
        <rFont val="Times New Roman"/>
        <charset val="134"/>
      </rPr>
      <t>20</t>
    </r>
    <r>
      <rPr>
        <sz val="10"/>
        <color theme="1"/>
        <rFont val="宋体"/>
        <charset val="134"/>
      </rPr>
      <t>尺。</t>
    </r>
  </si>
  <si>
    <r>
      <rPr>
        <sz val="10"/>
        <color theme="1"/>
        <rFont val="宋体"/>
        <charset val="134"/>
      </rPr>
      <t>当除你以外的人佩戴你的护身符时，只要你们存在于同一位面，你可以用一个动作将你传送至它们周围未被占据的空间内。佩戴该护身符的人也能做同样的事，用他们的动作来传送到你身边。该传送能力可使用的次数等于你的熟练加值，且所有已消耗的次数会在你完成一次长休之后完全恢复。
先决条件：第</t>
    </r>
    <r>
      <rPr>
        <sz val="10"/>
        <color theme="1"/>
        <rFont val="Times New Roman"/>
        <charset val="134"/>
      </rPr>
      <t>12</t>
    </r>
    <r>
      <rPr>
        <sz val="10"/>
        <color theme="1"/>
        <rFont val="宋体"/>
        <charset val="134"/>
      </rPr>
      <t>级邪术师，符之魔契</t>
    </r>
  </si>
  <si>
    <r>
      <rPr>
        <sz val="10"/>
        <color theme="1"/>
        <rFont val="宋体"/>
        <charset val="134"/>
      </rPr>
      <t>现世感知</t>
    </r>
  </si>
  <si>
    <r>
      <rPr>
        <sz val="10"/>
        <color theme="1"/>
        <rFont val="宋体"/>
        <charset val="134"/>
      </rPr>
      <t>你的先攻检定获得等同于你智力调整值的加值。</t>
    </r>
  </si>
  <si>
    <r>
      <rPr>
        <sz val="10"/>
        <color theme="1"/>
        <rFont val="宋体"/>
        <charset val="134"/>
      </rPr>
      <t>诱变剂</t>
    </r>
    <r>
      <rPr>
        <sz val="10"/>
        <color theme="1"/>
        <rFont val="Times New Roman"/>
        <charset val="134"/>
      </rPr>
      <t>-</t>
    </r>
    <r>
      <rPr>
        <sz val="10"/>
        <color theme="1"/>
        <rFont val="宋体"/>
        <charset val="134"/>
      </rPr>
      <t>夜视</t>
    </r>
  </si>
  <si>
    <r>
      <rPr>
        <sz val="10"/>
        <color theme="1"/>
        <rFont val="宋体"/>
        <charset val="134"/>
      </rPr>
      <t>你得到</t>
    </r>
    <r>
      <rPr>
        <sz val="10"/>
        <color theme="1"/>
        <rFont val="Times New Roman"/>
        <charset val="134"/>
      </rPr>
      <t xml:space="preserve"> 60 </t>
    </r>
    <r>
      <rPr>
        <sz val="10"/>
        <color theme="1"/>
        <rFont val="宋体"/>
        <charset val="134"/>
      </rPr>
      <t>尺黑暗视觉。若你已经有黑暗视觉，则该范围再扩展</t>
    </r>
    <r>
      <rPr>
        <sz val="10"/>
        <color theme="1"/>
        <rFont val="Times New Roman"/>
        <charset val="134"/>
      </rPr>
      <t xml:space="preserve"> 60 </t>
    </r>
    <r>
      <rPr>
        <sz val="10"/>
        <color theme="1"/>
        <rFont val="宋体"/>
        <charset val="134"/>
      </rPr>
      <t>尺。
副作用：在阳光直射下时，你的攻击检定、以及依赖视觉的感知（察觉）检定具有劣势。</t>
    </r>
  </si>
  <si>
    <r>
      <rPr>
        <sz val="10"/>
        <color theme="1"/>
        <rFont val="宋体"/>
        <charset val="134"/>
      </rPr>
      <t>化合物</t>
    </r>
  </si>
  <si>
    <r>
      <rPr>
        <sz val="10"/>
        <color theme="1"/>
        <rFont val="宋体"/>
        <charset val="134"/>
      </rPr>
      <t>你获得炼金工具的熟练项，如果你还没有的话。你同时习得戏法火焰箭</t>
    </r>
    <r>
      <rPr>
        <sz val="10"/>
        <color theme="1"/>
        <rFont val="Times New Roman"/>
        <charset val="134"/>
      </rPr>
      <t>Fire bolt</t>
    </r>
    <r>
      <rPr>
        <sz val="10"/>
        <color theme="1"/>
        <rFont val="宋体"/>
        <charset val="134"/>
      </rPr>
      <t>和法师法术列表中额外一个你所选的塑能学派戏法。这些法术视为你的药剂师法术，并且它们不计入你的已知戏法。</t>
    </r>
  </si>
  <si>
    <t>傲慢戒律</t>
  </si>
  <si>
    <t>迪斯帕特的重装突击队必须在高效的战场指挥下快速消灭敌人。恐惧屠戮者遵循戒律，领导九狱大军，在时空中与善良势力斗争。
身先士卒。我冲在战斗最前线，鼓舞士兵，威慑敌军。
挥斥方遒。我来到，我命令。我不会接受没有野心之人的指令。
不惜代价。我尊重敌人的指挥官并给予他们荣耀，一旦武器出鞘我将不惜一切夺得胜利，希望他们也是如此。
卒如草芥。我不在乎士兵的性命，他们只是我通往胜利的资源。</t>
  </si>
  <si>
    <t>旧途结社</t>
  </si>
  <si>
    <r>
      <rPr>
        <sz val="10"/>
        <color theme="1"/>
        <rFont val="宋体"/>
        <charset val="134"/>
      </rPr>
      <t>术法之锤</t>
    </r>
  </si>
  <si>
    <r>
      <rPr>
        <sz val="10"/>
        <color theme="1"/>
        <rFont val="宋体"/>
        <charset val="134"/>
      </rPr>
      <t>你将武器收起，释放出噼啪作响的法术力量，这股力量对来自其他世界、使用邪恶魔法或具有巨大破坏力的生物尤其有效。你的狂暴激活期间一回合一次，你能对你以基于力量的攻击命中的目标造成两倍你的狂暴伤害加值。若目标具有传奇动作、能够施展法术或是被召唤的生物，你可以改为造成三倍狂暴伤害加值。</t>
    </r>
  </si>
  <si>
    <r>
      <rPr>
        <sz val="10"/>
        <color theme="1"/>
        <rFont val="宋体"/>
        <charset val="134"/>
      </rPr>
      <t>谢幕绝唱</t>
    </r>
    <r>
      <rPr>
        <sz val="10"/>
        <color theme="1"/>
        <rFont val="Times New Roman"/>
        <charset val="134"/>
      </rPr>
      <t xml:space="preserve"> </t>
    </r>
  </si>
  <si>
    <r>
      <rPr>
        <sz val="10"/>
        <color theme="1"/>
        <rFont val="宋体"/>
        <charset val="134"/>
      </rPr>
      <t>你学会了如何使用激昂的演出来激励你的同伴做出伟大的壮举。
你可以使用魔法动作选择你周边</t>
    </r>
    <r>
      <rPr>
        <sz val="10"/>
        <color theme="1"/>
        <rFont val="Times New Roman"/>
        <charset val="134"/>
      </rPr>
      <t>60</t>
    </r>
    <r>
      <rPr>
        <sz val="10"/>
        <color theme="1"/>
        <rFont val="宋体"/>
        <charset val="134"/>
      </rPr>
      <t>尺范围内至多两名能看见或听见你的其他生物。每个被选中的生物都可以在本回合内立即执行一个动作。
一旦你使用了此特性，则直至你完成一次长休前，都无法再次使用。</t>
    </r>
  </si>
  <si>
    <r>
      <rPr>
        <sz val="10"/>
        <color theme="1"/>
        <rFont val="宋体"/>
        <charset val="134"/>
      </rPr>
      <t>增强联结</t>
    </r>
  </si>
  <si>
    <r>
      <rPr>
        <sz val="10"/>
        <color theme="1"/>
        <rFont val="宋体"/>
        <charset val="134"/>
      </rPr>
      <t>你的勇气联结和保护联结的生效范围变为联结生物在彼此</t>
    </r>
    <r>
      <rPr>
        <sz val="10"/>
        <color theme="1"/>
        <rFont val="Times New Roman"/>
        <charset val="134"/>
      </rPr>
      <t>60</t>
    </r>
    <r>
      <rPr>
        <sz val="10"/>
        <color theme="1"/>
        <rFont val="宋体"/>
        <charset val="134"/>
      </rPr>
      <t>尺内。此外，当生物使用保护联结来为其他人承受伤害时，该生物对那次伤害具有抗性。</t>
    </r>
  </si>
  <si>
    <r>
      <rPr>
        <sz val="10"/>
        <color theme="1"/>
        <rFont val="宋体"/>
        <charset val="134"/>
      </rPr>
      <t>炽烈回生</t>
    </r>
  </si>
  <si>
    <r>
      <rPr>
        <sz val="10"/>
        <color theme="1"/>
        <rFont val="宋体"/>
        <charset val="134"/>
      </rPr>
      <t>你与野火精魂的连接可以使你免于死亡。
当你生命值降至</t>
    </r>
    <r>
      <rPr>
        <sz val="10"/>
        <color theme="1"/>
        <rFont val="Times New Roman"/>
        <charset val="134"/>
      </rPr>
      <t>0</t>
    </r>
    <r>
      <rPr>
        <sz val="10"/>
        <color theme="1"/>
        <rFont val="宋体"/>
        <charset val="134"/>
      </rPr>
      <t>从而昏迷时，如果精魂在你的</t>
    </r>
    <r>
      <rPr>
        <sz val="10"/>
        <color theme="1"/>
        <rFont val="Times New Roman"/>
        <charset val="134"/>
      </rPr>
      <t>120</t>
    </r>
    <r>
      <rPr>
        <sz val="10"/>
        <color theme="1"/>
        <rFont val="宋体"/>
        <charset val="134"/>
      </rPr>
      <t>尺之内，你可以使精魂降至</t>
    </r>
    <r>
      <rPr>
        <sz val="10"/>
        <color theme="1"/>
        <rFont val="Times New Roman"/>
        <charset val="134"/>
      </rPr>
      <t>0</t>
    </r>
    <r>
      <rPr>
        <sz val="10"/>
        <color theme="1"/>
        <rFont val="宋体"/>
        <charset val="134"/>
      </rPr>
      <t>生命值。
之后你就会恢复一半生命值，并立刻站起来。
一旦你使用这一特性，直到你结束一次长休前你不能再次使用。</t>
    </r>
  </si>
  <si>
    <r>
      <rPr>
        <sz val="10"/>
        <color theme="1"/>
        <rFont val="宋体"/>
        <charset val="134"/>
      </rPr>
      <t>力场壁垒</t>
    </r>
  </si>
  <si>
    <r>
      <rPr>
        <sz val="10"/>
        <color theme="1"/>
        <rFont val="宋体"/>
        <charset val="134"/>
      </rPr>
      <t>你可以使用念力庇护你自己和其他人。以一个附赠动作，包括你在内，你可以选择数个位于你</t>
    </r>
    <r>
      <rPr>
        <sz val="10"/>
        <color theme="1"/>
        <rFont val="Times New Roman"/>
        <charset val="134"/>
      </rPr>
      <t>30</t>
    </r>
    <r>
      <rPr>
        <sz val="10"/>
        <color theme="1"/>
        <rFont val="宋体"/>
        <charset val="134"/>
      </rPr>
      <t>尺范围内的生物，其数量等同于你的智力调整值（最少</t>
    </r>
    <r>
      <rPr>
        <sz val="10"/>
        <color theme="1"/>
        <rFont val="Times New Roman"/>
        <charset val="134"/>
      </rPr>
      <t>1</t>
    </r>
    <r>
      <rPr>
        <sz val="10"/>
        <color theme="1"/>
        <rFont val="宋体"/>
        <charset val="134"/>
      </rPr>
      <t>个）。每个被选中的生物将在</t>
    </r>
    <r>
      <rPr>
        <sz val="10"/>
        <color theme="1"/>
        <rFont val="Times New Roman"/>
        <charset val="134"/>
      </rPr>
      <t>1</t>
    </r>
    <r>
      <rPr>
        <sz val="10"/>
        <color theme="1"/>
        <rFont val="宋体"/>
        <charset val="134"/>
      </rPr>
      <t>分钟内视为处于半身掩护中，该保护将会在你陷入失能状态时提前结束。
此特性一经使用，直至完成长休你都无法再次使用。你也可以消耗一枚灵能骰（无需动作）重置该特性的使用权。</t>
    </r>
  </si>
  <si>
    <r>
      <rPr>
        <sz val="10"/>
        <color theme="1"/>
        <rFont val="宋体"/>
        <charset val="134"/>
      </rPr>
      <t>古龙姿</t>
    </r>
  </si>
  <si>
    <r>
      <rPr>
        <sz val="10"/>
        <color theme="1"/>
        <rFont val="宋体"/>
        <charset val="134"/>
      </rPr>
      <t>龙气力量从你体内散发，守护你的盟友并惩罚一切敢于对它们动武之徒。以一个附赠动作，你可以在你身边</t>
    </r>
    <r>
      <rPr>
        <sz val="10"/>
        <color theme="1"/>
        <rFont val="Times New Roman"/>
        <charset val="134"/>
      </rPr>
      <t>10</t>
    </r>
    <r>
      <rPr>
        <sz val="10"/>
        <color theme="1"/>
        <rFont val="宋体"/>
        <charset val="134"/>
      </rPr>
      <t>尺内具现出一股持续</t>
    </r>
    <r>
      <rPr>
        <sz val="10"/>
        <color theme="1"/>
        <rFont val="Times New Roman"/>
        <charset val="134"/>
      </rPr>
      <t>1</t>
    </r>
    <r>
      <rPr>
        <sz val="10"/>
        <color theme="1"/>
        <rFont val="宋体"/>
        <charset val="134"/>
      </rPr>
      <t xml:space="preserve">分钟的龙力灵光。在持续时间内，你选择并获得以下两种增益之一：
</t>
    </r>
    <r>
      <rPr>
        <sz val="10"/>
        <color theme="1"/>
        <rFont val="Times New Roman"/>
        <charset val="134"/>
      </rPr>
      <t xml:space="preserve">• </t>
    </r>
    <r>
      <rPr>
        <sz val="10"/>
        <color theme="1"/>
        <rFont val="宋体"/>
        <charset val="134"/>
      </rPr>
      <t>骇人威仪</t>
    </r>
    <r>
      <rPr>
        <sz val="10"/>
        <color theme="1"/>
        <rFont val="Times New Roman"/>
        <charset val="134"/>
      </rPr>
      <t>Frightful Presence</t>
    </r>
    <r>
      <rPr>
        <sz val="10"/>
        <color theme="1"/>
        <rFont val="宋体"/>
        <charset val="134"/>
      </rPr>
      <t>。当你散发出此灵光时，或在维持此灵光时用一个附赠动作，选择灵光范围内的一个生物。目标必须成功通过相当于你气豁免</t>
    </r>
    <r>
      <rPr>
        <sz val="10"/>
        <color theme="1"/>
        <rFont val="Times New Roman"/>
        <charset val="134"/>
      </rPr>
      <t>DC</t>
    </r>
    <r>
      <rPr>
        <sz val="10"/>
        <color theme="1"/>
        <rFont val="宋体"/>
        <charset val="134"/>
      </rPr>
      <t>的感知豁免，否则对你恐慌</t>
    </r>
    <r>
      <rPr>
        <sz val="10"/>
        <color theme="1"/>
        <rFont val="Times New Roman"/>
        <charset val="134"/>
      </rPr>
      <t>1</t>
    </r>
    <r>
      <rPr>
        <sz val="10"/>
        <color theme="1"/>
        <rFont val="宋体"/>
        <charset val="134"/>
      </rPr>
      <t xml:space="preserve">分钟。目标可以在每次自己回合结束时重复一次豁免，豁免成功则效应中止。
</t>
    </r>
    <r>
      <rPr>
        <sz val="10"/>
        <color theme="1"/>
        <rFont val="Times New Roman"/>
        <charset val="134"/>
      </rPr>
      <t xml:space="preserve">• </t>
    </r>
    <r>
      <rPr>
        <sz val="10"/>
        <color theme="1"/>
        <rFont val="宋体"/>
        <charset val="134"/>
      </rPr>
      <t>抗性</t>
    </r>
    <r>
      <rPr>
        <sz val="10"/>
        <color theme="1"/>
        <rFont val="Times New Roman"/>
        <charset val="134"/>
      </rPr>
      <t>Resistance</t>
    </r>
    <r>
      <rPr>
        <sz val="10"/>
        <color theme="1"/>
        <rFont val="宋体"/>
        <charset val="134"/>
      </rPr>
      <t>。你启动此灵光时选择一种伤害类型：强酸，冷冻，火焰，闪电或毒素。你和你灵光内的盟友对所选伤害类型具有抗性。</t>
    </r>
    <r>
      <rPr>
        <sz val="10"/>
        <color theme="1"/>
        <rFont val="Times New Roman"/>
        <charset val="134"/>
      </rPr>
      <t xml:space="preserve"> 
</t>
    </r>
    <r>
      <rPr>
        <sz val="10"/>
        <color theme="1"/>
        <rFont val="宋体"/>
        <charset val="134"/>
      </rPr>
      <t>一旦你散发出此灵光，直到你完成一次长休你都无法再这么做，除非你花费</t>
    </r>
    <r>
      <rPr>
        <sz val="10"/>
        <color theme="1"/>
        <rFont val="Times New Roman"/>
        <charset val="134"/>
      </rPr>
      <t>3</t>
    </r>
    <r>
      <rPr>
        <sz val="10"/>
        <color theme="1"/>
        <rFont val="宋体"/>
        <charset val="134"/>
      </rPr>
      <t>点气来再次使用它。</t>
    </r>
  </si>
  <si>
    <r>
      <rPr>
        <sz val="10"/>
        <color theme="1"/>
        <rFont val="宋体"/>
        <charset val="134"/>
      </rPr>
      <t>守护之仪</t>
    </r>
  </si>
  <si>
    <r>
      <rPr>
        <sz val="10"/>
        <color theme="1"/>
        <rFont val="宋体"/>
        <charset val="134"/>
      </rPr>
      <t>以一个附赠动作，你可在自身</t>
    </r>
    <r>
      <rPr>
        <sz val="10"/>
        <color theme="1"/>
        <rFont val="Times New Roman"/>
        <charset val="134"/>
      </rPr>
      <t>5</t>
    </r>
    <r>
      <rPr>
        <sz val="10"/>
        <color theme="1"/>
        <rFont val="宋体"/>
        <charset val="134"/>
      </rPr>
      <t>尺范围内选择数量等于你的魅力调整值（最少为</t>
    </r>
    <r>
      <rPr>
        <sz val="10"/>
        <color theme="1"/>
        <rFont val="Times New Roman"/>
        <charset val="134"/>
      </rPr>
      <t>1</t>
    </r>
    <r>
      <rPr>
        <sz val="10"/>
        <color theme="1"/>
        <rFont val="宋体"/>
        <charset val="134"/>
      </rPr>
      <t>）的生物。每个被选择的生物都可以使用你的</t>
    </r>
    <r>
      <rPr>
        <sz val="10"/>
        <color theme="1"/>
        <rFont val="Times New Roman"/>
        <charset val="134"/>
      </rPr>
      <t>AC</t>
    </r>
    <r>
      <rPr>
        <sz val="10"/>
        <color theme="1"/>
        <rFont val="宋体"/>
        <charset val="134"/>
      </rPr>
      <t>代替其自身的</t>
    </r>
    <r>
      <rPr>
        <sz val="10"/>
        <color theme="1"/>
        <rFont val="Times New Roman"/>
        <charset val="134"/>
      </rPr>
      <t>AC</t>
    </r>
    <r>
      <rPr>
        <sz val="10"/>
        <color theme="1"/>
        <rFont val="宋体"/>
        <charset val="134"/>
      </rPr>
      <t>。直到他离开你超过</t>
    </r>
    <r>
      <rPr>
        <sz val="10"/>
        <color theme="1"/>
        <rFont val="Times New Roman"/>
        <charset val="134"/>
      </rPr>
      <t>5</t>
    </r>
    <r>
      <rPr>
        <sz val="10"/>
        <color theme="1"/>
        <rFont val="宋体"/>
        <charset val="134"/>
      </rPr>
      <t>尺或你陷入失能状态为止。</t>
    </r>
  </si>
  <si>
    <r>
      <rPr>
        <sz val="10"/>
        <color theme="1"/>
        <rFont val="宋体"/>
        <charset val="134"/>
      </rPr>
      <t>龙兽伙伴</t>
    </r>
  </si>
  <si>
    <r>
      <rPr>
        <sz val="10"/>
        <color theme="1"/>
        <rFont val="宋体"/>
        <charset val="134"/>
      </rPr>
      <t>以一个动作，你能魔法地召唤出与你联结的龙兽。龙兽会出现在你</t>
    </r>
    <r>
      <rPr>
        <sz val="10"/>
        <color theme="1"/>
        <rFont val="Times New Roman"/>
        <charset val="134"/>
      </rPr>
      <t xml:space="preserve"> 30</t>
    </r>
    <r>
      <rPr>
        <sz val="10"/>
        <color theme="1"/>
        <rFont val="宋体"/>
        <charset val="134"/>
      </rPr>
      <t>尺内一处由你选择的未被占据的空间里。
龙兽听从你的指令，并且对你和你的同伴友善。从龙兽伙伴数据卡中查看龙兽的游戏数据，其中有几处使用了你的熟练值（</t>
    </r>
    <r>
      <rPr>
        <sz val="10"/>
        <color theme="1"/>
        <rFont val="Times New Roman"/>
        <charset val="134"/>
      </rPr>
      <t>PB</t>
    </r>
    <r>
      <rPr>
        <sz val="10"/>
        <color theme="1"/>
        <rFont val="宋体"/>
        <charset val="134"/>
      </rPr>
      <t>）。当你召唤龙兽时，从龙族精粹特性的列表中选择伤害类型。你能自订龙兽的外观特征，如颜色，鳞片纹理，和龙族精粹的视觉效果；你的外观选择对游戏数据没有影响。
战斗中，龙兽与你共享先攻，会在你的回合结束之后立即进行自己的回合。龙兽能自己独自移动和使用反应，除非你在你的回合里使用附赠动作命令龙兽执行一个动作，否则龙兽只会使用回避动作。执行的动作可以是数据卡上的，也可以是其他的。当你失能时，龙兽能独自进行任何动作选项，而不是只能回避。
龙兽持续直到它的生命值降为</t>
    </r>
    <r>
      <rPr>
        <sz val="10"/>
        <color theme="1"/>
        <rFont val="Times New Roman"/>
        <charset val="134"/>
      </rPr>
      <t>0</t>
    </r>
    <r>
      <rPr>
        <sz val="10"/>
        <color theme="1"/>
        <rFont val="宋体"/>
        <charset val="134"/>
      </rPr>
      <t xml:space="preserve">，或你使用本特性召唤另一只龙兽，或你死亡。当龙兽消失时，它穿戴和携带的物品会留在原地。
当你召唤龙兽后，你需要完成一次长休才能再次这样做。你也能使用一个一环或更高的法术位来召唤龙兽。
</t>
    </r>
    <r>
      <rPr>
        <sz val="10"/>
        <color theme="1"/>
        <rFont val="Times New Roman"/>
        <charset val="134"/>
      </rPr>
      <t xml:space="preserve">--------------------------------------------------------------------------------
</t>
    </r>
    <r>
      <rPr>
        <sz val="10"/>
        <color theme="1"/>
        <rFont val="宋体"/>
        <charset val="134"/>
      </rPr>
      <t>龙兽伙伴</t>
    </r>
    <r>
      <rPr>
        <sz val="10"/>
        <color theme="1"/>
        <rFont val="Times New Roman"/>
        <charset val="134"/>
      </rPr>
      <t xml:space="preserve">Drake Companion
</t>
    </r>
    <r>
      <rPr>
        <sz val="10"/>
        <color theme="1"/>
        <rFont val="宋体"/>
        <charset val="134"/>
      </rPr>
      <t xml:space="preserve">小型龙类
</t>
    </r>
    <r>
      <rPr>
        <sz val="10"/>
        <color theme="1"/>
        <rFont val="Times New Roman"/>
        <charset val="134"/>
      </rPr>
      <t xml:space="preserve">--------------------------------------------------------------------------------
</t>
    </r>
    <r>
      <rPr>
        <sz val="10"/>
        <color theme="1"/>
        <rFont val="宋体"/>
        <charset val="134"/>
      </rPr>
      <t>护甲等级：</t>
    </r>
    <r>
      <rPr>
        <sz val="10"/>
        <color theme="1"/>
        <rFont val="Times New Roman"/>
        <charset val="134"/>
      </rPr>
      <t>14+PB</t>
    </r>
    <r>
      <rPr>
        <sz val="10"/>
        <color theme="1"/>
        <rFont val="宋体"/>
        <charset val="134"/>
      </rPr>
      <t>（天生护甲）
生命值：</t>
    </r>
    <r>
      <rPr>
        <sz val="10"/>
        <color theme="1"/>
        <rFont val="Times New Roman"/>
        <charset val="134"/>
      </rPr>
      <t>5+</t>
    </r>
    <r>
      <rPr>
        <sz val="10"/>
        <color theme="1"/>
        <rFont val="宋体"/>
        <charset val="134"/>
      </rPr>
      <t>你游侠等级</t>
    </r>
    <r>
      <rPr>
        <sz val="10"/>
        <color theme="1"/>
        <rFont val="Times New Roman"/>
        <charset val="134"/>
      </rPr>
      <t>*5</t>
    </r>
    <r>
      <rPr>
        <sz val="10"/>
        <color theme="1"/>
        <rFont val="宋体"/>
        <charset val="134"/>
      </rPr>
      <t>（龙兽拥有等同于你游侠等级数量的生命骰</t>
    </r>
    <r>
      <rPr>
        <sz val="10"/>
        <color theme="1"/>
        <rFont val="Times New Roman"/>
        <charset val="134"/>
      </rPr>
      <t>[d10]</t>
    </r>
    <r>
      <rPr>
        <sz val="10"/>
        <color theme="1"/>
        <rFont val="宋体"/>
        <charset val="134"/>
      </rPr>
      <t>）
速度：</t>
    </r>
    <r>
      <rPr>
        <sz val="10"/>
        <color theme="1"/>
        <rFont val="Times New Roman"/>
        <charset val="134"/>
      </rPr>
      <t>40</t>
    </r>
    <r>
      <rPr>
        <sz val="10"/>
        <color theme="1"/>
        <rFont val="宋体"/>
        <charset val="134"/>
      </rPr>
      <t xml:space="preserve">尺
</t>
    </r>
    <r>
      <rPr>
        <sz val="10"/>
        <color theme="1"/>
        <rFont val="Times New Roman"/>
        <charset val="134"/>
      </rPr>
      <t xml:space="preserve">--------------------------------------------------------------------------------
</t>
    </r>
    <r>
      <rPr>
        <sz val="10"/>
        <color theme="1"/>
        <rFont val="宋体"/>
        <charset val="134"/>
      </rPr>
      <t>力量</t>
    </r>
    <r>
      <rPr>
        <sz val="10"/>
        <color theme="1"/>
        <rFont val="Times New Roman"/>
        <charset val="134"/>
      </rPr>
      <t>16</t>
    </r>
    <r>
      <rPr>
        <sz val="10"/>
        <color theme="1"/>
        <rFont val="宋体"/>
        <charset val="134"/>
      </rPr>
      <t>（</t>
    </r>
    <r>
      <rPr>
        <sz val="10"/>
        <color theme="1"/>
        <rFont val="Times New Roman"/>
        <charset val="134"/>
      </rPr>
      <t>+3</t>
    </r>
    <r>
      <rPr>
        <sz val="10"/>
        <color theme="1"/>
        <rFont val="宋体"/>
        <charset val="134"/>
      </rPr>
      <t>）</t>
    </r>
    <r>
      <rPr>
        <sz val="10"/>
        <color theme="1"/>
        <rFont val="Times New Roman"/>
        <charset val="134"/>
      </rPr>
      <t xml:space="preserve"> </t>
    </r>
    <r>
      <rPr>
        <sz val="10"/>
        <color theme="1"/>
        <rFont val="宋体"/>
        <charset val="134"/>
      </rPr>
      <t>敏捷</t>
    </r>
    <r>
      <rPr>
        <sz val="10"/>
        <color theme="1"/>
        <rFont val="Times New Roman"/>
        <charset val="134"/>
      </rPr>
      <t>12</t>
    </r>
    <r>
      <rPr>
        <sz val="10"/>
        <color theme="1"/>
        <rFont val="宋体"/>
        <charset val="134"/>
      </rPr>
      <t>（</t>
    </r>
    <r>
      <rPr>
        <sz val="10"/>
        <color theme="1"/>
        <rFont val="Times New Roman"/>
        <charset val="134"/>
      </rPr>
      <t>+1</t>
    </r>
    <r>
      <rPr>
        <sz val="10"/>
        <color theme="1"/>
        <rFont val="宋体"/>
        <charset val="134"/>
      </rPr>
      <t>）</t>
    </r>
    <r>
      <rPr>
        <sz val="10"/>
        <color theme="1"/>
        <rFont val="Times New Roman"/>
        <charset val="134"/>
      </rPr>
      <t xml:space="preserve"> </t>
    </r>
    <r>
      <rPr>
        <sz val="10"/>
        <color theme="1"/>
        <rFont val="宋体"/>
        <charset val="134"/>
      </rPr>
      <t>体质</t>
    </r>
    <r>
      <rPr>
        <sz val="10"/>
        <color theme="1"/>
        <rFont val="Times New Roman"/>
        <charset val="134"/>
      </rPr>
      <t>15</t>
    </r>
    <r>
      <rPr>
        <sz val="10"/>
        <color theme="1"/>
        <rFont val="宋体"/>
        <charset val="134"/>
      </rPr>
      <t>（</t>
    </r>
    <r>
      <rPr>
        <sz val="10"/>
        <color theme="1"/>
        <rFont val="Times New Roman"/>
        <charset val="134"/>
      </rPr>
      <t>+2</t>
    </r>
    <r>
      <rPr>
        <sz val="10"/>
        <color theme="1"/>
        <rFont val="宋体"/>
        <charset val="134"/>
      </rPr>
      <t>）
智力</t>
    </r>
    <r>
      <rPr>
        <sz val="10"/>
        <color theme="1"/>
        <rFont val="Times New Roman"/>
        <charset val="134"/>
      </rPr>
      <t>8</t>
    </r>
    <r>
      <rPr>
        <sz val="10"/>
        <color theme="1"/>
        <rFont val="宋体"/>
        <charset val="134"/>
      </rPr>
      <t>（</t>
    </r>
    <r>
      <rPr>
        <sz val="10"/>
        <color theme="1"/>
        <rFont val="Times New Roman"/>
        <charset val="134"/>
      </rPr>
      <t>-1</t>
    </r>
    <r>
      <rPr>
        <sz val="10"/>
        <color theme="1"/>
        <rFont val="宋体"/>
        <charset val="134"/>
      </rPr>
      <t>）</t>
    </r>
    <r>
      <rPr>
        <sz val="10"/>
        <color theme="1"/>
        <rFont val="Times New Roman"/>
        <charset val="134"/>
      </rPr>
      <t xml:space="preserve"> </t>
    </r>
    <r>
      <rPr>
        <sz val="10"/>
        <color theme="1"/>
        <rFont val="宋体"/>
        <charset val="134"/>
      </rPr>
      <t>感知</t>
    </r>
    <r>
      <rPr>
        <sz val="10"/>
        <color theme="1"/>
        <rFont val="Times New Roman"/>
        <charset val="134"/>
      </rPr>
      <t>14</t>
    </r>
    <r>
      <rPr>
        <sz val="10"/>
        <color theme="1"/>
        <rFont val="宋体"/>
        <charset val="134"/>
      </rPr>
      <t>（</t>
    </r>
    <r>
      <rPr>
        <sz val="10"/>
        <color theme="1"/>
        <rFont val="Times New Roman"/>
        <charset val="134"/>
      </rPr>
      <t>+2</t>
    </r>
    <r>
      <rPr>
        <sz val="10"/>
        <color theme="1"/>
        <rFont val="宋体"/>
        <charset val="134"/>
      </rPr>
      <t>）</t>
    </r>
    <r>
      <rPr>
        <sz val="10"/>
        <color theme="1"/>
        <rFont val="Times New Roman"/>
        <charset val="134"/>
      </rPr>
      <t xml:space="preserve"> </t>
    </r>
    <r>
      <rPr>
        <sz val="10"/>
        <color theme="1"/>
        <rFont val="宋体"/>
        <charset val="134"/>
      </rPr>
      <t>魅力</t>
    </r>
    <r>
      <rPr>
        <sz val="10"/>
        <color theme="1"/>
        <rFont val="Times New Roman"/>
        <charset val="134"/>
      </rPr>
      <t>8</t>
    </r>
    <r>
      <rPr>
        <sz val="10"/>
        <color theme="1"/>
        <rFont val="宋体"/>
        <charset val="134"/>
      </rPr>
      <t>（</t>
    </r>
    <r>
      <rPr>
        <sz val="10"/>
        <color theme="1"/>
        <rFont val="Times New Roman"/>
        <charset val="134"/>
      </rPr>
      <t>-1</t>
    </r>
    <r>
      <rPr>
        <sz val="10"/>
        <color theme="1"/>
        <rFont val="宋体"/>
        <charset val="134"/>
      </rPr>
      <t>）
豁免：敏捷</t>
    </r>
    <r>
      <rPr>
        <sz val="10"/>
        <color theme="1"/>
        <rFont val="Times New Roman"/>
        <charset val="134"/>
      </rPr>
      <t>+1+PB</t>
    </r>
    <r>
      <rPr>
        <sz val="10"/>
        <color theme="1"/>
        <rFont val="宋体"/>
        <charset val="134"/>
      </rPr>
      <t>、感知</t>
    </r>
    <r>
      <rPr>
        <sz val="10"/>
        <color theme="1"/>
        <rFont val="Times New Roman"/>
        <charset val="134"/>
      </rPr>
      <t xml:space="preserve">+2+PB
</t>
    </r>
    <r>
      <rPr>
        <sz val="10"/>
        <color theme="1"/>
        <rFont val="宋体"/>
        <charset val="134"/>
      </rPr>
      <t>伤害免疫：由龙族精粹特性决定
感官：黑暗视觉</t>
    </r>
    <r>
      <rPr>
        <sz val="10"/>
        <color theme="1"/>
        <rFont val="Times New Roman"/>
        <charset val="134"/>
      </rPr>
      <t xml:space="preserve">60 </t>
    </r>
    <r>
      <rPr>
        <sz val="10"/>
        <color theme="1"/>
        <rFont val="宋体"/>
        <charset val="134"/>
      </rPr>
      <t>尺，被动感知</t>
    </r>
    <r>
      <rPr>
        <sz val="10"/>
        <color theme="1"/>
        <rFont val="Times New Roman"/>
        <charset val="134"/>
      </rPr>
      <t xml:space="preserve">12
</t>
    </r>
    <r>
      <rPr>
        <sz val="10"/>
        <color theme="1"/>
        <rFont val="宋体"/>
        <charset val="134"/>
      </rPr>
      <t>语言：龙语
挑战等级：</t>
    </r>
    <r>
      <rPr>
        <sz val="10"/>
        <color theme="1"/>
        <rFont val="Times New Roman"/>
        <charset val="134"/>
      </rPr>
      <t xml:space="preserve">——  </t>
    </r>
    <r>
      <rPr>
        <sz val="10"/>
        <color theme="1"/>
        <rFont val="宋体"/>
        <charset val="134"/>
      </rPr>
      <t>熟练加值（</t>
    </r>
    <r>
      <rPr>
        <sz val="10"/>
        <color theme="1"/>
        <rFont val="Times New Roman"/>
        <charset val="134"/>
      </rPr>
      <t>PB</t>
    </r>
    <r>
      <rPr>
        <sz val="10"/>
        <color theme="1"/>
        <rFont val="宋体"/>
        <charset val="134"/>
      </rPr>
      <t xml:space="preserve">）：与你相同
</t>
    </r>
    <r>
      <rPr>
        <sz val="10"/>
        <color theme="1"/>
        <rFont val="Times New Roman"/>
        <charset val="134"/>
      </rPr>
      <t xml:space="preserve">--------------------------------------------------------------------------------
</t>
    </r>
    <r>
      <rPr>
        <sz val="10"/>
        <color theme="1"/>
        <rFont val="宋体"/>
        <charset val="134"/>
      </rPr>
      <t>龙族精粹</t>
    </r>
    <r>
      <rPr>
        <sz val="10"/>
        <color theme="1"/>
        <rFont val="Times New Roman"/>
        <charset val="134"/>
      </rPr>
      <t>Draconic Essence</t>
    </r>
    <r>
      <rPr>
        <sz val="10"/>
        <color theme="1"/>
        <rFont val="宋体"/>
        <charset val="134"/>
      </rPr>
      <t>。当你召唤龙兽时，选择一种伤害类型</t>
    </r>
    <r>
      <rPr>
        <sz val="10"/>
        <color theme="1"/>
        <rFont val="Times New Roman"/>
        <charset val="134"/>
      </rPr>
      <t>:</t>
    </r>
    <r>
      <rPr>
        <sz val="10"/>
        <color theme="1"/>
        <rFont val="宋体"/>
        <charset val="134"/>
      </rPr>
      <t xml:space="preserve">强酸，寒冷，闪电，火焰，毒性。该伤害类型会影响伤害免疫和注能打击的伤害。
</t>
    </r>
    <r>
      <rPr>
        <sz val="10"/>
        <color theme="1"/>
        <rFont val="Times New Roman"/>
        <charset val="134"/>
      </rPr>
      <t xml:space="preserve">--------------------------------------------------------------------------------
</t>
    </r>
    <r>
      <rPr>
        <sz val="10"/>
        <color theme="1"/>
        <rFont val="宋体"/>
        <charset val="134"/>
      </rPr>
      <t>动作</t>
    </r>
    <r>
      <rPr>
        <sz val="10"/>
        <color theme="1"/>
        <rFont val="Times New Roman"/>
        <charset val="134"/>
      </rPr>
      <t xml:space="preserve">Actions
</t>
    </r>
    <r>
      <rPr>
        <sz val="10"/>
        <color theme="1"/>
        <rFont val="宋体"/>
        <charset val="134"/>
      </rPr>
      <t>啃咬</t>
    </r>
    <r>
      <rPr>
        <sz val="10"/>
        <color theme="1"/>
        <rFont val="Times New Roman"/>
        <charset val="134"/>
      </rPr>
      <t>Bite</t>
    </r>
    <r>
      <rPr>
        <sz val="10"/>
        <color theme="1"/>
        <rFont val="宋体"/>
        <charset val="134"/>
      </rPr>
      <t>。近战武器攻击：命中</t>
    </r>
    <r>
      <rPr>
        <sz val="10"/>
        <color theme="1"/>
        <rFont val="Times New Roman"/>
        <charset val="134"/>
      </rPr>
      <t>+3+PB</t>
    </r>
    <r>
      <rPr>
        <sz val="10"/>
        <color theme="1"/>
        <rFont val="宋体"/>
        <charset val="134"/>
      </rPr>
      <t>，触及</t>
    </r>
    <r>
      <rPr>
        <sz val="10"/>
        <color theme="1"/>
        <rFont val="Times New Roman"/>
        <charset val="134"/>
      </rPr>
      <t>5</t>
    </r>
    <r>
      <rPr>
        <sz val="10"/>
        <color theme="1"/>
        <rFont val="宋体"/>
        <charset val="134"/>
      </rPr>
      <t>尺，单一目标，命中：</t>
    </r>
    <r>
      <rPr>
        <sz val="10"/>
        <color theme="1"/>
        <rFont val="Times New Roman"/>
        <charset val="134"/>
      </rPr>
      <t>1d6+PB</t>
    </r>
    <r>
      <rPr>
        <sz val="10"/>
        <color theme="1"/>
        <rFont val="宋体"/>
        <charset val="134"/>
      </rPr>
      <t xml:space="preserve">点穿刺伤害。
</t>
    </r>
    <r>
      <rPr>
        <sz val="10"/>
        <color theme="1"/>
        <rFont val="Times New Roman"/>
        <charset val="134"/>
      </rPr>
      <t xml:space="preserve">--------------------------------------------------------------------------------
</t>
    </r>
    <r>
      <rPr>
        <sz val="10"/>
        <color theme="1"/>
        <rFont val="宋体"/>
        <charset val="134"/>
      </rPr>
      <t>反应</t>
    </r>
    <r>
      <rPr>
        <sz val="10"/>
        <color theme="1"/>
        <rFont val="Times New Roman"/>
        <charset val="134"/>
      </rPr>
      <t xml:space="preserve">Reactions
</t>
    </r>
    <r>
      <rPr>
        <sz val="10"/>
        <color theme="1"/>
        <rFont val="宋体"/>
        <charset val="134"/>
      </rPr>
      <t>注能打击</t>
    </r>
    <r>
      <rPr>
        <sz val="10"/>
        <color theme="1"/>
        <rFont val="Times New Roman"/>
        <charset val="134"/>
      </rPr>
      <t>Infused Strikes</t>
    </r>
    <r>
      <rPr>
        <sz val="10"/>
        <color theme="1"/>
        <rFont val="宋体"/>
        <charset val="134"/>
      </rPr>
      <t>。当龙兽</t>
    </r>
    <r>
      <rPr>
        <sz val="10"/>
        <color theme="1"/>
        <rFont val="Times New Roman"/>
        <charset val="134"/>
      </rPr>
      <t>30</t>
    </r>
    <r>
      <rPr>
        <sz val="10"/>
        <color theme="1"/>
        <rFont val="宋体"/>
        <charset val="134"/>
      </rPr>
      <t>尺内一个龙兽可见的生物用武器攻击命中一个生物时，龙兽能用它的精粹注能本次打击，使目标额外受到</t>
    </r>
    <r>
      <rPr>
        <sz val="10"/>
        <color theme="1"/>
        <rFont val="Times New Roman"/>
        <charset val="134"/>
      </rPr>
      <t>d6</t>
    </r>
    <r>
      <rPr>
        <sz val="10"/>
        <color theme="1"/>
        <rFont val="宋体"/>
        <charset val="134"/>
      </rPr>
      <t>伤害，伤害类型与龙族精粹相同。</t>
    </r>
  </si>
  <si>
    <r>
      <rPr>
        <sz val="10"/>
        <color theme="1"/>
        <rFont val="宋体"/>
        <charset val="134"/>
      </rPr>
      <t>潇洒气质</t>
    </r>
  </si>
  <si>
    <r>
      <rPr>
        <sz val="10"/>
        <color theme="1"/>
        <rFont val="宋体"/>
        <charset val="134"/>
      </rPr>
      <t>你的魅力变得更加迷人。
你可以用一个动作进行一次魅力（游说）检定来对抗一个生物的感知（洞察）检定。
目标生物必须能听到你的声音，并且你们两个必须会同一种语言。
如果那个生物是敌对的并且你的检定成功，它对除你之外的其他目标攻击取劣势，并且不能对除你之外的目标进行借机攻击。
这个效果持续</t>
    </r>
    <r>
      <rPr>
        <sz val="10"/>
        <color theme="1"/>
        <rFont val="Times New Roman"/>
        <charset val="134"/>
      </rPr>
      <t>1</t>
    </r>
    <r>
      <rPr>
        <sz val="10"/>
        <color theme="1"/>
        <rFont val="宋体"/>
        <charset val="134"/>
      </rPr>
      <t>分钟，或你的队友攻击</t>
    </r>
    <r>
      <rPr>
        <sz val="10"/>
        <color theme="1"/>
        <rFont val="Times New Roman"/>
        <charset val="134"/>
      </rPr>
      <t>/</t>
    </r>
    <r>
      <rPr>
        <sz val="10"/>
        <color theme="1"/>
        <rFont val="宋体"/>
        <charset val="134"/>
      </rPr>
      <t>用法术影响了这个目标，或你移动到远离目标</t>
    </r>
    <r>
      <rPr>
        <sz val="10"/>
        <color theme="1"/>
        <rFont val="Times New Roman"/>
        <charset val="134"/>
      </rPr>
      <t>60</t>
    </r>
    <r>
      <rPr>
        <sz val="10"/>
        <color theme="1"/>
        <rFont val="宋体"/>
        <charset val="134"/>
      </rPr>
      <t>尺外为止。
如果那个生物不是敌对的并且你的检定成功，它被你魅惑</t>
    </r>
    <r>
      <rPr>
        <sz val="10"/>
        <color theme="1"/>
        <rFont val="Times New Roman"/>
        <charset val="134"/>
      </rPr>
      <t>1</t>
    </r>
    <r>
      <rPr>
        <sz val="10"/>
        <color theme="1"/>
        <rFont val="宋体"/>
        <charset val="134"/>
      </rPr>
      <t>分钟。
当它被魅惑时，它认为你是一个友好的熟人。
这个效果会在你或者你的队友做出任何对他有害的行为之后立即结束。</t>
    </r>
  </si>
  <si>
    <r>
      <rPr>
        <sz val="10"/>
        <color theme="1"/>
        <rFont val="宋体"/>
        <charset val="134"/>
      </rPr>
      <t>清风之灵</t>
    </r>
  </si>
  <si>
    <r>
      <rPr>
        <sz val="10"/>
        <color theme="1"/>
        <rFont val="宋体"/>
        <charset val="134"/>
      </rPr>
      <t>你获得</t>
    </r>
    <r>
      <rPr>
        <sz val="10"/>
        <color theme="1"/>
        <rFont val="Times New Roman"/>
        <charset val="134"/>
      </rPr>
      <t>60</t>
    </r>
    <r>
      <rPr>
        <sz val="10"/>
        <color theme="1"/>
        <rFont val="宋体"/>
        <charset val="134"/>
      </rPr>
      <t>尺飞行速度，且免疫闪电与雷鸣伤害。
以一个动作，你可以将你的飞行速度降低到</t>
    </r>
    <r>
      <rPr>
        <sz val="10"/>
        <color theme="1"/>
        <rFont val="Times New Roman"/>
        <charset val="134"/>
      </rPr>
      <t>30</t>
    </r>
    <r>
      <rPr>
        <sz val="10"/>
        <color theme="1"/>
        <rFont val="宋体"/>
        <charset val="134"/>
      </rPr>
      <t>尺，持续一小时。
当你这么做时，你可以指定在你身边</t>
    </r>
    <r>
      <rPr>
        <sz val="10"/>
        <color theme="1"/>
        <rFont val="Times New Roman"/>
        <charset val="134"/>
      </rPr>
      <t>30</t>
    </r>
    <r>
      <rPr>
        <sz val="10"/>
        <color theme="1"/>
        <rFont val="宋体"/>
        <charset val="134"/>
      </rPr>
      <t>尺内的，</t>
    </r>
    <r>
      <rPr>
        <sz val="10"/>
        <color theme="1"/>
        <rFont val="Times New Roman"/>
        <charset val="134"/>
      </rPr>
      <t>3+</t>
    </r>
    <r>
      <rPr>
        <sz val="10"/>
        <color theme="1"/>
        <rFont val="宋体"/>
        <charset val="134"/>
      </rPr>
      <t>你的魅力调整值个生物。
这些被选定的生物获得</t>
    </r>
    <r>
      <rPr>
        <sz val="10"/>
        <color theme="1"/>
        <rFont val="Times New Roman"/>
        <charset val="134"/>
      </rPr>
      <t>30</t>
    </r>
    <r>
      <rPr>
        <sz val="10"/>
        <color theme="1"/>
        <rFont val="宋体"/>
        <charset val="134"/>
      </rPr>
      <t>尺飞行速度，持续</t>
    </r>
    <r>
      <rPr>
        <sz val="10"/>
        <color theme="1"/>
        <rFont val="Times New Roman"/>
        <charset val="134"/>
      </rPr>
      <t>1</t>
    </r>
    <r>
      <rPr>
        <sz val="10"/>
        <color theme="1"/>
        <rFont val="宋体"/>
        <charset val="134"/>
      </rPr>
      <t>小时。
你不能在一次短休息或者长休息前再一次使用此能力。</t>
    </r>
  </si>
  <si>
    <r>
      <rPr>
        <sz val="10"/>
        <color theme="1"/>
        <rFont val="宋体"/>
        <charset val="134"/>
      </rPr>
      <t>巫术视界</t>
    </r>
  </si>
  <si>
    <r>
      <rPr>
        <sz val="10"/>
        <color theme="1"/>
        <rFont val="宋体"/>
        <charset val="134"/>
      </rPr>
      <t>先决：魔契师等级</t>
    </r>
    <r>
      <rPr>
        <sz val="10"/>
        <color theme="1"/>
        <rFont val="Times New Roman"/>
        <charset val="134"/>
      </rPr>
      <t xml:space="preserve">15+
</t>
    </r>
    <r>
      <rPr>
        <sz val="10"/>
        <color theme="1"/>
        <rFont val="宋体"/>
        <charset val="134"/>
      </rPr>
      <t>你具有</t>
    </r>
    <r>
      <rPr>
        <sz val="10"/>
        <color theme="1"/>
        <rFont val="Times New Roman"/>
        <charset val="134"/>
      </rPr>
      <t>30</t>
    </r>
    <r>
      <rPr>
        <sz val="10"/>
        <color theme="1"/>
        <rFont val="宋体"/>
        <charset val="134"/>
      </rPr>
      <t>尺真实视觉</t>
    </r>
    <r>
      <rPr>
        <sz val="10"/>
        <color theme="1"/>
        <rFont val="Times New Roman"/>
        <charset val="134"/>
      </rPr>
      <t xml:space="preserve"> </t>
    </r>
    <r>
      <rPr>
        <sz val="10"/>
        <color theme="1"/>
        <rFont val="宋体"/>
        <charset val="134"/>
      </rPr>
      <t>。</t>
    </r>
  </si>
  <si>
    <r>
      <rPr>
        <sz val="10"/>
        <color theme="1"/>
        <rFont val="宋体"/>
        <charset val="134"/>
      </rPr>
      <t>瞬时静止</t>
    </r>
  </si>
  <si>
    <r>
      <rPr>
        <sz val="10"/>
        <color theme="1"/>
        <rFont val="宋体"/>
        <charset val="134"/>
      </rPr>
      <t>以一个动作，你可以魔法地迫使</t>
    </r>
    <r>
      <rPr>
        <sz val="10"/>
        <color theme="1"/>
        <rFont val="Times New Roman"/>
        <charset val="134"/>
      </rPr>
      <t>60</t>
    </r>
    <r>
      <rPr>
        <sz val="10"/>
        <color theme="1"/>
        <rFont val="宋体"/>
        <charset val="134"/>
      </rPr>
      <t>尺内你可以看见的一个大型或更小体型的生物进行一次对抗你法术豁免</t>
    </r>
    <r>
      <rPr>
        <sz val="10"/>
        <color theme="1"/>
        <rFont val="Times New Roman"/>
        <charset val="134"/>
      </rPr>
      <t>DC</t>
    </r>
    <r>
      <rPr>
        <sz val="10"/>
        <color theme="1"/>
        <rFont val="宋体"/>
        <charset val="134"/>
      </rPr>
      <t>的体质豁免。若豁免失败，该生物将被禁锢于一个魔法能量构成的力场中，直至你的下回合结束或者该生物受到任何伤害为止。当以此法被禁锢时，该生物速度的降至</t>
    </r>
    <r>
      <rPr>
        <sz val="10"/>
        <color theme="1"/>
        <rFont val="Times New Roman"/>
        <charset val="134"/>
      </rPr>
      <t>0</t>
    </r>
    <r>
      <rPr>
        <sz val="10"/>
        <color theme="1"/>
        <rFont val="宋体"/>
        <charset val="134"/>
      </rPr>
      <t>，并陷入</t>
    </r>
    <r>
      <rPr>
        <sz val="10"/>
        <color theme="1"/>
        <rFont val="Times New Roman"/>
        <charset val="134"/>
      </rPr>
      <t xml:space="preserve"> </t>
    </r>
    <r>
      <rPr>
        <sz val="10"/>
        <color theme="1"/>
        <rFont val="宋体"/>
        <charset val="134"/>
      </rPr>
      <t>失能</t>
    </r>
    <r>
      <rPr>
        <sz val="10"/>
        <color theme="1"/>
        <rFont val="Times New Roman"/>
        <charset val="134"/>
      </rPr>
      <t xml:space="preserve">Incapacitated </t>
    </r>
    <r>
      <rPr>
        <sz val="10"/>
        <color theme="1"/>
        <rFont val="宋体"/>
        <charset val="134"/>
      </rPr>
      <t>状态。
你可以使用这一特性的次数等同于你智力调整值次（至少</t>
    </r>
    <r>
      <rPr>
        <sz val="10"/>
        <color theme="1"/>
        <rFont val="Times New Roman"/>
        <charset val="134"/>
      </rPr>
      <t>1</t>
    </r>
    <r>
      <rPr>
        <sz val="10"/>
        <color theme="1"/>
        <rFont val="宋体"/>
        <charset val="134"/>
      </rPr>
      <t>次）。在你完成一次长休后你重获全部已消耗的使用次数。</t>
    </r>
  </si>
  <si>
    <r>
      <rPr>
        <sz val="10"/>
        <color theme="1"/>
        <rFont val="宋体"/>
        <charset val="134"/>
      </rPr>
      <t>诱变剂</t>
    </r>
    <r>
      <rPr>
        <sz val="10"/>
        <color theme="1"/>
        <rFont val="Times New Roman"/>
        <charset val="134"/>
      </rPr>
      <t>-</t>
    </r>
    <r>
      <rPr>
        <sz val="10"/>
        <color theme="1"/>
        <rFont val="宋体"/>
        <charset val="134"/>
      </rPr>
      <t>急速</t>
    </r>
  </si>
  <si>
    <r>
      <rPr>
        <sz val="10"/>
        <color theme="1"/>
        <rFont val="宋体"/>
        <charset val="134"/>
      </rPr>
      <t>你的速度增加</t>
    </r>
    <r>
      <rPr>
        <sz val="10"/>
        <color theme="1"/>
        <rFont val="Times New Roman"/>
        <charset val="134"/>
      </rPr>
      <t xml:space="preserve"> 10 </t>
    </r>
    <r>
      <rPr>
        <sz val="10"/>
        <color theme="1"/>
        <rFont val="宋体"/>
        <charset val="134"/>
      </rPr>
      <t>尺。第</t>
    </r>
    <r>
      <rPr>
        <sz val="10"/>
        <color theme="1"/>
        <rFont val="Times New Roman"/>
        <charset val="134"/>
      </rPr>
      <t xml:space="preserve"> 15 </t>
    </r>
    <r>
      <rPr>
        <sz val="10"/>
        <color theme="1"/>
        <rFont val="宋体"/>
        <charset val="134"/>
      </rPr>
      <t>级起，你的速度再增加</t>
    </r>
    <r>
      <rPr>
        <sz val="10"/>
        <color theme="1"/>
        <rFont val="Times New Roman"/>
        <charset val="134"/>
      </rPr>
      <t xml:space="preserve"> 5 </t>
    </r>
    <r>
      <rPr>
        <sz val="10"/>
        <color theme="1"/>
        <rFont val="宋体"/>
        <charset val="134"/>
      </rPr>
      <t>尺。
副作用：你进行的智力属性检定具有劣势。</t>
    </r>
  </si>
  <si>
    <r>
      <rPr>
        <sz val="10"/>
        <color theme="1"/>
        <rFont val="宋体"/>
        <charset val="134"/>
      </rPr>
      <t>化学家法术</t>
    </r>
  </si>
  <si>
    <r>
      <rPr>
        <sz val="10"/>
        <color theme="1"/>
        <rFont val="宋体"/>
        <charset val="134"/>
      </rPr>
      <t>当你达到此职业特定等级时，你视为已经准备了特定的法术，如化学家法术表所示。这些法术计入你的药剂师法术，且不计入你的药剂师准备法术。
药剂师等级</t>
    </r>
    <r>
      <rPr>
        <sz val="10"/>
        <color theme="1"/>
        <rFont val="Times New Roman"/>
        <charset val="134"/>
      </rPr>
      <t xml:space="preserve">   </t>
    </r>
    <r>
      <rPr>
        <sz val="10"/>
        <color theme="1"/>
        <rFont val="宋体"/>
        <charset val="134"/>
      </rPr>
      <t xml:space="preserve">法术
</t>
    </r>
    <r>
      <rPr>
        <sz val="10"/>
        <color theme="1"/>
        <rFont val="Times New Roman"/>
        <charset val="134"/>
      </rPr>
      <t>1</t>
    </r>
    <r>
      <rPr>
        <sz val="10"/>
        <color theme="1"/>
        <rFont val="宋体"/>
        <charset val="134"/>
      </rPr>
      <t>级</t>
    </r>
    <r>
      <rPr>
        <sz val="10"/>
        <color theme="1"/>
        <rFont val="Times New Roman"/>
        <charset val="134"/>
      </rPr>
      <t xml:space="preserve">   </t>
    </r>
    <r>
      <rPr>
        <sz val="10"/>
        <color theme="1"/>
        <rFont val="宋体"/>
        <charset val="134"/>
      </rPr>
      <t xml:space="preserve">燃烧之手，油腻术
</t>
    </r>
    <r>
      <rPr>
        <sz val="10"/>
        <color theme="1"/>
        <rFont val="Times New Roman"/>
        <charset val="134"/>
      </rPr>
      <t>3</t>
    </r>
    <r>
      <rPr>
        <sz val="10"/>
        <color theme="1"/>
        <rFont val="宋体"/>
        <charset val="134"/>
      </rPr>
      <t>级</t>
    </r>
    <r>
      <rPr>
        <sz val="10"/>
        <color theme="1"/>
        <rFont val="Times New Roman"/>
        <charset val="134"/>
      </rPr>
      <t xml:space="preserve">   </t>
    </r>
    <r>
      <rPr>
        <sz val="10"/>
        <color theme="1"/>
        <rFont val="宋体"/>
        <charset val="134"/>
      </rPr>
      <t xml:space="preserve">强酸箭，炽焰法球
</t>
    </r>
    <r>
      <rPr>
        <sz val="10"/>
        <color theme="1"/>
        <rFont val="Times New Roman"/>
        <charset val="134"/>
      </rPr>
      <t>5</t>
    </r>
    <r>
      <rPr>
        <sz val="10"/>
        <color theme="1"/>
        <rFont val="宋体"/>
        <charset val="134"/>
      </rPr>
      <t>级</t>
    </r>
    <r>
      <rPr>
        <sz val="10"/>
        <color theme="1"/>
        <rFont val="Times New Roman"/>
        <charset val="134"/>
      </rPr>
      <t xml:space="preserve">   </t>
    </r>
    <r>
      <rPr>
        <sz val="10"/>
        <color theme="1"/>
        <rFont val="宋体"/>
        <charset val="134"/>
      </rPr>
      <t xml:space="preserve">火球术，臭云术
</t>
    </r>
    <r>
      <rPr>
        <sz val="10"/>
        <color theme="1"/>
        <rFont val="Times New Roman"/>
        <charset val="134"/>
      </rPr>
      <t>7</t>
    </r>
    <r>
      <rPr>
        <sz val="10"/>
        <color theme="1"/>
        <rFont val="宋体"/>
        <charset val="134"/>
      </rPr>
      <t>级</t>
    </r>
    <r>
      <rPr>
        <sz val="10"/>
        <color theme="1"/>
        <rFont val="Times New Roman"/>
        <charset val="134"/>
      </rPr>
      <t xml:space="preserve">   </t>
    </r>
    <r>
      <rPr>
        <sz val="10"/>
        <color theme="1"/>
        <rFont val="宋体"/>
        <charset val="134"/>
      </rPr>
      <t xml:space="preserve">冰风暴，火墙术
</t>
    </r>
    <r>
      <rPr>
        <sz val="10"/>
        <color theme="1"/>
        <rFont val="Times New Roman"/>
        <charset val="134"/>
      </rPr>
      <t>9</t>
    </r>
    <r>
      <rPr>
        <sz val="10"/>
        <color theme="1"/>
        <rFont val="宋体"/>
        <charset val="134"/>
      </rPr>
      <t>级</t>
    </r>
    <r>
      <rPr>
        <sz val="10"/>
        <color theme="1"/>
        <rFont val="Times New Roman"/>
        <charset val="134"/>
      </rPr>
      <t xml:space="preserve">   </t>
    </r>
    <r>
      <rPr>
        <sz val="10"/>
        <color theme="1"/>
        <rFont val="宋体"/>
        <charset val="134"/>
      </rPr>
      <t>死云术，寒冰锥</t>
    </r>
    <r>
      <rPr>
        <sz val="10"/>
        <color theme="1"/>
        <rFont val="Times New Roman"/>
        <charset val="134"/>
      </rPr>
      <t xml:space="preserve"> </t>
    </r>
  </si>
  <si>
    <t>迪斯帕特之赐</t>
  </si>
  <si>
    <t>当迪斯帕特接纳你成为他的邪狱使时，你获得重甲熟练。</t>
  </si>
  <si>
    <t>柳艺结社</t>
  </si>
  <si>
    <r>
      <rPr>
        <sz val="10"/>
        <color theme="1"/>
        <rFont val="宋体"/>
        <charset val="134"/>
      </rPr>
      <t>术法护盾</t>
    </r>
  </si>
  <si>
    <r>
      <rPr>
        <sz val="10"/>
        <color theme="1"/>
        <rFont val="宋体"/>
        <charset val="134"/>
      </rPr>
      <t>你的身周将形成能够消耗法术的虚无空间。你的狂暴激活期间，你将源自你的</t>
    </r>
    <r>
      <rPr>
        <sz val="10"/>
        <color theme="1"/>
        <rFont val="Times New Roman"/>
        <charset val="134"/>
      </rPr>
      <t>30</t>
    </r>
    <r>
      <rPr>
        <sz val="10"/>
        <color theme="1"/>
        <rFont val="宋体"/>
        <charset val="134"/>
      </rPr>
      <t>尺光环区域内散发出消耗法术的灵光。你和你身处灵光内的盟友对抗法术的豁免获得等于你狂暴伤害的加值。</t>
    </r>
  </si>
  <si>
    <t>终末临近</t>
  </si>
  <si>
    <t>对于那些倾听末谕者，你的一词一句皆能直击他的内心，在他们心灵深处植入恐惧。当你进行魅力（威吓）检定时，你可以将骰出的9以下（包括9）的骰值视为10。</t>
  </si>
  <si>
    <r>
      <rPr>
        <sz val="10"/>
        <color theme="1"/>
        <rFont val="宋体"/>
        <charset val="134"/>
      </rPr>
      <t>暮光领域法术</t>
    </r>
  </si>
  <si>
    <r>
      <rPr>
        <sz val="10"/>
        <color theme="1"/>
        <rFont val="宋体"/>
        <charset val="134"/>
      </rPr>
      <t>牧师等级</t>
    </r>
    <r>
      <rPr>
        <sz val="10"/>
        <color theme="1"/>
        <rFont val="Times New Roman"/>
        <charset val="134"/>
      </rPr>
      <t>—</t>
    </r>
    <r>
      <rPr>
        <sz val="10"/>
        <color theme="1"/>
        <rFont val="宋体"/>
        <charset val="134"/>
      </rPr>
      <t xml:space="preserve">法术
</t>
    </r>
    <r>
      <rPr>
        <sz val="10"/>
        <color theme="1"/>
        <rFont val="Times New Roman"/>
        <charset val="134"/>
      </rPr>
      <t>1st—</t>
    </r>
    <r>
      <rPr>
        <sz val="10"/>
        <color theme="1"/>
        <rFont val="宋体"/>
        <charset val="134"/>
      </rPr>
      <t xml:space="preserve">妖火，睡眠术
</t>
    </r>
    <r>
      <rPr>
        <sz val="10"/>
        <color theme="1"/>
        <rFont val="Times New Roman"/>
        <charset val="134"/>
      </rPr>
      <t>3rd—</t>
    </r>
    <r>
      <rPr>
        <sz val="10"/>
        <color theme="1"/>
        <rFont val="宋体"/>
        <charset val="134"/>
      </rPr>
      <t xml:space="preserve">月华之光，识破隐形
</t>
    </r>
    <r>
      <rPr>
        <sz val="10"/>
        <color theme="1"/>
        <rFont val="Times New Roman"/>
        <charset val="134"/>
      </rPr>
      <t>5th—</t>
    </r>
    <r>
      <rPr>
        <sz val="10"/>
        <color theme="1"/>
        <rFont val="宋体"/>
        <charset val="134"/>
      </rPr>
      <t xml:space="preserve">活力灵光，李欧蒙小屋
</t>
    </r>
    <r>
      <rPr>
        <sz val="10"/>
        <color theme="1"/>
        <rFont val="Times New Roman"/>
        <charset val="134"/>
      </rPr>
      <t>7th—</t>
    </r>
    <r>
      <rPr>
        <sz val="10"/>
        <color theme="1"/>
        <rFont val="宋体"/>
        <charset val="134"/>
      </rPr>
      <t xml:space="preserve">生命灵光，高等隐形术
</t>
    </r>
    <r>
      <rPr>
        <sz val="10"/>
        <color theme="1"/>
        <rFont val="Times New Roman"/>
        <charset val="134"/>
      </rPr>
      <t>9th—</t>
    </r>
    <r>
      <rPr>
        <sz val="10"/>
        <color theme="1"/>
        <rFont val="宋体"/>
        <charset val="134"/>
      </rPr>
      <t>原力法阵，假象术</t>
    </r>
  </si>
  <si>
    <r>
      <rPr>
        <sz val="10"/>
        <color theme="1"/>
        <rFont val="宋体"/>
        <charset val="134"/>
      </rPr>
      <t>共生结社法术</t>
    </r>
  </si>
  <si>
    <r>
      <rPr>
        <sz val="10"/>
        <color theme="1"/>
        <rFont val="宋体"/>
        <charset val="134"/>
      </rPr>
      <t>当你到达共生结社法术表中特定的德鲁伊等级时，你就始终准备了表中对应的法术。
共生结社法术</t>
    </r>
    <r>
      <rPr>
        <sz val="10"/>
        <color theme="1"/>
        <rFont val="Times New Roman"/>
        <charset val="134"/>
      </rPr>
      <t xml:space="preserve">Circle of the Symbiote Spells
</t>
    </r>
    <r>
      <rPr>
        <sz val="10"/>
        <color theme="1"/>
        <rFont val="宋体"/>
        <charset val="134"/>
      </rPr>
      <t>德鲁伊等级</t>
    </r>
    <r>
      <rPr>
        <sz val="10"/>
        <color theme="1"/>
        <rFont val="Times New Roman"/>
        <charset val="134"/>
      </rPr>
      <t xml:space="preserve"> </t>
    </r>
    <r>
      <rPr>
        <sz val="10"/>
        <color theme="1"/>
        <rFont val="宋体"/>
        <charset val="134"/>
      </rPr>
      <t xml:space="preserve">准备法术
</t>
    </r>
    <r>
      <rPr>
        <sz val="10"/>
        <color theme="1"/>
        <rFont val="Times New Roman"/>
        <charset val="134"/>
      </rPr>
      <t xml:space="preserve">3 </t>
    </r>
    <r>
      <rPr>
        <sz val="10"/>
        <color theme="1"/>
        <rFont val="宋体"/>
        <charset val="134"/>
      </rPr>
      <t>神导术</t>
    </r>
    <r>
      <rPr>
        <sz val="10"/>
        <color theme="1"/>
        <rFont val="Times New Roman"/>
        <charset val="134"/>
      </rPr>
      <t>Guidance</t>
    </r>
    <r>
      <rPr>
        <sz val="10"/>
        <color theme="1"/>
        <rFont val="宋体"/>
        <charset val="134"/>
      </rPr>
      <t>，树肤术</t>
    </r>
    <r>
      <rPr>
        <sz val="10"/>
        <color theme="1"/>
        <rFont val="Times New Roman"/>
        <charset val="134"/>
      </rPr>
      <t>Barkskin</t>
    </r>
    <r>
      <rPr>
        <sz val="10"/>
        <color theme="1"/>
        <rFont val="宋体"/>
        <charset val="134"/>
      </rPr>
      <t>，纠缠术</t>
    </r>
    <r>
      <rPr>
        <sz val="10"/>
        <color theme="1"/>
        <rFont val="Times New Roman"/>
        <charset val="134"/>
      </rPr>
      <t xml:space="preserve">Entangle
5 </t>
    </r>
    <r>
      <rPr>
        <sz val="10"/>
        <color theme="1"/>
        <rFont val="宋体"/>
        <charset val="134"/>
      </rPr>
      <t>植物滋长</t>
    </r>
    <r>
      <rPr>
        <sz val="10"/>
        <color theme="1"/>
        <rFont val="Times New Roman"/>
        <charset val="134"/>
      </rPr>
      <t xml:space="preserve">Plant Growth 
7 </t>
    </r>
    <r>
      <rPr>
        <sz val="10"/>
        <color theme="1"/>
        <rFont val="宋体"/>
        <charset val="134"/>
      </rPr>
      <t>幻景</t>
    </r>
    <r>
      <rPr>
        <sz val="10"/>
        <color theme="1"/>
        <rFont val="Times New Roman"/>
        <charset val="134"/>
      </rPr>
      <t xml:space="preserve">Hallucinatory Terrain
9 </t>
    </r>
    <r>
      <rPr>
        <sz val="10"/>
        <color theme="1"/>
        <rFont val="宋体"/>
        <charset val="134"/>
      </rPr>
      <t>树跃术</t>
    </r>
    <r>
      <rPr>
        <sz val="10"/>
        <color theme="1"/>
        <rFont val="Times New Roman"/>
        <charset val="134"/>
      </rPr>
      <t>Tree Stride</t>
    </r>
  </si>
  <si>
    <r>
      <rPr>
        <sz val="10"/>
        <color theme="1"/>
        <rFont val="宋体"/>
        <charset val="134"/>
      </rPr>
      <t>念力宗师</t>
    </r>
  </si>
  <si>
    <r>
      <rPr>
        <sz val="10"/>
        <color theme="1"/>
        <rFont val="宋体"/>
        <charset val="134"/>
      </rPr>
      <t>你总是准备了心灵遥控</t>
    </r>
    <r>
      <rPr>
        <sz val="10"/>
        <color theme="1"/>
        <rFont val="Times New Roman"/>
        <charset val="134"/>
      </rPr>
      <t>Telekinesis</t>
    </r>
    <r>
      <rPr>
        <sz val="10"/>
        <color theme="1"/>
        <rFont val="宋体"/>
        <charset val="134"/>
      </rPr>
      <t>法术，你可以在无需任何法术成分和法术位的情况下使用它，你施展这一法术的施法属性为智力。在每一个你对该法术维持专注的回合，包括你施放它的回合，你都能够以一个附赠动作使用一把武器发动一次攻击。
一旦你以此特性施展该法术，直至完成长休你都无法再如此做。你也可以消耗一枚灵能骰（无需动作）重置该法术的施展。</t>
    </r>
  </si>
  <si>
    <r>
      <rPr>
        <sz val="10"/>
        <color theme="1"/>
        <rFont val="宋体"/>
        <charset val="134"/>
      </rPr>
      <t>神龙身</t>
    </r>
  </si>
  <si>
    <r>
      <rPr>
        <sz val="10"/>
        <color theme="1"/>
        <rFont val="宋体"/>
        <charset val="134"/>
      </rPr>
      <t xml:space="preserve">你的龙之魂巅峰造极。你获得以下好处：
</t>
    </r>
    <r>
      <rPr>
        <sz val="10"/>
        <color theme="1"/>
        <rFont val="Times New Roman"/>
        <charset val="134"/>
      </rPr>
      <t xml:space="preserve">• </t>
    </r>
    <r>
      <rPr>
        <sz val="10"/>
        <color theme="1"/>
        <rFont val="宋体"/>
        <charset val="134"/>
      </rPr>
      <t>强化吐息</t>
    </r>
    <r>
      <rPr>
        <sz val="10"/>
        <color theme="1"/>
        <rFont val="Times New Roman"/>
        <charset val="134"/>
      </rPr>
      <t>Augment Breath</t>
    </r>
    <r>
      <rPr>
        <sz val="10"/>
        <color theme="1"/>
        <rFont val="宋体"/>
        <charset val="134"/>
      </rPr>
      <t>。当你使用你的龙之息时，你可以消耗</t>
    </r>
    <r>
      <rPr>
        <sz val="10"/>
        <color theme="1"/>
        <rFont val="Times New Roman"/>
        <charset val="134"/>
      </rPr>
      <t>1</t>
    </r>
    <r>
      <rPr>
        <sz val="10"/>
        <color theme="1"/>
        <rFont val="宋体"/>
        <charset val="134"/>
      </rPr>
      <t>点气对其塑形并增强其威力。你呼出的龙类能量增长至</t>
    </r>
    <r>
      <rPr>
        <sz val="10"/>
        <color theme="1"/>
        <rFont val="Times New Roman"/>
        <charset val="134"/>
      </rPr>
      <t>60</t>
    </r>
    <r>
      <rPr>
        <sz val="10"/>
        <color theme="1"/>
        <rFont val="宋体"/>
        <charset val="134"/>
      </rPr>
      <t>尺锥状或</t>
    </r>
    <r>
      <rPr>
        <sz val="10"/>
        <color theme="1"/>
        <rFont val="Times New Roman"/>
        <charset val="134"/>
      </rPr>
      <t>90</t>
    </r>
    <r>
      <rPr>
        <sz val="10"/>
        <color theme="1"/>
        <rFont val="宋体"/>
        <charset val="134"/>
      </rPr>
      <t>尺长</t>
    </r>
    <r>
      <rPr>
        <sz val="10"/>
        <color theme="1"/>
        <rFont val="Times New Roman"/>
        <charset val="134"/>
      </rPr>
      <t>5</t>
    </r>
    <r>
      <rPr>
        <sz val="10"/>
        <color theme="1"/>
        <rFont val="宋体"/>
        <charset val="134"/>
      </rPr>
      <t xml:space="preserve">尺宽线状（由你选择），且范围内的每个生物豁免失败时会受到等同四个你武艺骰的对应类型的伤害，豁免成功则伤害减半。
</t>
    </r>
    <r>
      <rPr>
        <sz val="10"/>
        <color theme="1"/>
        <rFont val="Times New Roman"/>
        <charset val="134"/>
      </rPr>
      <t xml:space="preserve">• </t>
    </r>
    <r>
      <rPr>
        <sz val="10"/>
        <color theme="1"/>
        <rFont val="宋体"/>
        <charset val="134"/>
      </rPr>
      <t>盲视</t>
    </r>
    <r>
      <rPr>
        <sz val="10"/>
        <color theme="1"/>
        <rFont val="Times New Roman"/>
        <charset val="134"/>
      </rPr>
      <t>Blindsight</t>
    </r>
    <r>
      <rPr>
        <sz val="10"/>
        <color theme="1"/>
        <rFont val="宋体"/>
        <charset val="134"/>
      </rPr>
      <t>。你获得</t>
    </r>
    <r>
      <rPr>
        <sz val="10"/>
        <color theme="1"/>
        <rFont val="Times New Roman"/>
        <charset val="134"/>
      </rPr>
      <t>10</t>
    </r>
    <r>
      <rPr>
        <sz val="10"/>
        <color theme="1"/>
        <rFont val="宋体"/>
        <charset val="134"/>
      </rPr>
      <t xml:space="preserve">尺盲视。在盲视范围内，即使你目盲或处于黑暗中，你仍可以清晰地看到任何不处于全身掩护的事物。而且，你可以在盲视范围内看到隐形生物，除非此生物对你躲藏成功。
</t>
    </r>
    <r>
      <rPr>
        <sz val="10"/>
        <color theme="1"/>
        <rFont val="Times New Roman"/>
        <charset val="134"/>
      </rPr>
      <t xml:space="preserve">• </t>
    </r>
    <r>
      <rPr>
        <sz val="10"/>
        <color theme="1"/>
        <rFont val="宋体"/>
        <charset val="134"/>
      </rPr>
      <t>怒气爆发</t>
    </r>
    <r>
      <rPr>
        <sz val="10"/>
        <color theme="1"/>
        <rFont val="Times New Roman"/>
        <charset val="134"/>
      </rPr>
      <t>Explosive Fury</t>
    </r>
    <r>
      <rPr>
        <sz val="10"/>
        <color theme="1"/>
        <rFont val="宋体"/>
        <charset val="134"/>
      </rPr>
      <t>。当你使用古龙之姿时，龙族之怒从你体内爆发。选择你灵光内可见的任意数量的生物，每个生物必须通过一次对抗你的气豁免</t>
    </r>
    <r>
      <rPr>
        <sz val="10"/>
        <color theme="1"/>
        <rFont val="Times New Roman"/>
        <charset val="134"/>
      </rPr>
      <t>DC</t>
    </r>
    <r>
      <rPr>
        <sz val="10"/>
        <color theme="1"/>
        <rFont val="宋体"/>
        <charset val="134"/>
      </rPr>
      <t>的敏捷豁免，豁免失败者受到</t>
    </r>
    <r>
      <rPr>
        <sz val="10"/>
        <color theme="1"/>
        <rFont val="Times New Roman"/>
        <charset val="134"/>
      </rPr>
      <t>3d10</t>
    </r>
    <r>
      <rPr>
        <sz val="10"/>
        <color theme="1"/>
        <rFont val="宋体"/>
        <charset val="134"/>
      </rPr>
      <t>强酸，冷冻，火焰，闪电或毒素伤害（由你选择）。</t>
    </r>
  </si>
  <si>
    <r>
      <rPr>
        <sz val="10"/>
        <color theme="1"/>
        <rFont val="宋体"/>
        <charset val="134"/>
      </rPr>
      <t>振奋守御</t>
    </r>
  </si>
  <si>
    <r>
      <rPr>
        <sz val="10"/>
        <color theme="1"/>
        <rFont val="宋体"/>
        <charset val="134"/>
      </rPr>
      <t>当你进行借机攻击时，你可以攻击两次而非一次。此外，在你守护之仪特性影响下的、由你所选的生物，他们进行借机攻击时也可攻击两次而非一次。</t>
    </r>
  </si>
  <si>
    <r>
      <rPr>
        <sz val="10"/>
        <color theme="1"/>
        <rFont val="宋体"/>
        <charset val="134"/>
      </rPr>
      <t>牙鳞之联</t>
    </r>
  </si>
  <si>
    <r>
      <rPr>
        <sz val="10"/>
        <color theme="1"/>
        <rFont val="宋体"/>
        <charset val="134"/>
      </rPr>
      <t>你与龙兽之间的纽带加强，激发龙兽的狂怒，为你提供保护。当你召唤龙兽时，一对翅膀在其背后长出，并获得与步行速度相等的飞行速度。</t>
    </r>
    <r>
      <rPr>
        <sz val="10"/>
        <color theme="1"/>
        <rFont val="Times New Roman"/>
        <charset val="134"/>
      </rPr>
      <t xml:space="preserve"> 
</t>
    </r>
    <r>
      <rPr>
        <sz val="10"/>
        <color theme="1"/>
        <rFont val="宋体"/>
        <charset val="134"/>
      </rPr>
      <t>此外，当召唤的龙兽在场时，你和龙兽获得以下增益</t>
    </r>
    <r>
      <rPr>
        <sz val="10"/>
        <color theme="1"/>
        <rFont val="Times New Roman"/>
        <charset val="134"/>
      </rPr>
      <t xml:space="preserve">:
• </t>
    </r>
    <r>
      <rPr>
        <sz val="10"/>
        <color theme="1"/>
        <rFont val="宋体"/>
        <charset val="134"/>
      </rPr>
      <t>龙兽坐骑</t>
    </r>
    <r>
      <rPr>
        <sz val="10"/>
        <color theme="1"/>
        <rFont val="Times New Roman"/>
        <charset val="134"/>
      </rPr>
      <t>Drake Mount</t>
    </r>
    <r>
      <rPr>
        <sz val="10"/>
        <color theme="1"/>
        <rFont val="宋体"/>
        <charset val="134"/>
      </rPr>
      <t>。</t>
    </r>
    <r>
      <rPr>
        <sz val="10"/>
        <color theme="1"/>
        <rFont val="Times New Roman"/>
        <charset val="134"/>
      </rPr>
      <t xml:space="preserve"> </t>
    </r>
    <r>
      <rPr>
        <sz val="10"/>
        <color theme="1"/>
        <rFont val="宋体"/>
        <charset val="134"/>
      </rPr>
      <t xml:space="preserve">龙兽成长为中等体型。作为你特别联结的反映，你能够将龙兽当做坐骑骑乘，即使你的体型也为中型。当你骑乘龙兽时，龙兽不能使用从本特性中获得的飞行速度。
</t>
    </r>
    <r>
      <rPr>
        <sz val="10"/>
        <color theme="1"/>
        <rFont val="Times New Roman"/>
        <charset val="134"/>
      </rPr>
      <t xml:space="preserve">• </t>
    </r>
    <r>
      <rPr>
        <sz val="10"/>
        <color theme="1"/>
        <rFont val="宋体"/>
        <charset val="134"/>
      </rPr>
      <t>魔法獠牙</t>
    </r>
    <r>
      <rPr>
        <sz val="10"/>
        <color theme="1"/>
        <rFont val="Times New Roman"/>
        <charset val="134"/>
      </rPr>
      <t>Magic Fang</t>
    </r>
    <r>
      <rPr>
        <sz val="10"/>
        <color theme="1"/>
        <rFont val="宋体"/>
        <charset val="134"/>
      </rPr>
      <t>。</t>
    </r>
    <r>
      <rPr>
        <sz val="10"/>
        <color theme="1"/>
        <rFont val="Times New Roman"/>
        <charset val="134"/>
      </rPr>
      <t xml:space="preserve"> </t>
    </r>
    <r>
      <rPr>
        <sz val="10"/>
        <color theme="1"/>
        <rFont val="宋体"/>
        <charset val="134"/>
      </rPr>
      <t>龙兽的啃咬攻击额外造成与龙族精粹伤害类型相同的</t>
    </r>
    <r>
      <rPr>
        <sz val="10"/>
        <color theme="1"/>
        <rFont val="Times New Roman"/>
        <charset val="134"/>
      </rPr>
      <t>d6</t>
    </r>
    <r>
      <rPr>
        <sz val="10"/>
        <color theme="1"/>
        <rFont val="宋体"/>
        <charset val="134"/>
      </rPr>
      <t xml:space="preserve">伤害。
</t>
    </r>
    <r>
      <rPr>
        <sz val="10"/>
        <color theme="1"/>
        <rFont val="Times New Roman"/>
        <charset val="134"/>
      </rPr>
      <t xml:space="preserve">• </t>
    </r>
    <r>
      <rPr>
        <sz val="10"/>
        <color theme="1"/>
        <rFont val="宋体"/>
        <charset val="134"/>
      </rPr>
      <t>抗性</t>
    </r>
    <r>
      <rPr>
        <sz val="10"/>
        <color theme="1"/>
        <rFont val="Times New Roman"/>
        <charset val="134"/>
      </rPr>
      <t>Resistance</t>
    </r>
    <r>
      <rPr>
        <sz val="10"/>
        <color theme="1"/>
        <rFont val="宋体"/>
        <charset val="134"/>
      </rPr>
      <t>。你获得与龙族精粹伤害类型相同的伤害抗性。</t>
    </r>
  </si>
  <si>
    <r>
      <rPr>
        <sz val="10"/>
        <color theme="1"/>
        <rFont val="宋体"/>
        <charset val="134"/>
      </rPr>
      <t>优雅战技</t>
    </r>
  </si>
  <si>
    <r>
      <rPr>
        <sz val="10"/>
        <color theme="1"/>
        <rFont val="宋体"/>
        <charset val="134"/>
      </rPr>
      <t>你可以轻松熟练的完成困难的战技。
你可以在你的回合用一个附赠动作来获得在同一回合中下一个敏捷（体操）或力量（运动）检定的优势。</t>
    </r>
  </si>
  <si>
    <r>
      <rPr>
        <sz val="10"/>
        <color theme="1"/>
        <rFont val="宋体"/>
        <charset val="134"/>
      </rPr>
      <t>天赋黑暗法术</t>
    </r>
  </si>
  <si>
    <r>
      <rPr>
        <sz val="10"/>
        <color theme="1"/>
        <rFont val="宋体"/>
        <charset val="134"/>
      </rPr>
      <t>当你到达天赋黑暗法术表中特定的术士等级时，你就始终准备了表中对应的法术。
天赋黑暗法术</t>
    </r>
    <r>
      <rPr>
        <sz val="10"/>
        <color theme="1"/>
        <rFont val="Times New Roman"/>
        <charset val="134"/>
      </rPr>
      <t xml:space="preserve">Innate Darkness Spells 
</t>
    </r>
    <r>
      <rPr>
        <sz val="10"/>
        <color theme="1"/>
        <rFont val="宋体"/>
        <charset val="134"/>
      </rPr>
      <t>术士等级</t>
    </r>
    <r>
      <rPr>
        <sz val="10"/>
        <color theme="1"/>
        <rFont val="Times New Roman"/>
        <charset val="134"/>
      </rPr>
      <t xml:space="preserve"> </t>
    </r>
    <r>
      <rPr>
        <sz val="10"/>
        <color theme="1"/>
        <rFont val="宋体"/>
        <charset val="134"/>
      </rPr>
      <t xml:space="preserve">准备法术
</t>
    </r>
    <r>
      <rPr>
        <sz val="10"/>
        <color theme="1"/>
        <rFont val="Times New Roman"/>
        <charset val="134"/>
      </rPr>
      <t xml:space="preserve">3 </t>
    </r>
    <r>
      <rPr>
        <sz val="10"/>
        <color theme="1"/>
        <rFont val="宋体"/>
        <charset val="134"/>
      </rPr>
      <t>惑影术</t>
    </r>
    <r>
      <rPr>
        <sz val="10"/>
        <color theme="1"/>
        <rFont val="Times New Roman"/>
        <charset val="134"/>
      </rPr>
      <t>Confounding Shadows*</t>
    </r>
    <r>
      <rPr>
        <sz val="10"/>
        <color theme="1"/>
        <rFont val="宋体"/>
        <charset val="134"/>
      </rPr>
      <t>，黑潮</t>
    </r>
    <r>
      <rPr>
        <sz val="10"/>
        <color theme="1"/>
        <rFont val="Times New Roman"/>
        <charset val="134"/>
      </rPr>
      <t>Tide of Darkness*</t>
    </r>
    <r>
      <rPr>
        <sz val="10"/>
        <color theme="1"/>
        <rFont val="宋体"/>
        <charset val="134"/>
      </rPr>
      <t>，暗影触须</t>
    </r>
    <r>
      <rPr>
        <sz val="10"/>
        <color theme="1"/>
        <rFont val="Times New Roman"/>
        <charset val="134"/>
      </rPr>
      <t>Umbral Tendril*</t>
    </r>
    <r>
      <rPr>
        <sz val="10"/>
        <color theme="1"/>
        <rFont val="宋体"/>
        <charset val="134"/>
      </rPr>
      <t>，黑暗术</t>
    </r>
    <r>
      <rPr>
        <sz val="10"/>
        <color theme="1"/>
        <rFont val="Times New Roman"/>
        <charset val="134"/>
      </rPr>
      <t xml:space="preserve">Darkness
5 </t>
    </r>
    <r>
      <rPr>
        <sz val="10"/>
        <color theme="1"/>
        <rFont val="宋体"/>
        <charset val="134"/>
      </rPr>
      <t>恐惧术</t>
    </r>
    <r>
      <rPr>
        <sz val="10"/>
        <color theme="1"/>
        <rFont val="Times New Roman"/>
        <charset val="134"/>
      </rPr>
      <t>Fear</t>
    </r>
    <r>
      <rPr>
        <sz val="10"/>
        <color theme="1"/>
        <rFont val="宋体"/>
        <charset val="134"/>
      </rPr>
      <t>，幽暗迸发</t>
    </r>
    <r>
      <rPr>
        <sz val="10"/>
        <color theme="1"/>
        <rFont val="Times New Roman"/>
        <charset val="134"/>
      </rPr>
      <t xml:space="preserve">Shadowy Eruption*
7 </t>
    </r>
    <r>
      <rPr>
        <sz val="10"/>
        <color theme="1"/>
        <rFont val="宋体"/>
        <charset val="134"/>
      </rPr>
      <t>艾伐黑触手</t>
    </r>
    <r>
      <rPr>
        <sz val="10"/>
        <color theme="1"/>
        <rFont val="Times New Roman"/>
        <charset val="134"/>
      </rPr>
      <t>Evard's Black Tentacles</t>
    </r>
    <r>
      <rPr>
        <sz val="10"/>
        <color theme="1"/>
        <rFont val="宋体"/>
        <charset val="134"/>
      </rPr>
      <t>，高等隐形术</t>
    </r>
    <r>
      <rPr>
        <sz val="10"/>
        <color theme="1"/>
        <rFont val="Times New Roman"/>
        <charset val="134"/>
      </rPr>
      <t xml:space="preserve">Greater Invisibility
9 </t>
    </r>
    <r>
      <rPr>
        <sz val="10"/>
        <color theme="1"/>
        <rFont val="宋体"/>
        <charset val="134"/>
      </rPr>
      <t>假象术</t>
    </r>
    <r>
      <rPr>
        <sz val="10"/>
        <color theme="1"/>
        <rFont val="Times New Roman"/>
        <charset val="134"/>
      </rPr>
      <t>Mislead</t>
    </r>
    <r>
      <rPr>
        <sz val="10"/>
        <color theme="1"/>
        <rFont val="宋体"/>
        <charset val="134"/>
      </rPr>
      <t>，暗影召唤术</t>
    </r>
    <r>
      <rPr>
        <sz val="10"/>
        <color theme="1"/>
        <rFont val="Times New Roman"/>
        <charset val="134"/>
      </rPr>
      <t>Summon Shadow*</t>
    </r>
  </si>
  <si>
    <r>
      <rPr>
        <sz val="10"/>
        <color theme="1"/>
        <rFont val="宋体"/>
        <charset val="134"/>
      </rPr>
      <t>你可以随意施展</t>
    </r>
    <r>
      <rPr>
        <sz val="10"/>
        <color theme="1"/>
        <rFont val="Times New Roman"/>
        <charset val="134"/>
      </rPr>
      <t xml:space="preserve"> </t>
    </r>
    <r>
      <rPr>
        <sz val="10"/>
        <color theme="1"/>
        <rFont val="宋体"/>
        <charset val="134"/>
      </rPr>
      <t>隐形术</t>
    </r>
    <r>
      <rPr>
        <sz val="10"/>
        <color theme="1"/>
        <rFont val="Times New Roman"/>
        <charset val="134"/>
      </rPr>
      <t>invisibility</t>
    </r>
    <r>
      <rPr>
        <sz val="10"/>
        <color theme="1"/>
        <rFont val="宋体"/>
        <charset val="134"/>
      </rPr>
      <t>法术，且无需消耗法术位。
先决条件：第</t>
    </r>
    <r>
      <rPr>
        <sz val="10"/>
        <color theme="1"/>
        <rFont val="Times New Roman"/>
        <charset val="134"/>
      </rPr>
      <t>15</t>
    </r>
    <r>
      <rPr>
        <sz val="10"/>
        <color theme="1"/>
        <rFont val="宋体"/>
        <charset val="134"/>
      </rPr>
      <t>级</t>
    </r>
  </si>
  <si>
    <r>
      <rPr>
        <sz val="10"/>
        <color theme="1"/>
        <rFont val="宋体"/>
        <charset val="134"/>
      </rPr>
      <t>奥法暂滞</t>
    </r>
  </si>
  <si>
    <r>
      <rPr>
        <sz val="10"/>
        <color theme="1"/>
        <rFont val="宋体"/>
        <charset val="134"/>
      </rPr>
      <t>当你消耗一个四环或更低的法术位来施展一个法术时，你可以将该法术的法力浓缩成一抹微尘。该法术将被冻结在它施展的那一刻，并被保存在一个灰色的小珠中。这个小珠是一个拥有</t>
    </r>
    <r>
      <rPr>
        <sz val="10"/>
        <color theme="1"/>
        <rFont val="Times New Roman"/>
        <charset val="134"/>
      </rPr>
      <t>15AC</t>
    </r>
    <r>
      <rPr>
        <sz val="10"/>
        <color theme="1"/>
        <rFont val="宋体"/>
        <charset val="134"/>
      </rPr>
      <t>和</t>
    </r>
    <r>
      <rPr>
        <sz val="10"/>
        <color theme="1"/>
        <rFont val="Times New Roman"/>
        <charset val="134"/>
      </rPr>
      <t>1</t>
    </r>
    <r>
      <rPr>
        <sz val="10"/>
        <color theme="1"/>
        <rFont val="宋体"/>
        <charset val="134"/>
      </rPr>
      <t>点生命值的物件，并免疫毒素和心灵伤害。在</t>
    </r>
    <r>
      <rPr>
        <sz val="10"/>
        <color theme="1"/>
        <rFont val="Times New Roman"/>
        <charset val="134"/>
      </rPr>
      <t>1</t>
    </r>
    <r>
      <rPr>
        <sz val="10"/>
        <color theme="1"/>
        <rFont val="宋体"/>
        <charset val="134"/>
      </rPr>
      <t>小时后或者珠子被摧毁时，它会散发出一闪光芒，然后消失，其中存储的法术将被浪费。
持握着小珠的生物可以使用他的动作来释放其内的法术，随后小珠将会消失。该法术使用你的法术攻击加值和法术豁免</t>
    </r>
    <r>
      <rPr>
        <sz val="10"/>
        <color theme="1"/>
        <rFont val="Times New Roman"/>
        <charset val="134"/>
      </rPr>
      <t>DC</t>
    </r>
    <r>
      <rPr>
        <sz val="10"/>
        <color theme="1"/>
        <rFont val="宋体"/>
        <charset val="134"/>
      </rPr>
      <t>，而在其他方面均被视为由释放它的生物施展。
在你以此特性创造一个小珠后，你在完成一次短休或长休前不能再次这样做。</t>
    </r>
  </si>
  <si>
    <r>
      <rPr>
        <sz val="10"/>
        <color theme="1"/>
        <rFont val="宋体"/>
        <charset val="134"/>
      </rPr>
      <t>诱变剂</t>
    </r>
    <r>
      <rPr>
        <sz val="10"/>
        <color theme="1"/>
        <rFont val="Times New Roman"/>
        <charset val="134"/>
      </rPr>
      <t>-</t>
    </r>
    <r>
      <rPr>
        <sz val="10"/>
        <color theme="1"/>
        <rFont val="宋体"/>
        <charset val="134"/>
      </rPr>
      <t>红莲</t>
    </r>
  </si>
  <si>
    <r>
      <rPr>
        <sz val="10"/>
        <color theme="1"/>
        <rFont val="宋体"/>
        <charset val="134"/>
      </rPr>
      <t>你额外得到一次鲜血恶戾特性的使用次数。
副作用：你进行的死亡豁免将具有劣势。</t>
    </r>
  </si>
  <si>
    <r>
      <rPr>
        <sz val="10"/>
        <color theme="1"/>
        <rFont val="宋体"/>
        <charset val="134"/>
      </rPr>
      <t>精确程序</t>
    </r>
  </si>
  <si>
    <r>
      <rPr>
        <sz val="10"/>
        <color theme="1"/>
        <rFont val="宋体"/>
        <charset val="134"/>
      </rPr>
      <t>当你对你能看见的其他生物施展一个造成强酸，冷冻，火焰，闪电，或毒素伤害类型的法术时，你可以选择数量等同于你智力调整值的生物。被指定生物进行该法术豁免时将直接判为成功，且如果豁免成功伤害减半的法术此时也不对该生物造成任何伤害。</t>
    </r>
    <r>
      <rPr>
        <sz val="10"/>
        <color theme="1"/>
        <rFont val="Times New Roman"/>
        <charset val="134"/>
      </rPr>
      <t xml:space="preserve"> </t>
    </r>
  </si>
  <si>
    <t>毁灭使徒</t>
  </si>
  <si>
    <r>
      <rPr>
        <sz val="10"/>
        <color theme="1"/>
        <rFont val="宋体"/>
        <charset val="134"/>
      </rPr>
      <t>以一个动作，你招引迪斯帕特的权能。你发动一次武器攻击并选择一定数量的位于你</t>
    </r>
    <r>
      <rPr>
        <sz val="10"/>
        <color theme="1"/>
        <rFont val="Times New Roman"/>
        <charset val="134"/>
      </rPr>
      <t>30</t>
    </r>
    <r>
      <rPr>
        <sz val="10"/>
        <color theme="1"/>
        <rFont val="宋体"/>
        <charset val="134"/>
      </rPr>
      <t>尺内你可见的自愿生物，数量至多等于你的熟练加值。每个你选择的生物都能够以反应发动一次武器攻击或施展一道施法时间为一动作的、造成伤害的戏法。
此动作一经使用，直至完成短休或长休你都无法再次使用。</t>
    </r>
  </si>
  <si>
    <t>守望结社</t>
  </si>
  <si>
    <r>
      <rPr>
        <sz val="10"/>
        <color theme="1"/>
        <rFont val="宋体"/>
        <charset val="134"/>
      </rPr>
      <t>撕裂织网</t>
    </r>
  </si>
  <si>
    <r>
      <rPr>
        <sz val="10"/>
        <color theme="1"/>
        <rFont val="宋体"/>
        <charset val="134"/>
      </rPr>
      <t>你始终准备着法术反制</t>
    </r>
    <r>
      <rPr>
        <sz val="10"/>
        <color theme="1"/>
        <rFont val="Times New Roman"/>
        <charset val="134"/>
      </rPr>
      <t>Counterspell</t>
    </r>
    <r>
      <rPr>
        <sz val="10"/>
        <color theme="1"/>
        <rFont val="宋体"/>
        <charset val="134"/>
      </rPr>
      <t>。你的狂暴激活期间，你能够以此特性无需法术位且无需法术成分地施展该法术，且你此法术的施法属性为力量。作为你施展此法术的反应的一部分，你能够移动至多等于你速度的距离并以武器对法术目标发动一次攻击。
一旦你以此特性施展该法术，直至你完成短休或长休你都无法以此法施展法术反制。</t>
    </r>
  </si>
  <si>
    <t>骇人之词</t>
  </si>
  <si>
    <t xml:space="preserve">以一个附赠动作，你可以消耗一次你的诗人激励特性使用次数，选择你周围60次范围内的一个可见的生物。该生物将立刻受到一定心灵伤害，其数值等同于这枚诗人激励骰骰出的结果。那之后，该生物必须通过一次对抗你法术豁免DC的感知豁免，若豁免失败将对你陷入 恐慌Frightened ，持续直至你的下一回合开始为止。
</t>
  </si>
  <si>
    <r>
      <rPr>
        <sz val="10"/>
        <color theme="1"/>
        <rFont val="宋体"/>
        <charset val="134"/>
      </rPr>
      <t>你获得军用武器和重甲的熟练项。</t>
    </r>
  </si>
  <si>
    <r>
      <rPr>
        <sz val="10"/>
        <color theme="1"/>
        <rFont val="宋体"/>
        <charset val="134"/>
      </rPr>
      <t>原初共生</t>
    </r>
  </si>
  <si>
    <r>
      <rPr>
        <sz val="10"/>
        <color theme="1"/>
        <rFont val="宋体"/>
        <charset val="134"/>
      </rPr>
      <t>盘根错节</t>
    </r>
    <r>
      <rPr>
        <sz val="10"/>
        <color theme="1"/>
        <rFont val="Times New Roman"/>
        <charset val="134"/>
      </rPr>
      <t>Fortifying Presence</t>
    </r>
    <r>
      <rPr>
        <sz val="10"/>
        <color theme="1"/>
        <rFont val="宋体"/>
        <charset val="134"/>
      </rPr>
      <t>。</t>
    </r>
    <r>
      <rPr>
        <sz val="10"/>
        <color theme="1"/>
        <rFont val="Times New Roman"/>
        <charset val="134"/>
      </rPr>
      <t xml:space="preserve"> </t>
    </r>
    <r>
      <rPr>
        <sz val="10"/>
        <color theme="1"/>
        <rFont val="宋体"/>
        <charset val="134"/>
      </rPr>
      <t>你为维持专注进行的体质豁免具有优势。
共生转变</t>
    </r>
    <r>
      <rPr>
        <sz val="10"/>
        <color theme="1"/>
        <rFont val="Times New Roman"/>
        <charset val="134"/>
      </rPr>
      <t>Symbiotic Transformation</t>
    </r>
    <r>
      <rPr>
        <sz val="10"/>
        <color theme="1"/>
        <rFont val="宋体"/>
        <charset val="134"/>
      </rPr>
      <t>。</t>
    </r>
    <r>
      <rPr>
        <sz val="10"/>
        <color theme="1"/>
        <rFont val="Times New Roman"/>
        <charset val="134"/>
      </rPr>
      <t xml:space="preserve"> </t>
    </r>
    <r>
      <rPr>
        <sz val="10"/>
        <color theme="1"/>
        <rFont val="宋体"/>
        <charset val="134"/>
      </rPr>
      <t>以一个附赠动作，你能够消耗一次荒野变形次数令你的共生体转变成类似植物的巨大形态，纤维状的树鳞和藤蔓将覆盖你的皮肤。</t>
    </r>
    <r>
      <rPr>
        <sz val="10"/>
        <color theme="1"/>
        <rFont val="Times New Roman"/>
        <charset val="134"/>
      </rPr>
      <t>1</t>
    </r>
    <r>
      <rPr>
        <sz val="10"/>
        <color theme="1"/>
        <rFont val="宋体"/>
        <charset val="134"/>
      </rPr>
      <t>分钟内，你的</t>
    </r>
    <r>
      <rPr>
        <sz val="10"/>
        <color theme="1"/>
        <rFont val="Times New Roman"/>
        <charset val="134"/>
      </rPr>
      <t>AC</t>
    </r>
    <r>
      <rPr>
        <sz val="10"/>
        <color theme="1"/>
        <rFont val="宋体"/>
        <charset val="134"/>
      </rPr>
      <t>获得</t>
    </r>
    <r>
      <rPr>
        <sz val="10"/>
        <color theme="1"/>
        <rFont val="Times New Roman"/>
        <charset val="134"/>
      </rPr>
      <t>+2</t>
    </r>
    <r>
      <rPr>
        <sz val="10"/>
        <color theme="1"/>
        <rFont val="宋体"/>
        <charset val="134"/>
      </rPr>
      <t>加值，你的每个回合开始时，你获得等于</t>
    </r>
    <r>
      <rPr>
        <sz val="10"/>
        <color theme="1"/>
        <rFont val="Times New Roman"/>
        <charset val="134"/>
      </rPr>
      <t>2+</t>
    </r>
    <r>
      <rPr>
        <sz val="10"/>
        <color theme="1"/>
        <rFont val="宋体"/>
        <charset val="134"/>
      </rPr>
      <t>你德鲁伊等级一半（向下取整）的临时生命值，你的敏捷（隐匿）检定具有优势。</t>
    </r>
  </si>
  <si>
    <r>
      <rPr>
        <sz val="10"/>
        <color theme="1"/>
        <rFont val="宋体"/>
        <charset val="134"/>
      </rPr>
      <t>魔射手学识</t>
    </r>
  </si>
  <si>
    <r>
      <rPr>
        <sz val="10"/>
        <color theme="1"/>
        <rFont val="宋体"/>
        <charset val="134"/>
      </rPr>
      <t>你作为精灵军事传统的研习者学会了魔法理论或者自然知识。
你从奥秘或者自然中选择一个技能获得熟练，而且从魔法伎俩或者德鲁伊伎俩中选择一个戏法并学会。</t>
    </r>
  </si>
  <si>
    <r>
      <rPr>
        <sz val="10"/>
        <color theme="1"/>
        <rFont val="宋体"/>
        <charset val="134"/>
      </rPr>
      <t>守道技法</t>
    </r>
  </si>
  <si>
    <r>
      <rPr>
        <sz val="10"/>
        <color theme="1"/>
        <rFont val="宋体"/>
        <charset val="134"/>
      </rPr>
      <t>你研究过异界生物，学会了如何扰乱它们体内流动的邪恶能量。每轮一次，当你使用疾风连击进行徒手打击并造成伤害时，你可以造成下列效果之一：
定锚击</t>
    </r>
    <r>
      <rPr>
        <sz val="10"/>
        <color theme="1"/>
        <rFont val="Times New Roman"/>
        <charset val="134"/>
      </rPr>
      <t>Anchoring Strike</t>
    </r>
    <r>
      <rPr>
        <sz val="10"/>
        <color theme="1"/>
        <rFont val="宋体"/>
        <charset val="134"/>
      </rPr>
      <t>。直到你下一回合结束前，目标无法传送或进行位面旅行，包括进入异次元空间或半位面。
放逐击</t>
    </r>
    <r>
      <rPr>
        <sz val="10"/>
        <color theme="1"/>
        <rFont val="Times New Roman"/>
        <charset val="134"/>
      </rPr>
      <t>Banishing Strike</t>
    </r>
    <r>
      <rPr>
        <sz val="10"/>
        <color theme="1"/>
        <rFont val="宋体"/>
        <charset val="134"/>
      </rPr>
      <t>。目标传送至你可见的</t>
    </r>
    <r>
      <rPr>
        <sz val="10"/>
        <color theme="1"/>
        <rFont val="Times New Roman"/>
        <charset val="134"/>
      </rPr>
      <t>15</t>
    </r>
    <r>
      <rPr>
        <sz val="10"/>
        <color theme="1"/>
        <rFont val="宋体"/>
        <charset val="134"/>
      </rPr>
      <t>尺内的未占据空间。</t>
    </r>
  </si>
  <si>
    <r>
      <rPr>
        <sz val="10"/>
        <color theme="1"/>
        <rFont val="宋体"/>
        <charset val="134"/>
      </rPr>
      <t>御者之护</t>
    </r>
  </si>
  <si>
    <r>
      <rPr>
        <sz val="10"/>
        <color theme="1"/>
        <rFont val="宋体"/>
        <charset val="134"/>
      </rPr>
      <t>当一个被你标记且你能看见的生物将一名盟友的生命值减少至</t>
    </r>
    <r>
      <rPr>
        <sz val="10"/>
        <color theme="1"/>
        <rFont val="Times New Roman"/>
        <charset val="134"/>
      </rPr>
      <t>0</t>
    </r>
    <r>
      <rPr>
        <sz val="10"/>
        <color theme="1"/>
        <rFont val="宋体"/>
        <charset val="134"/>
      </rPr>
      <t>且未直接杀死该盟友时，以一个反应，你可让该盟友的生命值改为降至</t>
    </r>
    <r>
      <rPr>
        <sz val="10"/>
        <color theme="1"/>
        <rFont val="Times New Roman"/>
        <charset val="134"/>
      </rPr>
      <t>1</t>
    </r>
    <r>
      <rPr>
        <sz val="10"/>
        <color theme="1"/>
        <rFont val="宋体"/>
        <charset val="134"/>
      </rPr>
      <t>点。若你如此做，该盟友可立即以一个反应对标记生物发起一次近战攻击（若目标在其触及范围内）。
你可以使用该特性的次数等于你的魅力调整值（最少</t>
    </r>
    <r>
      <rPr>
        <sz val="10"/>
        <color theme="1"/>
        <rFont val="Times New Roman"/>
        <charset val="134"/>
      </rPr>
      <t>1</t>
    </r>
    <r>
      <rPr>
        <sz val="10"/>
        <color theme="1"/>
        <rFont val="宋体"/>
        <charset val="134"/>
      </rPr>
      <t>次）。你在完成一次长休时重获所有已消耗的使用次数。</t>
    </r>
  </si>
  <si>
    <r>
      <rPr>
        <sz val="10"/>
        <color theme="1"/>
        <rFont val="宋体"/>
        <charset val="134"/>
      </rPr>
      <t>龙兽吐息</t>
    </r>
  </si>
  <si>
    <r>
      <rPr>
        <sz val="10"/>
        <color theme="1"/>
        <rFont val="宋体"/>
        <charset val="134"/>
      </rPr>
      <t>使用一个动作，你能喷吐</t>
    </r>
    <r>
      <rPr>
        <sz val="10"/>
        <color theme="1"/>
        <rFont val="Times New Roman"/>
        <charset val="134"/>
      </rPr>
      <t xml:space="preserve"> 30</t>
    </r>
    <r>
      <rPr>
        <sz val="10"/>
        <color theme="1"/>
        <rFont val="宋体"/>
        <charset val="134"/>
      </rPr>
      <t>尺锥形的伤害吐息，或者你也能将喷射起点设为你的龙兽。选择强酸，寒冷，闪电，火焰，或毒性伤害。（你的选择和龙族精粹特性无关。）锥形范围内的生物进行一次敏捷豁免对抗你的法术</t>
    </r>
    <r>
      <rPr>
        <sz val="10"/>
        <color theme="1"/>
        <rFont val="Times New Roman"/>
        <charset val="134"/>
      </rPr>
      <t>DC</t>
    </r>
    <r>
      <rPr>
        <sz val="10"/>
        <color theme="1"/>
        <rFont val="宋体"/>
        <charset val="134"/>
      </rPr>
      <t>，豁免失败时受到</t>
    </r>
    <r>
      <rPr>
        <sz val="10"/>
        <color theme="1"/>
        <rFont val="Times New Roman"/>
        <charset val="134"/>
      </rPr>
      <t>8d6</t>
    </r>
    <r>
      <rPr>
        <sz val="10"/>
        <color theme="1"/>
        <rFont val="宋体"/>
        <charset val="134"/>
      </rPr>
      <t>伤害，成功时受到一半的伤害。
当你达到</t>
    </r>
    <r>
      <rPr>
        <sz val="10"/>
        <color theme="1"/>
        <rFont val="Times New Roman"/>
        <charset val="134"/>
      </rPr>
      <t>15</t>
    </r>
    <r>
      <rPr>
        <sz val="10"/>
        <color theme="1"/>
        <rFont val="宋体"/>
        <charset val="134"/>
      </rPr>
      <t>级后，这一伤害将增长至</t>
    </r>
    <r>
      <rPr>
        <sz val="10"/>
        <color theme="1"/>
        <rFont val="Times New Roman"/>
        <charset val="134"/>
      </rPr>
      <t>10d6</t>
    </r>
    <r>
      <rPr>
        <sz val="10"/>
        <color theme="1"/>
        <rFont val="宋体"/>
        <charset val="134"/>
      </rPr>
      <t>。
当你使用本特性后，你需要完成一次长休才能再次这样做。你也能使用一个三环或更高的法术位来再次使用。</t>
    </r>
  </si>
  <si>
    <r>
      <rPr>
        <sz val="10"/>
        <color theme="1"/>
        <rFont val="宋体"/>
        <charset val="134"/>
      </rPr>
      <t>决斗大师</t>
    </r>
  </si>
  <si>
    <r>
      <rPr>
        <sz val="10"/>
        <color theme="1"/>
        <rFont val="宋体"/>
        <charset val="134"/>
      </rPr>
      <t>你对剑术的精通使你可以扭转战斗的胜负。
如果你的一次攻击失手，你可以选择以优势再投一次攻击骰。
一但你使用了这项能力，你直到完成一次短休息或长休息前不能再次使用它。</t>
    </r>
  </si>
  <si>
    <r>
      <rPr>
        <sz val="10"/>
        <color theme="1"/>
        <rFont val="宋体"/>
        <charset val="134"/>
      </rPr>
      <t>幽影之魂</t>
    </r>
  </si>
  <si>
    <r>
      <rPr>
        <sz val="10"/>
        <color theme="1"/>
        <rFont val="宋体"/>
        <charset val="134"/>
      </rPr>
      <t>你内在的黑暗使你能够摒弃光明。你获得</t>
    </r>
    <r>
      <rPr>
        <sz val="10"/>
        <color theme="1"/>
        <rFont val="Times New Roman"/>
        <charset val="134"/>
      </rPr>
      <t>60</t>
    </r>
    <r>
      <rPr>
        <sz val="10"/>
        <color theme="1"/>
        <rFont val="宋体"/>
        <charset val="134"/>
      </rPr>
      <t>尺黑暗视觉。若你已有黑暗视觉，则其范围额外增加</t>
    </r>
    <r>
      <rPr>
        <sz val="10"/>
        <color theme="1"/>
        <rFont val="Times New Roman"/>
        <charset val="134"/>
      </rPr>
      <t>60</t>
    </r>
    <r>
      <rPr>
        <sz val="10"/>
        <color theme="1"/>
        <rFont val="宋体"/>
        <charset val="134"/>
      </rPr>
      <t>尺。此外，只要你没有陷入目盲或失能状态，你就可以看穿由你天赋黑暗特性所创造的魔法黑暗。</t>
    </r>
  </si>
  <si>
    <r>
      <rPr>
        <sz val="10"/>
        <color theme="1"/>
        <rFont val="宋体"/>
        <charset val="134"/>
      </rPr>
      <t>你获得一项传奇恩惠专长（见第</t>
    </r>
    <r>
      <rPr>
        <sz val="10"/>
        <color theme="1"/>
        <rFont val="Times New Roman"/>
        <charset val="134"/>
      </rPr>
      <t>5</t>
    </r>
    <r>
      <rPr>
        <sz val="10"/>
        <color theme="1"/>
        <rFont val="宋体"/>
        <charset val="134"/>
      </rPr>
      <t>章）或其他一项你选择的适用的专长。推荐选择扭曲命运之恩惠</t>
    </r>
    <r>
      <rPr>
        <sz val="10"/>
        <color theme="1"/>
        <rFont val="Times New Roman"/>
        <charset val="134"/>
      </rPr>
      <t>Boon of Fate</t>
    </r>
    <r>
      <rPr>
        <sz val="10"/>
        <color theme="1"/>
        <rFont val="宋体"/>
        <charset val="134"/>
      </rPr>
      <t>。</t>
    </r>
  </si>
  <si>
    <r>
      <rPr>
        <sz val="10"/>
        <color theme="1"/>
        <rFont val="宋体"/>
        <charset val="134"/>
      </rPr>
      <t>收束未来</t>
    </r>
  </si>
  <si>
    <r>
      <rPr>
        <sz val="10"/>
        <color theme="1"/>
        <rFont val="宋体"/>
        <charset val="134"/>
      </rPr>
      <t>你可以看透一切未来的可能性，你还能魔法性的将其中一个未来引导至你周遭发生的事物上，以确保事件如你所愿的发生。当你或你周围</t>
    </r>
    <r>
      <rPr>
        <sz val="10"/>
        <color theme="1"/>
        <rFont val="Times New Roman"/>
        <charset val="134"/>
      </rPr>
      <t>60</t>
    </r>
    <r>
      <rPr>
        <sz val="10"/>
        <color theme="1"/>
        <rFont val="宋体"/>
        <charset val="134"/>
      </rPr>
      <t>尺范围内一个你可见的生物进行一次攻击检定、属性检定、或豁免检定时，你可以以你的反应来跳过掷骰，直接决定本次掷骰骰出的是使检定正好能成功的最低骰值，或是比该成功骰值低</t>
    </r>
    <r>
      <rPr>
        <sz val="10"/>
        <color theme="1"/>
        <rFont val="Times New Roman"/>
        <charset val="134"/>
      </rPr>
      <t>1</t>
    </r>
    <r>
      <rPr>
        <sz val="10"/>
        <color theme="1"/>
        <rFont val="宋体"/>
        <charset val="134"/>
      </rPr>
      <t>点的骰值（由你选择）。
当你使用该特性时，你获得一级力竭。以此法获取的力竭等级只能通过长休来消除。</t>
    </r>
  </si>
  <si>
    <r>
      <rPr>
        <sz val="10"/>
        <color theme="1"/>
        <rFont val="宋体"/>
        <charset val="134"/>
      </rPr>
      <t>奇异代谢</t>
    </r>
  </si>
  <si>
    <r>
      <rPr>
        <sz val="10"/>
        <color theme="1"/>
        <rFont val="宋体"/>
        <charset val="134"/>
      </rPr>
      <t>你的身体开始适应毒素与毒液，可以无视它们的有害效果。你获得对毒素伤害及中毒状态的免疫。
此外，你可以爆发肾上腺素来暂时抗性诱变剂的负面效果。以一个附赠动作，你可以选择在一分钟内无视一种诱变剂的副作用对你的影响。你必须完成一次长休后才能再次使用此特性来抗性副作用后。</t>
    </r>
  </si>
  <si>
    <r>
      <rPr>
        <sz val="10"/>
        <color theme="1"/>
        <rFont val="宋体"/>
        <charset val="134"/>
      </rPr>
      <t>连锁反应</t>
    </r>
  </si>
  <si>
    <r>
      <rPr>
        <sz val="10"/>
        <color theme="1"/>
        <rFont val="宋体"/>
        <charset val="134"/>
      </rPr>
      <t>当你施展一个通常只能以一个生物为目标，造成强酸，冷冻，火焰，闪电，或毒素伤害类型的药剂师戏法时，作为替换这个法术可以以法术范围内的两个生物为目标。</t>
    </r>
    <r>
      <rPr>
        <sz val="10"/>
        <color theme="1"/>
        <rFont val="Times New Roman"/>
        <charset val="134"/>
      </rPr>
      <t xml:space="preserve"> </t>
    </r>
  </si>
  <si>
    <r>
      <rPr>
        <sz val="10"/>
        <color theme="1"/>
        <rFont val="宋体"/>
        <charset val="134"/>
      </rPr>
      <t>你获得以下两个招引狱力选项：
战略大家</t>
    </r>
    <r>
      <rPr>
        <sz val="10"/>
        <color theme="1"/>
        <rFont val="Times New Roman"/>
        <charset val="134"/>
      </rPr>
      <t>Grand Strategist</t>
    </r>
    <r>
      <rPr>
        <sz val="10"/>
        <color theme="1"/>
        <rFont val="宋体"/>
        <charset val="134"/>
      </rPr>
      <t>。你可以命令你的盟友跟随你的阵型（无需动作）。选择一定数量的位于你</t>
    </r>
    <r>
      <rPr>
        <sz val="10"/>
        <color theme="1"/>
        <rFont val="Times New Roman"/>
        <charset val="134"/>
      </rPr>
      <t>60</t>
    </r>
    <r>
      <rPr>
        <sz val="10"/>
        <color theme="1"/>
        <rFont val="宋体"/>
        <charset val="134"/>
      </rPr>
      <t>尺内可以听见你的生物，数量至多等于你的熟练加值。每个目标可以立即移动等于其速度一半的距离，且不会引发借机攻击。
刑虐</t>
    </r>
    <r>
      <rPr>
        <sz val="10"/>
        <color theme="1"/>
        <rFont val="Times New Roman"/>
        <charset val="134"/>
      </rPr>
      <t>Punishment</t>
    </r>
    <r>
      <rPr>
        <sz val="10"/>
        <color theme="1"/>
        <rFont val="宋体"/>
        <charset val="134"/>
      </rPr>
      <t>。当一名生物以攻击对你造成伤害时，你能够以反应迫使攻击者进行一次感知豁免。豁免失败则攻击者受到等于触发此反应的攻击造成的伤害数的暗蚀伤害。豁免成功则攻击者受到一半伤害。</t>
    </r>
  </si>
  <si>
    <t>巨龙结社</t>
  </si>
  <si>
    <r>
      <rPr>
        <sz val="10"/>
        <color theme="1"/>
        <rFont val="宋体"/>
        <charset val="134"/>
      </rPr>
      <t>鼓舞怒嗥</t>
    </r>
  </si>
  <si>
    <r>
      <rPr>
        <sz val="10"/>
        <color theme="1"/>
        <rFont val="宋体"/>
        <charset val="134"/>
      </rPr>
      <t>当你或另一名可以听见你的生物受到伤害时，你能够以反应赋予其对那次伤害的抗性。此外目标获得对那个伤害的类型的抗性，直至当前回合结束。</t>
    </r>
  </si>
  <si>
    <t>灾难预见</t>
  </si>
  <si>
    <t>你可以瞥见到一切可能行为出现的最灾难性失败的结果。当你周围60尺范围内的一个你可见的生物进行一次攻击检定、属性检定、或豁免检定时，你可以用反应让你瞥见的那一未来化为现实。触发反应的生物必须通过一次对抗你法术豁免DC的魅力豁免。豁免失败时，触发反应的这次攻击检定将失手，触发反应的属性检定与豁免检定将失败。豁免成功时，该生物正常进行那次检定，不受此特性影响。
你可以使用此特性的次数等同于你熟练加值的一半（向下取整）次，若目标豁免成功你将不会消耗次数。在你完成一次长休后你重获全部已消耗的使用次数。</t>
  </si>
  <si>
    <r>
      <rPr>
        <sz val="10"/>
        <color theme="1"/>
        <rFont val="宋体"/>
        <charset val="134"/>
      </rPr>
      <t>黑夜明目</t>
    </r>
  </si>
  <si>
    <r>
      <rPr>
        <sz val="10"/>
        <color theme="1"/>
        <rFont val="宋体"/>
        <charset val="134"/>
      </rPr>
      <t>你可以看穿最深邃的幽域。你获得</t>
    </r>
    <r>
      <rPr>
        <sz val="10"/>
        <color theme="1"/>
        <rFont val="Times New Roman"/>
        <charset val="134"/>
      </rPr>
      <t>300</t>
    </r>
    <r>
      <rPr>
        <sz val="10"/>
        <color theme="1"/>
        <rFont val="宋体"/>
        <charset val="134"/>
      </rPr>
      <t>尺的黑暗视觉（或扩展到</t>
    </r>
    <r>
      <rPr>
        <sz val="10"/>
        <color theme="1"/>
        <rFont val="Times New Roman"/>
        <charset val="134"/>
      </rPr>
      <t>300</t>
    </r>
    <r>
      <rPr>
        <sz val="10"/>
        <color theme="1"/>
        <rFont val="宋体"/>
        <charset val="134"/>
      </rPr>
      <t>尺），在这一范围内，你能够将微光光照视为等同于明亮光照，而在黑暗中则视为等同于微光光照。以一个动作，你可以魔法性的将这个特性分享给你</t>
    </r>
    <r>
      <rPr>
        <sz val="10"/>
        <color theme="1"/>
        <rFont val="Times New Roman"/>
        <charset val="134"/>
      </rPr>
      <t>10</t>
    </r>
    <r>
      <rPr>
        <sz val="10"/>
        <color theme="1"/>
        <rFont val="宋体"/>
        <charset val="134"/>
      </rPr>
      <t>尺内最多等同于你感知调整值数量（最少</t>
    </r>
    <r>
      <rPr>
        <sz val="10"/>
        <color theme="1"/>
        <rFont val="Times New Roman"/>
        <charset val="134"/>
      </rPr>
      <t>1</t>
    </r>
    <r>
      <rPr>
        <sz val="10"/>
        <color theme="1"/>
        <rFont val="宋体"/>
        <charset val="134"/>
      </rPr>
      <t>名生物）的可见自愿生物。共享的黑暗视觉持续</t>
    </r>
    <r>
      <rPr>
        <sz val="10"/>
        <color theme="1"/>
        <rFont val="Times New Roman"/>
        <charset val="134"/>
      </rPr>
      <t>1</t>
    </r>
    <r>
      <rPr>
        <sz val="10"/>
        <color theme="1"/>
        <rFont val="宋体"/>
        <charset val="134"/>
      </rPr>
      <t>小时。一旦你使用此特性后，直到你完成一次长休位置你都不能再次分享视觉，不过你也可以消耗一个任意环阶的法术位来再次分享视觉。</t>
    </r>
    <r>
      <rPr>
        <sz val="10"/>
        <color theme="1"/>
        <rFont val="Times New Roman"/>
        <charset val="134"/>
      </rPr>
      <t xml:space="preserve"> </t>
    </r>
  </si>
  <si>
    <r>
      <rPr>
        <sz val="10"/>
        <color theme="1"/>
        <rFont val="宋体"/>
        <charset val="134"/>
      </rPr>
      <t>共生反射</t>
    </r>
  </si>
  <si>
    <r>
      <rPr>
        <sz val="10"/>
        <color theme="1"/>
        <rFont val="宋体"/>
        <charset val="134"/>
      </rPr>
      <t>你的植物共生体赋予你力量。你始终准备着法术加速术</t>
    </r>
    <r>
      <rPr>
        <sz val="10"/>
        <color theme="1"/>
        <rFont val="Times New Roman"/>
        <charset val="134"/>
      </rPr>
      <t>Haste</t>
    </r>
    <r>
      <rPr>
        <sz val="10"/>
        <color theme="1"/>
        <rFont val="宋体"/>
        <charset val="134"/>
      </rPr>
      <t>。每次激活共生转变限一次，你能够无需消耗法术位且无需任何法术成分地对你自身施展加速术。</t>
    </r>
  </si>
  <si>
    <r>
      <rPr>
        <sz val="10"/>
        <color theme="1"/>
        <rFont val="宋体"/>
        <charset val="134"/>
      </rPr>
      <t>奥术射击</t>
    </r>
  </si>
  <si>
    <r>
      <rPr>
        <sz val="10"/>
        <color theme="1"/>
        <rFont val="宋体"/>
        <charset val="134"/>
      </rPr>
      <t>你学会在射击时施放一些特殊的魔法效果。
当你获得这个特性时，你学会两种你选择的奥术射击选项。
每个回合，当你以一个攻击动作的一部分来用短弓或者长弓射出箭矢时，你可以为你的箭矢挑选一个你拥有的奥术射击选项。
你可以在箭矢击中一名角色时决定是否使用该选项，除非该选项不包括一个攻击骰。
你拥有两次使用该特性的机会，而且你在完成一次短休或长休后重新获得所有被消耗的的使用次数。
你会获得一个额外的你选择的奥术射击选项当你到达一定战士等级时：</t>
    </r>
    <r>
      <rPr>
        <sz val="10"/>
        <color theme="1"/>
        <rFont val="Times New Roman"/>
        <charset val="134"/>
      </rPr>
      <t>7</t>
    </r>
    <r>
      <rPr>
        <sz val="10"/>
        <color theme="1"/>
        <rFont val="宋体"/>
        <charset val="134"/>
      </rPr>
      <t>级，</t>
    </r>
    <r>
      <rPr>
        <sz val="10"/>
        <color theme="1"/>
        <rFont val="Times New Roman"/>
        <charset val="134"/>
      </rPr>
      <t>10</t>
    </r>
    <r>
      <rPr>
        <sz val="10"/>
        <color theme="1"/>
        <rFont val="宋体"/>
        <charset val="134"/>
      </rPr>
      <t>级，</t>
    </r>
    <r>
      <rPr>
        <sz val="10"/>
        <color theme="1"/>
        <rFont val="Times New Roman"/>
        <charset val="134"/>
      </rPr>
      <t>15</t>
    </r>
    <r>
      <rPr>
        <sz val="10"/>
        <color theme="1"/>
        <rFont val="宋体"/>
        <charset val="134"/>
      </rPr>
      <t>级和</t>
    </r>
    <r>
      <rPr>
        <sz val="10"/>
        <color theme="1"/>
        <rFont val="Times New Roman"/>
        <charset val="134"/>
      </rPr>
      <t>18</t>
    </r>
    <r>
      <rPr>
        <sz val="10"/>
        <color theme="1"/>
        <rFont val="宋体"/>
        <charset val="134"/>
      </rPr>
      <t>级。
所有的选项在你成为</t>
    </r>
    <r>
      <rPr>
        <sz val="10"/>
        <color theme="1"/>
        <rFont val="Times New Roman"/>
        <charset val="134"/>
      </rPr>
      <t>18</t>
    </r>
    <r>
      <rPr>
        <sz val="10"/>
        <color theme="1"/>
        <rFont val="宋体"/>
        <charset val="134"/>
      </rPr>
      <t>级战士时都会提升。</t>
    </r>
  </si>
  <si>
    <r>
      <rPr>
        <sz val="10"/>
        <color theme="1"/>
        <rFont val="宋体"/>
        <charset val="134"/>
      </rPr>
      <t>探寻者</t>
    </r>
  </si>
  <si>
    <r>
      <rPr>
        <sz val="10"/>
        <color theme="1"/>
        <rFont val="宋体"/>
        <charset val="134"/>
      </rPr>
      <t>你始终准备着法术侦测魔法</t>
    </r>
    <r>
      <rPr>
        <sz val="10"/>
        <color theme="1"/>
        <rFont val="Times New Roman"/>
        <charset val="134"/>
      </rPr>
      <t>Detect Magic</t>
    </r>
    <r>
      <rPr>
        <sz val="10"/>
        <color theme="1"/>
        <rFont val="宋体"/>
        <charset val="134"/>
      </rPr>
      <t>和通晓语言</t>
    </r>
    <r>
      <rPr>
        <sz val="10"/>
        <color theme="1"/>
        <rFont val="Times New Roman"/>
        <charset val="134"/>
      </rPr>
      <t>Comprehend Languages</t>
    </r>
    <r>
      <rPr>
        <sz val="10"/>
        <color theme="1"/>
        <rFont val="宋体"/>
        <charset val="134"/>
      </rPr>
      <t>。通过此特性，你可以不消耗法术位且无需材料成分地施展其中一个法术，且使用感知作为你的施法关键属性。
一旦你用此特性施展了法术，除非消耗</t>
    </r>
    <r>
      <rPr>
        <sz val="10"/>
        <color theme="1"/>
        <rFont val="Times New Roman"/>
        <charset val="134"/>
      </rPr>
      <t>1</t>
    </r>
    <r>
      <rPr>
        <sz val="10"/>
        <color theme="1"/>
        <rFont val="宋体"/>
        <charset val="134"/>
      </rPr>
      <t>点功力（无需动作）来恢复使用次数，否则你要完成一次长休后才能再次以此方式施法。</t>
    </r>
  </si>
  <si>
    <r>
      <rPr>
        <sz val="10"/>
        <color theme="1"/>
        <rFont val="宋体"/>
        <charset val="134"/>
      </rPr>
      <t>守护天使</t>
    </r>
  </si>
  <si>
    <r>
      <rPr>
        <sz val="10"/>
        <color theme="1"/>
        <rFont val="宋体"/>
        <charset val="134"/>
      </rPr>
      <t>以一个附赠动作，你将化身为一尊活生生的防御城堡，你获得以下好处，持续</t>
    </r>
    <r>
      <rPr>
        <sz val="10"/>
        <color theme="1"/>
        <rFont val="Times New Roman"/>
        <charset val="134"/>
      </rPr>
      <t>1</t>
    </r>
    <r>
      <rPr>
        <sz val="10"/>
        <color theme="1"/>
        <rFont val="宋体"/>
        <charset val="134"/>
      </rPr>
      <t>分钟或直到你将之提前结束（无需动作）。此特性一经使用，直至完成长休你都无法再次使用。你也可以消耗一个五环法术位（无需动作）重置此特性的使用权。
行走堡垒</t>
    </r>
    <r>
      <rPr>
        <sz val="10"/>
        <color theme="1"/>
        <rFont val="Times New Roman"/>
        <charset val="134"/>
      </rPr>
      <t xml:space="preserve"> Walking Bastion</t>
    </r>
    <r>
      <rPr>
        <sz val="10"/>
        <color theme="1"/>
        <rFont val="宋体"/>
        <charset val="134"/>
      </rPr>
      <t>。</t>
    </r>
    <r>
      <rPr>
        <sz val="10"/>
        <color theme="1"/>
        <rFont val="Times New Roman"/>
        <charset val="134"/>
      </rPr>
      <t xml:space="preserve"> </t>
    </r>
    <r>
      <rPr>
        <sz val="10"/>
        <color theme="1"/>
        <rFont val="宋体"/>
        <charset val="134"/>
      </rPr>
      <t>你的守护之仪特性变为</t>
    </r>
    <r>
      <rPr>
        <sz val="10"/>
        <color theme="1"/>
        <rFont val="Times New Roman"/>
        <charset val="134"/>
      </rPr>
      <t>100</t>
    </r>
    <r>
      <rPr>
        <sz val="10"/>
        <color theme="1"/>
        <rFont val="宋体"/>
        <charset val="134"/>
      </rPr>
      <t>尺的光环。光环范围内任何由你选择的生物都可以改为使用你的</t>
    </r>
    <r>
      <rPr>
        <sz val="10"/>
        <color theme="1"/>
        <rFont val="Times New Roman"/>
        <charset val="134"/>
      </rPr>
      <t>AC</t>
    </r>
    <r>
      <rPr>
        <sz val="10"/>
        <color theme="1"/>
        <rFont val="宋体"/>
        <charset val="134"/>
      </rPr>
      <t>。
无穷神力</t>
    </r>
    <r>
      <rPr>
        <sz val="10"/>
        <color theme="1"/>
        <rFont val="Times New Roman"/>
        <charset val="134"/>
      </rPr>
      <t xml:space="preserve"> Endless Divinity</t>
    </r>
    <r>
      <rPr>
        <sz val="10"/>
        <color theme="1"/>
        <rFont val="宋体"/>
        <charset val="134"/>
      </rPr>
      <t>。</t>
    </r>
    <r>
      <rPr>
        <sz val="10"/>
        <color theme="1"/>
        <rFont val="Times New Roman"/>
        <charset val="134"/>
      </rPr>
      <t xml:space="preserve"> </t>
    </r>
    <r>
      <rPr>
        <sz val="10"/>
        <color theme="1"/>
        <rFont val="宋体"/>
        <charset val="134"/>
      </rPr>
      <t>在你的每个回合，如果你已耗尽你的引导神力使用次数，则你可重获一次使用次数。（注：在你的每个回合，没说是开始还是结束）
至严惩击</t>
    </r>
    <r>
      <rPr>
        <sz val="10"/>
        <color theme="1"/>
        <rFont val="Times New Roman"/>
        <charset val="134"/>
      </rPr>
      <t xml:space="preserve"> Supreme Punishment</t>
    </r>
    <r>
      <rPr>
        <sz val="10"/>
        <color theme="1"/>
        <rFont val="宋体"/>
        <charset val="134"/>
      </rPr>
      <t>。</t>
    </r>
    <r>
      <rPr>
        <sz val="10"/>
        <color theme="1"/>
        <rFont val="Times New Roman"/>
        <charset val="134"/>
      </rPr>
      <t xml:space="preserve"> </t>
    </r>
    <r>
      <rPr>
        <sz val="10"/>
        <color theme="1"/>
        <rFont val="宋体"/>
        <charset val="134"/>
      </rPr>
      <t>每回合一次，你可以无需消耗反应地使用御者之护特性。若如此做，直到你下回合开始时你才能再次以此法使用。</t>
    </r>
  </si>
  <si>
    <r>
      <rPr>
        <sz val="10"/>
        <color theme="1"/>
        <rFont val="宋体"/>
        <charset val="134"/>
      </rPr>
      <t>完美联结</t>
    </r>
  </si>
  <si>
    <r>
      <rPr>
        <sz val="10"/>
        <color theme="1"/>
        <rFont val="宋体"/>
        <charset val="134"/>
      </rPr>
      <t>你与龙兽的联结抵达其力量的巅峰。当召唤的龙兽在场时，你和龙兽获得以下增益</t>
    </r>
    <r>
      <rPr>
        <sz val="10"/>
        <color theme="1"/>
        <rFont val="Times New Roman"/>
        <charset val="134"/>
      </rPr>
      <t xml:space="preserve"> :
• </t>
    </r>
    <r>
      <rPr>
        <sz val="10"/>
        <color theme="1"/>
        <rFont val="宋体"/>
        <charset val="134"/>
      </rPr>
      <t>强化啃咬</t>
    </r>
    <r>
      <rPr>
        <sz val="10"/>
        <color theme="1"/>
        <rFont val="Times New Roman"/>
        <charset val="134"/>
      </rPr>
      <t>Empowered Bite</t>
    </r>
    <r>
      <rPr>
        <sz val="10"/>
        <color theme="1"/>
        <rFont val="宋体"/>
        <charset val="134"/>
      </rPr>
      <t>。龙兽的啃咬攻击额外造成与龙族精粹属性相同的</t>
    </r>
    <r>
      <rPr>
        <sz val="10"/>
        <color theme="1"/>
        <rFont val="Times New Roman"/>
        <charset val="134"/>
      </rPr>
      <t>d6</t>
    </r>
    <r>
      <rPr>
        <sz val="10"/>
        <color theme="1"/>
        <rFont val="宋体"/>
        <charset val="134"/>
      </rPr>
      <t>伤害。（总共</t>
    </r>
    <r>
      <rPr>
        <sz val="10"/>
        <color theme="1"/>
        <rFont val="Times New Roman"/>
        <charset val="134"/>
      </rPr>
      <t>2d6</t>
    </r>
    <r>
      <rPr>
        <sz val="10"/>
        <color theme="1"/>
        <rFont val="宋体"/>
        <charset val="134"/>
      </rPr>
      <t xml:space="preserve">额外伤害。）
</t>
    </r>
    <r>
      <rPr>
        <sz val="10"/>
        <color theme="1"/>
        <rFont val="Times New Roman"/>
        <charset val="134"/>
      </rPr>
      <t xml:space="preserve">• </t>
    </r>
    <r>
      <rPr>
        <sz val="10"/>
        <color theme="1"/>
        <rFont val="宋体"/>
        <charset val="134"/>
      </rPr>
      <t>大型龙兽</t>
    </r>
    <r>
      <rPr>
        <sz val="10"/>
        <color theme="1"/>
        <rFont val="Times New Roman"/>
        <charset val="134"/>
      </rPr>
      <t>Large Drake</t>
    </r>
    <r>
      <rPr>
        <sz val="10"/>
        <color theme="1"/>
        <rFont val="宋体"/>
        <charset val="134"/>
      </rPr>
      <t xml:space="preserve">。你的龙兽成长为大型。当你骑乘龙兽时，使用飞行速度不再受限于牙鳞之联。
</t>
    </r>
    <r>
      <rPr>
        <sz val="10"/>
        <color theme="1"/>
        <rFont val="Times New Roman"/>
        <charset val="134"/>
      </rPr>
      <t xml:space="preserve">• </t>
    </r>
    <r>
      <rPr>
        <sz val="10"/>
        <color theme="1"/>
        <rFont val="宋体"/>
        <charset val="134"/>
      </rPr>
      <t>反射抗性</t>
    </r>
    <r>
      <rPr>
        <sz val="10"/>
        <color theme="1"/>
        <rFont val="Times New Roman"/>
        <charset val="134"/>
      </rPr>
      <t>Reflexive Resistance</t>
    </r>
    <r>
      <rPr>
        <sz val="10"/>
        <color theme="1"/>
        <rFont val="宋体"/>
        <charset val="134"/>
      </rPr>
      <t>。当你与龙兽相距</t>
    </r>
    <r>
      <rPr>
        <sz val="10"/>
        <color theme="1"/>
        <rFont val="Times New Roman"/>
        <charset val="134"/>
      </rPr>
      <t>30</t>
    </r>
    <r>
      <rPr>
        <sz val="10"/>
        <color theme="1"/>
        <rFont val="宋体"/>
        <charset val="134"/>
      </rPr>
      <t>尺内，你或你的龙兽受到伤害时，你能使用你的反应为你或你的龙兽对这次伤害提供抗性。你能使用本反应的次数与你的熟练值相等，当你完成一次长休后恢复所有的使用次数。</t>
    </r>
  </si>
  <si>
    <r>
      <rPr>
        <sz val="10"/>
        <color theme="1"/>
        <rFont val="宋体"/>
        <charset val="134"/>
      </rPr>
      <t>亡者余声</t>
    </r>
  </si>
  <si>
    <r>
      <rPr>
        <sz val="10"/>
        <color theme="1"/>
        <rFont val="宋体"/>
        <charset val="134"/>
      </rPr>
      <t>死者的回响依附着你，一个幽灵般的存在会向你分享它的知识。
每当你完成一次短休或长休时，你可以选择一项你没有熟练的工具或者技能并且获得该熟练，当你用这个能力来选择一项不同的熟练时，你会失去原来的熟练项。</t>
    </r>
  </si>
  <si>
    <r>
      <rPr>
        <sz val="10"/>
        <color theme="1"/>
        <rFont val="宋体"/>
        <charset val="134"/>
      </rPr>
      <t>与暗为友</t>
    </r>
  </si>
  <si>
    <r>
      <rPr>
        <sz val="10"/>
        <color theme="1"/>
        <rFont val="宋体"/>
        <charset val="134"/>
      </rPr>
      <t>当你施展任何来自你天赋黑暗特性的法术时，你可以选择至多等同于你魅力调整值的生物（至少一个）。这些被选中的生物在接下来</t>
    </r>
    <r>
      <rPr>
        <sz val="10"/>
        <color theme="1"/>
        <rFont val="Times New Roman"/>
        <charset val="134"/>
      </rPr>
      <t>1</t>
    </r>
    <r>
      <rPr>
        <sz val="10"/>
        <color theme="1"/>
        <rFont val="宋体"/>
        <charset val="134"/>
      </rPr>
      <t>分钟内能够看穿你创造的任何魔法黑暗。</t>
    </r>
  </si>
  <si>
    <r>
      <rPr>
        <sz val="10"/>
        <color theme="1"/>
        <rFont val="宋体"/>
        <charset val="134"/>
      </rPr>
      <t>魔能掌控</t>
    </r>
  </si>
  <si>
    <r>
      <rPr>
        <sz val="10"/>
        <color theme="1"/>
        <rFont val="宋体"/>
        <charset val="134"/>
      </rPr>
      <t>当你使用秘法回流</t>
    </r>
    <r>
      <rPr>
        <sz val="10"/>
        <color theme="1"/>
        <rFont val="Times New Roman"/>
        <charset val="134"/>
      </rPr>
      <t xml:space="preserve"> </t>
    </r>
    <r>
      <rPr>
        <sz val="10"/>
        <color theme="1"/>
        <rFont val="宋体"/>
        <charset val="134"/>
      </rPr>
      <t>特性时，你改为恢复全部消耗的魔契师法术位。</t>
    </r>
  </si>
  <si>
    <r>
      <rPr>
        <sz val="10"/>
        <color theme="1"/>
        <rFont val="宋体"/>
        <charset val="134"/>
      </rPr>
      <t>调节密度</t>
    </r>
  </si>
  <si>
    <r>
      <rPr>
        <sz val="10"/>
        <color theme="1"/>
        <rFont val="宋体"/>
        <charset val="134"/>
      </rPr>
      <t>以一个动作，你能魔法性的修改你周围</t>
    </r>
    <r>
      <rPr>
        <sz val="10"/>
        <color theme="1"/>
        <rFont val="Times New Roman"/>
        <charset val="134"/>
      </rPr>
      <t>30</t>
    </r>
    <r>
      <rPr>
        <sz val="10"/>
        <color theme="1"/>
        <rFont val="宋体"/>
        <charset val="134"/>
      </rPr>
      <t>尺内的、一个你可见的物件或生物的重量。目标物件或目标生物的体型必须为大型或更小。你将目标的重量减半或翻倍，持续至多一分钟，若你的专注终止（如同你正专注于一个法术一样），它将提前结束。
生物的重量因此特性减半期间，该生物的移动速度增加</t>
    </r>
    <r>
      <rPr>
        <sz val="10"/>
        <color theme="1"/>
        <rFont val="Times New Roman"/>
        <charset val="134"/>
      </rPr>
      <t>10</t>
    </r>
    <r>
      <rPr>
        <sz val="10"/>
        <color theme="1"/>
        <rFont val="宋体"/>
        <charset val="134"/>
      </rPr>
      <t>尺，其跳跃的距离变为正常的两倍，但在进行力量检定或力量豁免时具有劣势。
生物的重量因此特性翻倍期间，该生物的移动速度减少</t>
    </r>
    <r>
      <rPr>
        <sz val="10"/>
        <color theme="1"/>
        <rFont val="Times New Roman"/>
        <charset val="134"/>
      </rPr>
      <t>10</t>
    </r>
    <r>
      <rPr>
        <sz val="10"/>
        <color theme="1"/>
        <rFont val="宋体"/>
        <charset val="134"/>
      </rPr>
      <t>尺，但在进行力量检定或力量豁免时具有优势。
当你在此职业到达第</t>
    </r>
    <r>
      <rPr>
        <sz val="10"/>
        <color theme="1"/>
        <rFont val="Times New Roman"/>
        <charset val="134"/>
      </rPr>
      <t>10</t>
    </r>
    <r>
      <rPr>
        <sz val="10"/>
        <color theme="1"/>
        <rFont val="宋体"/>
        <charset val="134"/>
      </rPr>
      <t>级时，你可以对巨型或更小的物件或生物使用本特性。</t>
    </r>
  </si>
  <si>
    <r>
      <rPr>
        <sz val="10"/>
        <color theme="1"/>
        <rFont val="宋体"/>
        <charset val="134"/>
      </rPr>
      <t>诱变剂</t>
    </r>
    <r>
      <rPr>
        <sz val="10"/>
        <color theme="1"/>
        <rFont val="Times New Roman"/>
        <charset val="134"/>
      </rPr>
      <t>-</t>
    </r>
    <r>
      <rPr>
        <sz val="10"/>
        <color theme="1"/>
        <rFont val="宋体"/>
        <charset val="134"/>
      </rPr>
      <t>再生</t>
    </r>
  </si>
  <si>
    <r>
      <rPr>
        <sz val="10"/>
        <color theme="1"/>
        <rFont val="宋体"/>
        <charset val="134"/>
      </rPr>
      <t>先决条件：</t>
    </r>
    <r>
      <rPr>
        <sz val="10"/>
        <color theme="1"/>
        <rFont val="Times New Roman"/>
        <charset val="134"/>
      </rPr>
      <t xml:space="preserve">7 </t>
    </r>
    <r>
      <rPr>
        <sz val="10"/>
        <color theme="1"/>
        <rFont val="宋体"/>
        <charset val="134"/>
      </rPr>
      <t xml:space="preserve">级
</t>
    </r>
    <r>
      <rPr>
        <sz val="10"/>
        <color theme="1"/>
        <rFont val="Times New Roman"/>
        <charset val="134"/>
      </rPr>
      <t xml:space="preserve">1 </t>
    </r>
    <r>
      <rPr>
        <sz val="10"/>
        <color theme="1"/>
        <rFont val="宋体"/>
        <charset val="134"/>
      </rPr>
      <t>小时内，在你的每个回合开始时，若你的生命值大于</t>
    </r>
    <r>
      <rPr>
        <sz val="10"/>
        <color theme="1"/>
        <rFont val="Times New Roman"/>
        <charset val="134"/>
      </rPr>
      <t xml:space="preserve"> 1 </t>
    </r>
    <r>
      <rPr>
        <sz val="10"/>
        <color theme="1"/>
        <rFont val="宋体"/>
        <charset val="134"/>
      </rPr>
      <t>点，小于上限的一半，你恢复等同于熟练加值的生命值。
副作用：生效期间，你的速度降低</t>
    </r>
    <r>
      <rPr>
        <sz val="10"/>
        <color theme="1"/>
        <rFont val="Times New Roman"/>
        <charset val="134"/>
      </rPr>
      <t xml:space="preserve"> 10 </t>
    </r>
    <r>
      <rPr>
        <sz val="10"/>
        <color theme="1"/>
        <rFont val="宋体"/>
        <charset val="134"/>
      </rPr>
      <t>尺。</t>
    </r>
  </si>
  <si>
    <r>
      <rPr>
        <sz val="10"/>
        <color theme="1"/>
        <rFont val="宋体"/>
        <charset val="134"/>
      </rPr>
      <t>化学养护</t>
    </r>
  </si>
  <si>
    <r>
      <rPr>
        <sz val="10"/>
        <color theme="1"/>
        <rFont val="宋体"/>
        <charset val="134"/>
      </rPr>
      <t>以一个动作，你给予你触碰的一个生物（可以包括你自己）强酸，冷冻，火焰，闪电，或毒素伤害类型中一种的抗性，持续</t>
    </r>
    <r>
      <rPr>
        <sz val="10"/>
        <color theme="1"/>
        <rFont val="Times New Roman"/>
        <charset val="134"/>
      </rPr>
      <t>1</t>
    </r>
    <r>
      <rPr>
        <sz val="10"/>
        <color theme="1"/>
        <rFont val="宋体"/>
        <charset val="134"/>
      </rPr>
      <t>小时。如果你再次使用该特性，则这个增益会立即停止。</t>
    </r>
    <r>
      <rPr>
        <sz val="10"/>
        <color theme="1"/>
        <rFont val="Times New Roman"/>
        <charset val="134"/>
      </rPr>
      <t xml:space="preserve"> </t>
    </r>
  </si>
  <si>
    <t>迪斯帕特之禁令</t>
  </si>
  <si>
    <t>暗影结社</t>
  </si>
  <si>
    <r>
      <rPr>
        <sz val="10"/>
        <color theme="1"/>
        <rFont val="宋体"/>
        <charset val="134"/>
      </rPr>
      <t>异次元决斗</t>
    </r>
  </si>
  <si>
    <r>
      <rPr>
        <sz val="10"/>
        <color theme="1"/>
        <rFont val="宋体"/>
        <charset val="134"/>
      </rPr>
      <t>你始终准备着法术放逐术</t>
    </r>
    <r>
      <rPr>
        <sz val="10"/>
        <color theme="1"/>
        <rFont val="Times New Roman"/>
        <charset val="134"/>
      </rPr>
      <t>Banishment</t>
    </r>
    <r>
      <rPr>
        <sz val="10"/>
        <color theme="1"/>
        <rFont val="宋体"/>
        <charset val="134"/>
      </rPr>
      <t>。当你激活狂暴时或在你狂暴激活期间以一个附赠动作，你能够在你的狂暴激活期间（译注：原文如此）无需法术位且无需法术成分的施展放逐术，且你此法术的施法属性为力量。你能够在你的狂暴激活期间维持专注。你以此法施展放逐术时，能够指定至多三名生物为目标。此外，你能选择追踪被你放逐的生物。若你如此做，被你放逐的目标不会在法术期间陷入失能，且你与其旅行至一个半位面。该半位面是一个各个维度的长度在</t>
    </r>
    <r>
      <rPr>
        <sz val="10"/>
        <color theme="1"/>
        <rFont val="Times New Roman"/>
        <charset val="134"/>
      </rPr>
      <t>30</t>
    </r>
    <r>
      <rPr>
        <sz val="10"/>
        <color theme="1"/>
        <rFont val="宋体"/>
        <charset val="134"/>
      </rPr>
      <t>到</t>
    </r>
    <r>
      <rPr>
        <sz val="10"/>
        <color theme="1"/>
        <rFont val="Times New Roman"/>
        <charset val="134"/>
      </rPr>
      <t>200</t>
    </r>
    <r>
      <rPr>
        <sz val="10"/>
        <color theme="1"/>
        <rFont val="宋体"/>
        <charset val="134"/>
      </rPr>
      <t>尺（在你施展法术时选择）的空旷房间，由木头或石头（由你选择）制成。你必须为你和目标创造足够的空间，否则法术结束。房间被明亮光照充满。当法术结束是，若你与任意生物一同旅行，你与任意掉落的物件一同在你离开的空间出现，若空间已被占据则出现在最近的未占据空间。
你能够使用此特性的次数等于你的力量调整值（至少一次），当你完成长休时你重获所有已消耗的使用次数。</t>
    </r>
  </si>
  <si>
    <t>真谕信徒</t>
  </si>
  <si>
    <t>如果一个生物 恐慌Frightened 于你，且你能够看见它，那么该生物所进行一切豁免检定都将具有劣势。</t>
  </si>
  <si>
    <r>
      <rPr>
        <sz val="10"/>
        <color theme="1"/>
        <rFont val="宋体"/>
        <charset val="134"/>
      </rPr>
      <t>警觉赐福</t>
    </r>
  </si>
  <si>
    <r>
      <rPr>
        <sz val="10"/>
        <color theme="1"/>
        <rFont val="宋体"/>
        <charset val="134"/>
      </rPr>
      <t>夜晚教会了你时刻保持警惕。你能用一个动作触碰一个生物（可以是你自己），并赋予该生物下次先攻检定优势。此增益在该生物骰先攻检定后、或你再次使用此特性时立刻结束。</t>
    </r>
  </si>
  <si>
    <r>
      <rPr>
        <sz val="10"/>
        <color theme="1"/>
        <rFont val="宋体"/>
        <charset val="134"/>
      </rPr>
      <t>生存本能</t>
    </r>
  </si>
  <si>
    <r>
      <rPr>
        <sz val="10"/>
        <color theme="1"/>
        <rFont val="宋体"/>
        <charset val="134"/>
      </rPr>
      <t>当你身处危难之中，你的共生体会试图将你转移到安全之地。你陷入失能状态期间，你能够执行疾走、撤离或回避动作，且你能够在陷入失能期间维持回避动作的增益。</t>
    </r>
  </si>
  <si>
    <r>
      <rPr>
        <sz val="10"/>
        <color theme="1"/>
        <rFont val="宋体"/>
        <charset val="134"/>
      </rPr>
      <t>放逐箭</t>
    </r>
  </si>
  <si>
    <r>
      <rPr>
        <sz val="10"/>
        <color theme="1"/>
        <rFont val="宋体"/>
        <charset val="134"/>
      </rPr>
      <t>你尝试用你的防护魔法来暂时放逐你的目标到一片属于精灵沃野的无害区域。
被这发箭击中的角色必须通过一个魅力豁免或者被放逐。
当被这种方式放逐时，目标速度降为</t>
    </r>
    <r>
      <rPr>
        <sz val="10"/>
        <color theme="1"/>
        <rFont val="Times New Roman"/>
        <charset val="134"/>
      </rPr>
      <t>0</t>
    </r>
    <r>
      <rPr>
        <sz val="10"/>
        <color theme="1"/>
        <rFont val="宋体"/>
        <charset val="134"/>
      </rPr>
      <t>，变为失能。
在他的回合结束时，目标在他被放逐前的位置出现。
如果该位置被占据，则他在最近的未被占据空间出现。
当你的战士等级到</t>
    </r>
    <r>
      <rPr>
        <sz val="10"/>
        <color theme="1"/>
        <rFont val="Times New Roman"/>
        <charset val="134"/>
      </rPr>
      <t>18</t>
    </r>
    <r>
      <rPr>
        <sz val="10"/>
        <color theme="1"/>
        <rFont val="宋体"/>
        <charset val="134"/>
      </rPr>
      <t>级时，目标被箭击中时还会受到</t>
    </r>
    <r>
      <rPr>
        <sz val="10"/>
        <color theme="1"/>
        <rFont val="Times New Roman"/>
        <charset val="134"/>
      </rPr>
      <t>2d6</t>
    </r>
    <r>
      <rPr>
        <sz val="10"/>
        <color theme="1"/>
        <rFont val="宋体"/>
        <charset val="134"/>
      </rPr>
      <t>的力场伤害。</t>
    </r>
  </si>
  <si>
    <r>
      <rPr>
        <sz val="10"/>
        <color theme="1"/>
        <rFont val="宋体"/>
        <charset val="134"/>
      </rPr>
      <t>均衡执守</t>
    </r>
  </si>
  <si>
    <r>
      <rPr>
        <sz val="10"/>
        <color theme="1"/>
        <rFont val="宋体"/>
        <charset val="134"/>
      </rPr>
      <t>当</t>
    </r>
    <r>
      <rPr>
        <sz val="10"/>
        <color theme="1"/>
        <rFont val="Times New Roman"/>
        <charset val="134"/>
      </rPr>
      <t>60</t>
    </r>
    <r>
      <rPr>
        <sz val="10"/>
        <color theme="1"/>
        <rFont val="宋体"/>
        <charset val="134"/>
      </rPr>
      <t>尺内的生物尝试传送时，你可以使用一个反应并消耗</t>
    </r>
    <r>
      <rPr>
        <sz val="10"/>
        <color theme="1"/>
        <rFont val="Times New Roman"/>
        <charset val="134"/>
      </rPr>
      <t>1</t>
    </r>
    <r>
      <rPr>
        <sz val="10"/>
        <color theme="1"/>
        <rFont val="宋体"/>
        <charset val="134"/>
      </rPr>
      <t>点功力来阻止该传送。</t>
    </r>
  </si>
  <si>
    <t>巫咒之誓法术</t>
  </si>
  <si>
    <t>你在特定圣武士等级时获得列在巫咒之誓法术表中的法术。其详细规则请参见圣武士的神圣誓言Sacred Oath职业特性。
圣武士等级 法术
3rd 炼狱叱喝hellish rebuke，塔莎狂笑术hideous laughter，魔能爆eldritch blast 
5th 隐形术invisibility，暗示术suggestion
9th 降咒bestow curse，恐惧术fear
13th 任意门dimension door，变形术polymorph
17th 支配人类dominate person，假象术mislead</t>
  </si>
  <si>
    <r>
      <rPr>
        <sz val="10"/>
        <color theme="1"/>
        <rFont val="宋体"/>
        <charset val="134"/>
      </rPr>
      <t>荒径守护者法术</t>
    </r>
  </si>
  <si>
    <r>
      <rPr>
        <sz val="10"/>
        <color theme="1"/>
        <rFont val="宋体"/>
        <charset val="134"/>
      </rPr>
      <t>当你到达荒径守护者法术表中特定的游侠等级时，你就始终准备了表中对应的法术。
荒径守护者法术</t>
    </r>
    <r>
      <rPr>
        <sz val="10"/>
        <color theme="1"/>
        <rFont val="Times New Roman"/>
        <charset val="134"/>
      </rPr>
      <t xml:space="preserve">Trail Warden Spells 
</t>
    </r>
    <r>
      <rPr>
        <sz val="10"/>
        <color theme="1"/>
        <rFont val="宋体"/>
        <charset val="134"/>
      </rPr>
      <t>游侠等级</t>
    </r>
    <r>
      <rPr>
        <sz val="10"/>
        <color theme="1"/>
        <rFont val="Times New Roman"/>
        <charset val="134"/>
      </rPr>
      <t xml:space="preserve"> </t>
    </r>
    <r>
      <rPr>
        <sz val="10"/>
        <color theme="1"/>
        <rFont val="宋体"/>
        <charset val="134"/>
      </rPr>
      <t xml:space="preserve">法术
</t>
    </r>
    <r>
      <rPr>
        <sz val="10"/>
        <color theme="1"/>
        <rFont val="Times New Roman"/>
        <charset val="134"/>
      </rPr>
      <t xml:space="preserve">3 </t>
    </r>
    <r>
      <rPr>
        <sz val="10"/>
        <color theme="1"/>
        <rFont val="宋体"/>
        <charset val="134"/>
      </rPr>
      <t>神梅术</t>
    </r>
    <r>
      <rPr>
        <sz val="10"/>
        <color theme="1"/>
        <rFont val="Times New Roman"/>
        <charset val="134"/>
      </rPr>
      <t xml:space="preserve">Goodberry
5 </t>
    </r>
    <r>
      <rPr>
        <sz val="10"/>
        <color theme="1"/>
        <rFont val="宋体"/>
        <charset val="134"/>
      </rPr>
      <t>行动无踪</t>
    </r>
    <r>
      <rPr>
        <sz val="10"/>
        <color theme="1"/>
        <rFont val="Times New Roman"/>
        <charset val="134"/>
      </rPr>
      <t xml:space="preserve">Pass without Trace
9 </t>
    </r>
    <r>
      <rPr>
        <sz val="10"/>
        <color theme="1"/>
        <rFont val="宋体"/>
        <charset val="134"/>
      </rPr>
      <t>灵体卫士</t>
    </r>
    <r>
      <rPr>
        <sz val="10"/>
        <color theme="1"/>
        <rFont val="Times New Roman"/>
        <charset val="134"/>
      </rPr>
      <t xml:space="preserve">Spirit Guardians
13 </t>
    </r>
    <r>
      <rPr>
        <sz val="10"/>
        <color theme="1"/>
        <rFont val="宋体"/>
        <charset val="134"/>
      </rPr>
      <t>信仰守卫</t>
    </r>
    <r>
      <rPr>
        <sz val="10"/>
        <color theme="1"/>
        <rFont val="Times New Roman"/>
        <charset val="134"/>
      </rPr>
      <t xml:space="preserve">Guardian of Faith
17 </t>
    </r>
    <r>
      <rPr>
        <sz val="10"/>
        <color theme="1"/>
        <rFont val="宋体"/>
        <charset val="134"/>
      </rPr>
      <t>群体疗伤术</t>
    </r>
    <r>
      <rPr>
        <sz val="10"/>
        <color theme="1"/>
        <rFont val="Times New Roman"/>
        <charset val="134"/>
      </rPr>
      <t>Mass Cure Wounds</t>
    </r>
  </si>
  <si>
    <r>
      <rPr>
        <sz val="10"/>
        <color theme="1"/>
        <rFont val="宋体"/>
        <charset val="134"/>
      </rPr>
      <t>墓穴惊嚎</t>
    </r>
  </si>
  <si>
    <r>
      <rPr>
        <sz val="10"/>
        <color theme="1"/>
        <rFont val="宋体"/>
        <charset val="134"/>
      </rPr>
      <t>当你将某人推向墓穴时，你也可以沟通死亡之力，使得亡者的嚎哭短暂环绕着新的目标。
当你在你的回合对于一个生物造成了偷袭伤害之后，你可以立即选择该生物</t>
    </r>
    <r>
      <rPr>
        <sz val="10"/>
        <color theme="1"/>
        <rFont val="Times New Roman"/>
        <charset val="134"/>
      </rPr>
      <t>30</t>
    </r>
    <r>
      <rPr>
        <sz val="10"/>
        <color theme="1"/>
        <rFont val="宋体"/>
        <charset val="134"/>
      </rPr>
      <t xml:space="preserve">尺内第二个可见生物，掷你一半的偷袭骰（向上取整），对其造成等同于结果的暗蚀伤害。
你可以使用此特性的次数等同于你的熟练加值，当你完成一次长休时恢复所有使用次数。
</t>
    </r>
    <r>
      <rPr>
        <sz val="10"/>
        <color theme="1"/>
        <rFont val="Times New Roman"/>
        <charset val="134"/>
      </rPr>
      <t>3</t>
    </r>
    <r>
      <rPr>
        <sz val="10"/>
        <color theme="1"/>
        <rFont val="宋体"/>
        <charset val="134"/>
      </rPr>
      <t>级</t>
    </r>
    <r>
      <rPr>
        <sz val="10"/>
        <color theme="1"/>
        <rFont val="Times New Roman"/>
        <charset val="134"/>
      </rPr>
      <t>1d6</t>
    </r>
    <r>
      <rPr>
        <sz val="10"/>
        <color theme="1"/>
        <rFont val="宋体"/>
        <charset val="134"/>
      </rPr>
      <t>，</t>
    </r>
    <r>
      <rPr>
        <sz val="10"/>
        <color theme="1"/>
        <rFont val="Times New Roman"/>
        <charset val="134"/>
      </rPr>
      <t>5</t>
    </r>
    <r>
      <rPr>
        <sz val="10"/>
        <color theme="1"/>
        <rFont val="宋体"/>
        <charset val="134"/>
      </rPr>
      <t>级</t>
    </r>
    <r>
      <rPr>
        <sz val="10"/>
        <color theme="1"/>
        <rFont val="Times New Roman"/>
        <charset val="134"/>
      </rPr>
      <t>2d6</t>
    </r>
    <r>
      <rPr>
        <sz val="10"/>
        <color theme="1"/>
        <rFont val="宋体"/>
        <charset val="134"/>
      </rPr>
      <t>，</t>
    </r>
    <r>
      <rPr>
        <sz val="10"/>
        <color theme="1"/>
        <rFont val="Times New Roman"/>
        <charset val="134"/>
      </rPr>
      <t>9</t>
    </r>
    <r>
      <rPr>
        <sz val="10"/>
        <color theme="1"/>
        <rFont val="宋体"/>
        <charset val="134"/>
      </rPr>
      <t>级</t>
    </r>
    <r>
      <rPr>
        <sz val="10"/>
        <color theme="1"/>
        <rFont val="Times New Roman"/>
        <charset val="134"/>
      </rPr>
      <t>3d6</t>
    </r>
    <r>
      <rPr>
        <sz val="10"/>
        <color theme="1"/>
        <rFont val="宋体"/>
        <charset val="134"/>
      </rPr>
      <t>，</t>
    </r>
    <r>
      <rPr>
        <sz val="10"/>
        <color theme="1"/>
        <rFont val="Times New Roman"/>
        <charset val="134"/>
      </rPr>
      <t>13</t>
    </r>
    <r>
      <rPr>
        <sz val="10"/>
        <color theme="1"/>
        <rFont val="宋体"/>
        <charset val="134"/>
      </rPr>
      <t>级</t>
    </r>
    <r>
      <rPr>
        <sz val="10"/>
        <color theme="1"/>
        <rFont val="Times New Roman"/>
        <charset val="134"/>
      </rPr>
      <t>4d6</t>
    </r>
    <r>
      <rPr>
        <sz val="10"/>
        <color theme="1"/>
        <rFont val="宋体"/>
        <charset val="134"/>
      </rPr>
      <t>，</t>
    </r>
    <r>
      <rPr>
        <sz val="10"/>
        <color theme="1"/>
        <rFont val="Times New Roman"/>
        <charset val="134"/>
      </rPr>
      <t>17</t>
    </r>
    <r>
      <rPr>
        <sz val="10"/>
        <color theme="1"/>
        <rFont val="宋体"/>
        <charset val="134"/>
      </rPr>
      <t>级</t>
    </r>
    <r>
      <rPr>
        <sz val="10"/>
        <color theme="1"/>
        <rFont val="Times New Roman"/>
        <charset val="134"/>
      </rPr>
      <t>5d6</t>
    </r>
  </si>
  <si>
    <r>
      <rPr>
        <sz val="10"/>
        <color theme="1"/>
        <rFont val="宋体"/>
        <charset val="134"/>
      </rPr>
      <t>纯然黑暗</t>
    </r>
  </si>
  <si>
    <r>
      <rPr>
        <sz val="10"/>
        <color theme="1"/>
        <rFont val="宋体"/>
        <charset val="134"/>
      </rPr>
      <t>当你施展任何来自你天赋黑暗特性的、能创造一片黑暗区域的法术时，黑暗视觉与盲视都无法在该法术区域内生效。</t>
    </r>
  </si>
  <si>
    <r>
      <rPr>
        <sz val="10"/>
        <color theme="1"/>
        <rFont val="宋体"/>
        <charset val="134"/>
      </rPr>
      <t>至高妖精法术</t>
    </r>
  </si>
  <si>
    <r>
      <rPr>
        <sz val="10"/>
        <color theme="1"/>
        <rFont val="宋体"/>
        <charset val="134"/>
      </rPr>
      <t>宗主赐予的魔法使你始终准备了特定的法术。当你到达至高妖精法术表中特定的魔契师等级时，你就始终准备了表中对应的法术。
至高妖精法术</t>
    </r>
    <r>
      <rPr>
        <sz val="10"/>
        <color theme="1"/>
        <rFont val="Times New Roman"/>
        <charset val="134"/>
      </rPr>
      <t xml:space="preserve"> Archfey Spells 
</t>
    </r>
    <r>
      <rPr>
        <sz val="10"/>
        <color theme="1"/>
        <rFont val="宋体"/>
        <charset val="134"/>
      </rPr>
      <t>魔契师等级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妖火</t>
    </r>
    <r>
      <rPr>
        <sz val="10"/>
        <color theme="1"/>
        <rFont val="Times New Roman"/>
        <charset val="134"/>
      </rPr>
      <t>Faerie Fire</t>
    </r>
    <r>
      <rPr>
        <sz val="10"/>
        <color theme="1"/>
        <rFont val="宋体"/>
        <charset val="134"/>
      </rPr>
      <t>，</t>
    </r>
    <r>
      <rPr>
        <sz val="10"/>
        <color theme="1"/>
        <rFont val="Times New Roman"/>
        <charset val="134"/>
      </rPr>
      <t xml:space="preserve"> </t>
    </r>
    <r>
      <rPr>
        <sz val="10"/>
        <color theme="1"/>
        <rFont val="宋体"/>
        <charset val="134"/>
      </rPr>
      <t>睡眠术</t>
    </r>
    <r>
      <rPr>
        <sz val="10"/>
        <color theme="1"/>
        <rFont val="Times New Roman"/>
        <charset val="134"/>
      </rPr>
      <t>Sleep</t>
    </r>
    <r>
      <rPr>
        <sz val="10"/>
        <color theme="1"/>
        <rFont val="宋体"/>
        <charset val="134"/>
      </rPr>
      <t>，安定心神</t>
    </r>
    <r>
      <rPr>
        <sz val="10"/>
        <color theme="1"/>
        <rFont val="Times New Roman"/>
        <charset val="134"/>
      </rPr>
      <t>Calm Emotions</t>
    </r>
    <r>
      <rPr>
        <sz val="10"/>
        <color theme="1"/>
        <rFont val="宋体"/>
        <charset val="134"/>
      </rPr>
      <t>，迷踪步</t>
    </r>
    <r>
      <rPr>
        <sz val="10"/>
        <color theme="1"/>
        <rFont val="Times New Roman"/>
        <charset val="134"/>
      </rPr>
      <t>Misty Step</t>
    </r>
    <r>
      <rPr>
        <sz val="10"/>
        <color theme="1"/>
        <rFont val="宋体"/>
        <charset val="134"/>
      </rPr>
      <t>，魅影之力</t>
    </r>
    <r>
      <rPr>
        <sz val="10"/>
        <color theme="1"/>
        <rFont val="Times New Roman"/>
        <charset val="134"/>
      </rPr>
      <t xml:space="preserve">Phantasmal Force 
5 </t>
    </r>
    <r>
      <rPr>
        <sz val="10"/>
        <color theme="1"/>
        <rFont val="宋体"/>
        <charset val="134"/>
      </rPr>
      <t>闪现术</t>
    </r>
    <r>
      <rPr>
        <sz val="10"/>
        <color theme="1"/>
        <rFont val="Times New Roman"/>
        <charset val="134"/>
      </rPr>
      <t>Blink</t>
    </r>
    <r>
      <rPr>
        <sz val="10"/>
        <color theme="1"/>
        <rFont val="宋体"/>
        <charset val="134"/>
      </rPr>
      <t>，植物滋长</t>
    </r>
    <r>
      <rPr>
        <sz val="10"/>
        <color theme="1"/>
        <rFont val="Times New Roman"/>
        <charset val="134"/>
      </rPr>
      <t xml:space="preserve">Plant Growth 
7 </t>
    </r>
    <r>
      <rPr>
        <sz val="10"/>
        <color theme="1"/>
        <rFont val="宋体"/>
        <charset val="134"/>
      </rPr>
      <t>支配野兽</t>
    </r>
    <r>
      <rPr>
        <sz val="10"/>
        <color theme="1"/>
        <rFont val="Times New Roman"/>
        <charset val="134"/>
      </rPr>
      <t>Dominate Beast</t>
    </r>
    <r>
      <rPr>
        <sz val="10"/>
        <color theme="1"/>
        <rFont val="宋体"/>
        <charset val="134"/>
      </rPr>
      <t>，</t>
    </r>
    <r>
      <rPr>
        <sz val="10"/>
        <color theme="1"/>
        <rFont val="Times New Roman"/>
        <charset val="134"/>
      </rPr>
      <t xml:space="preserve"> </t>
    </r>
    <r>
      <rPr>
        <sz val="10"/>
        <color theme="1"/>
        <rFont val="宋体"/>
        <charset val="134"/>
      </rPr>
      <t>高等隐形术</t>
    </r>
    <r>
      <rPr>
        <sz val="10"/>
        <color theme="1"/>
        <rFont val="Times New Roman"/>
        <charset val="134"/>
      </rPr>
      <t xml:space="preserve">Greater Invisibility 
9 </t>
    </r>
    <r>
      <rPr>
        <sz val="10"/>
        <color theme="1"/>
        <rFont val="宋体"/>
        <charset val="134"/>
      </rPr>
      <t>支配人类</t>
    </r>
    <r>
      <rPr>
        <sz val="10"/>
        <color theme="1"/>
        <rFont val="Times New Roman"/>
        <charset val="134"/>
      </rPr>
      <t>Dominate Person</t>
    </r>
    <r>
      <rPr>
        <sz val="10"/>
        <color theme="1"/>
        <rFont val="宋体"/>
        <charset val="134"/>
      </rPr>
      <t>，</t>
    </r>
    <r>
      <rPr>
        <sz val="10"/>
        <color theme="1"/>
        <rFont val="Times New Roman"/>
        <charset val="134"/>
      </rPr>
      <t xml:space="preserve"> </t>
    </r>
    <r>
      <rPr>
        <sz val="10"/>
        <color theme="1"/>
        <rFont val="宋体"/>
        <charset val="134"/>
      </rPr>
      <t>伪装术</t>
    </r>
    <r>
      <rPr>
        <sz val="10"/>
        <color theme="1"/>
        <rFont val="Times New Roman"/>
        <charset val="134"/>
      </rPr>
      <t xml:space="preserve">Seeming </t>
    </r>
  </si>
  <si>
    <r>
      <rPr>
        <sz val="10"/>
        <color theme="1"/>
        <rFont val="宋体"/>
        <charset val="134"/>
      </rPr>
      <t>重力井</t>
    </r>
  </si>
  <si>
    <r>
      <rPr>
        <sz val="10"/>
        <color theme="1"/>
        <rFont val="宋体"/>
        <charset val="134"/>
      </rPr>
      <t>你习得了如何操纵活物周遭的重力：每当你将一道法术施展到一个生物身上时，你能移动该目标</t>
    </r>
    <r>
      <rPr>
        <sz val="10"/>
        <color theme="1"/>
        <rFont val="Times New Roman"/>
        <charset val="134"/>
      </rPr>
      <t>5</t>
    </r>
    <r>
      <rPr>
        <sz val="10"/>
        <color theme="1"/>
        <rFont val="宋体"/>
        <charset val="134"/>
      </rPr>
      <t>尺至一处由你选择且未被占据的空间。这一特性只有在法术的目标自愿被你移动、或法术中的某次攻击命中了该目标、亦或该目标在对抗这道法术的某次豁免检定失败的情况下，才能生效。</t>
    </r>
    <r>
      <rPr>
        <sz val="10"/>
        <color theme="1"/>
        <rFont val="Times New Roman"/>
        <charset val="134"/>
      </rPr>
      <t xml:space="preserve"> </t>
    </r>
  </si>
  <si>
    <r>
      <rPr>
        <sz val="10"/>
        <color theme="1"/>
        <rFont val="宋体"/>
        <charset val="134"/>
      </rPr>
      <t>真理烙印</t>
    </r>
  </si>
  <si>
    <r>
      <rPr>
        <sz val="10"/>
        <color theme="1"/>
        <rFont val="宋体"/>
        <charset val="134"/>
      </rPr>
      <t>你突变后的鲜血秘法改变了你的惩戒烙印，可以强迫敌人露出真面目。
当你烙印一个生物时，任何伪装或隐藏该生物的幻术结束，且在烙印期间无法从该类幻术中得益。若你烙印的生物在另一种形态中（如被变形术，改变形体动作，变性者特性，荒野形态等特性影响），其需要通过一次感知豁免，否则变为他的真实形态，并被震慑直至你下回合结束。每当烙印生物尝试变形或改变其形体时，其需要再次通过一次感知豁免，否则尝试失败，并被震慑直至你下回合结束。</t>
    </r>
  </si>
  <si>
    <r>
      <rPr>
        <sz val="10"/>
        <color theme="1"/>
        <rFont val="宋体"/>
        <charset val="134"/>
      </rPr>
      <t>瓶中法术</t>
    </r>
  </si>
  <si>
    <r>
      <rPr>
        <sz val="10"/>
        <color theme="1"/>
        <rFont val="宋体"/>
        <charset val="134"/>
      </rPr>
      <t>当你施展一个来自化学家法术特性的法术时，你可以将它以液态形式装在你触碰的一个小试管或瓶中。这个法术会始终存储在里面直到一个生物将瓶子打开。一旦你使用了这个特性，你之前创造出来的任何未被使用过的瓶中法术都会失效，并且直到完成一次短休之前，你不能再将一个法术装入瓶中。任何持握瓶子的生物都可以花费一个动作打开瓶子，释放里面的法术。这个法术使用你的法术攻击加值和豁免</t>
    </r>
    <r>
      <rPr>
        <sz val="10"/>
        <color theme="1"/>
        <rFont val="Times New Roman"/>
        <charset val="134"/>
      </rPr>
      <t>DC</t>
    </r>
    <r>
      <rPr>
        <sz val="10"/>
        <color theme="1"/>
        <rFont val="宋体"/>
        <charset val="134"/>
      </rPr>
      <t>，但该法术在所有其他方面都将打开瓶中的生物视为法术施展者。</t>
    </r>
    <r>
      <rPr>
        <sz val="10"/>
        <color theme="1"/>
        <rFont val="Times New Roman"/>
        <charset val="134"/>
      </rPr>
      <t xml:space="preserve"> </t>
    </r>
  </si>
  <si>
    <t>念动缄印</t>
  </si>
  <si>
    <r>
      <rPr>
        <sz val="10"/>
        <color theme="1"/>
        <rFont val="宋体"/>
        <charset val="134"/>
      </rPr>
      <t>先决：邪狱使等级</t>
    </r>
    <r>
      <rPr>
        <sz val="10"/>
        <color theme="1"/>
        <rFont val="Times New Roman"/>
        <charset val="134"/>
      </rPr>
      <t>7+</t>
    </r>
    <r>
      <rPr>
        <sz val="10"/>
        <color theme="1"/>
        <rFont val="宋体"/>
        <charset val="134"/>
      </rPr>
      <t>（恐惧屠戮者）
当一名你可见的生物移动至你</t>
    </r>
    <r>
      <rPr>
        <sz val="10"/>
        <color theme="1"/>
        <rFont val="Times New Roman"/>
        <charset val="134"/>
      </rPr>
      <t>5</t>
    </r>
    <r>
      <rPr>
        <sz val="10"/>
        <color theme="1"/>
        <rFont val="宋体"/>
        <charset val="134"/>
      </rPr>
      <t>尺内时，你能够以反应对其施加缄印。若如此做，目标必须成功通过一次感知豁免，否则将被推回</t>
    </r>
    <r>
      <rPr>
        <sz val="10"/>
        <color theme="1"/>
        <rFont val="Times New Roman"/>
        <charset val="134"/>
      </rPr>
      <t>15</t>
    </r>
    <r>
      <rPr>
        <sz val="10"/>
        <color theme="1"/>
        <rFont val="宋体"/>
        <charset val="134"/>
      </rPr>
      <t>尺或应击倒地（由你选择）。</t>
    </r>
  </si>
  <si>
    <t>恩护结社</t>
  </si>
  <si>
    <t>残暴蛮力</t>
  </si>
  <si>
    <t>你的体内充斥着嗜血和来自古神的狂怒，在战斗中毫不留情。你获得临时武器的熟练。你的徒手打击和任何使用非轻型武器的近战武器攻击或临时武器攻击造成的伤害都将等于 1d12+你的力量调整值 。
狂暴期间，你获得以下好处：
&gt; 你挥舞的所有非轻型近战武器（包括临时武器）都获得重型和投掷属性。一个不具有投掷射程武器在你的手上会获得 射程30/60。
&gt; 在你的回合内，当你使用一次近战武器攻击命中一个5尺内的生物时，作为那次攻击的一部分，你可以尝试擒抱或推撞那个生物。
&gt; 如果你的体型为小型，你不会因使用重型武器而令攻击具有劣势。</t>
  </si>
  <si>
    <t>危在旦夕</t>
  </si>
  <si>
    <t>在你施展一道施法时间为一动作的法术后，你能够以一个附赠动作，使用一把武器发动一次攻击。</t>
  </si>
  <si>
    <r>
      <rPr>
        <sz val="10"/>
        <color theme="1"/>
        <rFont val="宋体"/>
        <charset val="134"/>
      </rPr>
      <t>引导神力：暮光圣域</t>
    </r>
  </si>
  <si>
    <r>
      <rPr>
        <sz val="10"/>
        <color theme="1"/>
        <rFont val="宋体"/>
        <charset val="134"/>
      </rPr>
      <t>你可以引导神力，用柔和的暮光来振作你盟友的精神。
以一个动作，你展示你的圣徽并使自身散发球体暮光。球体以你为中心，其半径为</t>
    </r>
    <r>
      <rPr>
        <sz val="10"/>
        <color theme="1"/>
        <rFont val="Times New Roman"/>
        <charset val="134"/>
      </rPr>
      <t>30</t>
    </r>
    <r>
      <rPr>
        <sz val="10"/>
        <color theme="1"/>
        <rFont val="宋体"/>
        <charset val="134"/>
      </rPr>
      <t>尺，且其范围内被微光光照充斥。球体跟随你移动并持续存在</t>
    </r>
    <r>
      <rPr>
        <sz val="10"/>
        <color theme="1"/>
        <rFont val="Times New Roman"/>
        <charset val="134"/>
      </rPr>
      <t>1</t>
    </r>
    <r>
      <rPr>
        <sz val="10"/>
        <color theme="1"/>
        <rFont val="宋体"/>
        <charset val="134"/>
      </rPr>
      <t xml:space="preserve">分钟，如果你陷入失能或是死亡，它也会提前消失。每当一个生物（包括你）在球体中结束它自己的回合时，你能给予它以下好处之一：
</t>
    </r>
    <r>
      <rPr>
        <sz val="10"/>
        <color theme="1"/>
        <rFont val="Times New Roman"/>
        <charset val="134"/>
      </rPr>
      <t xml:space="preserve">• </t>
    </r>
    <r>
      <rPr>
        <sz val="10"/>
        <color theme="1"/>
        <rFont val="宋体"/>
        <charset val="134"/>
      </rPr>
      <t>使目标获得等同于</t>
    </r>
    <r>
      <rPr>
        <sz val="10"/>
        <color theme="1"/>
        <rFont val="Times New Roman"/>
        <charset val="134"/>
      </rPr>
      <t>1d6+</t>
    </r>
    <r>
      <rPr>
        <sz val="10"/>
        <color theme="1"/>
        <rFont val="宋体"/>
        <charset val="134"/>
      </rPr>
      <t xml:space="preserve">你牧师等级点的临时生命。
</t>
    </r>
    <r>
      <rPr>
        <sz val="10"/>
        <color theme="1"/>
        <rFont val="Times New Roman"/>
        <charset val="134"/>
      </rPr>
      <t xml:space="preserve">• </t>
    </r>
    <r>
      <rPr>
        <sz val="10"/>
        <color theme="1"/>
        <rFont val="宋体"/>
        <charset val="134"/>
      </rPr>
      <t>使目标结束一个正使他魅惑或恐慌的效应。</t>
    </r>
  </si>
  <si>
    <r>
      <rPr>
        <sz val="10"/>
        <color theme="1"/>
        <rFont val="宋体"/>
        <charset val="134"/>
      </rPr>
      <t>生机迸发</t>
    </r>
  </si>
  <si>
    <r>
      <rPr>
        <sz val="10"/>
        <color theme="1"/>
        <rFont val="宋体"/>
        <charset val="134"/>
      </rPr>
      <t>以一个魔法动作，你能够消耗一次荒野变形次数令你自身或你触碰的一名生物获得完成短休的增益。
此特性一经使用，直至完成长休你都无法再次使用。</t>
    </r>
  </si>
  <si>
    <r>
      <rPr>
        <sz val="10"/>
        <color theme="1"/>
        <rFont val="宋体"/>
        <charset val="134"/>
      </rPr>
      <t>欺诈箭</t>
    </r>
  </si>
  <si>
    <r>
      <rPr>
        <sz val="10"/>
        <color theme="1"/>
        <rFont val="宋体"/>
        <charset val="134"/>
      </rPr>
      <t>你的附魔魔法会让箭暂时欺骗目标。
被这发箭击中的角色会额外受到</t>
    </r>
    <r>
      <rPr>
        <sz val="10"/>
        <color theme="1"/>
        <rFont val="Times New Roman"/>
        <charset val="134"/>
      </rPr>
      <t>2d6</t>
    </r>
    <r>
      <rPr>
        <sz val="10"/>
        <color theme="1"/>
        <rFont val="宋体"/>
        <charset val="134"/>
      </rPr>
      <t>的精神伤害，而且选择距离目标</t>
    </r>
    <r>
      <rPr>
        <sz val="10"/>
        <color theme="1"/>
        <rFont val="Times New Roman"/>
        <charset val="134"/>
      </rPr>
      <t>30</t>
    </r>
    <r>
      <rPr>
        <sz val="10"/>
        <color theme="1"/>
        <rFont val="宋体"/>
        <charset val="134"/>
      </rPr>
      <t>尺内的一名队友。
目标必须成功通过一个感知豁免，或者被选择的队友魅惑直到你的下一个回合开始。
这个效果会提前结束如果被选择的队友攻击，伤害被魅惑的目标或者强迫其投豁免。
当你的战士等级到</t>
    </r>
    <r>
      <rPr>
        <sz val="10"/>
        <color theme="1"/>
        <rFont val="Times New Roman"/>
        <charset val="134"/>
      </rPr>
      <t>18</t>
    </r>
    <r>
      <rPr>
        <sz val="10"/>
        <color theme="1"/>
        <rFont val="宋体"/>
        <charset val="134"/>
      </rPr>
      <t>级时该精神伤害增加到</t>
    </r>
    <r>
      <rPr>
        <sz val="10"/>
        <color theme="1"/>
        <rFont val="Times New Roman"/>
        <charset val="134"/>
      </rPr>
      <t>4d6</t>
    </r>
    <r>
      <rPr>
        <sz val="10"/>
        <color theme="1"/>
        <rFont val="宋体"/>
        <charset val="134"/>
      </rPr>
      <t>。</t>
    </r>
  </si>
  <si>
    <r>
      <rPr>
        <sz val="10"/>
        <color theme="1"/>
        <rFont val="宋体"/>
        <charset val="134"/>
      </rPr>
      <t>寰宇复元</t>
    </r>
  </si>
  <si>
    <r>
      <rPr>
        <sz val="10"/>
        <color theme="1"/>
        <rFont val="宋体"/>
        <charset val="134"/>
      </rPr>
      <t>以一个附赠动作，你可以触碰一个自愿的生物（可以是你自己）并选择以下选项之一：
祛法触</t>
    </r>
    <r>
      <rPr>
        <sz val="10"/>
        <color theme="1"/>
        <rFont val="Times New Roman"/>
        <charset val="134"/>
      </rPr>
      <t>Dispelling Touch</t>
    </r>
    <r>
      <rPr>
        <sz val="10"/>
        <color theme="1"/>
        <rFont val="宋体"/>
        <charset val="134"/>
      </rPr>
      <t>。你终止目标身上任意你选择的所有法术效果。
净邪触</t>
    </r>
    <r>
      <rPr>
        <sz val="10"/>
        <color theme="1"/>
        <rFont val="Times New Roman"/>
        <charset val="134"/>
      </rPr>
      <t>Purging Touch</t>
    </r>
    <r>
      <rPr>
        <sz val="10"/>
        <color theme="1"/>
        <rFont val="宋体"/>
        <charset val="134"/>
      </rPr>
      <t>。你移除目标身上的以下状态之一：目盲、魅惑、耳聋、力竭（减少</t>
    </r>
    <r>
      <rPr>
        <sz val="10"/>
        <color theme="1"/>
        <rFont val="Times New Roman"/>
        <charset val="134"/>
      </rPr>
      <t>1</t>
    </r>
    <r>
      <rPr>
        <sz val="10"/>
        <color theme="1"/>
        <rFont val="宋体"/>
        <charset val="134"/>
      </rPr>
      <t>级）、恐慌、麻痹、石化、中毒或震慑。
使用此特性后，你需要完成一次长休才能再次使用。你也可以消耗</t>
    </r>
    <r>
      <rPr>
        <sz val="10"/>
        <color theme="1"/>
        <rFont val="Times New Roman"/>
        <charset val="134"/>
      </rPr>
      <t>4</t>
    </r>
    <r>
      <rPr>
        <sz val="10"/>
        <color theme="1"/>
        <rFont val="宋体"/>
        <charset val="134"/>
      </rPr>
      <t>点功力（无需动作）来恢复使用次数。</t>
    </r>
  </si>
  <si>
    <t>巫咒之誓引导神力</t>
  </si>
  <si>
    <t>你获得以下引导神力选项：
邪术诅咒 Curse of Hexes。以一个动作，你诅咒你能看到的30尺内的一个生物。当你诅咒一个目标时，选择一项属性。被选择的生物在一分钟内或直到其生命值降至0或失去意识之前，使用该属性进行的攻击检定、豁免检定和属性检定都具有劣势。在被诅咒的生物的每个回合结束时，它可以进行一次魅力豁免检定对抗你的法术豁免 DC。在成功豁免后，诅咒结束。
折磨诅咒 Curse of Torment。以一个附赠动作，你诅咒你能看到的30尺内的一个生物。灼热的痛苦会折磨目标一分钟。承受这种痛苦时，它每个回合开始时受到等于你圣武士等级的黯蚀伤害。每次受到该伤害时，它可以进行一次感知豁免检定对抗你的法术豁免 DC。在成功豁免后，痛苦结束。</t>
  </si>
  <si>
    <r>
      <rPr>
        <sz val="10"/>
        <color theme="1"/>
        <rFont val="宋体"/>
        <charset val="134"/>
      </rPr>
      <t>协同战术</t>
    </r>
  </si>
  <si>
    <r>
      <rPr>
        <sz val="10"/>
        <color theme="1"/>
        <rFont val="宋体"/>
        <charset val="134"/>
      </rPr>
      <t>你对协调团队协作有着与生俱来的洞察力。这一能力通过你的团队骰决定，团队骰将用于本子职赋予你的各项能力。当你达到特定的游侠等级时，团队骰的骰面会发生变化，具体变化参考团队骰表。
在你的回合开始时，投掷你的团队骰，并直至你下一回合开始时重新投掷前使用该结果。
协同打击</t>
    </r>
    <r>
      <rPr>
        <sz val="10"/>
        <color theme="1"/>
        <rFont val="Times New Roman"/>
        <charset val="134"/>
      </rPr>
      <t>Coordinated Strikes</t>
    </r>
    <r>
      <rPr>
        <sz val="10"/>
        <color theme="1"/>
        <rFont val="宋体"/>
        <charset val="134"/>
      </rPr>
      <t>。</t>
    </r>
    <r>
      <rPr>
        <sz val="10"/>
        <color theme="1"/>
        <rFont val="Times New Roman"/>
        <charset val="134"/>
      </rPr>
      <t xml:space="preserve"> </t>
    </r>
    <r>
      <rPr>
        <sz val="10"/>
        <color theme="1"/>
        <rFont val="宋体"/>
        <charset val="134"/>
      </rPr>
      <t>当你能看见的另一名生物通过攻击检定命中目标时，你可以使用反应投掷你的团队骰，并将掷出的数值加到该次攻击对目标造成的伤害上。此额外伤害的类型与初始攻击造成的伤害类型相同。
协同战术</t>
    </r>
    <r>
      <rPr>
        <sz val="10"/>
        <color theme="1"/>
        <rFont val="Times New Roman"/>
        <charset val="134"/>
      </rPr>
      <t>Coordinated Tactics</t>
    </r>
    <r>
      <rPr>
        <sz val="10"/>
        <color theme="1"/>
        <rFont val="宋体"/>
        <charset val="134"/>
      </rPr>
      <t>。</t>
    </r>
    <r>
      <rPr>
        <sz val="10"/>
        <color theme="1"/>
        <rFont val="Times New Roman"/>
        <charset val="134"/>
      </rPr>
      <t xml:space="preserve"> </t>
    </r>
    <r>
      <rPr>
        <sz val="10"/>
        <color theme="1"/>
        <rFont val="宋体"/>
        <charset val="134"/>
      </rPr>
      <t>你赋予盟友在战场上协调站位的能力。在你的回合开始时投掷团队骰后，你可以选择任意位于你</t>
    </r>
    <r>
      <rPr>
        <sz val="10"/>
        <color theme="1"/>
        <rFont val="Times New Roman"/>
        <charset val="134"/>
      </rPr>
      <t>60</t>
    </r>
    <r>
      <rPr>
        <sz val="10"/>
        <color theme="1"/>
        <rFont val="宋体"/>
        <charset val="134"/>
      </rPr>
      <t>尺范围内且能看见你的自愿生物。每个被选中的生物均可使用反应进行一段移动，移动距离为投掷值的</t>
    </r>
    <r>
      <rPr>
        <sz val="10"/>
        <color theme="1"/>
        <rFont val="Times New Roman"/>
        <charset val="134"/>
      </rPr>
      <t>5</t>
    </r>
    <r>
      <rPr>
        <sz val="10"/>
        <color theme="1"/>
        <rFont val="宋体"/>
        <charset val="134"/>
      </rPr>
      <t>倍或其速度（取两者中较低者）。此移动不会触发借机攻击，且不受困难地形影响。
游侠等级</t>
    </r>
    <r>
      <rPr>
        <sz val="10"/>
        <color theme="1"/>
        <rFont val="Times New Roman"/>
        <charset val="134"/>
      </rPr>
      <t xml:space="preserve"> </t>
    </r>
    <r>
      <rPr>
        <sz val="10"/>
        <color theme="1"/>
        <rFont val="宋体"/>
        <charset val="134"/>
      </rPr>
      <t xml:space="preserve">团队骰
</t>
    </r>
    <r>
      <rPr>
        <sz val="10"/>
        <color theme="1"/>
        <rFont val="Times New Roman"/>
        <charset val="134"/>
      </rPr>
      <t>3</t>
    </r>
    <r>
      <rPr>
        <sz val="10"/>
        <color theme="1"/>
        <rFont val="宋体"/>
        <charset val="134"/>
      </rPr>
      <t>级</t>
    </r>
    <r>
      <rPr>
        <sz val="10"/>
        <color theme="1"/>
        <rFont val="Times New Roman"/>
        <charset val="134"/>
      </rPr>
      <t xml:space="preserve"> d6
11</t>
    </r>
    <r>
      <rPr>
        <sz val="10"/>
        <color theme="1"/>
        <rFont val="宋体"/>
        <charset val="134"/>
      </rPr>
      <t>级</t>
    </r>
    <r>
      <rPr>
        <sz val="10"/>
        <color theme="1"/>
        <rFont val="Times New Roman"/>
        <charset val="134"/>
      </rPr>
      <t xml:space="preserve"> d8
17</t>
    </r>
    <r>
      <rPr>
        <sz val="10"/>
        <color theme="1"/>
        <rFont val="宋体"/>
        <charset val="134"/>
      </rPr>
      <t>级</t>
    </r>
    <r>
      <rPr>
        <sz val="10"/>
        <color theme="1"/>
        <rFont val="Times New Roman"/>
        <charset val="134"/>
      </rPr>
      <t xml:space="preserve"> d10</t>
    </r>
  </si>
  <si>
    <r>
      <rPr>
        <sz val="10"/>
        <color theme="1"/>
        <rFont val="宋体"/>
        <charset val="134"/>
      </rPr>
      <t>逝者遗物</t>
    </r>
  </si>
  <si>
    <r>
      <rPr>
        <sz val="10"/>
        <color theme="1"/>
        <rFont val="宋体"/>
        <charset val="134"/>
      </rPr>
      <t>当生命终结于你的眼前，你可从离去的灵魂中抓取出一小片其生命精华的具现化象征：当你</t>
    </r>
    <r>
      <rPr>
        <sz val="10"/>
        <color theme="1"/>
        <rFont val="Times New Roman"/>
        <charset val="134"/>
      </rPr>
      <t>30</t>
    </r>
    <r>
      <rPr>
        <sz val="10"/>
        <color theme="1"/>
        <rFont val="宋体"/>
        <charset val="134"/>
      </rPr>
      <t xml:space="preserve">尺内一个可见生物死亡时，你可以以一个反应张开一只空手，使得一个微型的饰物出现在你的掌心，那是一个魂器。
</t>
    </r>
    <r>
      <rPr>
        <sz val="10"/>
        <color theme="1"/>
        <rFont val="Times New Roman"/>
        <charset val="134"/>
      </rPr>
      <t>DM</t>
    </r>
    <r>
      <rPr>
        <sz val="10"/>
        <color theme="1"/>
        <rFont val="宋体"/>
        <charset val="134"/>
      </rPr>
      <t xml:space="preserve">决定魂器的外观或者让你骰玩家手册中的饰品表来决定。
你最多可以同时持有魂器的数目等同于你熟练加值的魂器且当你所持魂器数目达到上限时你不再能制造新的魂器。
你能以下列方式使用魂器：
当你随身携带着魂器时，由于你的生命力受到了魂器内蕴藏的生命精华的强化，你在死亡豁免检定和体质豁免检定上具有优势。
当你在你的回合里造成偷袭伤害时，你可以销毁你的一个魂器，在不消耗能力使用次数的情况下，瞬间使用墓穴惊嚎。
以一个动作，你可以销毁一个你的魂器，无论它在哪里。
若你如此做，你可以向与魂器相关的灵体一个问题。
灵体将出现在你面前并以它生前所知的一种语言回答。
它并无义务对你诚实，并由于其对自由的渴望将回答地尽量简略。
</t>
    </r>
    <r>
      <rPr>
        <sz val="10"/>
        <color theme="1"/>
        <rFont val="Times New Roman"/>
        <charset val="134"/>
      </rPr>
      <t>DM</t>
    </r>
    <r>
      <rPr>
        <sz val="10"/>
        <color theme="1"/>
        <rFont val="宋体"/>
        <charset val="134"/>
      </rPr>
      <t>应当决定在这个灵体只知道他生前所知。</t>
    </r>
  </si>
  <si>
    <r>
      <rPr>
        <sz val="10"/>
        <color theme="1"/>
        <rFont val="宋体"/>
        <charset val="134"/>
      </rPr>
      <t>与暗同体</t>
    </r>
  </si>
  <si>
    <r>
      <rPr>
        <sz val="10"/>
        <color theme="1"/>
        <rFont val="宋体"/>
        <charset val="134"/>
      </rPr>
      <t>你内在的黑暗因饥欲而翻涌，并使你蜕变。你转化为一种介于现实与阴影之间的存在。在你的回合中，你处于隐形状态，且无法被真实视觉或盲视所感知。只要你在该回合中尚未移动过，你便可以传送至多</t>
    </r>
    <r>
      <rPr>
        <sz val="10"/>
        <color theme="1"/>
        <rFont val="Times New Roman"/>
        <charset val="134"/>
      </rPr>
      <t>30</t>
    </r>
    <r>
      <rPr>
        <sz val="10"/>
        <color theme="1"/>
        <rFont val="宋体"/>
        <charset val="134"/>
      </rPr>
      <t>尺，到达一处你可见的未占据空间；使用此能力后，你的速度降为</t>
    </r>
    <r>
      <rPr>
        <sz val="10"/>
        <color theme="1"/>
        <rFont val="Times New Roman"/>
        <charset val="134"/>
      </rPr>
      <t>0</t>
    </r>
    <r>
      <rPr>
        <sz val="10"/>
        <color theme="1"/>
        <rFont val="宋体"/>
        <charset val="134"/>
      </rPr>
      <t>，直至当前回合结束。</t>
    </r>
  </si>
  <si>
    <r>
      <rPr>
        <sz val="10"/>
        <color theme="1"/>
        <rFont val="宋体"/>
        <charset val="134"/>
      </rPr>
      <t>妖精步伐</t>
    </r>
  </si>
  <si>
    <r>
      <rPr>
        <sz val="10"/>
        <color theme="1"/>
        <rFont val="宋体"/>
        <charset val="134"/>
      </rPr>
      <t>你的宗主授予你在位面的边界之间穿行的能力。你可以无需消耗法术位地施展迷踪步</t>
    </r>
    <r>
      <rPr>
        <sz val="10"/>
        <color theme="1"/>
        <rFont val="Times New Roman"/>
        <charset val="134"/>
      </rPr>
      <t>Misty Step</t>
    </r>
    <r>
      <rPr>
        <sz val="10"/>
        <color theme="1"/>
        <rFont val="宋体"/>
        <charset val="134"/>
      </rPr>
      <t>，次数等于你的魅力调整值（至少</t>
    </r>
    <r>
      <rPr>
        <sz val="10"/>
        <color theme="1"/>
        <rFont val="Times New Roman"/>
        <charset val="134"/>
      </rPr>
      <t>1</t>
    </r>
    <r>
      <rPr>
        <sz val="10"/>
        <color theme="1"/>
        <rFont val="宋体"/>
        <charset val="134"/>
      </rPr>
      <t>次），并在完成一次长休时重获所有已消耗的次数。
此外，每当你施展该法术时，你都可以选择造成下列额外效应之一：
复苏步伐</t>
    </r>
    <r>
      <rPr>
        <sz val="10"/>
        <color theme="1"/>
        <rFont val="Times New Roman"/>
        <charset val="134"/>
      </rPr>
      <t>Refreshing Step</t>
    </r>
    <r>
      <rPr>
        <sz val="10"/>
        <color theme="1"/>
        <rFont val="宋体"/>
        <charset val="134"/>
      </rPr>
      <t>。在你传送之后，你或一个你可见的位于你</t>
    </r>
    <r>
      <rPr>
        <sz val="10"/>
        <color theme="1"/>
        <rFont val="Times New Roman"/>
        <charset val="134"/>
      </rPr>
      <t>10</t>
    </r>
    <r>
      <rPr>
        <sz val="10"/>
        <color theme="1"/>
        <rFont val="宋体"/>
        <charset val="134"/>
      </rPr>
      <t>尺内的生物立刻获得</t>
    </r>
    <r>
      <rPr>
        <sz val="10"/>
        <color theme="1"/>
        <rFont val="Times New Roman"/>
        <charset val="134"/>
      </rPr>
      <t>1d10</t>
    </r>
    <r>
      <rPr>
        <sz val="10"/>
        <color theme="1"/>
        <rFont val="宋体"/>
        <charset val="134"/>
      </rPr>
      <t>临时生命值。
嘲弄步伐</t>
    </r>
    <r>
      <rPr>
        <sz val="10"/>
        <color theme="1"/>
        <rFont val="Times New Roman"/>
        <charset val="134"/>
      </rPr>
      <t>Taunting Step</t>
    </r>
    <r>
      <rPr>
        <sz val="10"/>
        <color theme="1"/>
        <rFont val="宋体"/>
        <charset val="134"/>
      </rPr>
      <t>。位于你传送前的空间</t>
    </r>
    <r>
      <rPr>
        <sz val="10"/>
        <color theme="1"/>
        <rFont val="Times New Roman"/>
        <charset val="134"/>
      </rPr>
      <t>5</t>
    </r>
    <r>
      <rPr>
        <sz val="10"/>
        <color theme="1"/>
        <rFont val="宋体"/>
        <charset val="134"/>
      </rPr>
      <t>尺内的生物必须成功通过一次对抗你法术豁免</t>
    </r>
    <r>
      <rPr>
        <sz val="10"/>
        <color theme="1"/>
        <rFont val="Times New Roman"/>
        <charset val="134"/>
      </rPr>
      <t>DC</t>
    </r>
    <r>
      <rPr>
        <sz val="10"/>
        <color theme="1"/>
        <rFont val="宋体"/>
        <charset val="134"/>
      </rPr>
      <t>的感知豁免，否则其在对除你之外的生物发动攻击检定时具有劣势，直至你的下一回合开始。</t>
    </r>
  </si>
  <si>
    <r>
      <rPr>
        <sz val="10"/>
        <color theme="1"/>
        <rFont val="宋体"/>
        <charset val="134"/>
      </rPr>
      <t>狂暴牵引</t>
    </r>
  </si>
  <si>
    <r>
      <rPr>
        <sz val="10"/>
        <color theme="1"/>
        <rFont val="宋体"/>
        <charset val="134"/>
      </rPr>
      <t>当处于你周围</t>
    </r>
    <r>
      <rPr>
        <sz val="10"/>
        <color theme="1"/>
        <rFont val="Times New Roman"/>
        <charset val="134"/>
      </rPr>
      <t>60</t>
    </r>
    <r>
      <rPr>
        <sz val="10"/>
        <color theme="1"/>
        <rFont val="宋体"/>
        <charset val="134"/>
      </rPr>
      <t>尺范围内且你可见的生物（除你以外）发动的武器攻击命中时，你都能用你的反应增幅这次攻击的速度，使被攻击的目标额外受到</t>
    </r>
    <r>
      <rPr>
        <sz val="10"/>
        <color theme="1"/>
        <rFont val="Times New Roman"/>
        <charset val="134"/>
      </rPr>
      <t>1d10</t>
    </r>
    <r>
      <rPr>
        <sz val="10"/>
        <color theme="1"/>
        <rFont val="宋体"/>
        <charset val="134"/>
      </rPr>
      <t>点伤害，此额外伤害的类型与武器的伤害类型相同。
此外，当你周围</t>
    </r>
    <r>
      <rPr>
        <sz val="10"/>
        <color theme="1"/>
        <rFont val="Times New Roman"/>
        <charset val="134"/>
      </rPr>
      <t>60</t>
    </r>
    <r>
      <rPr>
        <sz val="10"/>
        <color theme="1"/>
        <rFont val="宋体"/>
        <charset val="134"/>
      </rPr>
      <t>尺范围内的生物承受坠落伤害时，你也能用你的反应来增幅这次坠落，使坠落伤害增加</t>
    </r>
    <r>
      <rPr>
        <sz val="10"/>
        <color theme="1"/>
        <rFont val="Times New Roman"/>
        <charset val="134"/>
      </rPr>
      <t>2d10</t>
    </r>
    <r>
      <rPr>
        <sz val="10"/>
        <color theme="1"/>
        <rFont val="宋体"/>
        <charset val="134"/>
      </rPr>
      <t>。
你能使用本特性的次数等于你的智力调整值（最少一次）。在你完成一次长休后你重获全部已消耗的使用次数。</t>
    </r>
  </si>
  <si>
    <t>11+</t>
  </si>
  <si>
    <r>
      <rPr>
        <sz val="10"/>
        <color theme="1"/>
        <rFont val="宋体"/>
        <charset val="134"/>
      </rPr>
      <t>诱变剂</t>
    </r>
    <r>
      <rPr>
        <sz val="10"/>
        <color theme="1"/>
        <rFont val="Times New Roman"/>
        <charset val="134"/>
      </rPr>
      <t>-</t>
    </r>
    <r>
      <rPr>
        <sz val="10"/>
        <color theme="1"/>
        <rFont val="宋体"/>
        <charset val="134"/>
      </rPr>
      <t>升腾</t>
    </r>
  </si>
  <si>
    <r>
      <rPr>
        <sz val="10"/>
        <color theme="1"/>
        <rFont val="宋体"/>
        <charset val="134"/>
      </rPr>
      <t>先决条件：</t>
    </r>
    <r>
      <rPr>
        <sz val="10"/>
        <color theme="1"/>
        <rFont val="Times New Roman"/>
        <charset val="134"/>
      </rPr>
      <t xml:space="preserve">11 </t>
    </r>
    <r>
      <rPr>
        <sz val="10"/>
        <color theme="1"/>
        <rFont val="宋体"/>
        <charset val="134"/>
      </rPr>
      <t>级
你得到</t>
    </r>
    <r>
      <rPr>
        <sz val="10"/>
        <color theme="1"/>
        <rFont val="Times New Roman"/>
        <charset val="134"/>
      </rPr>
      <t xml:space="preserve"> 20 </t>
    </r>
    <r>
      <rPr>
        <sz val="10"/>
        <color theme="1"/>
        <rFont val="宋体"/>
        <charset val="134"/>
      </rPr>
      <t>尺飞行速度，持续</t>
    </r>
    <r>
      <rPr>
        <sz val="10"/>
        <color theme="1"/>
        <rFont val="Times New Roman"/>
        <charset val="134"/>
      </rPr>
      <t>1</t>
    </r>
    <r>
      <rPr>
        <sz val="10"/>
        <color theme="1"/>
        <rFont val="宋体"/>
        <charset val="134"/>
      </rPr>
      <t>小时。
副作用：生效期间，力量及敏捷检定有劣势。</t>
    </r>
  </si>
  <si>
    <r>
      <rPr>
        <sz val="10"/>
        <color theme="1"/>
        <rFont val="宋体"/>
        <charset val="134"/>
      </rPr>
      <t>元素调节</t>
    </r>
  </si>
  <si>
    <r>
      <rPr>
        <sz val="10"/>
        <color theme="1"/>
        <rFont val="宋体"/>
        <charset val="134"/>
      </rPr>
      <t>当你使用药剂师法术环位施展一个造型以下伤害类型之一的法术时，你可以将伤害类型替换为所列出的另一个类型：强酸，冷冻，火焰，闪电，或毒素。</t>
    </r>
  </si>
  <si>
    <t>吾令汝命</t>
  </si>
  <si>
    <r>
      <rPr>
        <sz val="10"/>
        <color theme="1"/>
        <rFont val="宋体"/>
        <charset val="134"/>
      </rPr>
      <t>当位于你</t>
    </r>
    <r>
      <rPr>
        <sz val="10"/>
        <color theme="1"/>
        <rFont val="Times New Roman"/>
        <charset val="134"/>
      </rPr>
      <t>30</t>
    </r>
    <r>
      <rPr>
        <sz val="10"/>
        <color theme="1"/>
        <rFont val="宋体"/>
        <charset val="134"/>
      </rPr>
      <t>尺内能听见你的盟友生命值降至</t>
    </r>
    <r>
      <rPr>
        <sz val="10"/>
        <color theme="1"/>
        <rFont val="Times New Roman"/>
        <charset val="134"/>
      </rPr>
      <t>0</t>
    </r>
    <r>
      <rPr>
        <sz val="10"/>
        <color theme="1"/>
        <rFont val="宋体"/>
        <charset val="134"/>
      </rPr>
      <t>且没有立即死亡时，你能够以反应向其大声下令，使其生命值改为降至</t>
    </r>
    <r>
      <rPr>
        <sz val="10"/>
        <color theme="1"/>
        <rFont val="Times New Roman"/>
        <charset val="134"/>
      </rPr>
      <t>1</t>
    </r>
    <r>
      <rPr>
        <sz val="10"/>
        <color theme="1"/>
        <rFont val="宋体"/>
        <charset val="134"/>
      </rPr>
      <t>。
此反应一经使用，直至完成短休或长休你都无法再次使用。</t>
    </r>
  </si>
  <si>
    <r>
      <rPr>
        <sz val="10"/>
        <color theme="1"/>
        <rFont val="宋体"/>
        <charset val="134"/>
      </rPr>
      <t>战斗大师</t>
    </r>
  </si>
  <si>
    <t>神力灌注</t>
  </si>
  <si>
    <t>你的天生力量得到强化，你所崇拜的神明给予你以非人的能力：
&gt; 如果你没有威吓技能的熟练项，获得之，并在你的威吓检定中加入双倍的熟练加值。
&gt; 在计算你的负重能力和你能够推、拉或抬起物体的重量时，你的体型视为比你当前的体型大一级。你的跳远和跳高距离翻倍。</t>
  </si>
  <si>
    <t>惨中取意</t>
  </si>
  <si>
    <r>
      <rPr>
        <sz val="10"/>
        <color theme="1"/>
        <rFont val="宋体"/>
        <charset val="134"/>
      </rPr>
      <t>在你加入悲剧学院后，你习得了如何驾驭失败中的美感，在最可怕的命运挫折中寻找灵感。当你或一位</t>
    </r>
    <r>
      <rPr>
        <sz val="10"/>
        <color theme="1"/>
        <rFont val="宋体"/>
        <charset val="134"/>
      </rPr>
      <t>30</t>
    </r>
    <r>
      <rPr>
        <sz val="10"/>
        <color theme="1"/>
        <rFont val="宋体"/>
        <charset val="134"/>
      </rPr>
      <t>尺内的盟友在一次攻击检定、属性检定、或豁免检定中投出</t>
    </r>
    <r>
      <rPr>
        <sz val="10"/>
        <color theme="1"/>
        <rFont val="宋体"/>
        <charset val="134"/>
      </rPr>
      <t>1</t>
    </r>
    <r>
      <rPr>
        <sz val="10"/>
        <color theme="1"/>
        <rFont val="宋体"/>
        <charset val="134"/>
      </rPr>
      <t>时，你能以你的反应来为其配上一次独白。此时，你将恢复一次已消耗的</t>
    </r>
    <r>
      <rPr>
        <sz val="10"/>
        <color theme="1"/>
        <rFont val="宋体"/>
        <charset val="134"/>
      </rPr>
      <t xml:space="preserve"> </t>
    </r>
    <r>
      <rPr>
        <sz val="10"/>
        <color theme="1"/>
        <rFont val="宋体"/>
        <charset val="134"/>
      </rPr>
      <t>吟游诗人激励</t>
    </r>
    <r>
      <rPr>
        <sz val="10"/>
        <color theme="1"/>
        <rFont val="宋体"/>
        <charset val="134"/>
      </rPr>
      <t xml:space="preserve">Bardic Inspiration </t>
    </r>
    <r>
      <rPr>
        <sz val="10"/>
        <color theme="1"/>
        <rFont val="宋体"/>
        <charset val="134"/>
      </rPr>
      <t>特性使用次数。</t>
    </r>
  </si>
  <si>
    <r>
      <rPr>
        <sz val="10"/>
        <color theme="1"/>
        <rFont val="宋体"/>
        <charset val="134"/>
      </rPr>
      <t>午夜飞步</t>
    </r>
  </si>
  <si>
    <r>
      <rPr>
        <sz val="10"/>
        <color theme="1"/>
        <rFont val="宋体"/>
        <charset val="134"/>
      </rPr>
      <t>你使用夜晚的神秘力量来飞上空中。
你使用夜晚的神秘力量来飞上空中。当你处于微光光照或黑暗中时，你能以一个附赠动作用魔法使自己获得等于自身步行速度的飞行速度，持续</t>
    </r>
    <r>
      <rPr>
        <sz val="10"/>
        <color theme="1"/>
        <rFont val="Times New Roman"/>
        <charset val="134"/>
      </rPr>
      <t>1</t>
    </r>
    <r>
      <rPr>
        <sz val="10"/>
        <color theme="1"/>
        <rFont val="宋体"/>
        <charset val="134"/>
      </rPr>
      <t>分钟。
你可以使用此特性的次数等同于你的熟练加值，当你完成一次长休时重获全部已消耗的使用次数。</t>
    </r>
  </si>
  <si>
    <t>秽染结社法术</t>
  </si>
  <si>
    <t>当你到达海洋结社法术表中特定的德鲁伊等级时，你就始终准备了表中对应的法术。
秽染结社法术Circle Spells
德鲁伊等级 准备法术
3 冻寒之触chill touch，毒药飞针poison needle，生物危害Biohazard*，可控突变controlled mutation*
5 祛除污染purge contamination*，恶毒灵光venomous aura*
7 恐怖转变horrific transformation*，猛毒波poison wave*
9 酸雨术acid rain*，猛毒弹幕toxic barrage*</t>
  </si>
  <si>
    <r>
      <rPr>
        <sz val="10"/>
        <color theme="1"/>
        <rFont val="宋体"/>
        <charset val="134"/>
      </rPr>
      <t>爆裂箭</t>
    </r>
  </si>
  <si>
    <r>
      <rPr>
        <sz val="10"/>
        <color theme="1"/>
        <rFont val="宋体"/>
        <charset val="134"/>
      </rPr>
      <t>你将从塑能魔法中汲取的力场能量注入到箭中，这股能量会在你攻击后爆炸。
当箭击中目标后，目标和其</t>
    </r>
    <r>
      <rPr>
        <sz val="10"/>
        <color theme="1"/>
        <rFont val="Times New Roman"/>
        <charset val="134"/>
      </rPr>
      <t>10</t>
    </r>
    <r>
      <rPr>
        <sz val="10"/>
        <color theme="1"/>
        <rFont val="宋体"/>
        <charset val="134"/>
      </rPr>
      <t>尺内所有的角色都受到</t>
    </r>
    <r>
      <rPr>
        <sz val="10"/>
        <color theme="1"/>
        <rFont val="Times New Roman"/>
        <charset val="134"/>
      </rPr>
      <t>2d6</t>
    </r>
    <r>
      <rPr>
        <sz val="10"/>
        <color theme="1"/>
        <rFont val="宋体"/>
        <charset val="134"/>
      </rPr>
      <t>的力场伤害。
当你的战士等级到</t>
    </r>
    <r>
      <rPr>
        <sz val="10"/>
        <color theme="1"/>
        <rFont val="Times New Roman"/>
        <charset val="134"/>
      </rPr>
      <t>18</t>
    </r>
    <r>
      <rPr>
        <sz val="10"/>
        <color theme="1"/>
        <rFont val="宋体"/>
        <charset val="134"/>
      </rPr>
      <t>级时该力场伤害增加到</t>
    </r>
    <r>
      <rPr>
        <sz val="10"/>
        <color theme="1"/>
        <rFont val="Times New Roman"/>
        <charset val="134"/>
      </rPr>
      <t>4d6</t>
    </r>
    <r>
      <rPr>
        <sz val="10"/>
        <color theme="1"/>
        <rFont val="宋体"/>
        <charset val="134"/>
      </rPr>
      <t>。</t>
    </r>
  </si>
  <si>
    <r>
      <rPr>
        <sz val="10"/>
        <color theme="1"/>
        <rFont val="宋体"/>
        <charset val="134"/>
      </rPr>
      <t>邪祟封禁</t>
    </r>
  </si>
  <si>
    <r>
      <rPr>
        <sz val="10"/>
        <color theme="1"/>
        <rFont val="宋体"/>
        <charset val="134"/>
      </rPr>
      <t>每回合一次，当你的徒手打击命中一个生物时，你可以消耗</t>
    </r>
    <r>
      <rPr>
        <sz val="10"/>
        <color theme="1"/>
        <rFont val="Times New Roman"/>
        <charset val="134"/>
      </rPr>
      <t>3</t>
    </r>
    <r>
      <rPr>
        <sz val="10"/>
        <color theme="1"/>
        <rFont val="宋体"/>
        <charset val="134"/>
      </rPr>
      <t>点功力以对该生物施展放逐术</t>
    </r>
    <r>
      <rPr>
        <sz val="10"/>
        <color theme="1"/>
        <rFont val="Times New Roman"/>
        <charset val="134"/>
      </rPr>
      <t>Banishment</t>
    </r>
    <r>
      <rPr>
        <sz val="10"/>
        <color theme="1"/>
        <rFont val="宋体"/>
        <charset val="134"/>
      </rPr>
      <t>。你使用感知作为此法术的施法关键属性。</t>
    </r>
  </si>
  <si>
    <t>迷惑光环</t>
  </si>
  <si>
    <t>你散发出一个范围达10尺的魔能光环。当敌人对你或你周围10尺范围内的生物发动攻击命中时，你可以使用你的反应让该敌人进行一次魅力豁免检定对抗你的法术豁免 DC。豁免失败时，你可以魔法般地将攻击重定向到你周围10尺内你选择的另一个生物身上，该生物需要在这一攻击的范围内。新目标受到攻击并承受所有伤害和效果。
在18级时，光环的范围增加到30尺。</t>
  </si>
  <si>
    <r>
      <rPr>
        <sz val="10"/>
        <color theme="1"/>
        <rFont val="宋体"/>
        <charset val="134"/>
      </rPr>
      <t>引领前路</t>
    </r>
  </si>
  <si>
    <r>
      <rPr>
        <sz val="10"/>
        <color theme="1"/>
        <rFont val="宋体"/>
        <charset val="134"/>
      </rPr>
      <t>当你使用具备专精的技能熟练项进行属性检定并成功时，你可以选择自身</t>
    </r>
    <r>
      <rPr>
        <sz val="10"/>
        <color theme="1"/>
        <rFont val="Times New Roman"/>
        <charset val="134"/>
      </rPr>
      <t>60</t>
    </r>
    <r>
      <rPr>
        <sz val="10"/>
        <color theme="1"/>
        <rFont val="宋体"/>
        <charset val="134"/>
      </rPr>
      <t>尺范围内其他任意生物。直至你下一回合开始前每个被选中的生物在进行同类检定时，可获得一个等于你该回合团队骰掷出值的加值。</t>
    </r>
  </si>
  <si>
    <r>
      <rPr>
        <sz val="10"/>
        <color theme="1"/>
        <rFont val="宋体"/>
        <charset val="134"/>
      </rPr>
      <t>幽灵漫步</t>
    </r>
  </si>
  <si>
    <r>
      <rPr>
        <sz val="10"/>
        <color theme="1"/>
        <rFont val="宋体"/>
        <charset val="134"/>
      </rPr>
      <t>你可以部分的进入死亡的领域，变得如同一个幽灵。
作为一个附赠动作，你化为灵体的形态。
处于这种形态时，你拥有</t>
    </r>
    <r>
      <rPr>
        <sz val="10"/>
        <color theme="1"/>
        <rFont val="Times New Roman"/>
        <charset val="134"/>
      </rPr>
      <t>10</t>
    </r>
    <r>
      <rPr>
        <sz val="10"/>
        <color theme="1"/>
        <rFont val="宋体"/>
        <charset val="134"/>
      </rPr>
      <t>尺的飞行速度，能够盘旋，并且针对你的攻击都具有劣势。
你也可以如同是困难地形那样穿过生物或者物品，但是如果回合结束时你仍然在内部，你将受到</t>
    </r>
    <r>
      <rPr>
        <sz val="10"/>
        <color theme="1"/>
        <rFont val="Times New Roman"/>
        <charset val="134"/>
      </rPr>
      <t>1d10</t>
    </r>
    <r>
      <rPr>
        <sz val="10"/>
        <color theme="1"/>
        <rFont val="宋体"/>
        <charset val="134"/>
      </rPr>
      <t>点力场伤害。
该形态持续</t>
    </r>
    <r>
      <rPr>
        <sz val="10"/>
        <color theme="1"/>
        <rFont val="Times New Roman"/>
        <charset val="134"/>
      </rPr>
      <t>10</t>
    </r>
    <r>
      <rPr>
        <sz val="10"/>
        <color theme="1"/>
        <rFont val="宋体"/>
        <charset val="134"/>
      </rPr>
      <t>分钟或直到你以一个附赠动作将其解除。
你再次使用此特性前必须完成一次长休。
或者你以同一个附赠动作销毁一个你的魂器并激活幽灵漫步。</t>
    </r>
  </si>
  <si>
    <t>妄质法术</t>
  </si>
  <si>
    <t>你的魔法因妄质的古怪力量而从根源上受到污染。当你在这个职业中达到某些等级时，你将学会额外的法术，如妄质法术表所示。这些法术每一项都视为术士法术，但不计入你的已知术士法术数量中。
每当你获得一个术士等级时，你可以用同等级的另一个法术替换你从这个特性中获得的一个法术。新的法术必须是一个污染法术.
术士等级 法术
1级 彗星碎片Comet Shards*, 妖火faerie fire
3级 可控突变Controlled Mutation*, 擒拿鬼手Grasping Ghost*
5级 匿于世界之隙Vanish to theSpace Between Worlds*, 编织古老图纹 Weave the Elder Sign*
7级 虹吸时间Siphon Time*, 妄质元素召唤术Summon Delerium Elemental*
9级 污染之手Contaminated Hands*, 力场墙wall of force</t>
  </si>
  <si>
    <r>
      <rPr>
        <sz val="10"/>
        <color theme="1"/>
        <rFont val="宋体"/>
        <charset val="134"/>
      </rPr>
      <t>雾遁</t>
    </r>
  </si>
  <si>
    <r>
      <rPr>
        <sz val="10"/>
        <color theme="1"/>
        <rFont val="宋体"/>
        <charset val="134"/>
      </rPr>
      <t>当你受到伤害时，你可以用反应施展迷踪步</t>
    </r>
    <r>
      <rPr>
        <sz val="10"/>
        <color theme="1"/>
        <rFont val="Times New Roman"/>
        <charset val="134"/>
      </rPr>
      <t>Misty Step</t>
    </r>
    <r>
      <rPr>
        <sz val="10"/>
        <color theme="1"/>
        <rFont val="宋体"/>
        <charset val="134"/>
      </rPr>
      <t>。
此外，你的妖精步伐获得以下选项。
无踪步伐</t>
    </r>
    <r>
      <rPr>
        <sz val="10"/>
        <color theme="1"/>
        <rFont val="Times New Roman"/>
        <charset val="134"/>
      </rPr>
      <t>Disappearing Step</t>
    </r>
    <r>
      <rPr>
        <sz val="10"/>
        <color theme="1"/>
        <rFont val="宋体"/>
        <charset val="134"/>
      </rPr>
      <t>。你获得隐形状态，持续到你的下一回合开始或你进行攻击检定、造成伤害、或是施展一道法术之后。
惊惧步伐</t>
    </r>
    <r>
      <rPr>
        <sz val="10"/>
        <color theme="1"/>
        <rFont val="Times New Roman"/>
        <charset val="134"/>
      </rPr>
      <t>Dreadful Step</t>
    </r>
    <r>
      <rPr>
        <sz val="10"/>
        <color theme="1"/>
        <rFont val="宋体"/>
        <charset val="134"/>
      </rPr>
      <t>。位于你传送前或传送后的空间（由你选择）</t>
    </r>
    <r>
      <rPr>
        <sz val="10"/>
        <color theme="1"/>
        <rFont val="Times New Roman"/>
        <charset val="134"/>
      </rPr>
      <t>5</t>
    </r>
    <r>
      <rPr>
        <sz val="10"/>
        <color theme="1"/>
        <rFont val="宋体"/>
        <charset val="134"/>
      </rPr>
      <t>尺内的生物必须进行一次对抗你法术豁免</t>
    </r>
    <r>
      <rPr>
        <sz val="10"/>
        <color theme="1"/>
        <rFont val="Times New Roman"/>
        <charset val="134"/>
      </rPr>
      <t>DC</t>
    </r>
    <r>
      <rPr>
        <sz val="10"/>
        <color theme="1"/>
        <rFont val="宋体"/>
        <charset val="134"/>
      </rPr>
      <t>的感知豁免，豁免失败则受到</t>
    </r>
    <r>
      <rPr>
        <sz val="10"/>
        <color theme="1"/>
        <rFont val="Times New Roman"/>
        <charset val="134"/>
      </rPr>
      <t>2d10</t>
    </r>
    <r>
      <rPr>
        <sz val="10"/>
        <color theme="1"/>
        <rFont val="宋体"/>
        <charset val="134"/>
      </rPr>
      <t>心灵伤害。</t>
    </r>
  </si>
  <si>
    <r>
      <rPr>
        <sz val="10"/>
        <color theme="1"/>
        <rFont val="宋体"/>
        <charset val="134"/>
      </rPr>
      <t>事件视界</t>
    </r>
  </si>
  <si>
    <r>
      <rPr>
        <sz val="10"/>
        <color theme="1"/>
        <rFont val="宋体"/>
        <charset val="134"/>
      </rPr>
      <t>以一个动作，你能魔法性的散发出由重力能量引起的拖拽其他生物的强大力场。力场会存在至多</t>
    </r>
    <r>
      <rPr>
        <sz val="10"/>
        <color theme="1"/>
        <rFont val="Times New Roman"/>
        <charset val="134"/>
      </rPr>
      <t>1</t>
    </r>
    <r>
      <rPr>
        <sz val="10"/>
        <color theme="1"/>
        <rFont val="宋体"/>
        <charset val="134"/>
      </rPr>
      <t>分钟，若你的专注终止（如同你正专注于一个法术一样）它也会提前结束。
在持续时间内，当一个处于你周围</t>
    </r>
    <r>
      <rPr>
        <sz val="10"/>
        <color theme="1"/>
        <rFont val="Times New Roman"/>
        <charset val="134"/>
      </rPr>
      <t>30</t>
    </r>
    <r>
      <rPr>
        <sz val="10"/>
        <color theme="1"/>
        <rFont val="宋体"/>
        <charset val="134"/>
      </rPr>
      <t>尺范围内、且与你敌对的生物开始其回合时，该生物必须进行一次力量豁免对抗你的法术</t>
    </r>
    <r>
      <rPr>
        <sz val="10"/>
        <color theme="1"/>
        <rFont val="Times New Roman"/>
        <charset val="134"/>
      </rPr>
      <t>DC</t>
    </r>
    <r>
      <rPr>
        <sz val="10"/>
        <color theme="1"/>
        <rFont val="宋体"/>
        <charset val="134"/>
      </rPr>
      <t>。豁免失败时，该生物将受到</t>
    </r>
    <r>
      <rPr>
        <sz val="10"/>
        <color theme="1"/>
        <rFont val="Times New Roman"/>
        <charset val="134"/>
      </rPr>
      <t>2d10</t>
    </r>
    <r>
      <rPr>
        <sz val="10"/>
        <color theme="1"/>
        <rFont val="宋体"/>
        <charset val="134"/>
      </rPr>
      <t>的力场伤害，且移动速度降低至</t>
    </r>
    <r>
      <rPr>
        <sz val="10"/>
        <color theme="1"/>
        <rFont val="Times New Roman"/>
        <charset val="134"/>
      </rPr>
      <t>0</t>
    </r>
    <r>
      <rPr>
        <sz val="10"/>
        <color theme="1"/>
        <rFont val="宋体"/>
        <charset val="134"/>
      </rPr>
      <t>尺，持续直至该生物的下一个回合开始。豁免成功时，该生物只会受到半数的伤害，且每移动一尺需要额外花费</t>
    </r>
    <r>
      <rPr>
        <sz val="10"/>
        <color theme="1"/>
        <rFont val="Times New Roman"/>
        <charset val="134"/>
      </rPr>
      <t>2</t>
    </r>
    <r>
      <rPr>
        <sz val="10"/>
        <color theme="1"/>
        <rFont val="宋体"/>
        <charset val="134"/>
      </rPr>
      <t>尺的移动力。
一旦你使用了本特性，直到你完成一次长休前你都无法再次使用它。你也可以花费一个</t>
    </r>
    <r>
      <rPr>
        <sz val="10"/>
        <color theme="1"/>
        <rFont val="Times New Roman"/>
        <charset val="134"/>
      </rPr>
      <t>3</t>
    </r>
    <r>
      <rPr>
        <sz val="10"/>
        <color theme="1"/>
        <rFont val="宋体"/>
        <charset val="134"/>
      </rPr>
      <t>环或更高的法术位来再次使用它。</t>
    </r>
  </si>
  <si>
    <r>
      <rPr>
        <sz val="10"/>
        <color theme="1"/>
        <rFont val="宋体"/>
        <charset val="134"/>
      </rPr>
      <t>诱变剂</t>
    </r>
    <r>
      <rPr>
        <sz val="10"/>
        <color theme="1"/>
        <rFont val="Times New Roman"/>
        <charset val="134"/>
      </rPr>
      <t>-</t>
    </r>
    <r>
      <rPr>
        <sz val="10"/>
        <color theme="1"/>
        <rFont val="宋体"/>
        <charset val="134"/>
      </rPr>
      <t>残虐</t>
    </r>
  </si>
  <si>
    <r>
      <rPr>
        <sz val="10"/>
        <color theme="1"/>
        <rFont val="宋体"/>
        <charset val="134"/>
      </rPr>
      <t>先决条件：</t>
    </r>
    <r>
      <rPr>
        <sz val="10"/>
        <color theme="1"/>
        <rFont val="Times New Roman"/>
        <charset val="134"/>
      </rPr>
      <t xml:space="preserve">11 </t>
    </r>
    <r>
      <rPr>
        <sz val="10"/>
        <color theme="1"/>
        <rFont val="宋体"/>
        <charset val="134"/>
      </rPr>
      <t>级
当你执行攻击动作，你可以以一个附赠动作发动一次额外的武器攻击。
副作用：你进行的智力、感知及魅力豁免检定具有劣势。</t>
    </r>
  </si>
  <si>
    <r>
      <rPr>
        <sz val="10"/>
        <color theme="1"/>
        <rFont val="宋体"/>
        <charset val="134"/>
      </rPr>
      <t>化学灾变</t>
    </r>
  </si>
  <si>
    <r>
      <rPr>
        <sz val="10"/>
        <color theme="1"/>
        <rFont val="宋体"/>
        <charset val="134"/>
      </rPr>
      <t>当你以药剂师法术位施展一个造成强酸，冷冻，火焰，闪电，或毒素伤害类型的法术时，该法术被视为以</t>
    </r>
    <r>
      <rPr>
        <sz val="10"/>
        <color theme="1"/>
        <rFont val="Times New Roman"/>
        <charset val="134"/>
      </rPr>
      <t>7</t>
    </r>
    <r>
      <rPr>
        <sz val="10"/>
        <color theme="1"/>
        <rFont val="宋体"/>
        <charset val="134"/>
      </rPr>
      <t>环法术位释放。</t>
    </r>
  </si>
  <si>
    <t>扼喉</t>
  </si>
  <si>
    <r>
      <rPr>
        <sz val="10"/>
        <color theme="1"/>
        <rFont val="宋体"/>
        <charset val="134"/>
      </rPr>
      <t>先决：邪狱使等级</t>
    </r>
    <r>
      <rPr>
        <sz val="10"/>
        <color theme="1"/>
        <rFont val="Times New Roman"/>
        <charset val="134"/>
      </rPr>
      <t>13+</t>
    </r>
    <r>
      <rPr>
        <sz val="10"/>
        <color theme="1"/>
        <rFont val="宋体"/>
        <charset val="134"/>
      </rPr>
      <t>（恐惧屠戮者）
当你使用附赠动作施加或转移缄印给一名体型比你至多大一级的生物时，其必须成功通过一次感知豁免，否则将陷入束缚，直至其下一回合结束。</t>
    </r>
  </si>
  <si>
    <r>
      <rPr>
        <sz val="10"/>
        <color theme="1"/>
        <rFont val="宋体"/>
        <charset val="134"/>
      </rPr>
      <t>勇士</t>
    </r>
  </si>
  <si>
    <t>身经百战</t>
  </si>
  <si>
    <t>你获得等于你移动速度的攀爬速度。
此外，你擒抱敌人和将任何物品变为武器的能力得到提升。你获得以下好处：
&gt; 你可以擒抱或推撞体比你大至多两级的生物。
&gt; 当你擒抱一个生物时，你的移动力不再减半。
&gt; 你的徒手攻击和使用临时武器发动的攻击在面对具有钝击、穿刺或挥砍抗性的目标时视为魔法武器攻击。
&gt; 你可以将一个被你擒抱的生物当作临时武器使用。当你使用被擒抱的生物当做临时武器攻击另一个目标时，被擒抱的生物受到等于 你的力量调整值+你的熟练加值 的伤害。当你将一个生物当做临时武器时，用他作投掷攻击时视为具有 射程10/20。</t>
  </si>
  <si>
    <t>多舛命运</t>
  </si>
  <si>
    <r>
      <rPr>
        <sz val="10"/>
        <color theme="1"/>
        <rFont val="宋体"/>
        <charset val="134"/>
      </rPr>
      <t>你能够利用敌人深陷险境来为其灌输深深的悲伤和破灭感。当你或你可见的盟友正迫使某一生物进行一次豁免检定时，你能消耗一次诗人激励来将豁免的类型改为一次魅力豁免。
若其豁免失败，投掷你的诗人激励骰，那个生物还将受到等同于投掷结果的心灵伤害，并在接下来的</t>
    </r>
    <r>
      <rPr>
        <sz val="10"/>
        <color theme="1"/>
        <rFont val="Times New Roman"/>
        <charset val="134"/>
      </rPr>
      <t>1</t>
    </r>
    <r>
      <rPr>
        <sz val="10"/>
        <color theme="1"/>
        <rFont val="宋体"/>
        <charset val="134"/>
      </rPr>
      <t>分钟内被悔恨所困扰。若目标具有语言能力，且在这段时间内生命值被降为了</t>
    </r>
    <r>
      <rPr>
        <sz val="10"/>
        <color theme="1"/>
        <rFont val="Times New Roman"/>
        <charset val="134"/>
      </rPr>
      <t>0</t>
    </r>
    <r>
      <rPr>
        <sz val="10"/>
        <color theme="1"/>
        <rFont val="宋体"/>
        <charset val="134"/>
      </rPr>
      <t>，他们将会在陷入濒死前，被魔法强迫着、阴惨惨的念出充满诗意的遗言。
一旦你使用了这一特性，直到完成一次短休或长休前你都无法再次使用它。</t>
    </r>
  </si>
  <si>
    <r>
      <rPr>
        <sz val="10"/>
        <color theme="1"/>
        <rFont val="宋体"/>
        <charset val="134"/>
      </rPr>
      <t>暮光守护</t>
    </r>
  </si>
  <si>
    <r>
      <rPr>
        <sz val="10"/>
        <color theme="1"/>
        <rFont val="宋体"/>
        <charset val="134"/>
      </rPr>
      <t>暮光拥抱着你并提供保护，处于你暮光圣域的球体内的你和你的盟友处于半身掩护。</t>
    </r>
  </si>
  <si>
    <t>枯败法术</t>
  </si>
  <si>
    <t>你的魔法变为对德鲁伊信条的扭曲嘲弄，而你也能根据需要扭曲自己的法术。你召唤生物或自然动植物的法术看起来病态，充满血肉触须，而召来的动物则充满变异和病症。此外，当你施展一个法术时，你可以选择以下一个枯败魔法选项：
孪生法术：如果你施展的法术施展一个影响单一生物，且施法距离并非自身时，你可以消耗一次你的荒野变形特性使用次数，并在法术施法距离内再指定另一个目标。
瞬发法术：当你施展一个施法时间为1动作的法术时，你可以消耗一次你的荒野变形特性使用次数将其施法时间改为1附赠动作。
腐化法术：当你为法术进行伤害掷骰时，你可以使用一次荒野变形特性使用次数，将法术的伤害类型变为黯蚀。此外，你可以重掷其中一定数量的骰子。重掷骰子的最大数等于你的感知调整值（至少为1），且你必须接受新的结果。
净化法术：当你施展一个受污染法术（见第四章）时，你可以消耗一次荒野变形特性使用次数来在不获得污染等级的情况下施展它。</t>
  </si>
  <si>
    <r>
      <rPr>
        <sz val="10"/>
        <color theme="1"/>
        <rFont val="宋体"/>
        <charset val="134"/>
      </rPr>
      <t>凋零箭</t>
    </r>
  </si>
  <si>
    <r>
      <rPr>
        <sz val="10"/>
        <color theme="1"/>
        <rFont val="宋体"/>
        <charset val="134"/>
      </rPr>
      <t>你在你的箭上施展死灵魔法。
被这发箭击中的角色会额外受到</t>
    </r>
    <r>
      <rPr>
        <sz val="10"/>
        <color theme="1"/>
        <rFont val="Times New Roman"/>
        <charset val="134"/>
      </rPr>
      <t>2d6</t>
    </r>
    <r>
      <rPr>
        <sz val="10"/>
        <color theme="1"/>
        <rFont val="宋体"/>
        <charset val="134"/>
      </rPr>
      <t>的黯蚀伤害。
目标必须成功通过一个体质豁免，或者他的武器攻击造成的伤害在你的下一个回合开始之前减半。
当你的战士等级到</t>
    </r>
    <r>
      <rPr>
        <sz val="10"/>
        <color theme="1"/>
        <rFont val="Times New Roman"/>
        <charset val="134"/>
      </rPr>
      <t>18</t>
    </r>
    <r>
      <rPr>
        <sz val="10"/>
        <color theme="1"/>
        <rFont val="宋体"/>
        <charset val="134"/>
      </rPr>
      <t>级时该黯蚀伤害增加到</t>
    </r>
    <r>
      <rPr>
        <sz val="10"/>
        <color theme="1"/>
        <rFont val="Times New Roman"/>
        <charset val="134"/>
      </rPr>
      <t>4d6</t>
    </r>
    <r>
      <rPr>
        <sz val="10"/>
        <color theme="1"/>
        <rFont val="宋体"/>
        <charset val="134"/>
      </rPr>
      <t>。</t>
    </r>
  </si>
  <si>
    <t>委蛇态</t>
  </si>
  <si>
    <t>你获得长柄刀、戟、长矛、三叉戟和所有类矛或长柄武器的熟练项。即使这些武器具有重型或双手属性，它们仍对你视作武僧武器。此外，你在使用这些武器时的优雅和熟练令你的徒手攻击不会因握持双手武器而受限。
当你双手握持长棍、矛或三叉戟时，那个武器获得触及Reach属性。</t>
  </si>
  <si>
    <t>逆转命运</t>
  </si>
  <si>
    <t>每当一个生物对你造成重击时，下一次你用攻击命中该生物时，该攻击自动成为重击。</t>
  </si>
  <si>
    <r>
      <rPr>
        <sz val="10"/>
        <color theme="1"/>
        <rFont val="宋体"/>
        <charset val="134"/>
      </rPr>
      <t>战术突袭</t>
    </r>
  </si>
  <si>
    <r>
      <rPr>
        <sz val="10"/>
        <color theme="1"/>
        <rFont val="宋体"/>
        <charset val="134"/>
      </rPr>
      <t>你指挥盟友行动与攻击的能力得到提升。
当你使用协同战术选择盟友时，每个能看见或听见你的被选盟友可从以下增益效果中选择选择一项获得。
守护策略</t>
    </r>
    <r>
      <rPr>
        <sz val="10"/>
        <color theme="1"/>
        <rFont val="Times New Roman"/>
        <charset val="134"/>
      </rPr>
      <t>Guardian Maneuver</t>
    </r>
    <r>
      <rPr>
        <sz val="10"/>
        <color theme="1"/>
        <rFont val="宋体"/>
        <charset val="134"/>
      </rPr>
      <t>。</t>
    </r>
    <r>
      <rPr>
        <sz val="10"/>
        <color theme="1"/>
        <rFont val="Times New Roman"/>
        <charset val="134"/>
      </rPr>
      <t xml:space="preserve"> </t>
    </r>
    <r>
      <rPr>
        <sz val="10"/>
        <color theme="1"/>
        <rFont val="宋体"/>
        <charset val="134"/>
      </rPr>
      <t>直至你下一回合开始前，当该盟友首次受到伤害时，其可减免等同于你团队骰掷出值的伤害。
侦察策略</t>
    </r>
    <r>
      <rPr>
        <sz val="10"/>
        <color theme="1"/>
        <rFont val="Times New Roman"/>
        <charset val="134"/>
      </rPr>
      <t>Recon Maneuver</t>
    </r>
    <r>
      <rPr>
        <sz val="10"/>
        <color theme="1"/>
        <rFont val="宋体"/>
        <charset val="134"/>
      </rPr>
      <t>。</t>
    </r>
    <r>
      <rPr>
        <sz val="10"/>
        <color theme="1"/>
        <rFont val="Times New Roman"/>
        <charset val="134"/>
      </rPr>
      <t xml:space="preserve"> </t>
    </r>
    <r>
      <rPr>
        <sz val="10"/>
        <color theme="1"/>
        <rFont val="宋体"/>
        <charset val="134"/>
      </rPr>
      <t>当盟友使用反应进行移动时，可将躲藏动作作为该反应的一部分。其敏捷（隐匿）检定将获得等同于你团队骰掷出值的加值。</t>
    </r>
  </si>
  <si>
    <r>
      <rPr>
        <sz val="10"/>
        <color theme="1"/>
        <rFont val="宋体"/>
        <charset val="134"/>
      </rPr>
      <t>死亡之友</t>
    </r>
  </si>
  <si>
    <r>
      <rPr>
        <sz val="10"/>
        <color theme="1"/>
        <rFont val="宋体"/>
        <charset val="134"/>
      </rPr>
      <t>你与死亡的联系变得如此紧密，以至于你获得了如下益处：
当你使用墓穴惊嚎的时候，你可以同时对你的攻击目标和第二目标造成那份暗蚀伤害，
在一次长休的结束时，假如你没有任何魂器，死者的灵魂会自动被你吸引，在你手中形成一个魂器。</t>
    </r>
  </si>
  <si>
    <t>变异迹象</t>
  </si>
  <si>
    <t xml:space="preserve">当你完成一次长休息时，你可以在变异表上（见第231页）掷骰两次，并必须选择其中一个结果。直到你完成下一次长休为止，你获得那个变异，即使你当前没有任何污染等级。
</t>
  </si>
  <si>
    <r>
      <rPr>
        <sz val="10"/>
        <color theme="1"/>
        <rFont val="宋体"/>
        <charset val="134"/>
      </rPr>
      <t>斗转星移</t>
    </r>
  </si>
  <si>
    <r>
      <rPr>
        <sz val="10"/>
        <color theme="1"/>
        <rFont val="宋体"/>
        <charset val="134"/>
      </rPr>
      <t>你的宗主教会了你如何保护自己的心和身。你获得对魅惑状态的免疫。
此外，当一个你能看见的敌人的攻击检定命中你后，你可以立刻使用反应令该次攻击的伤害减半（向下取整），且你可以迫使攻击者进行一次对抗你法术豁免</t>
    </r>
    <r>
      <rPr>
        <sz val="10"/>
        <color theme="1"/>
        <rFont val="Times New Roman"/>
        <charset val="134"/>
      </rPr>
      <t>DC</t>
    </r>
    <r>
      <rPr>
        <sz val="10"/>
        <color theme="1"/>
        <rFont val="宋体"/>
        <charset val="134"/>
      </rPr>
      <t>的感知豁免，豁免失败则会受到一定的心灵伤害，具体数值等同于你本次承受的实际伤害。一旦你使用了此反应，你就不能再使用它，直到你完成一次长休或是消耗一枚契约魔法</t>
    </r>
    <r>
      <rPr>
        <sz val="10"/>
        <color theme="1"/>
        <rFont val="Times New Roman"/>
        <charset val="134"/>
      </rPr>
      <t xml:space="preserve"> </t>
    </r>
    <r>
      <rPr>
        <sz val="10"/>
        <color theme="1"/>
        <rFont val="宋体"/>
        <charset val="134"/>
      </rPr>
      <t>特性的法术位（无需动作）来恢复其使用次数。</t>
    </r>
  </si>
  <si>
    <t>禁忌研究</t>
  </si>
  <si>
    <t>当你获得一个法师等级时，你可以向你的法术书中添加一个污染法术。这是你通常升级学习的两个法师法术之外的额外法术。
你无需事先研习或发现这个法术，而是通过自己的研究开发该法术。</t>
  </si>
  <si>
    <r>
      <rPr>
        <sz val="10"/>
        <color theme="1"/>
        <rFont val="宋体"/>
        <charset val="134"/>
      </rPr>
      <t>诱变剂</t>
    </r>
    <r>
      <rPr>
        <sz val="10"/>
        <color theme="1"/>
        <rFont val="Times New Roman"/>
        <charset val="134"/>
      </rPr>
      <t>-</t>
    </r>
    <r>
      <rPr>
        <sz val="10"/>
        <color theme="1"/>
        <rFont val="宋体"/>
        <charset val="134"/>
      </rPr>
      <t>精准</t>
    </r>
  </si>
  <si>
    <r>
      <rPr>
        <sz val="10"/>
        <color theme="1"/>
        <rFont val="宋体"/>
        <charset val="134"/>
      </rPr>
      <t>先决条件：</t>
    </r>
    <r>
      <rPr>
        <sz val="10"/>
        <color theme="1"/>
        <rFont val="Times New Roman"/>
        <charset val="134"/>
      </rPr>
      <t xml:space="preserve">11 </t>
    </r>
    <r>
      <rPr>
        <sz val="10"/>
        <color theme="1"/>
        <rFont val="宋体"/>
        <charset val="134"/>
      </rPr>
      <t>级
你的武器攻击在投出</t>
    </r>
    <r>
      <rPr>
        <sz val="10"/>
        <color theme="1"/>
        <rFont val="Times New Roman"/>
        <charset val="134"/>
      </rPr>
      <t xml:space="preserve"> 19 </t>
    </r>
    <r>
      <rPr>
        <sz val="10"/>
        <color theme="1"/>
        <rFont val="宋体"/>
        <charset val="134"/>
      </rPr>
      <t>或</t>
    </r>
    <r>
      <rPr>
        <sz val="10"/>
        <color theme="1"/>
        <rFont val="Times New Roman"/>
        <charset val="134"/>
      </rPr>
      <t xml:space="preserve"> 20 </t>
    </r>
    <r>
      <rPr>
        <sz val="10"/>
        <color theme="1"/>
        <rFont val="宋体"/>
        <charset val="134"/>
      </rPr>
      <t>时造成重击。
副作用：你进行的力量豁免检定具有劣势。</t>
    </r>
  </si>
  <si>
    <r>
      <rPr>
        <sz val="10"/>
        <color theme="1"/>
        <rFont val="宋体"/>
        <charset val="134"/>
      </rPr>
      <t>灵魂研究</t>
    </r>
  </si>
  <si>
    <r>
      <rPr>
        <sz val="10"/>
        <color theme="1"/>
        <rFont val="宋体"/>
        <charset val="134"/>
      </rPr>
      <t>你获得重甲和宗教技能的熟练项。如果你已经有了此技能的熟练，你获得你任选的一个其他技能的熟练项。你可以使用一枚圣徽作为你施展药剂师法术的法器，同时你从牧师法术列表中习得一个任选的戏法。这个戏法视为你的药剂师戏法。</t>
    </r>
  </si>
  <si>
    <t>终死击</t>
  </si>
  <si>
    <t>当你以近战武器攻击命中一名受禁生物时，你能够以反应焚灭其身上的一枚缄印，将此次命中改为重击命中。若如此做，你此次焚灭缄印的伤害掷骰也翻倍。
你可以使用此反应的次数等于你的熟练加值，当你完成长休时，重获所有已消耗的使用次数。</t>
  </si>
  <si>
    <t>强健体格</t>
  </si>
  <si>
    <t>每当你在自己的回合内开启狂暴或自主结束狂暴时，你可以消耗生命骰并回复生命值，就如同你完成一次短休一般。</t>
  </si>
  <si>
    <t>盛极必衰</t>
  </si>
  <si>
    <r>
      <rPr>
        <sz val="10"/>
        <color theme="1"/>
        <rFont val="宋体"/>
        <charset val="134"/>
      </rPr>
      <t>你学会以魔法编织叙述，从敌人身上引出它们那致命的傲慢。当一个生物对你或你周围</t>
    </r>
    <r>
      <rPr>
        <sz val="10"/>
        <color theme="1"/>
        <rFont val="Times New Roman"/>
        <charset val="134"/>
      </rPr>
      <t>60</t>
    </r>
    <r>
      <rPr>
        <sz val="10"/>
        <color theme="1"/>
        <rFont val="宋体"/>
        <charset val="134"/>
      </rPr>
      <t>尺范围内可见的盟友发起攻击，并掷出一次重击时，你可以立刻用反应，消耗一枚吟游诗人激励骰，开始讲述一段攻击者因骄傲自大而疏忽大意的故事。接下来的一分钟内，任何以那个生物为目标的武器攻击在骰出</t>
    </r>
    <r>
      <rPr>
        <sz val="10"/>
        <color theme="1"/>
        <rFont val="Times New Roman"/>
        <charset val="134"/>
      </rPr>
      <t>18-20</t>
    </r>
    <r>
      <rPr>
        <sz val="10"/>
        <color theme="1"/>
        <rFont val="宋体"/>
        <charset val="134"/>
      </rPr>
      <t>时即形成重击。期间若该生物成功被重击，这一效果就将提前结束。
当你达到</t>
    </r>
    <r>
      <rPr>
        <sz val="10"/>
        <color theme="1"/>
        <rFont val="Times New Roman"/>
        <charset val="134"/>
      </rPr>
      <t>14</t>
    </r>
    <r>
      <rPr>
        <sz val="10"/>
        <color theme="1"/>
        <rFont val="宋体"/>
        <charset val="134"/>
      </rPr>
      <t>级后，这一特性的重击范围将增加到</t>
    </r>
    <r>
      <rPr>
        <sz val="10"/>
        <color theme="1"/>
        <rFont val="Times New Roman"/>
        <charset val="134"/>
      </rPr>
      <t>17-20</t>
    </r>
    <r>
      <rPr>
        <sz val="10"/>
        <color theme="1"/>
        <rFont val="宋体"/>
        <charset val="134"/>
      </rPr>
      <t>。</t>
    </r>
  </si>
  <si>
    <r>
      <rPr>
        <sz val="10"/>
        <color theme="1"/>
        <rFont val="宋体"/>
        <charset val="134"/>
      </rPr>
      <t>天启领域法术</t>
    </r>
  </si>
  <si>
    <r>
      <rPr>
        <sz val="10"/>
        <color theme="1"/>
        <rFont val="宋体"/>
        <charset val="134"/>
      </rPr>
      <t>你与此神圣领域的链接使你始终准备了特定的法术。当你到达天启领域法术表中特定的牧师等级时，你就始终准备了表中对应的法术。
天启领域法术</t>
    </r>
    <r>
      <rPr>
        <sz val="10"/>
        <color theme="1"/>
        <rFont val="Times New Roman"/>
        <charset val="134"/>
      </rPr>
      <t xml:space="preserve">Apocalypse Domain Spells
</t>
    </r>
    <r>
      <rPr>
        <sz val="10"/>
        <color theme="1"/>
        <rFont val="宋体"/>
        <charset val="134"/>
      </rPr>
      <t>牧师等级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炼狱叱喝</t>
    </r>
    <r>
      <rPr>
        <sz val="10"/>
        <color theme="1"/>
        <rFont val="Times New Roman"/>
        <charset val="134"/>
      </rPr>
      <t>Hellish Rebuke</t>
    </r>
    <r>
      <rPr>
        <sz val="10"/>
        <color theme="1"/>
        <rFont val="宋体"/>
        <charset val="134"/>
      </rPr>
      <t>，雷鸣波</t>
    </r>
    <r>
      <rPr>
        <sz val="10"/>
        <color theme="1"/>
        <rFont val="Times New Roman"/>
        <charset val="134"/>
      </rPr>
      <t>Thunderwave</t>
    </r>
    <r>
      <rPr>
        <sz val="10"/>
        <color theme="1"/>
        <rFont val="宋体"/>
        <charset val="134"/>
      </rPr>
      <t>，黑暗术</t>
    </r>
    <r>
      <rPr>
        <sz val="10"/>
        <color theme="1"/>
        <rFont val="Times New Roman"/>
        <charset val="134"/>
      </rPr>
      <t>Darkness</t>
    </r>
    <r>
      <rPr>
        <sz val="10"/>
        <color theme="1"/>
        <rFont val="宋体"/>
        <charset val="134"/>
      </rPr>
      <t>，魅影之力</t>
    </r>
    <r>
      <rPr>
        <sz val="10"/>
        <color theme="1"/>
        <rFont val="Times New Roman"/>
        <charset val="134"/>
      </rPr>
      <t xml:space="preserve">Phantasmal Force 
5 </t>
    </r>
    <r>
      <rPr>
        <sz val="10"/>
        <color theme="1"/>
        <rFont val="宋体"/>
        <charset val="134"/>
      </rPr>
      <t>末日</t>
    </r>
    <r>
      <rPr>
        <sz val="10"/>
        <color theme="1"/>
        <rFont val="Times New Roman"/>
        <charset val="134"/>
      </rPr>
      <t>Doom*</t>
    </r>
    <r>
      <rPr>
        <sz val="10"/>
        <color theme="1"/>
        <rFont val="宋体"/>
        <charset val="134"/>
      </rPr>
      <t>，恐惧术</t>
    </r>
    <r>
      <rPr>
        <sz val="10"/>
        <color theme="1"/>
        <rFont val="Times New Roman"/>
        <charset val="134"/>
      </rPr>
      <t xml:space="preserve">Fear 
7 </t>
    </r>
    <r>
      <rPr>
        <sz val="10"/>
        <color theme="1"/>
        <rFont val="宋体"/>
        <charset val="134"/>
      </rPr>
      <t>枯萎术</t>
    </r>
    <r>
      <rPr>
        <sz val="10"/>
        <color theme="1"/>
        <rFont val="Times New Roman"/>
        <charset val="134"/>
      </rPr>
      <t>Blight</t>
    </r>
    <r>
      <rPr>
        <sz val="10"/>
        <color theme="1"/>
        <rFont val="宋体"/>
        <charset val="134"/>
      </rPr>
      <t>，冰风暴</t>
    </r>
    <r>
      <rPr>
        <sz val="10"/>
        <color theme="1"/>
        <rFont val="Times New Roman"/>
        <charset val="134"/>
      </rPr>
      <t xml:space="preserve">Ice Storm  
9 </t>
    </r>
    <r>
      <rPr>
        <sz val="10"/>
        <color theme="1"/>
        <rFont val="宋体"/>
        <charset val="134"/>
      </rPr>
      <t>防活物护罩</t>
    </r>
    <r>
      <rPr>
        <sz val="10"/>
        <color theme="1"/>
        <rFont val="Times New Roman"/>
        <charset val="134"/>
      </rPr>
      <t>Antilife Shell</t>
    </r>
    <r>
      <rPr>
        <sz val="10"/>
        <color theme="1"/>
        <rFont val="宋体"/>
        <charset val="134"/>
      </rPr>
      <t>，疫病虫群</t>
    </r>
    <r>
      <rPr>
        <sz val="10"/>
        <color theme="1"/>
        <rFont val="Times New Roman"/>
        <charset val="134"/>
      </rPr>
      <t>Insect Plague</t>
    </r>
  </si>
  <si>
    <t>破坏化身</t>
  </si>
  <si>
    <t>你获得对毒素和黯蚀伤害的抗性。</t>
  </si>
  <si>
    <r>
      <rPr>
        <sz val="10"/>
        <color theme="1"/>
        <rFont val="宋体"/>
        <charset val="134"/>
      </rPr>
      <t>缠绕箭</t>
    </r>
  </si>
  <si>
    <r>
      <rPr>
        <sz val="10"/>
        <color theme="1"/>
        <rFont val="宋体"/>
        <charset val="134"/>
      </rPr>
      <t>当这次攻击击中目标时，咒法魔法会创造一团紧抓着的毒性荆棘来困住目标。
被这发箭击中的角色会额外受到</t>
    </r>
    <r>
      <rPr>
        <sz val="10"/>
        <color theme="1"/>
        <rFont val="Times New Roman"/>
        <charset val="134"/>
      </rPr>
      <t>2d6</t>
    </r>
    <r>
      <rPr>
        <sz val="10"/>
        <color theme="1"/>
        <rFont val="宋体"/>
        <charset val="134"/>
      </rPr>
      <t>的毒性伤害，他的速度减少</t>
    </r>
    <r>
      <rPr>
        <sz val="10"/>
        <color theme="1"/>
        <rFont val="Times New Roman"/>
        <charset val="134"/>
      </rPr>
      <t>10</t>
    </r>
    <r>
      <rPr>
        <sz val="10"/>
        <color theme="1"/>
        <rFont val="宋体"/>
        <charset val="134"/>
      </rPr>
      <t>尺，当他在每个回合第一次不使用传送移动</t>
    </r>
    <r>
      <rPr>
        <sz val="10"/>
        <color theme="1"/>
        <rFont val="Times New Roman"/>
        <charset val="134"/>
      </rPr>
      <t>1</t>
    </r>
    <r>
      <rPr>
        <sz val="10"/>
        <color theme="1"/>
        <rFont val="宋体"/>
        <charset val="134"/>
      </rPr>
      <t>尺以上的距离时他会受到</t>
    </r>
    <r>
      <rPr>
        <sz val="10"/>
        <color theme="1"/>
        <rFont val="Times New Roman"/>
        <charset val="134"/>
      </rPr>
      <t>2d6</t>
    </r>
    <r>
      <rPr>
        <sz val="10"/>
        <color theme="1"/>
        <rFont val="宋体"/>
        <charset val="134"/>
      </rPr>
      <t>的挥砍伤害。
这个目标或其他能触碰到荆棘的角色可以使用一个动作，以一个成功对抗你的奥术射击</t>
    </r>
    <r>
      <rPr>
        <sz val="10"/>
        <color theme="1"/>
        <rFont val="Times New Roman"/>
        <charset val="134"/>
      </rPr>
      <t>DC</t>
    </r>
    <r>
      <rPr>
        <sz val="10"/>
        <color theme="1"/>
        <rFont val="宋体"/>
        <charset val="134"/>
      </rPr>
      <t>的力量（体能）检定来解除荆棘。
否则，荆棘会在</t>
    </r>
    <r>
      <rPr>
        <sz val="10"/>
        <color theme="1"/>
        <rFont val="Times New Roman"/>
        <charset val="134"/>
      </rPr>
      <t>1</t>
    </r>
    <r>
      <rPr>
        <sz val="10"/>
        <color theme="1"/>
        <rFont val="宋体"/>
        <charset val="134"/>
      </rPr>
      <t>分钟后或者你再次使用该选项时结束。
当你的战士等级到</t>
    </r>
    <r>
      <rPr>
        <sz val="10"/>
        <color theme="1"/>
        <rFont val="Times New Roman"/>
        <charset val="134"/>
      </rPr>
      <t>18</t>
    </r>
    <r>
      <rPr>
        <sz val="10"/>
        <color theme="1"/>
        <rFont val="宋体"/>
        <charset val="134"/>
      </rPr>
      <t>级时该毒性和挥砍伤害增加到</t>
    </r>
    <r>
      <rPr>
        <sz val="10"/>
        <color theme="1"/>
        <rFont val="Times New Roman"/>
        <charset val="134"/>
      </rPr>
      <t>4d6</t>
    </r>
    <r>
      <rPr>
        <sz val="10"/>
        <color theme="1"/>
        <rFont val="宋体"/>
        <charset val="134"/>
      </rPr>
      <t>。</t>
    </r>
  </si>
  <si>
    <t>腾蛇舞</t>
  </si>
  <si>
    <t>你可以借助长柄武器腾空跃起。当你握持一把具有触及Reach属性的武器时，你的跳跃距离翻倍。
当你握持一把具有触及Reach属性的武器时，每当你消耗气使用飞檐走壁特性，你的跳跃距离将在本回合内变为三倍，且本回合你的下一次近战武器攻击具有优势。</t>
  </si>
  <si>
    <t>死亡邪术</t>
  </si>
  <si>
    <t>被你的邪术诅咒或折磨诅咒影响的生物对所有伤害都具有易伤。</t>
  </si>
  <si>
    <r>
      <rPr>
        <sz val="10"/>
        <color theme="1"/>
        <rFont val="宋体"/>
        <charset val="134"/>
      </rPr>
      <t>协同奋战</t>
    </r>
  </si>
  <si>
    <r>
      <rPr>
        <sz val="10"/>
        <color theme="1"/>
        <rFont val="宋体"/>
        <charset val="134"/>
      </rPr>
      <t>若你进行先攻检定时未处于失能状态，你可以投掷团队骰；你和</t>
    </r>
    <r>
      <rPr>
        <sz val="10"/>
        <color theme="1"/>
        <rFont val="Times New Roman"/>
        <charset val="134"/>
      </rPr>
      <t>30</t>
    </r>
    <r>
      <rPr>
        <sz val="10"/>
        <color theme="1"/>
        <rFont val="宋体"/>
        <charset val="134"/>
      </rPr>
      <t>尺范围内所有能看见或听见你盟友的先攻值均获得等同于该掷骰结果的加值。</t>
    </r>
  </si>
  <si>
    <r>
      <rPr>
        <sz val="10"/>
        <color theme="1"/>
        <rFont val="宋体"/>
        <charset val="134"/>
      </rPr>
      <t>暗影映像</t>
    </r>
  </si>
  <si>
    <r>
      <rPr>
        <sz val="10"/>
        <color theme="1"/>
        <rFont val="宋体"/>
        <charset val="134"/>
      </rPr>
      <t>以一个魔法动作，你可以将你的影子从身旁驱离并加以操控。它出现在你身边</t>
    </r>
    <r>
      <rPr>
        <sz val="10"/>
        <color theme="1"/>
        <rFont val="Times New Roman"/>
        <charset val="134"/>
      </rPr>
      <t>5</t>
    </r>
    <r>
      <rPr>
        <sz val="10"/>
        <color theme="1"/>
        <rFont val="宋体"/>
        <charset val="134"/>
      </rPr>
      <t>尺内的一个未占据的空间中，体型与你相同。
暗影映像可以执行下列操作：操控一个物件、打开一扇未上锁的门或容器、将一件未被装备的物品收起或从某处取回、或是倾倒一个小瓶。在后续你的回合中，你可以再次以一个魔法动作、或在你使用灵巧动作特性时，作为这次附赠动作的一部分来操控你的影子。你可以令你的影子移动至多等于你的速度的距离。
影子不能进行攻击，不能激活魔法物品，且无法承载超过</t>
    </r>
    <r>
      <rPr>
        <sz val="10"/>
        <color theme="1"/>
        <rFont val="Times New Roman"/>
        <charset val="134"/>
      </rPr>
      <t>10</t>
    </r>
    <r>
      <rPr>
        <sz val="10"/>
        <color theme="1"/>
        <rFont val="宋体"/>
        <charset val="134"/>
      </rPr>
      <t>磅重的物质。你的影子会在受到任何伤害、成为任何效果的目标，或你陷入失能状态时立即消失。</t>
    </r>
  </si>
  <si>
    <t>污染巫术</t>
  </si>
  <si>
    <t>当你施放一个污染法术时，你可以像平常一样消耗一个法术位施放，或者花费等同于法术等级的术法点施放。如果你使用术法点施放该法术，施放此法术时你不会获得污染等级，如果该法术需要妄质作为材料成分，施放时不会消耗妄质。此外，以这种方式施放一个污染法术会立即引发一个奥术异常（见第233页）。</t>
  </si>
  <si>
    <r>
      <rPr>
        <sz val="10"/>
        <color theme="1"/>
        <rFont val="宋体"/>
        <charset val="134"/>
      </rPr>
      <t>醉心魔法</t>
    </r>
  </si>
  <si>
    <r>
      <rPr>
        <sz val="10"/>
        <color theme="1"/>
        <rFont val="宋体"/>
        <charset val="134"/>
      </rPr>
      <t>你的宗主赋予你将魔法与传送之力编织在一起的能力。当你以一个动作消耗法术位施展一道幻术或惑控法术时，你可以无需法术位地立刻施展迷踪步</t>
    </r>
    <r>
      <rPr>
        <sz val="10"/>
        <color theme="1"/>
        <rFont val="Times New Roman"/>
        <charset val="134"/>
      </rPr>
      <t xml:space="preserve">Misty Step </t>
    </r>
    <r>
      <rPr>
        <sz val="10"/>
        <color theme="1"/>
        <rFont val="宋体"/>
        <charset val="134"/>
      </rPr>
      <t>作为该动作的一部分。</t>
    </r>
  </si>
  <si>
    <t>骇人潜能</t>
  </si>
  <si>
    <t>如果你经历了一次怪物转变Monstrous Transformation，由GM选择的形态必须具有至少等于你等级一半的挑战等级（向下取整），但不能超过你的等级。</t>
  </si>
  <si>
    <r>
      <rPr>
        <sz val="10"/>
        <color theme="1"/>
        <rFont val="宋体"/>
        <charset val="134"/>
      </rPr>
      <t>你的血咒可以用骇人的毒素折磨生物的身体。你学会腐蚀血咒，且不计入你的已知血咒数量。</t>
    </r>
  </si>
  <si>
    <r>
      <rPr>
        <sz val="10"/>
        <color theme="1"/>
        <rFont val="宋体"/>
        <charset val="134"/>
      </rPr>
      <t>驱邪师法术</t>
    </r>
  </si>
  <si>
    <r>
      <rPr>
        <sz val="10"/>
        <color theme="1"/>
        <rFont val="宋体"/>
        <charset val="134"/>
      </rPr>
      <t>当你达到此职业特定等级时，你视为已经准备了特定的法术，如驱邪师法术表所示。这些法术计入你的药剂师法术，且不计入你的药剂师准备法术。
驱邪师等级</t>
    </r>
    <r>
      <rPr>
        <sz val="10"/>
        <color theme="1"/>
        <rFont val="Times New Roman"/>
        <charset val="134"/>
      </rPr>
      <t xml:space="preserve">   </t>
    </r>
    <r>
      <rPr>
        <sz val="10"/>
        <color theme="1"/>
        <rFont val="宋体"/>
        <charset val="134"/>
      </rPr>
      <t xml:space="preserve">法术
</t>
    </r>
    <r>
      <rPr>
        <sz val="10"/>
        <color theme="1"/>
        <rFont val="Times New Roman"/>
        <charset val="134"/>
      </rPr>
      <t>1</t>
    </r>
    <r>
      <rPr>
        <sz val="10"/>
        <color theme="1"/>
        <rFont val="宋体"/>
        <charset val="134"/>
      </rPr>
      <t>级</t>
    </r>
    <r>
      <rPr>
        <sz val="10"/>
        <color theme="1"/>
        <rFont val="Times New Roman"/>
        <charset val="134"/>
      </rPr>
      <t xml:space="preserve">   </t>
    </r>
    <r>
      <rPr>
        <sz val="10"/>
        <color theme="1"/>
        <rFont val="宋体"/>
        <charset val="134"/>
      </rPr>
      <t>祝福术</t>
    </r>
    <r>
      <rPr>
        <sz val="10"/>
        <color theme="1"/>
        <rFont val="Times New Roman"/>
        <charset val="134"/>
      </rPr>
      <t>bless</t>
    </r>
    <r>
      <rPr>
        <sz val="10"/>
        <color theme="1"/>
        <rFont val="宋体"/>
        <charset val="134"/>
      </rPr>
      <t>，防护善恶</t>
    </r>
    <r>
      <rPr>
        <sz val="10"/>
        <color theme="1"/>
        <rFont val="Times New Roman"/>
        <charset val="134"/>
      </rPr>
      <t>protection from evil and good
3</t>
    </r>
    <r>
      <rPr>
        <sz val="10"/>
        <color theme="1"/>
        <rFont val="宋体"/>
        <charset val="134"/>
      </rPr>
      <t>级</t>
    </r>
    <r>
      <rPr>
        <sz val="10"/>
        <color theme="1"/>
        <rFont val="Times New Roman"/>
        <charset val="134"/>
      </rPr>
      <t xml:space="preserve">   </t>
    </r>
    <r>
      <rPr>
        <sz val="10"/>
        <color theme="1"/>
        <rFont val="宋体"/>
        <charset val="134"/>
      </rPr>
      <t>灵体武器</t>
    </r>
    <r>
      <rPr>
        <sz val="10"/>
        <color theme="1"/>
        <rFont val="Times New Roman"/>
        <charset val="134"/>
      </rPr>
      <t>spiritual weapon</t>
    </r>
    <r>
      <rPr>
        <sz val="10"/>
        <color theme="1"/>
        <rFont val="宋体"/>
        <charset val="134"/>
      </rPr>
      <t>，诚实之域</t>
    </r>
    <r>
      <rPr>
        <sz val="10"/>
        <color theme="1"/>
        <rFont val="Times New Roman"/>
        <charset val="134"/>
      </rPr>
      <t>zone of truth
5</t>
    </r>
    <r>
      <rPr>
        <sz val="10"/>
        <color theme="1"/>
        <rFont val="宋体"/>
        <charset val="134"/>
      </rPr>
      <t>级</t>
    </r>
    <r>
      <rPr>
        <sz val="10"/>
        <color theme="1"/>
        <rFont val="Times New Roman"/>
        <charset val="134"/>
      </rPr>
      <t xml:space="preserve">   </t>
    </r>
    <r>
      <rPr>
        <sz val="10"/>
        <color theme="1"/>
        <rFont val="宋体"/>
        <charset val="134"/>
      </rPr>
      <t>法术反制</t>
    </r>
    <r>
      <rPr>
        <sz val="10"/>
        <color theme="1"/>
        <rFont val="Times New Roman"/>
        <charset val="134"/>
      </rPr>
      <t>Counterspell</t>
    </r>
    <r>
      <rPr>
        <sz val="10"/>
        <color theme="1"/>
        <rFont val="宋体"/>
        <charset val="134"/>
      </rPr>
      <t>，灵体卫士</t>
    </r>
    <r>
      <rPr>
        <sz val="10"/>
        <color theme="1"/>
        <rFont val="Times New Roman"/>
        <charset val="134"/>
      </rPr>
      <t>Spirit Guardians
7</t>
    </r>
    <r>
      <rPr>
        <sz val="10"/>
        <color theme="1"/>
        <rFont val="宋体"/>
        <charset val="134"/>
      </rPr>
      <t>级</t>
    </r>
    <r>
      <rPr>
        <sz val="10"/>
        <color theme="1"/>
        <rFont val="Times New Roman"/>
        <charset val="134"/>
      </rPr>
      <t xml:space="preserve">   </t>
    </r>
    <r>
      <rPr>
        <sz val="10"/>
        <color theme="1"/>
        <rFont val="宋体"/>
        <charset val="134"/>
      </rPr>
      <t>放逐术</t>
    </r>
    <r>
      <rPr>
        <sz val="10"/>
        <color theme="1"/>
        <rFont val="Times New Roman"/>
        <charset val="134"/>
      </rPr>
      <t>banishment</t>
    </r>
    <r>
      <rPr>
        <sz val="10"/>
        <color theme="1"/>
        <rFont val="宋体"/>
        <charset val="134"/>
      </rPr>
      <t>，终末仪式</t>
    </r>
    <r>
      <rPr>
        <sz val="10"/>
        <color theme="1"/>
        <rFont val="Times New Roman"/>
        <charset val="134"/>
      </rPr>
      <t>last rites*
9</t>
    </r>
    <r>
      <rPr>
        <sz val="10"/>
        <color theme="1"/>
        <rFont val="宋体"/>
        <charset val="134"/>
      </rPr>
      <t>级</t>
    </r>
    <r>
      <rPr>
        <sz val="10"/>
        <color theme="1"/>
        <rFont val="Times New Roman"/>
        <charset val="134"/>
      </rPr>
      <t xml:space="preserve">   </t>
    </r>
    <r>
      <rPr>
        <sz val="10"/>
        <color theme="1"/>
        <rFont val="宋体"/>
        <charset val="134"/>
      </rPr>
      <t>反制善恶</t>
    </r>
    <r>
      <rPr>
        <sz val="10"/>
        <color theme="1"/>
        <rFont val="Times New Roman"/>
        <charset val="134"/>
      </rPr>
      <t>dispel evil and good</t>
    </r>
    <r>
      <rPr>
        <sz val="10"/>
        <color theme="1"/>
        <rFont val="宋体"/>
        <charset val="134"/>
      </rPr>
      <t>，焰击术</t>
    </r>
    <r>
      <rPr>
        <sz val="10"/>
        <color theme="1"/>
        <rFont val="Times New Roman"/>
        <charset val="134"/>
      </rPr>
      <t>flame strike</t>
    </r>
  </si>
  <si>
    <t>至高迪斯帕特（被动）</t>
  </si>
  <si>
    <r>
      <rPr>
        <sz val="10"/>
        <color theme="1"/>
        <rFont val="宋体"/>
        <charset val="134"/>
      </rPr>
      <t>先决：邪狱使等级</t>
    </r>
    <r>
      <rPr>
        <sz val="10"/>
        <color theme="1"/>
        <rFont val="Times New Roman"/>
        <charset val="134"/>
      </rPr>
      <t>18+</t>
    </r>
    <r>
      <rPr>
        <sz val="10"/>
        <color theme="1"/>
        <rFont val="宋体"/>
        <charset val="134"/>
      </rPr>
      <t>（恐惧屠戮者）
你对受禁生物进行的攻击检定在</t>
    </r>
    <r>
      <rPr>
        <sz val="10"/>
        <color theme="1"/>
        <rFont val="Times New Roman"/>
        <charset val="134"/>
      </rPr>
      <t>d20</t>
    </r>
    <r>
      <rPr>
        <sz val="10"/>
        <color theme="1"/>
        <rFont val="宋体"/>
        <charset val="134"/>
      </rPr>
      <t>中掷出</t>
    </r>
    <r>
      <rPr>
        <sz val="10"/>
        <color theme="1"/>
        <rFont val="Times New Roman"/>
        <charset val="134"/>
      </rPr>
      <t>18-20</t>
    </r>
    <r>
      <rPr>
        <sz val="10"/>
        <color theme="1"/>
        <rFont val="宋体"/>
        <charset val="134"/>
      </rPr>
      <t>时即可造成重击。</t>
    </r>
  </si>
  <si>
    <r>
      <rPr>
        <sz val="10"/>
        <color theme="1"/>
        <rFont val="宋体"/>
        <charset val="134"/>
      </rPr>
      <t>灵能武士</t>
    </r>
  </si>
  <si>
    <t>残暴屠戮</t>
  </si>
  <si>
    <t>狂暴期间，如果你将一个生物的生命值降至0点，你可以选择残忍地杀害他，撕碎他的肢体，向你的敌人展示野性。这出残暴的演出会吓坏你周围的人。任何能够看见你的生物必须通过一次感知豁免，否则将会在接下来的一分钟内对你陷入恐慌。豁免DC为 8+你的熟练加值+你的力量调整值。一旦你使用此特性，你必须完成一次短休或长休才能再次使用。</t>
  </si>
  <si>
    <t>临头厄运</t>
  </si>
  <si>
    <r>
      <rPr>
        <sz val="10"/>
        <color theme="1"/>
        <rFont val="宋体"/>
        <charset val="134"/>
      </rPr>
      <t>你的言语能扭曲命运的力量，以未来失败的承诺来创造胜利。当你进行一次攻击检定或豁免检定时，你能在这次掷骰中获得</t>
    </r>
    <r>
      <rPr>
        <sz val="10"/>
        <color theme="1"/>
        <rFont val="Times New Roman"/>
        <charset val="134"/>
      </rPr>
      <t>+10</t>
    </r>
    <r>
      <rPr>
        <sz val="10"/>
        <color theme="1"/>
        <rFont val="宋体"/>
        <charset val="134"/>
      </rPr>
      <t>加值，但下一次你所进行的攻击或豁免检定将会承受</t>
    </r>
    <r>
      <rPr>
        <sz val="10"/>
        <color theme="1"/>
        <rFont val="Times New Roman"/>
        <charset val="134"/>
      </rPr>
      <t>-10</t>
    </r>
    <r>
      <rPr>
        <sz val="10"/>
        <color theme="1"/>
        <rFont val="宋体"/>
        <charset val="134"/>
      </rPr>
      <t>的减值。如果你之后没有再进行这两种检定，该减值就会在你完成一次短休或长休后消失。
使用后，直到你完成一次短休或长休前，你都无法再次使用该特性。若你生命值被降低至</t>
    </r>
    <r>
      <rPr>
        <sz val="10"/>
        <color theme="1"/>
        <rFont val="Times New Roman"/>
        <charset val="134"/>
      </rPr>
      <t>0</t>
    </r>
    <r>
      <rPr>
        <sz val="10"/>
        <color theme="1"/>
        <rFont val="宋体"/>
        <charset val="134"/>
      </rPr>
      <t>，你将重获使用此特性的机会。</t>
    </r>
  </si>
  <si>
    <r>
      <rPr>
        <sz val="10"/>
        <color theme="1"/>
        <rFont val="宋体"/>
        <charset val="134"/>
      </rPr>
      <t>毁灭愿景</t>
    </r>
  </si>
  <si>
    <r>
      <rPr>
        <sz val="10"/>
        <color theme="1"/>
        <rFont val="宋体"/>
        <charset val="134"/>
      </rPr>
      <t>你获得预见某个生物末日的能力。以一个附赠动作，选择一名位于你</t>
    </r>
    <r>
      <rPr>
        <sz val="10"/>
        <color theme="1"/>
        <rFont val="Times New Roman"/>
        <charset val="134"/>
      </rPr>
      <t>120</t>
    </r>
    <r>
      <rPr>
        <sz val="10"/>
        <color theme="1"/>
        <rFont val="宋体"/>
        <charset val="134"/>
      </rPr>
      <t>尺内你可见的生物。直至你下回合开始，对该生物进行的攻击检定具有优势。
你可以使用此特性的次数等于你的感知调整值，你在完成长休后重获所有已消耗的次数。</t>
    </r>
  </si>
  <si>
    <t>污秽轮回</t>
  </si>
  <si>
    <t>尽管你的魔法中充斥着污染之力，你仍然学会了如何高效地清除这些力量。你能够以一个动作施展祛除污染purge contamination法术，无需消耗法术位。当你以这种方式施展这个法术时，你也不需要提供法术的材料成分，并且目标不会因这个法术而获得力竭等级。当以这种方式施展祛除污染后，直到完成一次长休为止你无法再次这么做。</t>
  </si>
  <si>
    <r>
      <rPr>
        <sz val="10"/>
        <color theme="1"/>
        <rFont val="宋体"/>
        <charset val="134"/>
      </rPr>
      <t>穿透箭</t>
    </r>
  </si>
  <si>
    <r>
      <rPr>
        <sz val="10"/>
        <color theme="1"/>
        <rFont val="宋体"/>
        <charset val="134"/>
      </rPr>
      <t>你使用你的变化系魔法使你的箭变得虚无缥缈。
当你使用该选项时，你不用为该次攻击投攻击骰，取而代之，这只箭会在消失前划出一条一尺宽</t>
    </r>
    <r>
      <rPr>
        <sz val="10"/>
        <color theme="1"/>
        <rFont val="Times New Roman"/>
        <charset val="134"/>
      </rPr>
      <t>30</t>
    </r>
    <r>
      <rPr>
        <sz val="10"/>
        <color theme="1"/>
        <rFont val="宋体"/>
        <charset val="134"/>
      </rPr>
      <t>尺长的直线。
这只箭会无害地穿过物品且无视遮蔽。
每一个在这条直线上的角色都必须通过一个敏捷豁免。
如果失败，角色会受到如同被这只箭击中的伤害和额外</t>
    </r>
    <r>
      <rPr>
        <sz val="10"/>
        <color theme="1"/>
        <rFont val="Times New Roman"/>
        <charset val="134"/>
      </rPr>
      <t>1d6</t>
    </r>
    <r>
      <rPr>
        <sz val="10"/>
        <color theme="1"/>
        <rFont val="宋体"/>
        <charset val="134"/>
      </rPr>
      <t>的穿刺伤害。
如果成功，伤害减半。
当你的战士等级到</t>
    </r>
    <r>
      <rPr>
        <sz val="10"/>
        <color theme="1"/>
        <rFont val="Times New Roman"/>
        <charset val="134"/>
      </rPr>
      <t>18</t>
    </r>
    <r>
      <rPr>
        <sz val="10"/>
        <color theme="1"/>
        <rFont val="宋体"/>
        <charset val="134"/>
      </rPr>
      <t>级时该穿刺伤害增加到</t>
    </r>
    <r>
      <rPr>
        <sz val="10"/>
        <color theme="1"/>
        <rFont val="Times New Roman"/>
        <charset val="134"/>
      </rPr>
      <t>2d6</t>
    </r>
    <r>
      <rPr>
        <sz val="10"/>
        <color theme="1"/>
        <rFont val="宋体"/>
        <charset val="134"/>
      </rPr>
      <t>。</t>
    </r>
  </si>
  <si>
    <t>蛇出洞</t>
  </si>
  <si>
    <t>你习得以下战斗技巧来强化你的攻击：
&gt; 眼镜蛇刺Cobra Strike。当一个你可以看见的生物进入你的触及范围时，你可以使用你的反应对其发动一次攻击。
&gt; 狂蟒绞Python Strike。当你以一次借机攻击命中一个生物时，你可以在不消耗功力的情况下随那次攻击发动一次震慑拳。
&gt; 蝰蛇毒Viper Strike。你的回合内仅一次，当你使用近战武器攻击命中一个生物时，你可以消耗1点或更多的功力，至多等于你的熟练加值。这次攻击额外造成1d6点毒素伤害，每消耗1点功力再额外造成1d6点毒素伤害，且目标直到你的下个回合结束前陷入中毒状态。</t>
  </si>
  <si>
    <t>远洋之誓法术</t>
  </si>
  <si>
    <r>
      <rPr>
        <sz val="10"/>
        <color theme="1"/>
        <rFont val="宋体"/>
        <charset val="134"/>
      </rPr>
      <t>当你达到相应的圣武士等级时，你获得在远洋之誓圣誓法术表中列出的圣誓法术。用星号标注的法术是将在此节末尾介绍的新法术。</t>
    </r>
    <r>
      <rPr>
        <sz val="10"/>
        <color theme="1"/>
        <rFont val="Times New Roman"/>
        <charset val="134"/>
      </rPr>
      <t xml:space="preserve">
</t>
    </r>
    <r>
      <rPr>
        <sz val="10"/>
        <color theme="1"/>
        <rFont val="宋体"/>
        <charset val="134"/>
      </rPr>
      <t>远洋之誓圣誓法术</t>
    </r>
    <r>
      <rPr>
        <sz val="10"/>
        <color theme="1"/>
        <rFont val="Times New Roman"/>
        <charset val="134"/>
      </rPr>
      <t xml:space="preserve"> </t>
    </r>
    <r>
      <rPr>
        <sz val="10"/>
        <color theme="1"/>
        <rFont val="宋体"/>
        <charset val="134"/>
      </rPr>
      <t>圣武士等级</t>
    </r>
    <r>
      <rPr>
        <sz val="10"/>
        <color theme="1"/>
        <rFont val="Times New Roman"/>
        <charset val="134"/>
      </rPr>
      <t xml:space="preserve">  </t>
    </r>
    <r>
      <rPr>
        <sz val="10"/>
        <color theme="1"/>
        <rFont val="宋体"/>
        <charset val="134"/>
      </rPr>
      <t>法术</t>
    </r>
    <r>
      <rPr>
        <sz val="10"/>
        <color theme="1"/>
        <rFont val="Times New Roman"/>
        <charset val="134"/>
      </rPr>
      <t xml:space="preserve"> 
3rd </t>
    </r>
    <r>
      <rPr>
        <sz val="10"/>
        <color theme="1"/>
        <rFont val="宋体"/>
        <charset val="134"/>
      </rPr>
      <t>造水术</t>
    </r>
    <r>
      <rPr>
        <sz val="10"/>
        <color theme="1"/>
        <rFont val="Times New Roman"/>
        <charset val="134"/>
      </rPr>
      <t>/</t>
    </r>
    <r>
      <rPr>
        <sz val="10"/>
        <color theme="1"/>
        <rFont val="宋体"/>
        <charset val="134"/>
      </rPr>
      <t>枯水术</t>
    </r>
    <r>
      <rPr>
        <sz val="10"/>
        <color theme="1"/>
        <rFont val="Times New Roman"/>
        <charset val="134"/>
      </rPr>
      <t>create or destroy water</t>
    </r>
    <r>
      <rPr>
        <sz val="10"/>
        <color theme="1"/>
        <rFont val="宋体"/>
        <charset val="134"/>
      </rPr>
      <t>，脚底抹油</t>
    </r>
    <r>
      <rPr>
        <sz val="10"/>
        <color theme="1"/>
        <rFont val="Times New Roman"/>
        <charset val="134"/>
      </rPr>
      <t xml:space="preserve">expeditious retreat 
5th </t>
    </r>
    <r>
      <rPr>
        <sz val="10"/>
        <color theme="1"/>
        <rFont val="宋体"/>
        <charset val="134"/>
      </rPr>
      <t>卜筮术</t>
    </r>
    <r>
      <rPr>
        <sz val="10"/>
        <color theme="1"/>
        <rFont val="Times New Roman"/>
        <charset val="134"/>
      </rPr>
      <t>augury</t>
    </r>
    <r>
      <rPr>
        <sz val="10"/>
        <color theme="1"/>
        <rFont val="宋体"/>
        <charset val="134"/>
      </rPr>
      <t>，迷踪步</t>
    </r>
    <r>
      <rPr>
        <sz val="10"/>
        <color theme="1"/>
        <rFont val="Times New Roman"/>
        <charset val="134"/>
      </rPr>
      <t xml:space="preserve">misty step 
9th </t>
    </r>
    <r>
      <rPr>
        <sz val="10"/>
        <color theme="1"/>
        <rFont val="宋体"/>
        <charset val="134"/>
      </rPr>
      <t>召雷术</t>
    </r>
    <r>
      <rPr>
        <sz val="10"/>
        <color theme="1"/>
        <rFont val="Times New Roman"/>
        <charset val="134"/>
      </rPr>
      <t>call lightning</t>
    </r>
    <r>
      <rPr>
        <sz val="10"/>
        <color theme="1"/>
        <rFont val="宋体"/>
        <charset val="134"/>
      </rPr>
      <t>，浪之自由</t>
    </r>
    <r>
      <rPr>
        <sz val="10"/>
        <color theme="1"/>
        <rFont val="Times New Roman"/>
        <charset val="134"/>
      </rPr>
      <t xml:space="preserve">freedom of the waves*  
13th </t>
    </r>
    <r>
      <rPr>
        <sz val="10"/>
        <color theme="1"/>
        <rFont val="宋体"/>
        <charset val="134"/>
      </rPr>
      <t>控制水体</t>
    </r>
    <r>
      <rPr>
        <sz val="10"/>
        <color theme="1"/>
        <rFont val="Times New Roman"/>
        <charset val="134"/>
      </rPr>
      <t>control water</t>
    </r>
    <r>
      <rPr>
        <sz val="10"/>
        <color theme="1"/>
        <rFont val="宋体"/>
        <charset val="134"/>
      </rPr>
      <t>，行动自如</t>
    </r>
    <r>
      <rPr>
        <sz val="10"/>
        <color theme="1"/>
        <rFont val="Times New Roman"/>
        <charset val="134"/>
      </rPr>
      <t xml:space="preserve">freedom of movement 
17th </t>
    </r>
    <r>
      <rPr>
        <sz val="10"/>
        <color theme="1"/>
        <rFont val="宋体"/>
        <charset val="134"/>
      </rPr>
      <t>问道自然</t>
    </r>
    <r>
      <rPr>
        <sz val="10"/>
        <color theme="1"/>
        <rFont val="Times New Roman"/>
        <charset val="134"/>
      </rPr>
      <t>commune with nature</t>
    </r>
    <r>
      <rPr>
        <sz val="10"/>
        <color theme="1"/>
        <rFont val="宋体"/>
        <charset val="134"/>
      </rPr>
      <t>，风之自由</t>
    </r>
    <r>
      <rPr>
        <sz val="10"/>
        <color theme="1"/>
        <rFont val="Times New Roman"/>
        <charset val="134"/>
      </rPr>
      <t>freedom of the winds*</t>
    </r>
  </si>
  <si>
    <r>
      <rPr>
        <sz val="10"/>
        <color theme="1"/>
        <rFont val="宋体"/>
        <charset val="134"/>
      </rPr>
      <t>群体围攻</t>
    </r>
  </si>
  <si>
    <r>
      <rPr>
        <sz val="10"/>
        <color theme="1"/>
        <rFont val="宋体"/>
        <charset val="134"/>
      </rPr>
      <t>你能够协调盟友对强敌发起协同攻击。若你使用攻击动作且所有攻击均指向同一目标时，你可指定自身</t>
    </r>
    <r>
      <rPr>
        <sz val="10"/>
        <color theme="1"/>
        <rFont val="Times New Roman"/>
        <charset val="134"/>
      </rPr>
      <t>60</t>
    </r>
    <r>
      <rPr>
        <sz val="10"/>
        <color theme="1"/>
        <rFont val="宋体"/>
        <charset val="134"/>
      </rPr>
      <t>尺范围内其他任意生物。每个被选中的生物针对该目标的下一次攻击检定及伤害掷骰均可获得等同于你团队骰掷出值的加值。</t>
    </r>
  </si>
  <si>
    <r>
      <rPr>
        <sz val="10"/>
        <color theme="1"/>
        <rFont val="宋体"/>
        <charset val="134"/>
      </rPr>
      <t>幽影尘埃</t>
    </r>
  </si>
  <si>
    <r>
      <rPr>
        <sz val="10"/>
        <color theme="1"/>
        <rFont val="宋体"/>
        <charset val="134"/>
      </rPr>
      <t>你的幽影尘埃体现了你拥有操控黑暗的能力。你可以消耗这些尘埃以强化或触发你的某些暗影潜行者特性。
你的幽影尘埃数量等同于你的游荡者等级。你初始掌握以下三种使用方式：暗影斥候、暗影置换、扰目之影，详述如下。
每当你消耗一点幽影尘埃，该尘埃会在你完成一次长休后恢复。你还会在将一名敌对生物的生命值降至</t>
    </r>
    <r>
      <rPr>
        <sz val="10"/>
        <color theme="1"/>
        <rFont val="Times New Roman"/>
        <charset val="134"/>
      </rPr>
      <t>0</t>
    </r>
    <r>
      <rPr>
        <sz val="10"/>
        <color theme="1"/>
        <rFont val="宋体"/>
        <charset val="134"/>
      </rPr>
      <t>时，恢复</t>
    </r>
    <r>
      <rPr>
        <sz val="10"/>
        <color theme="1"/>
        <rFont val="Times New Roman"/>
        <charset val="134"/>
      </rPr>
      <t>1</t>
    </r>
    <r>
      <rPr>
        <sz val="10"/>
        <color theme="1"/>
        <rFont val="宋体"/>
        <charset val="134"/>
      </rPr>
      <t>点已消耗的幽影尘埃。
暗影斥候</t>
    </r>
    <r>
      <rPr>
        <sz val="10"/>
        <color theme="1"/>
        <rFont val="Times New Roman"/>
        <charset val="134"/>
      </rPr>
      <t>Shadow Scout</t>
    </r>
    <r>
      <rPr>
        <sz val="10"/>
        <color theme="1"/>
        <rFont val="宋体"/>
        <charset val="134"/>
      </rPr>
      <t>。</t>
    </r>
    <r>
      <rPr>
        <sz val="10"/>
        <color theme="1"/>
        <rFont val="Times New Roman"/>
        <charset val="134"/>
      </rPr>
      <t xml:space="preserve"> </t>
    </r>
    <r>
      <rPr>
        <sz val="10"/>
        <color theme="1"/>
        <rFont val="宋体"/>
        <charset val="134"/>
      </rPr>
      <t>以一个魔法动作，你可以消耗</t>
    </r>
    <r>
      <rPr>
        <sz val="10"/>
        <color theme="1"/>
        <rFont val="Times New Roman"/>
        <charset val="134"/>
      </rPr>
      <t>1</t>
    </r>
    <r>
      <rPr>
        <sz val="10"/>
        <color theme="1"/>
        <rFont val="宋体"/>
        <charset val="134"/>
      </rPr>
      <t>点幽影尘埃，来将你的感官投射至你的暗影映像上。在接下来的</t>
    </r>
    <r>
      <rPr>
        <sz val="10"/>
        <color theme="1"/>
        <rFont val="Times New Roman"/>
        <charset val="134"/>
      </rPr>
      <t>1</t>
    </r>
    <r>
      <rPr>
        <sz val="10"/>
        <color theme="1"/>
        <rFont val="宋体"/>
        <charset val="134"/>
      </rPr>
      <t>分钟内，你可以如同身处其位置一般，通过映像视物和聆听，并且你可以将其移动到距离你至多</t>
    </r>
    <r>
      <rPr>
        <sz val="10"/>
        <color theme="1"/>
        <rFont val="Times New Roman"/>
        <charset val="134"/>
      </rPr>
      <t>120</t>
    </r>
    <r>
      <rPr>
        <sz val="10"/>
        <color theme="1"/>
        <rFont val="宋体"/>
        <charset val="134"/>
      </rPr>
      <t>尺远的地方。
若你受到任何伤害，或陷入失能状态，则此效果提前终止。
暗影置换</t>
    </r>
    <r>
      <rPr>
        <sz val="10"/>
        <color theme="1"/>
        <rFont val="Times New Roman"/>
        <charset val="134"/>
      </rPr>
      <t>Shadow Swap</t>
    </r>
    <r>
      <rPr>
        <sz val="10"/>
        <color theme="1"/>
        <rFont val="宋体"/>
        <charset val="134"/>
      </rPr>
      <t>。</t>
    </r>
    <r>
      <rPr>
        <sz val="10"/>
        <color theme="1"/>
        <rFont val="Times New Roman"/>
        <charset val="134"/>
      </rPr>
      <t xml:space="preserve"> </t>
    </r>
    <r>
      <rPr>
        <sz val="10"/>
        <color theme="1"/>
        <rFont val="宋体"/>
        <charset val="134"/>
      </rPr>
      <t>当你使用灵巧动作特性时，作为该附赠动作的一部分，你可以消耗</t>
    </r>
    <r>
      <rPr>
        <sz val="10"/>
        <color theme="1"/>
        <rFont val="Times New Roman"/>
        <charset val="134"/>
      </rPr>
      <t>1</t>
    </r>
    <r>
      <rPr>
        <sz val="10"/>
        <color theme="1"/>
        <rFont val="宋体"/>
        <charset val="134"/>
      </rPr>
      <t>点幽影尘埃，来与你的暗影映像互换位置。你传送至它所在的位置，而它则出现在你原来的地方。
若你出现在一个已占据空间，你会被弹开至最近的未占据空间，并受到等同于你被移动的尺数的力场伤害。
扰目之影</t>
    </r>
    <r>
      <rPr>
        <sz val="10"/>
        <color theme="1"/>
        <rFont val="Times New Roman"/>
        <charset val="134"/>
      </rPr>
      <t>Vexing Shadow</t>
    </r>
    <r>
      <rPr>
        <sz val="10"/>
        <color theme="1"/>
        <rFont val="宋体"/>
        <charset val="134"/>
      </rPr>
      <t>。</t>
    </r>
    <r>
      <rPr>
        <sz val="10"/>
        <color theme="1"/>
        <rFont val="Times New Roman"/>
        <charset val="134"/>
      </rPr>
      <t xml:space="preserve"> </t>
    </r>
    <r>
      <rPr>
        <sz val="10"/>
        <color theme="1"/>
        <rFont val="宋体"/>
        <charset val="134"/>
      </rPr>
      <t>当你用武器进行的攻击检定命中了一名生物，且你的暗影映像在那个生物的</t>
    </r>
    <r>
      <rPr>
        <sz val="10"/>
        <color theme="1"/>
        <rFont val="Times New Roman"/>
        <charset val="134"/>
      </rPr>
      <t>5</t>
    </r>
    <r>
      <rPr>
        <sz val="10"/>
        <color theme="1"/>
        <rFont val="宋体"/>
        <charset val="134"/>
      </rPr>
      <t>尺范围内时，你可以立即消耗</t>
    </r>
    <r>
      <rPr>
        <sz val="10"/>
        <color theme="1"/>
        <rFont val="Times New Roman"/>
        <charset val="134"/>
      </rPr>
      <t>1</t>
    </r>
    <r>
      <rPr>
        <sz val="10"/>
        <color theme="1"/>
        <rFont val="宋体"/>
        <charset val="134"/>
      </rPr>
      <t>点幽影尘埃，来获得获得仅对该生物有效的隐形状态，持续至你的下一个回合结束。</t>
    </r>
  </si>
  <si>
    <t>莫测奥法</t>
  </si>
  <si>
    <t>你可以利用受污染的能量来施放你不知道的法术。你可以从任何职业法术列表中施放任何法术。该法术必须是你有法术位的环级，且你必须像平常一样消耗一个法术位。施放该法术使用法术的正常施法时间，如果法术有材料成分，你也必须像平常一样提供这些材料。作为施放法术的一部分，但在法术生效之前，你获得等同于法术环级一半（向下取整，最少为一）的污染等级。你无法以任何方式防止或减少这些污染等级，但你可以像平常一样移除它们。</t>
  </si>
  <si>
    <r>
      <rPr>
        <sz val="10"/>
        <color theme="1"/>
        <rFont val="宋体"/>
        <charset val="134"/>
      </rPr>
      <t>天界法术</t>
    </r>
  </si>
  <si>
    <r>
      <rPr>
        <sz val="10"/>
        <color theme="1"/>
        <rFont val="宋体"/>
        <charset val="134"/>
      </rPr>
      <t>宗主赐予的魔法使你始终准备了特定的法术。当你到达天界法术表中特定的魔契师等级时，你就始终准备了表中对应的法术。
天界法术</t>
    </r>
    <r>
      <rPr>
        <sz val="10"/>
        <color theme="1"/>
        <rFont val="Times New Roman"/>
        <charset val="134"/>
      </rPr>
      <t xml:space="preserve">Celestial Spells 
</t>
    </r>
    <r>
      <rPr>
        <sz val="10"/>
        <color theme="1"/>
        <rFont val="宋体"/>
        <charset val="134"/>
      </rPr>
      <t>魔契师等级</t>
    </r>
    <r>
      <rPr>
        <sz val="10"/>
        <color theme="1"/>
        <rFont val="Times New Roman"/>
        <charset val="134"/>
      </rPr>
      <t xml:space="preserve"> </t>
    </r>
    <r>
      <rPr>
        <sz val="10"/>
        <color theme="1"/>
        <rFont val="宋体"/>
        <charset val="134"/>
      </rPr>
      <t xml:space="preserve">法术
</t>
    </r>
    <r>
      <rPr>
        <sz val="10"/>
        <color theme="1"/>
        <rFont val="Times New Roman"/>
        <charset val="134"/>
      </rPr>
      <t xml:space="preserve">3 </t>
    </r>
    <r>
      <rPr>
        <sz val="10"/>
        <color theme="1"/>
        <rFont val="宋体"/>
        <charset val="134"/>
      </rPr>
      <t>光亮术</t>
    </r>
    <r>
      <rPr>
        <sz val="10"/>
        <color theme="1"/>
        <rFont val="Times New Roman"/>
        <charset val="134"/>
      </rPr>
      <t>Light</t>
    </r>
    <r>
      <rPr>
        <sz val="10"/>
        <color theme="1"/>
        <rFont val="宋体"/>
        <charset val="134"/>
      </rPr>
      <t>，援助术</t>
    </r>
    <r>
      <rPr>
        <sz val="10"/>
        <color theme="1"/>
        <rFont val="Times New Roman"/>
        <charset val="134"/>
      </rPr>
      <t>Aid</t>
    </r>
    <r>
      <rPr>
        <sz val="10"/>
        <color theme="1"/>
        <rFont val="宋体"/>
        <charset val="134"/>
      </rPr>
      <t>，疗伤术</t>
    </r>
    <r>
      <rPr>
        <sz val="10"/>
        <color theme="1"/>
        <rFont val="Times New Roman"/>
        <charset val="134"/>
      </rPr>
      <t>Cure Wounds</t>
    </r>
    <r>
      <rPr>
        <sz val="10"/>
        <color theme="1"/>
        <rFont val="宋体"/>
        <charset val="134"/>
      </rPr>
      <t>，光导箭</t>
    </r>
    <r>
      <rPr>
        <sz val="10"/>
        <color theme="1"/>
        <rFont val="Times New Roman"/>
        <charset val="134"/>
      </rPr>
      <t>Guiding Bolt</t>
    </r>
    <r>
      <rPr>
        <sz val="10"/>
        <color theme="1"/>
        <rFont val="宋体"/>
        <charset val="134"/>
      </rPr>
      <t>，次等复原术</t>
    </r>
    <r>
      <rPr>
        <sz val="10"/>
        <color theme="1"/>
        <rFont val="Times New Roman"/>
        <charset val="134"/>
      </rPr>
      <t>Lesser Restoration</t>
    </r>
    <r>
      <rPr>
        <sz val="10"/>
        <color theme="1"/>
        <rFont val="宋体"/>
        <charset val="134"/>
      </rPr>
      <t>，圣火术</t>
    </r>
    <r>
      <rPr>
        <sz val="10"/>
        <color theme="1"/>
        <rFont val="Times New Roman"/>
        <charset val="134"/>
      </rPr>
      <t xml:space="preserve">Sacred Flame 
5 </t>
    </r>
    <r>
      <rPr>
        <sz val="10"/>
        <color theme="1"/>
        <rFont val="宋体"/>
        <charset val="134"/>
      </rPr>
      <t>昼明术</t>
    </r>
    <r>
      <rPr>
        <sz val="10"/>
        <color theme="1"/>
        <rFont val="Times New Roman"/>
        <charset val="134"/>
      </rPr>
      <t>Blight</t>
    </r>
    <r>
      <rPr>
        <sz val="10"/>
        <color theme="1"/>
        <rFont val="宋体"/>
        <charset val="134"/>
      </rPr>
      <t>，回生术</t>
    </r>
    <r>
      <rPr>
        <sz val="10"/>
        <color theme="1"/>
        <rFont val="Times New Roman"/>
        <charset val="134"/>
      </rPr>
      <t xml:space="preserve">Revivify
7 </t>
    </r>
    <r>
      <rPr>
        <sz val="10"/>
        <color theme="1"/>
        <rFont val="宋体"/>
        <charset val="134"/>
      </rPr>
      <t>信仰守卫</t>
    </r>
    <r>
      <rPr>
        <sz val="10"/>
        <color theme="1"/>
        <rFont val="Times New Roman"/>
        <charset val="134"/>
      </rPr>
      <t>Guardian of Faith</t>
    </r>
    <r>
      <rPr>
        <sz val="10"/>
        <color theme="1"/>
        <rFont val="宋体"/>
        <charset val="134"/>
      </rPr>
      <t>，火墙术</t>
    </r>
    <r>
      <rPr>
        <sz val="10"/>
        <color theme="1"/>
        <rFont val="Times New Roman"/>
        <charset val="134"/>
      </rPr>
      <t xml:space="preserve">Wall of Fire 
9 </t>
    </r>
    <r>
      <rPr>
        <sz val="10"/>
        <color theme="1"/>
        <rFont val="宋体"/>
        <charset val="134"/>
      </rPr>
      <t>高等复原术</t>
    </r>
    <r>
      <rPr>
        <sz val="10"/>
        <color theme="1"/>
        <rFont val="Times New Roman"/>
        <charset val="134"/>
      </rPr>
      <t>Greater Restoration</t>
    </r>
    <r>
      <rPr>
        <sz val="10"/>
        <color theme="1"/>
        <rFont val="宋体"/>
        <charset val="134"/>
      </rPr>
      <t>，天界召唤术</t>
    </r>
    <r>
      <rPr>
        <sz val="10"/>
        <color theme="1"/>
        <rFont val="Times New Roman"/>
        <charset val="134"/>
      </rPr>
      <t xml:space="preserve">Summon Celestial </t>
    </r>
  </si>
  <si>
    <t>异常材料</t>
  </si>
  <si>
    <t>你学会了如何在保护自己免受有害能量的影响下施放污染法术。
当你施放一个污染法术时不会获得污染等级。以该方式施放法术时，任何作为法术材料的妄质并不会在你施放法术时消耗，但你仍必须提供这些材料。
你可以使用该特性的次数等于你的熟练加值，且在你完成一次长休后恢复所有已用的次数。</t>
  </si>
  <si>
    <r>
      <rPr>
        <sz val="10"/>
        <color theme="1"/>
        <rFont val="宋体"/>
        <charset val="134"/>
      </rPr>
      <t>高等突变</t>
    </r>
  </si>
  <si>
    <r>
      <rPr>
        <sz val="10"/>
        <color theme="1"/>
        <rFont val="宋体"/>
        <charset val="134"/>
      </rPr>
      <t>你的身体已经习惯在需要时自动产出毒素。以一个附赠动作，你可以选择一种正影响你的诱变剂，从你的身体系统里排出并结束它，然后立即选择一种你已知的诱变剂生效。
你能够使用该特性的次数等于你的鲜血秘法调整值（最低一次）。完成一次长休后，你将重获所有消耗掉的次数。</t>
    </r>
  </si>
  <si>
    <r>
      <rPr>
        <sz val="10"/>
        <color theme="1"/>
        <rFont val="宋体"/>
        <charset val="134"/>
      </rPr>
      <t>驱魔</t>
    </r>
  </si>
  <si>
    <r>
      <rPr>
        <sz val="10"/>
        <color theme="1"/>
        <rFont val="宋体"/>
        <charset val="134"/>
      </rPr>
      <t>你获得了新能力：通过将神圣能量注入圣徽，驱散一定范围内的邪恶实体，或治愈它们对你盟友的有害影响。当你使用该特性时，你可以选择创造哪种效果。
你可以使用该特性的次数等同于你熟练加值的一半，当完成一次长休或短休后，你恢复所有使用次数。
如果一个特性的效果需要目标进行豁免检定，其豁免</t>
    </r>
    <r>
      <rPr>
        <sz val="10"/>
        <color theme="1"/>
        <rFont val="Times New Roman"/>
        <charset val="134"/>
      </rPr>
      <t>DC</t>
    </r>
    <r>
      <rPr>
        <sz val="10"/>
        <color theme="1"/>
        <rFont val="宋体"/>
        <charset val="134"/>
      </rPr>
      <t>等同于你药剂师法术的豁免</t>
    </r>
    <r>
      <rPr>
        <sz val="10"/>
        <color theme="1"/>
        <rFont val="Times New Roman"/>
        <charset val="134"/>
      </rPr>
      <t>DC</t>
    </r>
    <r>
      <rPr>
        <sz val="10"/>
        <color theme="1"/>
        <rFont val="宋体"/>
        <charset val="134"/>
      </rPr>
      <t>。第</t>
    </r>
    <r>
      <rPr>
        <sz val="10"/>
        <color theme="1"/>
        <rFont val="Times New Roman"/>
        <charset val="134"/>
      </rPr>
      <t>5</t>
    </r>
    <r>
      <rPr>
        <sz val="10"/>
        <color theme="1"/>
        <rFont val="宋体"/>
        <charset val="134"/>
      </rPr>
      <t>级起，当一个邪魔或不死生物在对抗你驱散邪恶特性的豁免检定中失败时，那么该生物将承受</t>
    </r>
    <r>
      <rPr>
        <sz val="10"/>
        <color theme="1"/>
        <rFont val="Times New Roman"/>
        <charset val="134"/>
      </rPr>
      <t>4d8</t>
    </r>
    <r>
      <rPr>
        <sz val="10"/>
        <color theme="1"/>
        <rFont val="宋体"/>
        <charset val="134"/>
      </rPr>
      <t>点光耀伤害。
驱散邪恶</t>
    </r>
    <r>
      <rPr>
        <sz val="10"/>
        <color theme="1"/>
        <rFont val="Times New Roman"/>
        <charset val="134"/>
      </rPr>
      <t>Expel Evil</t>
    </r>
    <r>
      <rPr>
        <sz val="10"/>
        <color theme="1"/>
        <rFont val="宋体"/>
        <charset val="134"/>
      </rPr>
      <t>。以一个动作，你高举圣徽，念出祷言谴责那些意图伤害你的生物。你身边</t>
    </r>
    <r>
      <rPr>
        <sz val="10"/>
        <color theme="1"/>
        <rFont val="Times New Roman"/>
        <charset val="134"/>
      </rPr>
      <t>30</t>
    </r>
    <r>
      <rPr>
        <sz val="10"/>
        <color theme="1"/>
        <rFont val="宋体"/>
        <charset val="134"/>
      </rPr>
      <t>尺范围内所有能看到或听到你的不死生物，天界生物，精类生物或邪魔必须进行一次感知豁免。如果生物豁免检定失败，它将被驱散</t>
    </r>
    <r>
      <rPr>
        <sz val="10"/>
        <color theme="1"/>
        <rFont val="Times New Roman"/>
        <charset val="134"/>
      </rPr>
      <t>1</t>
    </r>
    <r>
      <rPr>
        <sz val="10"/>
        <color theme="1"/>
        <rFont val="宋体"/>
        <charset val="134"/>
      </rPr>
      <t>分钟或直到受到任何伤害。
一个被驱散的生物将在它的回合内尽其所能地远离你，并且它也不愿停留在一个离你</t>
    </r>
    <r>
      <rPr>
        <sz val="10"/>
        <color theme="1"/>
        <rFont val="Times New Roman"/>
        <charset val="134"/>
      </rPr>
      <t>30</t>
    </r>
    <r>
      <rPr>
        <sz val="10"/>
        <color theme="1"/>
        <rFont val="宋体"/>
        <charset val="134"/>
      </rPr>
      <t>尺范围内的空间中。它也无法使用反应。对于动作，它只能使用疾跑或其他能逃离限制其移动的动作。该生物无路可走时会使用</t>
    </r>
    <r>
      <rPr>
        <sz val="10"/>
        <color theme="1"/>
        <rFont val="Times New Roman"/>
        <charset val="134"/>
      </rPr>
      <t>“</t>
    </r>
    <r>
      <rPr>
        <sz val="10"/>
        <color theme="1"/>
        <rFont val="宋体"/>
        <charset val="134"/>
      </rPr>
      <t>回避</t>
    </r>
    <r>
      <rPr>
        <sz val="10"/>
        <color theme="1"/>
        <rFont val="Times New Roman"/>
        <charset val="134"/>
      </rPr>
      <t>”</t>
    </r>
    <r>
      <rPr>
        <sz val="10"/>
        <color theme="1"/>
        <rFont val="宋体"/>
        <charset val="134"/>
      </rPr>
      <t>动作。
净化不洁</t>
    </r>
    <r>
      <rPr>
        <sz val="10"/>
        <color theme="1"/>
        <rFont val="Times New Roman"/>
        <charset val="134"/>
      </rPr>
      <t>Purge Corruption</t>
    </r>
    <r>
      <rPr>
        <sz val="10"/>
        <color theme="1"/>
        <rFont val="宋体"/>
        <charset val="134"/>
      </rPr>
      <t>。你触碰一个生物或物件，结束任意一种正折磨它的状态。这个状态可以是目盲，魅惑，耳聋，恐慌，麻痹或中毒中的一种。
另外地，如果一个生物被幽灵或异界生物附身、精神控制，你可以使用该特性移除任何来自附身者的个性或其他特性。如果是附身，附身的生物将被驱赶到它宿主身边</t>
    </r>
    <r>
      <rPr>
        <sz val="10"/>
        <color theme="1"/>
        <rFont val="Times New Roman"/>
        <charset val="134"/>
      </rPr>
      <t>5</t>
    </r>
    <r>
      <rPr>
        <sz val="10"/>
        <color theme="1"/>
        <rFont val="宋体"/>
        <charset val="134"/>
      </rPr>
      <t>尺范围内一处未被占据的空间，并承受</t>
    </r>
    <r>
      <rPr>
        <sz val="10"/>
        <color theme="1"/>
        <rFont val="Times New Roman"/>
        <charset val="134"/>
      </rPr>
      <t>2d8+</t>
    </r>
    <r>
      <rPr>
        <sz val="10"/>
        <color theme="1"/>
        <rFont val="宋体"/>
        <charset val="134"/>
      </rPr>
      <t>你药剂师等级的心灵伤害。</t>
    </r>
  </si>
  <si>
    <t>血之戒律</t>
  </si>
  <si>
    <r>
      <rPr>
        <sz val="10"/>
        <color theme="1"/>
        <rFont val="宋体"/>
        <charset val="134"/>
      </rPr>
      <t>猩红骑士在加入墟寂教团时向苏特赫立下誓言。这些戒律要求他们使用亵渎的血之魔法，号令忠良，制造恐惧。
强大也是弱点。我盯着最强的敌人，他的活力是我胜利的动力。
罪恶需得苦刑。反对我者皆异端，在品尝失败以前，他们将为自己的不信付出代价。
忠诚将有回报。我的恩惠让我的盟友依赖我</t>
    </r>
    <r>
      <rPr>
        <sz val="10"/>
        <color theme="1"/>
        <rFont val="Times New Roman"/>
        <charset val="134"/>
      </rPr>
      <t>——</t>
    </r>
    <r>
      <rPr>
        <sz val="10"/>
        <color theme="1"/>
        <rFont val="宋体"/>
        <charset val="134"/>
      </rPr>
      <t>和我的血赋予的力量。
仁慈就是力量。通过救助盟友，我证明了我力量的强大。每次我救助生命时，也是在提醒我，我可以多么迅速地将其剥夺。</t>
    </r>
  </si>
  <si>
    <r>
      <rPr>
        <sz val="10"/>
        <color theme="1"/>
        <rFont val="宋体"/>
        <charset val="134"/>
      </rPr>
      <t>魔射手</t>
    </r>
  </si>
  <si>
    <t>古神之赐</t>
  </si>
  <si>
    <t>古神将你选为了他们的圣武具，一种用于对抗邪恶的工具。你获得以下好处：
&gt; 狂暴期间，你在自己的回合内每次执行攻击动作时都可以发动三次攻击。
&gt; 你可以擒抱或推撞任何生物，不论体型。
&gt; 你可以将你的力量属性值加入所有投掷武器的射程中。
&gt; 当你推撞一个生物时，你可以推动他10尺。</t>
  </si>
  <si>
    <t>悲怆光轮</t>
  </si>
  <si>
    <r>
      <rPr>
        <sz val="10"/>
        <color theme="1"/>
        <rFont val="宋体"/>
        <charset val="134"/>
      </rPr>
      <t>你能以一个动作触碰一位自愿的生物，并为其注入悲剧英雄的力量。</t>
    </r>
    <r>
      <rPr>
        <sz val="10"/>
        <color theme="1"/>
        <rFont val="Times New Roman"/>
        <charset val="134"/>
      </rPr>
      <t>1</t>
    </r>
    <r>
      <rPr>
        <sz val="10"/>
        <color theme="1"/>
        <rFont val="宋体"/>
        <charset val="134"/>
      </rPr>
      <t xml:space="preserve">分钟内，该生物的周遭将被忧伤的音乐和鬼魅般的歌唱所萦绕，而他将获得以下增益与减益：
</t>
    </r>
    <r>
      <rPr>
        <sz val="10"/>
        <color theme="1"/>
        <rFont val="宋体"/>
        <charset val="134"/>
      </rPr>
      <t>·</t>
    </r>
    <r>
      <rPr>
        <sz val="10"/>
        <color theme="1"/>
        <rFont val="Times New Roman"/>
        <charset val="134"/>
      </rPr>
      <t xml:space="preserve"> </t>
    </r>
    <r>
      <rPr>
        <sz val="10"/>
        <color theme="1"/>
        <rFont val="宋体"/>
        <charset val="134"/>
      </rPr>
      <t>该生物的</t>
    </r>
    <r>
      <rPr>
        <sz val="10"/>
        <color theme="1"/>
        <rFont val="Times New Roman"/>
        <charset val="134"/>
      </rPr>
      <t>AC</t>
    </r>
    <r>
      <rPr>
        <sz val="10"/>
        <color theme="1"/>
        <rFont val="宋体"/>
        <charset val="134"/>
      </rPr>
      <t>获得</t>
    </r>
    <r>
      <rPr>
        <sz val="10"/>
        <color theme="1"/>
        <rFont val="Times New Roman"/>
        <charset val="134"/>
      </rPr>
      <t>+4</t>
    </r>
    <r>
      <rPr>
        <sz val="10"/>
        <color theme="1"/>
        <rFont val="宋体"/>
        <charset val="134"/>
      </rPr>
      <t xml:space="preserve">加值。
</t>
    </r>
    <r>
      <rPr>
        <sz val="10"/>
        <color theme="1"/>
        <rFont val="宋体"/>
        <charset val="134"/>
      </rPr>
      <t>·</t>
    </r>
    <r>
      <rPr>
        <sz val="10"/>
        <color theme="1"/>
        <rFont val="Times New Roman"/>
        <charset val="134"/>
      </rPr>
      <t xml:space="preserve"> </t>
    </r>
    <r>
      <rPr>
        <sz val="10"/>
        <color theme="1"/>
        <rFont val="宋体"/>
        <charset val="134"/>
      </rPr>
      <t xml:space="preserve">其进行的攻击检定与豁免检定具有优势。
</t>
    </r>
    <r>
      <rPr>
        <sz val="10"/>
        <color theme="1"/>
        <rFont val="宋体"/>
        <charset val="134"/>
      </rPr>
      <t>·</t>
    </r>
    <r>
      <rPr>
        <sz val="10"/>
        <color theme="1"/>
        <rFont val="Times New Roman"/>
        <charset val="134"/>
      </rPr>
      <t xml:space="preserve"> </t>
    </r>
    <r>
      <rPr>
        <sz val="10"/>
        <color theme="1"/>
        <rFont val="宋体"/>
        <charset val="134"/>
      </rPr>
      <t>当该生物以一次武器攻击或法术攻击命中一个目标时，目标额外受到</t>
    </r>
    <r>
      <rPr>
        <sz val="10"/>
        <color theme="1"/>
        <rFont val="Times New Roman"/>
        <charset val="134"/>
      </rPr>
      <t>1d10</t>
    </r>
    <r>
      <rPr>
        <sz val="10"/>
        <color theme="1"/>
        <rFont val="宋体"/>
        <charset val="134"/>
      </rPr>
      <t xml:space="preserve">光耀伤害。
</t>
    </r>
    <r>
      <rPr>
        <sz val="10"/>
        <color theme="1"/>
        <rFont val="宋体"/>
        <charset val="134"/>
      </rPr>
      <t>·</t>
    </r>
    <r>
      <rPr>
        <sz val="10"/>
        <color theme="1"/>
        <rFont val="Times New Roman"/>
        <charset val="134"/>
      </rPr>
      <t xml:space="preserve"> </t>
    </r>
    <r>
      <rPr>
        <sz val="10"/>
        <color theme="1"/>
        <rFont val="宋体"/>
        <charset val="134"/>
      </rPr>
      <t>任何以该生物为目标进行的武器攻击在骰出</t>
    </r>
    <r>
      <rPr>
        <sz val="10"/>
        <color theme="1"/>
        <rFont val="Times New Roman"/>
        <charset val="134"/>
      </rPr>
      <t>18-20</t>
    </r>
    <r>
      <rPr>
        <sz val="10"/>
        <color theme="1"/>
        <rFont val="宋体"/>
        <charset val="134"/>
      </rPr>
      <t>时即形成重击。
当该效应结束时，那个生物的生命值将立刻降为</t>
    </r>
    <r>
      <rPr>
        <sz val="10"/>
        <color theme="1"/>
        <rFont val="Times New Roman"/>
        <charset val="134"/>
      </rPr>
      <t>0</t>
    </r>
    <r>
      <rPr>
        <sz val="10"/>
        <color theme="1"/>
        <rFont val="宋体"/>
        <charset val="134"/>
      </rPr>
      <t>并陷入濒死。使用此特性后，直到你完成一次长休前你都无法再次使用它。</t>
    </r>
  </si>
  <si>
    <r>
      <rPr>
        <sz val="10"/>
        <color theme="1"/>
        <rFont val="宋体"/>
        <charset val="134"/>
      </rPr>
      <t>末日之歌</t>
    </r>
  </si>
  <si>
    <r>
      <rPr>
        <sz val="10"/>
        <color theme="1"/>
        <rFont val="宋体"/>
        <charset val="134"/>
      </rPr>
      <t>你可以使用你的引导神力来加速某个生物的末日。以一个附赠动作，你可以消耗一次引导神力次数来选择一名位于你</t>
    </r>
    <r>
      <rPr>
        <sz val="10"/>
        <color theme="1"/>
        <rFont val="Times New Roman"/>
        <charset val="134"/>
      </rPr>
      <t>120</t>
    </r>
    <r>
      <rPr>
        <sz val="10"/>
        <color theme="1"/>
        <rFont val="宋体"/>
        <charset val="134"/>
      </rPr>
      <t>尺内你可见的生物。在接下来的</t>
    </r>
    <r>
      <rPr>
        <sz val="10"/>
        <color theme="1"/>
        <rFont val="Times New Roman"/>
        <charset val="134"/>
      </rPr>
      <t>10</t>
    </r>
    <r>
      <rPr>
        <sz val="10"/>
        <color theme="1"/>
        <rFont val="宋体"/>
        <charset val="134"/>
      </rPr>
      <t>分钟内，对该生物进行的攻击检定在</t>
    </r>
    <r>
      <rPr>
        <sz val="10"/>
        <color theme="1"/>
        <rFont val="Times New Roman"/>
        <charset val="134"/>
      </rPr>
      <t>d20</t>
    </r>
    <r>
      <rPr>
        <sz val="10"/>
        <color theme="1"/>
        <rFont val="宋体"/>
        <charset val="134"/>
      </rPr>
      <t>中掷出</t>
    </r>
    <r>
      <rPr>
        <sz val="10"/>
        <color theme="1"/>
        <rFont val="Times New Roman"/>
        <charset val="134"/>
      </rPr>
      <t>19</t>
    </r>
    <r>
      <rPr>
        <sz val="10"/>
        <color theme="1"/>
        <rFont val="宋体"/>
        <charset val="134"/>
      </rPr>
      <t>或</t>
    </r>
    <r>
      <rPr>
        <sz val="10"/>
        <color theme="1"/>
        <rFont val="Times New Roman"/>
        <charset val="134"/>
      </rPr>
      <t>20</t>
    </r>
    <r>
      <rPr>
        <sz val="10"/>
        <color theme="1"/>
        <rFont val="宋体"/>
        <charset val="134"/>
      </rPr>
      <t>时即可造成重击。</t>
    </r>
  </si>
  <si>
    <t>汲取腐化</t>
  </si>
  <si>
    <t>你获得将污染引到你的身体之中，并以此增强你的魔法的能力。每回合一次，以一个附赠动作，你获得一级污染等级。如果你这么做，你回复一次荒野变形特性使用次数。</t>
  </si>
  <si>
    <r>
      <rPr>
        <sz val="10"/>
        <color theme="1"/>
        <rFont val="宋体"/>
        <charset val="134"/>
      </rPr>
      <t>追踪箭</t>
    </r>
  </si>
  <si>
    <r>
      <rPr>
        <sz val="10"/>
        <color theme="1"/>
        <rFont val="宋体"/>
        <charset val="134"/>
      </rPr>
      <t>使用预言魔法，你赋予你的箭自寻目标的能力。
当你使用该选项时，你不用为该次攻击投攻击骰，取而代之，选择一名在过去的</t>
    </r>
    <r>
      <rPr>
        <sz val="10"/>
        <color theme="1"/>
        <rFont val="Times New Roman"/>
        <charset val="134"/>
      </rPr>
      <t>1</t>
    </r>
    <r>
      <rPr>
        <sz val="10"/>
        <color theme="1"/>
        <rFont val="宋体"/>
        <charset val="134"/>
      </rPr>
      <t>分钟里你见过的角色。
如果需要的话，这只箭会立刻掉头飞向那名角色，且忽视四分之三和半遮蔽。
如果目标在箭的射程范围内且中间路程适合箭飞行至目标，目标必须做一个敏捷豁免。否则，箭会在飞行到最大距离后消失。
如果豁免失败，角色会受到如同被这只箭击中的伤害和额外</t>
    </r>
    <r>
      <rPr>
        <sz val="10"/>
        <color theme="1"/>
        <rFont val="Times New Roman"/>
        <charset val="134"/>
      </rPr>
      <t>1d6</t>
    </r>
    <r>
      <rPr>
        <sz val="10"/>
        <color theme="1"/>
        <rFont val="宋体"/>
        <charset val="134"/>
      </rPr>
      <t>的穿刺伤害，而且你得知目标的确切位置。
如果成功，伤害减半且你无法得知其方位。
当你的战士等级到</t>
    </r>
    <r>
      <rPr>
        <sz val="10"/>
        <color theme="1"/>
        <rFont val="Times New Roman"/>
        <charset val="134"/>
      </rPr>
      <t>18</t>
    </r>
    <r>
      <rPr>
        <sz val="10"/>
        <color theme="1"/>
        <rFont val="宋体"/>
        <charset val="134"/>
      </rPr>
      <t>级时该穿刺伤害增加到</t>
    </r>
    <r>
      <rPr>
        <sz val="10"/>
        <color theme="1"/>
        <rFont val="Times New Roman"/>
        <charset val="134"/>
      </rPr>
      <t>2d6</t>
    </r>
    <r>
      <rPr>
        <sz val="10"/>
        <color theme="1"/>
        <rFont val="宋体"/>
        <charset val="134"/>
      </rPr>
      <t>。</t>
    </r>
  </si>
  <si>
    <t>灵蛇姿</t>
  </si>
  <si>
    <t>在你的回合开始时，你可以准备一种灵蛇姿态（无需动作）。如果你这么做了，从以下的灵蛇姿态中选择其一，这种姿态会持续至你陷入失能或再次使用此特性。
&gt; 森蚺态Anaconda Stance。当你进入此姿态时，你的近战武器和徒手攻击的触及距离增加10尺。
&gt; 曼巴态Black Mamba Stance。当你进入此姿态时，一回合一次，当你的武器攻击未命中时，作为那个动作的一部分，你可以再发动一次额外的近战攻击。
&gt; 羽蛇态Couatl Stance。当你进入此姿态时，你获得等于你移动速度的飞行速度。
&gt; 蛇魔态Marilith Stance。当你进入此姿态时，你在战斗中的每个回合都可以使用一次反应，而非一轮一次。</t>
  </si>
  <si>
    <r>
      <rPr>
        <sz val="10"/>
        <color theme="1"/>
        <rFont val="宋体"/>
        <charset val="134"/>
      </rPr>
      <t>当你选择此誓言时，你获得以下两种引导神力选项。
海巡领域</t>
    </r>
    <r>
      <rPr>
        <sz val="10"/>
        <color theme="1"/>
        <rFont val="Times New Roman"/>
        <charset val="134"/>
      </rPr>
      <t xml:space="preserve"> Marine Layer</t>
    </r>
    <r>
      <rPr>
        <sz val="10"/>
        <color theme="1"/>
        <rFont val="宋体"/>
        <charset val="134"/>
      </rPr>
      <t>。以一个动作，你引导海洋为你创造一股浓雾，覆盖你周围的</t>
    </r>
    <r>
      <rPr>
        <sz val="10"/>
        <color theme="1"/>
        <rFont val="Times New Roman"/>
        <charset val="134"/>
      </rPr>
      <t>20</t>
    </r>
    <r>
      <rPr>
        <sz val="10"/>
        <color theme="1"/>
        <rFont val="宋体"/>
        <charset val="134"/>
      </rPr>
      <t>尺半径的球形范围。此云雾会以你为中心，与你一同移动，并使区域内变为重度遮蔽环境。不过，你和你周围</t>
    </r>
    <r>
      <rPr>
        <sz val="10"/>
        <color theme="1"/>
        <rFont val="Times New Roman"/>
        <charset val="134"/>
      </rPr>
      <t>5</t>
    </r>
    <r>
      <rPr>
        <sz val="10"/>
        <color theme="1"/>
        <rFont val="宋体"/>
        <charset val="134"/>
      </rPr>
      <t>尺范围内的生物只会将该区域视为轻度遮蔽。此云雾持续十分钟，它会绕过角落扩散，并且无法被吹散。你可以随时选择提前结束此效应（无需动作）。
浪涛之怒</t>
    </r>
    <r>
      <rPr>
        <sz val="10"/>
        <color theme="1"/>
        <rFont val="Times New Roman"/>
        <charset val="134"/>
      </rPr>
      <t xml:space="preserve"> Fury of the Tide</t>
    </r>
    <r>
      <rPr>
        <sz val="10"/>
        <color theme="1"/>
        <rFont val="宋体"/>
        <charset val="134"/>
      </rPr>
      <t>。以一个附赠动作，你招来浪涛的巨力以强化你的攻击。一分钟内，每回合一次，当你以武器攻击命中一个生物时，你可以选择将其向你推开</t>
    </r>
    <r>
      <rPr>
        <sz val="10"/>
        <color theme="1"/>
        <rFont val="Times New Roman"/>
        <charset val="134"/>
      </rPr>
      <t>10</t>
    </r>
    <r>
      <rPr>
        <sz val="10"/>
        <color theme="1"/>
        <rFont val="宋体"/>
        <charset val="134"/>
      </rPr>
      <t>尺。如果它被推撞到障碍物或其他生物身上，它还将受到等同于你的力量调整值点的钝击伤害。</t>
    </r>
    <r>
      <rPr>
        <sz val="10"/>
        <color theme="1"/>
        <rFont val="Times New Roman"/>
        <charset val="134"/>
      </rPr>
      <t xml:space="preserve"> </t>
    </r>
  </si>
  <si>
    <t>城市游侠魔法</t>
  </si>
  <si>
    <t>你在达到特定等级时，你会额外习得一个下方城市游侠法术列表中列出的法术。这些法术对你而言视作游侠法术，且不计入你的游侠已知法术数量中。
游侠等级   法术
3rd   羽落术featherfall
5th   隐形术invisibility
9th   加速术haste
13th   任意门dimension door
17th   活化物件animate objects</t>
  </si>
  <si>
    <r>
      <rPr>
        <sz val="10"/>
        <color theme="1"/>
        <rFont val="宋体"/>
        <charset val="134"/>
      </rPr>
      <t>暗影庇护</t>
    </r>
  </si>
  <si>
    <r>
      <rPr>
        <sz val="10"/>
        <color theme="1"/>
        <rFont val="宋体"/>
        <charset val="134"/>
      </rPr>
      <t>你可以通过编织暗影来拦截攻击，并将其无害地偏转至虚无之中。当你使用直觉闪避特性时，你可以将该次攻击对你造成的伤害降为</t>
    </r>
    <r>
      <rPr>
        <sz val="10"/>
        <color theme="1"/>
        <rFont val="Times New Roman"/>
        <charset val="134"/>
      </rPr>
      <t>0</t>
    </r>
    <r>
      <rPr>
        <sz val="10"/>
        <color theme="1"/>
        <rFont val="宋体"/>
        <charset val="134"/>
      </rPr>
      <t>。
此特性一经使用，直至完成长休你都无法再次使用。</t>
    </r>
  </si>
  <si>
    <t>混沌理论</t>
  </si>
  <si>
    <t>每回合当你进行攻击检定、属性检定或豁免检定时，你可以选择触发一个奥术异常（见第233页）。如果你这样做，你将以优势进行该检定。你可以使用此特性的次数等于你的魅力调整值（最少一次）。你在完成一次长休后恢复所有已消耗的使用次数。</t>
  </si>
  <si>
    <r>
      <rPr>
        <sz val="10"/>
        <color theme="1"/>
        <rFont val="宋体"/>
        <charset val="134"/>
      </rPr>
      <t>治愈之光</t>
    </r>
  </si>
  <si>
    <r>
      <rPr>
        <sz val="10"/>
        <color theme="1"/>
        <rFont val="宋体"/>
        <charset val="134"/>
      </rPr>
      <t>你获得了引导天界能量以治愈伤口的能力。它是一个有着</t>
    </r>
    <r>
      <rPr>
        <sz val="10"/>
        <color theme="1"/>
        <rFont val="Times New Roman"/>
        <charset val="134"/>
      </rPr>
      <t>1+</t>
    </r>
    <r>
      <rPr>
        <sz val="10"/>
        <color theme="1"/>
        <rFont val="宋体"/>
        <charset val="134"/>
      </rPr>
      <t>你的魔契师等级枚</t>
    </r>
    <r>
      <rPr>
        <sz val="10"/>
        <color theme="1"/>
        <rFont val="Times New Roman"/>
        <charset val="134"/>
      </rPr>
      <t>d6</t>
    </r>
    <r>
      <rPr>
        <sz val="10"/>
        <color theme="1"/>
        <rFont val="宋体"/>
        <charset val="134"/>
      </rPr>
      <t>骰的骰池，用以施展你的治愈能力。
以一个附赠动作，你可以消耗骰池中的任意数量的骰子，来治疗你自己或一个你可见的位于你</t>
    </r>
    <r>
      <rPr>
        <sz val="10"/>
        <color theme="1"/>
        <rFont val="Times New Roman"/>
        <charset val="134"/>
      </rPr>
      <t>60</t>
    </r>
    <r>
      <rPr>
        <sz val="10"/>
        <color theme="1"/>
        <rFont val="宋体"/>
        <charset val="134"/>
      </rPr>
      <t>尺内的生物。每次你能消耗的最大骰子数量等同于你的魅力调整值枚（至少</t>
    </r>
    <r>
      <rPr>
        <sz val="10"/>
        <color theme="1"/>
        <rFont val="Times New Roman"/>
        <charset val="134"/>
      </rPr>
      <t>1</t>
    </r>
    <r>
      <rPr>
        <sz val="10"/>
        <color theme="1"/>
        <rFont val="宋体"/>
        <charset val="134"/>
      </rPr>
      <t>枚）。投掷你消耗的全部骰子，这些骰值相加的总值即为所能恢复的生命值。
当你完成一次长休时，你的骰池将重获所有已消耗的骰子。</t>
    </r>
  </si>
  <si>
    <t>强化阈值</t>
  </si>
  <si>
    <t>长期暴露于魔能的污染之下使你的身体逐渐适应了其影响，并能够承受更大的污染总量。
你获得体质豁免的熟练项以及对黯蚀伤害的抗性。
在决定由于魔能污染而导致的症状时，你被视为具有当前污染等级一半的污染等级（向下取整）。例如，如果你有5级污染等级，你只会遭受2级污染等级的症状。因此，你需要获得12级污染等级才会触发怪物转变Monstrous Transformation，而非6级。
同理，在获得新的污染等级时检定是否会产生突变时，你被视为具有当前污染等级一半的污染等级（向下取整）。例如，如果你获得了4级污染等级，只有在1d6掷骰结果为2或更低时，你才会产生新的突变。
请注意，如果你拥有6级或更多的污染等级，在受到祛除污染*purge contamination法术的影响时，你将获得6级（或更多）的力竭，并因此死亡。</t>
  </si>
  <si>
    <r>
      <rPr>
        <sz val="10"/>
        <color theme="1"/>
        <rFont val="宋体"/>
        <charset val="134"/>
      </rPr>
      <t>异界宗主</t>
    </r>
  </si>
  <si>
    <r>
      <rPr>
        <sz val="10"/>
        <color theme="1"/>
        <rFont val="宋体"/>
        <charset val="134"/>
      </rPr>
      <t>当你达到</t>
    </r>
    <r>
      <rPr>
        <sz val="10"/>
        <color theme="1"/>
        <rFont val="Times New Roman"/>
        <charset val="134"/>
      </rPr>
      <t xml:space="preserve"> 3 </t>
    </r>
    <r>
      <rPr>
        <sz val="10"/>
        <color theme="1"/>
        <rFont val="宋体"/>
        <charset val="134"/>
      </rPr>
      <t>级时，你与一个你选择的异界存在缔结契约：
至高妖精</t>
    </r>
    <r>
      <rPr>
        <sz val="10"/>
        <color theme="1"/>
        <rFont val="Times New Roman"/>
        <charset val="134"/>
      </rPr>
      <t>The Archfey</t>
    </r>
    <r>
      <rPr>
        <sz val="10"/>
        <color theme="1"/>
        <rFont val="宋体"/>
        <charset val="134"/>
      </rPr>
      <t>、邪魔</t>
    </r>
    <r>
      <rPr>
        <sz val="10"/>
        <color theme="1"/>
        <rFont val="Times New Roman"/>
        <charset val="134"/>
      </rPr>
      <t xml:space="preserve">The Fiend </t>
    </r>
    <r>
      <rPr>
        <sz val="10"/>
        <color theme="1"/>
        <rFont val="宋体"/>
        <charset val="134"/>
      </rPr>
      <t>或旧日支配者</t>
    </r>
    <r>
      <rPr>
        <sz val="10"/>
        <color theme="1"/>
        <rFont val="Times New Roman"/>
        <charset val="134"/>
      </rPr>
      <t>The Great Old One</t>
    </r>
    <r>
      <rPr>
        <sz val="10"/>
        <color theme="1"/>
        <rFont val="宋体"/>
        <charset val="134"/>
      </rPr>
      <t>（</t>
    </r>
    <r>
      <rPr>
        <sz val="10"/>
        <color theme="1"/>
        <rFont val="Times New Roman"/>
        <charset val="134"/>
      </rPr>
      <t>PHB</t>
    </r>
    <r>
      <rPr>
        <sz val="10"/>
        <color theme="1"/>
        <rFont val="宋体"/>
        <charset val="134"/>
      </rPr>
      <t>）
不朽者</t>
    </r>
    <r>
      <rPr>
        <sz val="10"/>
        <color theme="1"/>
        <rFont val="Times New Roman"/>
        <charset val="134"/>
      </rPr>
      <t>The Undying</t>
    </r>
    <r>
      <rPr>
        <sz val="10"/>
        <color theme="1"/>
        <rFont val="宋体"/>
        <charset val="134"/>
      </rPr>
      <t>（</t>
    </r>
    <r>
      <rPr>
        <sz val="10"/>
        <color theme="1"/>
        <rFont val="Times New Roman"/>
        <charset val="134"/>
      </rPr>
      <t>SCAG</t>
    </r>
    <r>
      <rPr>
        <sz val="10"/>
        <color theme="1"/>
        <rFont val="宋体"/>
        <charset val="134"/>
      </rPr>
      <t>）
天界</t>
    </r>
    <r>
      <rPr>
        <sz val="10"/>
        <color theme="1"/>
        <rFont val="Times New Roman"/>
        <charset val="134"/>
      </rPr>
      <t xml:space="preserve">The Celestial </t>
    </r>
    <r>
      <rPr>
        <sz val="10"/>
        <color theme="1"/>
        <rFont val="宋体"/>
        <charset val="134"/>
      </rPr>
      <t>或咒剑</t>
    </r>
    <r>
      <rPr>
        <sz val="10"/>
        <color theme="1"/>
        <rFont val="Times New Roman"/>
        <charset val="134"/>
      </rPr>
      <t>The Hexblade</t>
    </r>
    <r>
      <rPr>
        <sz val="10"/>
        <color theme="1"/>
        <rFont val="宋体"/>
        <charset val="134"/>
      </rPr>
      <t>（</t>
    </r>
    <r>
      <rPr>
        <sz val="10"/>
        <color theme="1"/>
        <rFont val="Times New Roman"/>
        <charset val="134"/>
      </rPr>
      <t>XGE</t>
    </r>
    <r>
      <rPr>
        <sz val="10"/>
        <color theme="1"/>
        <rFont val="宋体"/>
        <charset val="134"/>
      </rPr>
      <t>）
深海意志</t>
    </r>
    <r>
      <rPr>
        <sz val="10"/>
        <color theme="1"/>
        <rFont val="Times New Roman"/>
        <charset val="134"/>
      </rPr>
      <t xml:space="preserve">The Fathomless </t>
    </r>
    <r>
      <rPr>
        <sz val="10"/>
        <color theme="1"/>
        <rFont val="宋体"/>
        <charset val="134"/>
      </rPr>
      <t>或巨灵</t>
    </r>
    <r>
      <rPr>
        <sz val="10"/>
        <color theme="1"/>
        <rFont val="Times New Roman"/>
        <charset val="134"/>
      </rPr>
      <t>The Genie</t>
    </r>
    <r>
      <rPr>
        <sz val="10"/>
        <color theme="1"/>
        <rFont val="宋体"/>
        <charset val="134"/>
      </rPr>
      <t>（</t>
    </r>
    <r>
      <rPr>
        <sz val="10"/>
        <color theme="1"/>
        <rFont val="Times New Roman"/>
        <charset val="134"/>
      </rPr>
      <t>TCE</t>
    </r>
    <r>
      <rPr>
        <sz val="10"/>
        <color theme="1"/>
        <rFont val="宋体"/>
        <charset val="134"/>
      </rPr>
      <t>）
死灵</t>
    </r>
    <r>
      <rPr>
        <sz val="10"/>
        <color theme="1"/>
        <rFont val="Times New Roman"/>
        <charset val="134"/>
      </rPr>
      <t>The Undead</t>
    </r>
    <r>
      <rPr>
        <sz val="10"/>
        <color theme="1"/>
        <rFont val="宋体"/>
        <charset val="134"/>
      </rPr>
      <t>（</t>
    </r>
    <r>
      <rPr>
        <sz val="10"/>
        <color theme="1"/>
        <rFont val="Times New Roman"/>
        <charset val="134"/>
      </rPr>
      <t>VRGR</t>
    </r>
    <r>
      <rPr>
        <sz val="10"/>
        <color theme="1"/>
        <rFont val="宋体"/>
        <charset val="134"/>
      </rPr>
      <t>）</t>
    </r>
  </si>
  <si>
    <r>
      <rPr>
        <sz val="10"/>
        <color theme="1"/>
        <rFont val="宋体"/>
        <charset val="134"/>
      </rPr>
      <t>受祝之躯</t>
    </r>
  </si>
  <si>
    <r>
      <rPr>
        <sz val="10"/>
        <color theme="1"/>
        <rFont val="宋体"/>
        <charset val="134"/>
      </rPr>
      <t>你免疫恐慌状态，并且无法被附身或诅咒。你同时在对抗魅惑的豁免检定上具有优势。</t>
    </r>
  </si>
  <si>
    <t>赤血流转</t>
  </si>
  <si>
    <r>
      <rPr>
        <sz val="10"/>
        <color theme="1"/>
        <rFont val="宋体"/>
        <charset val="134"/>
      </rPr>
      <t>你可以吸取敌人的血液鼓舞你的盟友。每当你在非构装非亡灵生物身上焚灭缄印时，你可以选择一名位于你</t>
    </r>
    <r>
      <rPr>
        <sz val="10"/>
        <color theme="1"/>
        <rFont val="Times New Roman"/>
        <charset val="134"/>
      </rPr>
      <t>30</t>
    </r>
    <r>
      <rPr>
        <sz val="10"/>
        <color theme="1"/>
        <rFont val="宋体"/>
        <charset val="134"/>
      </rPr>
      <t>尺内你可见的盟友，令其获得等于缄印对受禁生物造成伤害数的临时生命值。</t>
    </r>
  </si>
  <si>
    <r>
      <rPr>
        <sz val="10"/>
        <color theme="1"/>
        <rFont val="宋体"/>
        <charset val="134"/>
      </rPr>
      <t>骑兵</t>
    </r>
  </si>
  <si>
    <t>污浊狂怒</t>
  </si>
  <si>
    <t>从你3级选择此道途开始，你可以将被污染的狂怒引导到武器攻击中。每回合一次，狂暴期间，你可以对被你的武器攻击命中的目标额外造成 1d8 点暗蚀伤害。当你达到 10 级时，这个额外伤害会增加至 2d8；当你达到 14 级时，增加至 3d8。
此外，你还可以自主吸收污染，进一步增强近战武器攻击的威力。当你用近战武器攻击命中一个生物时，你可以选择给自己注入1级或更多的污染，并在那次武器伤害外对目标造成额外的暗蚀伤害。每获得1级污染，额外伤害就增加 2d8。</t>
  </si>
  <si>
    <t>能艺之具</t>
  </si>
  <si>
    <t>当你选择面具学院时，你获得了将奥术恩惠编织入面具的能力，这些面具在你佩戴时会赋予你特殊能力。你可以制作两个你选择的面具，具体详见下文"面具"部分的描述。当你在此职业达到7级、11级和15级时，你每次都能够额外制作一个你选择的面具。每当你制作新面具时，你也可以用一个不同的面具替换你已经制作的一个面具。
当佩戴面具时，你获得该面具赋予的能力。你可以用一个动作或附赠动作戴上或更换面具。如果面具的某个能力需要进行豁免检定，其DC等同于你的吟游诗人法术豁免DC。</t>
  </si>
  <si>
    <r>
      <rPr>
        <sz val="10"/>
        <color theme="1"/>
        <rFont val="宋体"/>
        <charset val="134"/>
      </rPr>
      <t>万物终将归于尘土</t>
    </r>
  </si>
  <si>
    <r>
      <rPr>
        <sz val="10"/>
        <color theme="1"/>
        <rFont val="宋体"/>
        <charset val="134"/>
      </rPr>
      <t>你可以使用你的引导神力来扭曲某个生物的命运。以一个附赠动作，你可以消耗一次引导神力次数来选择一名位于你</t>
    </r>
    <r>
      <rPr>
        <sz val="10"/>
        <color theme="1"/>
        <rFont val="Times New Roman"/>
        <charset val="134"/>
      </rPr>
      <t>120</t>
    </r>
    <r>
      <rPr>
        <sz val="10"/>
        <color theme="1"/>
        <rFont val="宋体"/>
        <charset val="134"/>
      </rPr>
      <t>尺内你可见的生物。直至你的下个回合结束，该生物在对抗你法术所进行的下次豁免检定具有劣势。</t>
    </r>
  </si>
  <si>
    <t>玷污元素</t>
  </si>
  <si>
    <t>你习得召唤妄质元素summon delerium elemental法术，并且一直视作准备这一法术（不计入你的每日准备法术上限）。你可以在不消耗法术位、法术材料且不会获得污染等级的情况下施展它一次，在你结束一次长休后，你再度获得这一能力。当你施展这一法术时，你可以对它进行调整，让它不需要专注。如果你这么做，法术持续时间变为1分钟。</t>
  </si>
  <si>
    <r>
      <rPr>
        <sz val="10"/>
        <color theme="1"/>
        <rFont val="宋体"/>
        <charset val="134"/>
      </rPr>
      <t>暗影箭</t>
    </r>
  </si>
  <si>
    <r>
      <rPr>
        <sz val="10"/>
        <color theme="1"/>
        <rFont val="宋体"/>
        <charset val="134"/>
      </rPr>
      <t>你施加幻术魔法到你的箭上，使其能用暗影蒙蔽敌人的视野。
被这发箭击中的角色会额外受到</t>
    </r>
    <r>
      <rPr>
        <sz val="10"/>
        <color theme="1"/>
        <rFont val="Times New Roman"/>
        <charset val="134"/>
      </rPr>
      <t>2d6</t>
    </r>
    <r>
      <rPr>
        <sz val="10"/>
        <color theme="1"/>
        <rFont val="宋体"/>
        <charset val="134"/>
      </rPr>
      <t>的精神伤害，而且目标必须成功通过一个感知豁免，或者无法看见</t>
    </r>
    <r>
      <rPr>
        <sz val="10"/>
        <color theme="1"/>
        <rFont val="Times New Roman"/>
        <charset val="134"/>
      </rPr>
      <t>5</t>
    </r>
    <r>
      <rPr>
        <sz val="10"/>
        <color theme="1"/>
        <rFont val="宋体"/>
        <charset val="134"/>
      </rPr>
      <t>尺之外的任何事物直到你的下一个回合开始。
当你的战士等级到</t>
    </r>
    <r>
      <rPr>
        <sz val="10"/>
        <color theme="1"/>
        <rFont val="Times New Roman"/>
        <charset val="134"/>
      </rPr>
      <t>18</t>
    </r>
    <r>
      <rPr>
        <sz val="10"/>
        <color theme="1"/>
        <rFont val="宋体"/>
        <charset val="134"/>
      </rPr>
      <t>级时该精神伤害增加到</t>
    </r>
    <r>
      <rPr>
        <sz val="10"/>
        <color theme="1"/>
        <rFont val="Times New Roman"/>
        <charset val="134"/>
      </rPr>
      <t>4d6</t>
    </r>
    <r>
      <rPr>
        <sz val="10"/>
        <color theme="1"/>
        <rFont val="宋体"/>
        <charset val="134"/>
      </rPr>
      <t>。</t>
    </r>
  </si>
  <si>
    <t>化蛟</t>
  </si>
  <si>
    <t>当你使用灵蛇姿时，你可以同时使用两种灵蛇姿态，并同时获得两种架势效果的益处。</t>
  </si>
  <si>
    <t>解放灵光</t>
  </si>
  <si>
    <r>
      <rPr>
        <sz val="10"/>
        <color theme="1"/>
        <rFont val="宋体"/>
        <charset val="134"/>
      </rPr>
      <t>你将行动之力注入四周。只要你未处于</t>
    </r>
    <r>
      <rPr>
        <sz val="10"/>
        <color theme="1"/>
        <rFont val="Times New Roman"/>
        <charset val="134"/>
      </rPr>
      <t xml:space="preserve"> </t>
    </r>
    <r>
      <rPr>
        <sz val="10"/>
        <color theme="1"/>
        <rFont val="宋体"/>
        <charset val="134"/>
      </rPr>
      <t>失能</t>
    </r>
    <r>
      <rPr>
        <sz val="10"/>
        <color theme="1"/>
        <rFont val="Times New Roman"/>
        <charset val="134"/>
      </rPr>
      <t>Incapacitated</t>
    </r>
    <r>
      <rPr>
        <sz val="10"/>
        <color theme="1"/>
        <rFont val="宋体"/>
        <charset val="134"/>
      </rPr>
      <t>，你与你周围</t>
    </r>
    <r>
      <rPr>
        <sz val="10"/>
        <color theme="1"/>
        <rFont val="Times New Roman"/>
        <charset val="134"/>
      </rPr>
      <t>10</t>
    </r>
    <r>
      <rPr>
        <sz val="10"/>
        <color theme="1"/>
        <rFont val="宋体"/>
        <charset val="134"/>
      </rPr>
      <t>尺内由你选择的生物无法陷入</t>
    </r>
    <r>
      <rPr>
        <sz val="10"/>
        <color theme="1"/>
        <rFont val="Times New Roman"/>
        <charset val="134"/>
      </rPr>
      <t xml:space="preserve"> </t>
    </r>
    <r>
      <rPr>
        <sz val="10"/>
        <color theme="1"/>
        <rFont val="宋体"/>
        <charset val="134"/>
      </rPr>
      <t>擒抱</t>
    </r>
    <r>
      <rPr>
        <sz val="10"/>
        <color theme="1"/>
        <rFont val="Times New Roman"/>
        <charset val="134"/>
      </rPr>
      <t xml:space="preserve">Grappled </t>
    </r>
    <r>
      <rPr>
        <sz val="10"/>
        <color theme="1"/>
        <rFont val="宋体"/>
        <charset val="134"/>
      </rPr>
      <t>或</t>
    </r>
    <r>
      <rPr>
        <sz val="10"/>
        <color theme="1"/>
        <rFont val="Times New Roman"/>
        <charset val="134"/>
      </rPr>
      <t xml:space="preserve"> </t>
    </r>
    <r>
      <rPr>
        <sz val="10"/>
        <color theme="1"/>
        <rFont val="宋体"/>
        <charset val="134"/>
      </rPr>
      <t>束缚</t>
    </r>
    <r>
      <rPr>
        <sz val="10"/>
        <color theme="1"/>
        <rFont val="Times New Roman"/>
        <charset val="134"/>
      </rPr>
      <t>Restrained</t>
    </r>
    <r>
      <rPr>
        <sz val="10"/>
        <color theme="1"/>
        <rFont val="宋体"/>
        <charset val="134"/>
      </rPr>
      <t>，且你们无视因水下环境导致的移动与攻击惩罚。已陷入</t>
    </r>
    <r>
      <rPr>
        <sz val="10"/>
        <color theme="1"/>
        <rFont val="Times New Roman"/>
        <charset val="134"/>
      </rPr>
      <t xml:space="preserve"> </t>
    </r>
    <r>
      <rPr>
        <sz val="10"/>
        <color theme="1"/>
        <rFont val="宋体"/>
        <charset val="134"/>
      </rPr>
      <t>擒抱</t>
    </r>
    <r>
      <rPr>
        <sz val="10"/>
        <color theme="1"/>
        <rFont val="Times New Roman"/>
        <charset val="134"/>
      </rPr>
      <t xml:space="preserve">Grappled </t>
    </r>
    <r>
      <rPr>
        <sz val="10"/>
        <color theme="1"/>
        <rFont val="宋体"/>
        <charset val="134"/>
      </rPr>
      <t>或</t>
    </r>
    <r>
      <rPr>
        <sz val="10"/>
        <color theme="1"/>
        <rFont val="Times New Roman"/>
        <charset val="134"/>
      </rPr>
      <t xml:space="preserve"> </t>
    </r>
    <r>
      <rPr>
        <sz val="10"/>
        <color theme="1"/>
        <rFont val="宋体"/>
        <charset val="134"/>
      </rPr>
      <t>束缚</t>
    </r>
    <r>
      <rPr>
        <sz val="10"/>
        <color theme="1"/>
        <rFont val="Times New Roman"/>
        <charset val="134"/>
      </rPr>
      <t xml:space="preserve">Restrained </t>
    </r>
    <r>
      <rPr>
        <sz val="10"/>
        <color theme="1"/>
        <rFont val="宋体"/>
        <charset val="134"/>
      </rPr>
      <t>的生物在进入灵光的范围后，除非导致此类状态的效应是魔法性的，否则他们就可以花费</t>
    </r>
    <r>
      <rPr>
        <sz val="10"/>
        <color theme="1"/>
        <rFont val="Times New Roman"/>
        <charset val="134"/>
      </rPr>
      <t>5</t>
    </r>
    <r>
      <rPr>
        <sz val="10"/>
        <color theme="1"/>
        <rFont val="宋体"/>
        <charset val="134"/>
      </rPr>
      <t>尺移动力自动脱身。
当你在此职业上到达</t>
    </r>
    <r>
      <rPr>
        <sz val="10"/>
        <color theme="1"/>
        <rFont val="Times New Roman"/>
        <charset val="134"/>
      </rPr>
      <t>18</t>
    </r>
    <r>
      <rPr>
        <sz val="10"/>
        <color theme="1"/>
        <rFont val="宋体"/>
        <charset val="134"/>
      </rPr>
      <t>级时，此灵光范围扩展至</t>
    </r>
    <r>
      <rPr>
        <sz val="10"/>
        <color theme="1"/>
        <rFont val="Times New Roman"/>
        <charset val="134"/>
      </rPr>
      <t>30</t>
    </r>
    <r>
      <rPr>
        <sz val="10"/>
        <color theme="1"/>
        <rFont val="宋体"/>
        <charset val="134"/>
      </rPr>
      <t>尺。</t>
    </r>
  </si>
  <si>
    <t>街头跑者</t>
  </si>
  <si>
    <t>你获得等于你行走速度的攀爬速度，如果你没有运动和特技的熟练项，你也会获得它们。你在使用这些熟练值进行的属性检定中加上双倍的熟练值。
此外，当你在你的回合内使用疾走dash动作时，你可以不受惩罚地穿过其他生物的空间（但不能在其中停留）。当你这么做时，你不会触发借机攻击。</t>
  </si>
  <si>
    <r>
      <rPr>
        <sz val="10"/>
        <color theme="1"/>
        <rFont val="宋体"/>
        <charset val="134"/>
      </rPr>
      <t>暗影之门</t>
    </r>
  </si>
  <si>
    <r>
      <rPr>
        <sz val="10"/>
        <color theme="1"/>
        <rFont val="宋体"/>
        <charset val="134"/>
      </rPr>
      <t>你的暗影映像可以打开一条你和你的同伴能够使用的黑暗通道。
当你的暗影映像处于你</t>
    </r>
    <r>
      <rPr>
        <sz val="10"/>
        <color theme="1"/>
        <rFont val="Times New Roman"/>
        <charset val="134"/>
      </rPr>
      <t>5</t>
    </r>
    <r>
      <rPr>
        <sz val="10"/>
        <color theme="1"/>
        <rFont val="宋体"/>
        <charset val="134"/>
      </rPr>
      <t>尺范围内时，你可以通过一个附赠动作，来消耗</t>
    </r>
    <r>
      <rPr>
        <sz val="10"/>
        <color theme="1"/>
        <rFont val="Times New Roman"/>
        <charset val="134"/>
      </rPr>
      <t>4</t>
    </r>
    <r>
      <rPr>
        <sz val="10"/>
        <color theme="1"/>
        <rFont val="宋体"/>
        <charset val="134"/>
      </rPr>
      <t>枚幽影尘埃施展任意门</t>
    </r>
    <r>
      <rPr>
        <sz val="10"/>
        <color theme="1"/>
        <rFont val="Times New Roman"/>
        <charset val="134"/>
      </rPr>
      <t xml:space="preserve">Dimension Door </t>
    </r>
    <r>
      <rPr>
        <sz val="10"/>
        <color theme="1"/>
        <rFont val="宋体"/>
        <charset val="134"/>
      </rPr>
      <t>。智力是你施展该法术的施法属性。你的暗影映像也可以通过该法术进行转移。</t>
    </r>
  </si>
  <si>
    <t>本源符文</t>
  </si>
  <si>
    <r>
      <rPr>
        <sz val="10"/>
        <color theme="1"/>
        <rFont val="宋体"/>
        <charset val="134"/>
      </rPr>
      <t>你的身体开始以皮肤表面符文的形式释放出你天生的魔法。最初，你具有</t>
    </r>
    <r>
      <rPr>
        <sz val="10"/>
        <color theme="1"/>
        <rFont val="Times New Roman"/>
        <charset val="134"/>
      </rPr>
      <t>1</t>
    </r>
    <r>
      <rPr>
        <sz val="10"/>
        <color theme="1"/>
        <rFont val="宋体"/>
        <charset val="134"/>
      </rPr>
      <t>个本源符文，而每当你在职业升级时你都将获得一个额外的符文。这些符文可以显现在你身体上任何地方，但最初的那枚通常会出现在你的前额。你的本源符文在失活后将暂时变为不可见。</t>
    </r>
    <r>
      <rPr>
        <sz val="10"/>
        <color theme="1"/>
        <rFont val="Times New Roman"/>
        <charset val="134"/>
      </rPr>
      <t xml:space="preserve">
</t>
    </r>
    <r>
      <rPr>
        <sz val="10"/>
        <color theme="1"/>
        <rFont val="宋体"/>
        <charset val="134"/>
      </rPr>
      <t>在你消耗了任意数量术法点的回合结束时，与其数量相同的本源符文会储藏的能量，闪烁起来，进入蓄能状态。你能够使用这些蓄能过的符文来为你的符文之子职业特性提供力量。此外，以一个附赠动作，你可以消耗一个术法点，来将两个符文变为蓄能状态。</t>
    </r>
    <r>
      <rPr>
        <sz val="10"/>
        <color theme="1"/>
        <rFont val="Times New Roman"/>
        <charset val="134"/>
      </rPr>
      <t xml:space="preserve">
</t>
    </r>
    <r>
      <rPr>
        <sz val="10"/>
        <color theme="1"/>
        <rFont val="宋体"/>
        <charset val="134"/>
      </rPr>
      <t>如果你没有术法点也没有蓄能符文，你可以以一个动作让一个符文蓄能。</t>
    </r>
    <r>
      <rPr>
        <sz val="10"/>
        <color theme="1"/>
        <rFont val="Times New Roman"/>
        <charset val="134"/>
      </rPr>
      <t xml:space="preserve">
</t>
    </r>
    <r>
      <rPr>
        <sz val="10"/>
        <color theme="1"/>
        <rFont val="宋体"/>
        <charset val="134"/>
      </rPr>
      <t>如果你具有</t>
    </r>
    <r>
      <rPr>
        <sz val="10"/>
        <color theme="1"/>
        <rFont val="Times New Roman"/>
        <charset val="134"/>
      </rPr>
      <t>5</t>
    </r>
    <r>
      <rPr>
        <sz val="10"/>
        <color theme="1"/>
        <rFont val="宋体"/>
        <charset val="134"/>
      </rPr>
      <t>个或更多的蓄能符文，你会发出</t>
    </r>
    <r>
      <rPr>
        <sz val="10"/>
        <color theme="1"/>
        <rFont val="Times New Roman"/>
        <charset val="134"/>
      </rPr>
      <t>5</t>
    </r>
    <r>
      <rPr>
        <sz val="10"/>
        <color theme="1"/>
        <rFont val="宋体"/>
        <charset val="134"/>
      </rPr>
      <t>尺半径的明亮光照以及那之外的</t>
    </r>
    <r>
      <rPr>
        <sz val="10"/>
        <color theme="1"/>
        <rFont val="Times New Roman"/>
        <charset val="134"/>
      </rPr>
      <t>5</t>
    </r>
    <r>
      <rPr>
        <sz val="10"/>
        <color theme="1"/>
        <rFont val="宋体"/>
        <charset val="134"/>
      </rPr>
      <t>尺的微光光照。</t>
    </r>
    <r>
      <rPr>
        <sz val="10"/>
        <color theme="1"/>
        <rFont val="Times New Roman"/>
        <charset val="134"/>
      </rPr>
      <t xml:space="preserve">
</t>
    </r>
    <r>
      <rPr>
        <sz val="10"/>
        <color theme="1"/>
        <rFont val="宋体"/>
        <charset val="134"/>
      </rPr>
      <t>如果你消耗一个蓄能符文来使用你的符文之子特性，这个本源符文会变回失活状态。在你结束一次长休后，所有蓄能符文都会变回失活状态。</t>
    </r>
  </si>
  <si>
    <r>
      <rPr>
        <sz val="10"/>
        <color theme="1"/>
        <rFont val="宋体"/>
        <charset val="134"/>
      </rPr>
      <t>光耀之魂</t>
    </r>
  </si>
  <si>
    <r>
      <rPr>
        <sz val="10"/>
        <color theme="1"/>
        <rFont val="宋体"/>
        <charset val="134"/>
      </rPr>
      <t>你与你天界宗主的链接允许你成为光耀能量的渠道。你获得对光耀伤害的抗性。每回合一次，当一个你施展的法术造成光耀伤害或火焰伤害时，你可以将你的魅力调整值加到该法术对其中一个目标所造成的伤害上。</t>
    </r>
  </si>
  <si>
    <t>驱除污染</t>
  </si>
  <si>
    <t>你发现了一种奥术方法，可以安全地排出你自己体内的魔能污染。每当你完成一次长休时，你可以将你的污染等级减少一半的熟练加值（向下取整）。</t>
  </si>
  <si>
    <r>
      <rPr>
        <sz val="10"/>
        <color theme="1"/>
        <rFont val="宋体"/>
        <charset val="134"/>
      </rPr>
      <t>你能以施法能力改进你的战斗技巧。参照</t>
    </r>
    <r>
      <rPr>
        <sz val="10"/>
        <color theme="1"/>
        <rFont val="Times New Roman"/>
        <charset val="134"/>
      </rPr>
      <t xml:space="preserve"> PHB </t>
    </r>
    <r>
      <rPr>
        <sz val="10"/>
        <color theme="1"/>
        <rFont val="宋体"/>
        <charset val="134"/>
      </rPr>
      <t>第十章的施法规则及第十一章的魔契师法术列表。</t>
    </r>
  </si>
  <si>
    <r>
      <rPr>
        <sz val="10"/>
        <color theme="1"/>
        <rFont val="宋体"/>
        <charset val="134"/>
      </rPr>
      <t>反斥力</t>
    </r>
  </si>
  <si>
    <r>
      <rPr>
        <sz val="10"/>
        <color theme="1"/>
        <rFont val="宋体"/>
        <charset val="134"/>
      </rPr>
      <t>以一个反应，当一个你能看见的敌对生物以你的盟友为目标发动一次攻击、法术或其他效果时，你可以消耗一个药剂师法术位来强迫它进行一次魅力豁免来对抗你的施法</t>
    </r>
    <r>
      <rPr>
        <sz val="10"/>
        <color theme="1"/>
        <rFont val="Times New Roman"/>
        <charset val="134"/>
      </rPr>
      <t>DC</t>
    </r>
    <r>
      <rPr>
        <sz val="10"/>
        <color theme="1"/>
        <rFont val="宋体"/>
        <charset val="134"/>
      </rPr>
      <t>。若豁免检定失败，则它们的尝试失败并且资源将被浪费。</t>
    </r>
  </si>
  <si>
    <t>苏特赫之赐</t>
  </si>
  <si>
    <r>
      <rPr>
        <sz val="10"/>
        <color theme="1"/>
        <rFont val="宋体"/>
        <charset val="134"/>
      </rPr>
      <t>当苏特赫接纳你成为邪狱使时，他将授予你使用他血与生命之亵渎指令的能力。你获得宗教的熟练。
此外，以一个动作，你可以扩展你对周围生命的感知。直至你的下个回合结束前，你可以感知到</t>
    </r>
    <r>
      <rPr>
        <sz val="10"/>
        <color theme="1"/>
        <rFont val="Times New Roman"/>
        <charset val="134"/>
      </rPr>
      <t>120</t>
    </r>
    <r>
      <rPr>
        <sz val="10"/>
        <color theme="1"/>
        <rFont val="宋体"/>
        <charset val="134"/>
      </rPr>
      <t>尺内有血的生物而无需看见他们。此能力可以穿透大部分障碍，但仍会被</t>
    </r>
    <r>
      <rPr>
        <sz val="10"/>
        <color theme="1"/>
        <rFont val="Times New Roman"/>
        <charset val="134"/>
      </rPr>
      <t>3</t>
    </r>
    <r>
      <rPr>
        <sz val="10"/>
        <color theme="1"/>
        <rFont val="宋体"/>
        <charset val="134"/>
      </rPr>
      <t>尺厚的木头或泥土、</t>
    </r>
    <r>
      <rPr>
        <sz val="10"/>
        <color theme="1"/>
        <rFont val="Times New Roman"/>
        <charset val="134"/>
      </rPr>
      <t>1</t>
    </r>
    <r>
      <rPr>
        <sz val="10"/>
        <color theme="1"/>
        <rFont val="宋体"/>
        <charset val="134"/>
      </rPr>
      <t>尺厚的石质、</t>
    </r>
    <r>
      <rPr>
        <sz val="10"/>
        <color theme="1"/>
        <rFont val="Times New Roman"/>
        <charset val="134"/>
      </rPr>
      <t>1</t>
    </r>
    <r>
      <rPr>
        <sz val="10"/>
        <color theme="1"/>
        <rFont val="宋体"/>
        <charset val="134"/>
      </rPr>
      <t>寸厚的金属质或一层薄铅质材料所阻隔。你知道每个生物的距离、方位和生物类型。你能使用此特性的次数等于你的熟练加值，当你完成长休时，重获所有已消耗的使用次数。</t>
    </r>
  </si>
  <si>
    <r>
      <rPr>
        <sz val="10"/>
        <color theme="1"/>
        <rFont val="宋体"/>
        <charset val="134"/>
      </rPr>
      <t>武士</t>
    </r>
  </si>
  <si>
    <t>腐败耐受</t>
  </si>
  <si>
    <t>如果某个法术，例如祛除污染Purge Contamination，的唯一效果是移除你身上的污染等级，那么施法者在对你进行施法时不需要材料成分。此外，如果该法术在一般情况下会使你增加力竭等级，你也不会因为该法术而力竭。</t>
  </si>
  <si>
    <t>鱼面</t>
  </si>
  <si>
    <t>当戴着此面具时，你获得等同于步行速度的游泳速度和水下呼吸能力。此外，你习得水弹术Water Bullet和潮覆武器Whelm Weapon法术。</t>
  </si>
  <si>
    <r>
      <rPr>
        <sz val="10"/>
        <color theme="1"/>
        <rFont val="宋体"/>
        <charset val="134"/>
      </rPr>
      <t>死后余生</t>
    </r>
  </si>
  <si>
    <r>
      <rPr>
        <sz val="10"/>
        <color theme="1"/>
        <rFont val="宋体"/>
        <charset val="134"/>
      </rPr>
      <t>当你或你</t>
    </r>
    <r>
      <rPr>
        <sz val="10"/>
        <color theme="1"/>
        <rFont val="Times New Roman"/>
        <charset val="134"/>
      </rPr>
      <t>120</t>
    </r>
    <r>
      <rPr>
        <sz val="10"/>
        <color theme="1"/>
        <rFont val="宋体"/>
        <charset val="134"/>
      </rPr>
      <t>尺内的一名盟友将要进行一次死亡豁免时，你可以消耗一个法术位（无需动作）来治疗目标等于所消耗法术位环阶</t>
    </r>
    <r>
      <rPr>
        <sz val="10"/>
        <color theme="1"/>
        <rFont val="Times New Roman"/>
        <charset val="134"/>
      </rPr>
      <t>*10</t>
    </r>
    <r>
      <rPr>
        <sz val="10"/>
        <color theme="1"/>
        <rFont val="宋体"/>
        <charset val="134"/>
      </rPr>
      <t>的生命值。</t>
    </r>
  </si>
  <si>
    <t>污霭灵光</t>
  </si>
  <si>
    <t>你的身体成为了污染的核心，能够向周围散布污霭。只要你没有陷入失能，灵光就会一直存在。你选择的生物在你的10尺内开始回合时必须进行一次对抗你法术豁免DC的体质豁免。豁免失败的生物受到3d6黯蚀伤害。失败且结果低于DC5及以上的的生物还会获得一级污染。
在豁免成功后，生物在24小时内免疫你的污霭灵光。</t>
  </si>
  <si>
    <r>
      <rPr>
        <sz val="10"/>
        <color theme="1"/>
        <rFont val="宋体"/>
        <charset val="134"/>
      </rPr>
      <t>魔法箭矢</t>
    </r>
  </si>
  <si>
    <r>
      <rPr>
        <sz val="10"/>
        <color theme="1"/>
        <rFont val="宋体"/>
        <charset val="134"/>
      </rPr>
      <t>你学会在箭矢中灌注魔法。
无论何时你用短弓或者长弓射出普通箭，你都可以为了让它能够克服对非魔法攻击伤害的抗性和免疫而将其转变为魔法箭矢。
这个魔法会在箭击中或未命中目标后立刻消失。</t>
    </r>
  </si>
  <si>
    <t>饱学之士</t>
  </si>
  <si>
    <t>你获得奥秘技能熟练项。每当你进行智力属性检定时，你获得等于你感知调整值的检定加值（至少+1）。</t>
  </si>
  <si>
    <t>潮汐汹涌</t>
  </si>
  <si>
    <r>
      <rPr>
        <sz val="10"/>
        <color theme="1"/>
        <rFont val="宋体"/>
        <charset val="134"/>
      </rPr>
      <t>当一个生物移动进入或离开你的触及范围时，你可以用你的反应召来汹涌的潮汐之力。该生物将受到</t>
    </r>
    <r>
      <rPr>
        <sz val="10"/>
        <color theme="1"/>
        <rFont val="Times New Roman"/>
        <charset val="134"/>
      </rPr>
      <t>1d12</t>
    </r>
    <r>
      <rPr>
        <sz val="10"/>
        <color theme="1"/>
        <rFont val="宋体"/>
        <charset val="134"/>
      </rPr>
      <t>点钝击伤害，且必须通过一次对抗你法术豁免</t>
    </r>
    <r>
      <rPr>
        <sz val="10"/>
        <color theme="1"/>
        <rFont val="Times New Roman"/>
        <charset val="134"/>
      </rPr>
      <t>DC</t>
    </r>
    <r>
      <rPr>
        <sz val="10"/>
        <color theme="1"/>
        <rFont val="宋体"/>
        <charset val="134"/>
      </rPr>
      <t>的力量豁免，若失败将应击</t>
    </r>
    <r>
      <rPr>
        <sz val="10"/>
        <color theme="1"/>
        <rFont val="Times New Roman"/>
        <charset val="134"/>
      </rPr>
      <t xml:space="preserve"> </t>
    </r>
    <r>
      <rPr>
        <sz val="10"/>
        <color theme="1"/>
        <rFont val="宋体"/>
        <charset val="134"/>
      </rPr>
      <t>倒地</t>
    </r>
    <r>
      <rPr>
        <sz val="10"/>
        <color theme="1"/>
        <rFont val="Times New Roman"/>
        <charset val="134"/>
      </rPr>
      <t>Prone</t>
    </r>
    <r>
      <rPr>
        <sz val="10"/>
        <color theme="1"/>
        <rFont val="宋体"/>
        <charset val="134"/>
      </rPr>
      <t>。</t>
    </r>
  </si>
  <si>
    <t>有利射界</t>
  </si>
  <si>
    <t>当你对一个生物进行一次远程武器攻击时，如果目标5尺内没有其他生物，或者你的位置高于它20尺及以上且目标不受到掩护，你的攻击具有优势。</t>
  </si>
  <si>
    <r>
      <rPr>
        <sz val="10"/>
        <color theme="1"/>
        <rFont val="宋体"/>
        <charset val="134"/>
      </rPr>
      <t>真实暗影</t>
    </r>
  </si>
  <si>
    <r>
      <rPr>
        <sz val="10"/>
        <color theme="1"/>
        <rFont val="宋体"/>
        <charset val="134"/>
      </rPr>
      <t>你的暗影映像获得化身为你的致命复制体的能力。
以一个附赠动作，你的暗影映像变为你自身的完整镜像。你的暗影映像将变得实体化，持续</t>
    </r>
    <r>
      <rPr>
        <sz val="10"/>
        <color theme="1"/>
        <rFont val="Times New Roman"/>
        <charset val="134"/>
      </rPr>
      <t>1</t>
    </r>
    <r>
      <rPr>
        <sz val="10"/>
        <color theme="1"/>
        <rFont val="宋体"/>
        <charset val="134"/>
      </rPr>
      <t>小时，并且你还可以在操控你的暗影映像时令它执行攻击、躲藏或操作动作。其攻击动作使用你的游戏数据，包括职业特性、专长、武器等。
该映像在其生命值降至</t>
    </r>
    <r>
      <rPr>
        <sz val="10"/>
        <color theme="1"/>
        <rFont val="Times New Roman"/>
        <charset val="134"/>
      </rPr>
      <t>0</t>
    </r>
    <r>
      <rPr>
        <sz val="10"/>
        <color theme="1"/>
        <rFont val="宋体"/>
        <charset val="134"/>
      </rPr>
      <t>时消散。
此外，当你对一名在映像</t>
    </r>
    <r>
      <rPr>
        <sz val="10"/>
        <color theme="1"/>
        <rFont val="Times New Roman"/>
        <charset val="134"/>
      </rPr>
      <t>5</t>
    </r>
    <r>
      <rPr>
        <sz val="10"/>
        <color theme="1"/>
        <rFont val="宋体"/>
        <charset val="134"/>
      </rPr>
      <t>尺范围内的生物进行攻击检定时，该检定获得优势。
此特性一经使用，直至完成长休你都无法再次使用。</t>
    </r>
  </si>
  <si>
    <t>符文魔法</t>
  </si>
  <si>
    <r>
      <rPr>
        <sz val="10"/>
        <color theme="1"/>
        <rFont val="宋体"/>
        <charset val="134"/>
      </rPr>
      <t>当你达到相应的术士等级时，你习得符文魔法表中的额外法术。这些法术对你而言视为术士法术，且不受术士表上已知法术一栏的数量限制。</t>
    </r>
    <r>
      <rPr>
        <sz val="10"/>
        <color theme="1"/>
        <rFont val="Times New Roman"/>
        <charset val="134"/>
      </rPr>
      <t xml:space="preserve">
</t>
    </r>
    <r>
      <rPr>
        <sz val="10"/>
        <color theme="1"/>
        <rFont val="宋体"/>
        <charset val="134"/>
      </rPr>
      <t>每当你提升术士等级时，你可以选择一个环数相同的新法术来替换你因此特性习得的一个法术。该法术必须为术士、魔契师、或法师法术列表中的一个防护系或变化系法术。</t>
    </r>
    <r>
      <rPr>
        <sz val="10"/>
        <color theme="1"/>
        <rFont val="Times New Roman"/>
        <charset val="134"/>
      </rPr>
      <t xml:space="preserve">
</t>
    </r>
    <r>
      <rPr>
        <sz val="10"/>
        <color theme="1"/>
        <rFont val="宋体"/>
        <charset val="134"/>
      </rPr>
      <t>术士等级</t>
    </r>
    <r>
      <rPr>
        <sz val="10"/>
        <color theme="1"/>
        <rFont val="Times New Roman"/>
        <charset val="134"/>
      </rPr>
      <t xml:space="preserve">  </t>
    </r>
    <r>
      <rPr>
        <sz val="10"/>
        <color theme="1"/>
        <rFont val="宋体"/>
        <charset val="134"/>
      </rPr>
      <t>法术</t>
    </r>
    <r>
      <rPr>
        <sz val="10"/>
        <color theme="1"/>
        <rFont val="Times New Roman"/>
        <charset val="134"/>
      </rPr>
      <t xml:space="preserve"> 
1st </t>
    </r>
    <r>
      <rPr>
        <sz val="10"/>
        <color theme="1"/>
        <rFont val="宋体"/>
        <charset val="134"/>
      </rPr>
      <t>大步奔行</t>
    </r>
    <r>
      <rPr>
        <sz val="10"/>
        <color theme="1"/>
        <rFont val="Times New Roman"/>
        <charset val="134"/>
      </rPr>
      <t>longstrider</t>
    </r>
    <r>
      <rPr>
        <sz val="10"/>
        <color theme="1"/>
        <rFont val="宋体"/>
        <charset val="134"/>
      </rPr>
      <t>，防护善恶</t>
    </r>
    <r>
      <rPr>
        <sz val="10"/>
        <color theme="1"/>
        <rFont val="Times New Roman"/>
        <charset val="134"/>
      </rPr>
      <t xml:space="preserve">protection from evil and good 
3rd </t>
    </r>
    <r>
      <rPr>
        <sz val="10"/>
        <color theme="1"/>
        <rFont val="宋体"/>
        <charset val="134"/>
      </rPr>
      <t>次等复原术</t>
    </r>
    <r>
      <rPr>
        <sz val="10"/>
        <color theme="1"/>
        <rFont val="Times New Roman"/>
        <charset val="134"/>
      </rPr>
      <t>lesser restoration</t>
    </r>
    <r>
      <rPr>
        <sz val="10"/>
        <color theme="1"/>
        <rFont val="宋体"/>
        <charset val="134"/>
      </rPr>
      <t>，防护毒素</t>
    </r>
    <r>
      <rPr>
        <sz val="10"/>
        <color theme="1"/>
        <rFont val="Times New Roman"/>
        <charset val="134"/>
      </rPr>
      <t xml:space="preserve">protection from poison 
5th </t>
    </r>
    <r>
      <rPr>
        <sz val="10"/>
        <color theme="1"/>
        <rFont val="宋体"/>
        <charset val="134"/>
      </rPr>
      <t>守卫刻文</t>
    </r>
    <r>
      <rPr>
        <sz val="10"/>
        <color theme="1"/>
        <rFont val="Times New Roman"/>
        <charset val="134"/>
      </rPr>
      <t>glyph of warding</t>
    </r>
    <r>
      <rPr>
        <sz val="10"/>
        <color theme="1"/>
        <rFont val="宋体"/>
        <charset val="134"/>
      </rPr>
      <t>，防护法阵</t>
    </r>
    <r>
      <rPr>
        <sz val="10"/>
        <color theme="1"/>
        <rFont val="Times New Roman"/>
        <charset val="134"/>
      </rPr>
      <t xml:space="preserve">magic circle  
7th </t>
    </r>
    <r>
      <rPr>
        <sz val="10"/>
        <color theme="1"/>
        <rFont val="宋体"/>
        <charset val="134"/>
      </rPr>
      <t>防死结界</t>
    </r>
    <r>
      <rPr>
        <sz val="10"/>
        <color theme="1"/>
        <rFont val="Times New Roman"/>
        <charset val="134"/>
      </rPr>
      <t>death ward</t>
    </r>
    <r>
      <rPr>
        <sz val="10"/>
        <color theme="1"/>
        <rFont val="宋体"/>
        <charset val="134"/>
      </rPr>
      <t>，行动自如</t>
    </r>
    <r>
      <rPr>
        <sz val="10"/>
        <color theme="1"/>
        <rFont val="Times New Roman"/>
        <charset val="134"/>
      </rPr>
      <t xml:space="preserve">freedom of movement 
9th </t>
    </r>
    <r>
      <rPr>
        <sz val="10"/>
        <color theme="1"/>
        <rFont val="宋体"/>
        <charset val="134"/>
      </rPr>
      <t>高等复原术</t>
    </r>
    <r>
      <rPr>
        <sz val="10"/>
        <color theme="1"/>
        <rFont val="Times New Roman"/>
        <charset val="134"/>
      </rPr>
      <t xml:space="preserve">greater restoration, </t>
    </r>
    <r>
      <rPr>
        <sz val="10"/>
        <color theme="1"/>
        <rFont val="宋体"/>
        <charset val="134"/>
      </rPr>
      <t>心灵遥控</t>
    </r>
    <r>
      <rPr>
        <sz val="10"/>
        <color theme="1"/>
        <rFont val="Times New Roman"/>
        <charset val="134"/>
      </rPr>
      <t xml:space="preserve">telekinesis </t>
    </r>
  </si>
  <si>
    <r>
      <rPr>
        <sz val="10"/>
        <color theme="1"/>
        <rFont val="宋体"/>
        <charset val="134"/>
      </rPr>
      <t>天界韧性</t>
    </r>
  </si>
  <si>
    <r>
      <rPr>
        <sz val="10"/>
        <color theme="1"/>
        <rFont val="宋体"/>
        <charset val="134"/>
      </rPr>
      <t>每当你使用秘法回流，或是完成一次短休或长休后，你都会获得一定的临时生命值。其数值等于你的魔契师等级</t>
    </r>
    <r>
      <rPr>
        <sz val="10"/>
        <color theme="1"/>
        <rFont val="Times New Roman"/>
        <charset val="134"/>
      </rPr>
      <t>+</t>
    </r>
    <r>
      <rPr>
        <sz val="10"/>
        <color theme="1"/>
        <rFont val="宋体"/>
        <charset val="134"/>
      </rPr>
      <t>你的魅力调整值。此外，在你获得该临时生命值时，你还可以选择至多五个你可见的生物。这些生物也会获得等同于你魔契师等级的一半</t>
    </r>
    <r>
      <rPr>
        <sz val="10"/>
        <color theme="1"/>
        <rFont val="Times New Roman"/>
        <charset val="134"/>
      </rPr>
      <t>+</t>
    </r>
    <r>
      <rPr>
        <sz val="10"/>
        <color theme="1"/>
        <rFont val="宋体"/>
        <charset val="134"/>
      </rPr>
      <t>你的魅力调整值点临时生命值。</t>
    </r>
  </si>
  <si>
    <t>污染施法</t>
  </si>
  <si>
    <t>你可以通过获得污染等级来增强你的法术。
每当你施展具有升环施法效应的法术时，你都可以升环施法而不消耗更高环的法术位。每当以此法增加1个法术环阶时，你都会获得1个污染等级。
例如，如果你想要以5环来施放3环法术火球术，你可以消耗一个3环法术位，并获得2个污染等级。
你不能在污染法术上使用此特性，也不能将法术等级提高到高于你的最高环位。</t>
  </si>
  <si>
    <r>
      <rPr>
        <sz val="10"/>
        <color theme="1"/>
        <rFont val="宋体"/>
        <charset val="134"/>
      </rPr>
      <t>你从魔契师法术列表学会两个由你选择的戏法。你在第</t>
    </r>
    <r>
      <rPr>
        <sz val="10"/>
        <color theme="1"/>
        <rFont val="Times New Roman"/>
        <charset val="134"/>
      </rPr>
      <t xml:space="preserve"> 10 </t>
    </r>
    <r>
      <rPr>
        <sz val="10"/>
        <color theme="1"/>
        <rFont val="宋体"/>
        <charset val="134"/>
      </rPr>
      <t>级时额外学会一个由你选择的魔契师戏法。</t>
    </r>
  </si>
  <si>
    <r>
      <rPr>
        <sz val="10"/>
        <color theme="1"/>
        <rFont val="宋体"/>
        <charset val="134"/>
      </rPr>
      <t>神授治愈力</t>
    </r>
  </si>
  <si>
    <r>
      <rPr>
        <sz val="10"/>
        <color theme="1"/>
        <rFont val="宋体"/>
        <charset val="134"/>
      </rPr>
      <t>当你施展一个治愈生物的法术时，该法术恢复其治疗量的最大值，且该生物同时获得等同于你药剂师等级的临时生命值。</t>
    </r>
  </si>
  <si>
    <r>
      <rPr>
        <sz val="10"/>
        <color theme="1"/>
        <rFont val="宋体"/>
        <charset val="134"/>
      </rPr>
      <t>你获得以下两个招引狱力选项：
鼓舞盟友</t>
    </r>
    <r>
      <rPr>
        <sz val="10"/>
        <color theme="1"/>
        <rFont val="Times New Roman"/>
        <charset val="134"/>
      </rPr>
      <t>Embolden Allies</t>
    </r>
    <r>
      <rPr>
        <sz val="10"/>
        <color theme="1"/>
        <rFont val="宋体"/>
        <charset val="134"/>
      </rPr>
      <t>。以一个附赠动作，你为</t>
    </r>
    <r>
      <rPr>
        <sz val="10"/>
        <color theme="1"/>
        <rFont val="Times New Roman"/>
        <charset val="134"/>
      </rPr>
      <t>30</t>
    </r>
    <r>
      <rPr>
        <sz val="10"/>
        <color theme="1"/>
        <rFont val="宋体"/>
        <charset val="134"/>
      </rPr>
      <t>尺内任意数量的生物恢复总计等于你邪狱使等级五倍的生命值，具体治疗量则由你随意分配。
活力振奋</t>
    </r>
    <r>
      <rPr>
        <sz val="10"/>
        <color theme="1"/>
        <rFont val="Times New Roman"/>
        <charset val="134"/>
      </rPr>
      <t>Vitalize</t>
    </r>
    <r>
      <rPr>
        <sz val="10"/>
        <color theme="1"/>
        <rFont val="宋体"/>
        <charset val="134"/>
      </rPr>
      <t>。你可以让你的盟友振奋活力（无需动作）。每个位于你</t>
    </r>
    <r>
      <rPr>
        <sz val="10"/>
        <color theme="1"/>
        <rFont val="Times New Roman"/>
        <charset val="134"/>
      </rPr>
      <t>30</t>
    </r>
    <r>
      <rPr>
        <sz val="10"/>
        <color theme="1"/>
        <rFont val="宋体"/>
        <charset val="134"/>
      </rPr>
      <t>尺内你选择的生物进行属性检定时，获得等于你熟练加值的加值，持续一分钟。</t>
    </r>
  </si>
  <si>
    <r>
      <rPr>
        <sz val="10"/>
        <color theme="1"/>
        <rFont val="宋体"/>
        <charset val="134"/>
      </rPr>
      <t>符文骑士</t>
    </r>
  </si>
  <si>
    <t>八虹之血</t>
  </si>
  <si>
    <t>你获得对暗蚀、毒素、心灵和光耀伤害的抗性，且你的生命值上限不会被降低。</t>
  </si>
  <si>
    <t>狐面</t>
  </si>
  <si>
    <t>当戴着此面具时，你可以穿过敌对生物所占据的空间，无论其体型大小，且其他生物所占据的空间对你而言不视为困难地形。此外，你的AC增加1，当你进行敏捷豁免时，你可以使用反应获得该豁免的优势。</t>
  </si>
  <si>
    <t>暗影领域法术</t>
  </si>
  <si>
    <t>你与此神圣领域的链接使你始终准备了特定的法术。当你到达暗影领域法术表中特定的牧师等级时，你就始终准备了表中对应的法术。
暗影领域法术 War Domain Spells
牧师等级 准备法术 
3 虚假生命false life，睡眠术sleep，黑暗术darkness，行动无踪pass without trace
5 催眠图纹hypnotic pattern，回避侦测nondetection
7 艾伐黑触手black tentacles，高等隐形术greater invisibility
9 寒冰锥cone of cold，托梦术dream</t>
  </si>
  <si>
    <t>污化土地</t>
  </si>
  <si>
    <r>
      <rPr>
        <sz val="10"/>
        <color theme="1"/>
        <rFont val="宋体"/>
        <charset val="134"/>
      </rPr>
      <t>自你选择这一结社起，你获得以一个附赠动作腐化一片土地或水体的能力。指定你</t>
    </r>
    <r>
      <rPr>
        <sz val="10"/>
        <color theme="1"/>
        <rFont val="宋体"/>
        <charset val="134"/>
      </rPr>
      <t>60</t>
    </r>
    <r>
      <rPr>
        <sz val="10"/>
        <color theme="1"/>
        <rFont val="宋体"/>
        <charset val="134"/>
      </rPr>
      <t>尺内的一点，以那一点为中心</t>
    </r>
    <r>
      <rPr>
        <sz val="10"/>
        <color theme="1"/>
        <rFont val="宋体"/>
        <charset val="134"/>
      </rPr>
      <t>10</t>
    </r>
    <r>
      <rPr>
        <sz val="10"/>
        <color theme="1"/>
        <rFont val="宋体"/>
        <charset val="134"/>
      </rPr>
      <t>尺半径内的土地或水体将被腐化</t>
    </r>
    <r>
      <rPr>
        <sz val="10"/>
        <color theme="1"/>
        <rFont val="宋体"/>
        <charset val="134"/>
      </rPr>
      <t>1</t>
    </r>
    <r>
      <rPr>
        <sz val="10"/>
        <color theme="1"/>
        <rFont val="宋体"/>
        <charset val="134"/>
      </rPr>
      <t>分钟，这片区域对与你敌对的生物来说视为困难地形。此外，当一个位于该区域内的生物在一个回合内首次因为一次攻击或法术受到伤害时，其会额外受到</t>
    </r>
    <r>
      <rPr>
        <sz val="10"/>
        <color theme="1"/>
        <rFont val="宋体"/>
        <charset val="134"/>
      </rPr>
      <t>1d4</t>
    </r>
    <r>
      <rPr>
        <sz val="10"/>
        <color theme="1"/>
        <rFont val="宋体"/>
        <charset val="134"/>
      </rPr>
      <t>点暗蚀伤害。你能以一个附赠动作将腐化区域移动最多</t>
    </r>
    <r>
      <rPr>
        <sz val="10"/>
        <color theme="1"/>
        <rFont val="宋体"/>
        <charset val="134"/>
      </rPr>
      <t>30</t>
    </r>
    <r>
      <rPr>
        <sz val="10"/>
        <color theme="1"/>
        <rFont val="宋体"/>
        <charset val="134"/>
      </rPr>
      <t>尺距离。飞行中的生物不会受腐化影响。
从</t>
    </r>
    <r>
      <rPr>
        <sz val="10"/>
        <color theme="1"/>
        <rFont val="宋体"/>
        <charset val="134"/>
      </rPr>
      <t>10</t>
    </r>
    <r>
      <rPr>
        <sz val="10"/>
        <color theme="1"/>
        <rFont val="宋体"/>
        <charset val="134"/>
      </rPr>
      <t>级起，你所污化的区域半径增加到</t>
    </r>
    <r>
      <rPr>
        <sz val="10"/>
        <color theme="1"/>
        <rFont val="宋体"/>
        <charset val="134"/>
      </rPr>
      <t>20</t>
    </r>
    <r>
      <rPr>
        <sz val="10"/>
        <color theme="1"/>
        <rFont val="宋体"/>
        <charset val="134"/>
      </rPr>
      <t>尺半径。此外，你的污染区域造成的额外伤害在你达到</t>
    </r>
    <r>
      <rPr>
        <sz val="10"/>
        <color theme="1"/>
        <rFont val="宋体"/>
        <charset val="134"/>
      </rPr>
      <t>10</t>
    </r>
    <r>
      <rPr>
        <sz val="10"/>
        <color theme="1"/>
        <rFont val="宋体"/>
        <charset val="134"/>
      </rPr>
      <t>级时候增长为</t>
    </r>
    <r>
      <rPr>
        <sz val="10"/>
        <color theme="1"/>
        <rFont val="宋体"/>
        <charset val="134"/>
      </rPr>
      <t>1d6</t>
    </r>
    <r>
      <rPr>
        <sz val="10"/>
        <color theme="1"/>
        <rFont val="宋体"/>
        <charset val="134"/>
      </rPr>
      <t>，在</t>
    </r>
    <r>
      <rPr>
        <sz val="10"/>
        <color theme="1"/>
        <rFont val="宋体"/>
        <charset val="134"/>
      </rPr>
      <t>14</t>
    </r>
    <r>
      <rPr>
        <sz val="10"/>
        <color theme="1"/>
        <rFont val="宋体"/>
        <charset val="134"/>
      </rPr>
      <t>级时增长为</t>
    </r>
    <r>
      <rPr>
        <sz val="10"/>
        <color theme="1"/>
        <rFont val="宋体"/>
        <charset val="134"/>
      </rPr>
      <t>1d8</t>
    </r>
    <r>
      <rPr>
        <sz val="10"/>
        <color theme="1"/>
        <rFont val="宋体"/>
        <charset val="134"/>
      </rPr>
      <t>。
一旦你使用了这一特性，直到你完成一次短休或长休为止你都不能再次使用它。</t>
    </r>
  </si>
  <si>
    <r>
      <rPr>
        <sz val="10"/>
        <color theme="1"/>
        <rFont val="宋体"/>
        <charset val="134"/>
      </rPr>
      <t>曲线射击</t>
    </r>
  </si>
  <si>
    <r>
      <rPr>
        <sz val="10"/>
        <color theme="1"/>
        <rFont val="宋体"/>
        <charset val="134"/>
      </rPr>
      <t>你学会如何引导偏离的箭矢到新的目标上。
当你使用了魔法箭矢投攻击骰且未命中时，你能够使用一个附赠动作来指定一个距离原本目标</t>
    </r>
    <r>
      <rPr>
        <sz val="10"/>
        <color theme="1"/>
        <rFont val="Times New Roman"/>
        <charset val="134"/>
      </rPr>
      <t>60</t>
    </r>
    <r>
      <rPr>
        <sz val="10"/>
        <color theme="1"/>
        <rFont val="宋体"/>
        <charset val="134"/>
      </rPr>
      <t>尺内的不同目标重投攻击骰。</t>
    </r>
  </si>
  <si>
    <t>你获得施法能力。参考施法规则中的一般施法流程，以及法师法术列表。</t>
  </si>
  <si>
    <t>神话浪客</t>
  </si>
  <si>
    <r>
      <rPr>
        <sz val="10"/>
        <color theme="1"/>
        <rFont val="宋体"/>
        <charset val="134"/>
      </rPr>
      <t>你习得招来传奇船长的魂灵的能力，使你暂时化身为一段史诗冒险的完美典范。以一个动作，你拥抱大海上的种种魂灵，一分钟内，你获得以下增益：
·你进行的力量（运动）检定具有优势，你获得等同于你步行速度的攀爬速度。如果你已有攀爬速度，其将翻倍。
·当你位于一个生物周围</t>
    </r>
    <r>
      <rPr>
        <sz val="10"/>
        <color theme="1"/>
        <rFont val="Times New Roman"/>
        <charset val="134"/>
      </rPr>
      <t>5</t>
    </r>
    <r>
      <rPr>
        <sz val="10"/>
        <color theme="1"/>
        <rFont val="宋体"/>
        <charset val="134"/>
      </rPr>
      <t>尺范围内，且没有其他生物位于你周围</t>
    </r>
    <r>
      <rPr>
        <sz val="10"/>
        <color theme="1"/>
        <rFont val="Times New Roman"/>
        <charset val="134"/>
      </rPr>
      <t>5</t>
    </r>
    <r>
      <rPr>
        <sz val="10"/>
        <color theme="1"/>
        <rFont val="宋体"/>
        <charset val="134"/>
      </rPr>
      <t>尺内时，你对该生物进行的攻击具有优势。
·你可以用附赠动作执行</t>
    </r>
    <r>
      <rPr>
        <sz val="10"/>
        <color theme="1"/>
        <rFont val="Times New Roman"/>
        <charset val="134"/>
      </rPr>
      <t xml:space="preserve"> </t>
    </r>
    <r>
      <rPr>
        <sz val="10"/>
        <color theme="1"/>
        <rFont val="宋体"/>
        <charset val="134"/>
      </rPr>
      <t>疾跑</t>
    </r>
    <r>
      <rPr>
        <sz val="10"/>
        <color theme="1"/>
        <rFont val="Times New Roman"/>
        <charset val="134"/>
      </rPr>
      <t xml:space="preserve">Dash </t>
    </r>
    <r>
      <rPr>
        <sz val="10"/>
        <color theme="1"/>
        <rFont val="宋体"/>
        <charset val="134"/>
      </rPr>
      <t>或</t>
    </r>
    <r>
      <rPr>
        <sz val="10"/>
        <color theme="1"/>
        <rFont val="Times New Roman"/>
        <charset val="134"/>
      </rPr>
      <t xml:space="preserve"> </t>
    </r>
    <r>
      <rPr>
        <sz val="10"/>
        <color theme="1"/>
        <rFont val="宋体"/>
        <charset val="134"/>
      </rPr>
      <t>撤离</t>
    </r>
    <r>
      <rPr>
        <sz val="10"/>
        <color theme="1"/>
        <rFont val="Times New Roman"/>
        <charset val="134"/>
      </rPr>
      <t xml:space="preserve">Disengage </t>
    </r>
    <r>
      <rPr>
        <sz val="10"/>
        <color theme="1"/>
        <rFont val="宋体"/>
        <charset val="134"/>
      </rPr>
      <t>动作。
·你进行的敏捷属性检定具有优势，且你为对抗可见的效应所做的敏捷豁免具有优势。
一旦你使用了此特性，直到你完成一次长休前你都无法再次使用它。</t>
    </r>
  </si>
  <si>
    <t>屋顶机动</t>
  </si>
  <si>
    <t>你的速度增加10尺，并且在你的回合内，你能以附赠动作执行疾走dash。此外，你已经掌握了在移动和攀登时辗转腾挪的方法，当你使用疾走dash动作时，你的跳跃距离会随移动速度一样增加。</t>
  </si>
  <si>
    <t>杂货囤积</t>
  </si>
  <si>
    <t>只要你的双手是空闲的，你就可以在手持物品或武器时（包括攻击动作）将其取回并藏回身上。
你收集了一些各种各样的工具藏在身上以备不时之需。这些装备都被藏在随身携带的袋子、夹克或背包中。你可以从中取回《核心规则》的《冒险用品》章节中所述的任何非魔法、非活体物件，其总价值不超过25gp，重量不超过10磅。你可以使用此特性取回的物品数量等于你的熟练加值，且你在完成一次长休后重新获得所有已消耗的使用次数。
尽管使用此特性取出的这些工具在某些时候比较实用，但它们仍都是肉眼可以分辨出的没什么价值的垃圾。</t>
  </si>
  <si>
    <t>坚盾刻文</t>
  </si>
  <si>
    <r>
      <rPr>
        <sz val="10"/>
        <color theme="1"/>
        <rFont val="宋体"/>
        <charset val="134"/>
      </rPr>
      <t>你能释放储存在符文中的奥法力量来吸收或偏折危险的攻击。受到伤害时，你能以一个反应消耗任意数量的蓄能符文。投掷消耗符文数量枚的</t>
    </r>
    <r>
      <rPr>
        <sz val="10"/>
        <color theme="1"/>
        <rFont val="Times New Roman"/>
        <charset val="134"/>
      </rPr>
      <t>d6</t>
    </r>
    <r>
      <rPr>
        <sz val="10"/>
        <color theme="1"/>
        <rFont val="宋体"/>
        <charset val="134"/>
      </rPr>
      <t>骰，从伤害中减去骰值之和点。</t>
    </r>
    <r>
      <rPr>
        <sz val="10"/>
        <color theme="1"/>
        <rFont val="Times New Roman"/>
        <charset val="134"/>
      </rPr>
      <t xml:space="preserve">
</t>
    </r>
    <r>
      <rPr>
        <sz val="10"/>
        <color theme="1"/>
        <rFont val="宋体"/>
        <charset val="134"/>
      </rPr>
      <t>当你达到</t>
    </r>
    <r>
      <rPr>
        <sz val="10"/>
        <color theme="1"/>
        <rFont val="Times New Roman"/>
        <charset val="134"/>
      </rPr>
      <t>6</t>
    </r>
    <r>
      <rPr>
        <sz val="10"/>
        <color theme="1"/>
        <rFont val="宋体"/>
        <charset val="134"/>
      </rPr>
      <t>级后，你能以一个动作触碰一个生物并消耗至多</t>
    </r>
    <r>
      <rPr>
        <sz val="10"/>
        <color theme="1"/>
        <rFont val="Times New Roman"/>
        <charset val="134"/>
      </rPr>
      <t>3</t>
    </r>
    <r>
      <rPr>
        <sz val="10"/>
        <color theme="1"/>
        <rFont val="宋体"/>
        <charset val="134"/>
      </rPr>
      <t>个蓄能符文来为其灌输你的防护能量。接下来的一小时内，该生物下一次受到伤害时，它投掷你消耗的蓄能符文数量的</t>
    </r>
    <r>
      <rPr>
        <sz val="10"/>
        <color theme="1"/>
        <rFont val="Times New Roman"/>
        <charset val="134"/>
      </rPr>
      <t>d6</t>
    </r>
    <r>
      <rPr>
        <sz val="10"/>
        <color theme="1"/>
        <rFont val="宋体"/>
        <charset val="134"/>
      </rPr>
      <t>骰并减少等于骰值之和点的伤害。你无法将这一力量传递给已经在</t>
    </r>
    <r>
      <rPr>
        <sz val="10"/>
        <color theme="1"/>
        <rFont val="Times New Roman"/>
        <charset val="134"/>
      </rPr>
      <t xml:space="preserve"> </t>
    </r>
    <r>
      <rPr>
        <sz val="10"/>
        <color theme="1"/>
        <rFont val="宋体"/>
        <charset val="134"/>
      </rPr>
      <t>坚盾刻文</t>
    </r>
    <r>
      <rPr>
        <sz val="10"/>
        <color theme="1"/>
        <rFont val="Times New Roman"/>
        <charset val="134"/>
      </rPr>
      <t xml:space="preserve">Glyph of Aegis </t>
    </r>
    <r>
      <rPr>
        <sz val="10"/>
        <color theme="1"/>
        <rFont val="宋体"/>
        <charset val="134"/>
      </rPr>
      <t>保护下的生物。</t>
    </r>
    <r>
      <rPr>
        <sz val="10"/>
        <color theme="1"/>
        <rFont val="Times New Roman"/>
        <charset val="134"/>
      </rPr>
      <t xml:space="preserve">
</t>
    </r>
    <r>
      <rPr>
        <sz val="10"/>
        <color theme="1"/>
        <rFont val="宋体"/>
        <charset val="134"/>
      </rPr>
      <t>你</t>
    </r>
    <r>
      <rPr>
        <sz val="10"/>
        <color theme="1"/>
        <rFont val="Times New Roman"/>
        <charset val="134"/>
      </rPr>
      <t xml:space="preserve"> </t>
    </r>
    <r>
      <rPr>
        <sz val="10"/>
        <color theme="1"/>
        <rFont val="宋体"/>
        <charset val="134"/>
      </rPr>
      <t>坚盾刻文</t>
    </r>
    <r>
      <rPr>
        <sz val="10"/>
        <color theme="1"/>
        <rFont val="Times New Roman"/>
        <charset val="134"/>
      </rPr>
      <t xml:space="preserve">Glyph of Aegis </t>
    </r>
    <r>
      <rPr>
        <sz val="10"/>
        <color theme="1"/>
        <rFont val="宋体"/>
        <charset val="134"/>
      </rPr>
      <t>的骰子在</t>
    </r>
    <r>
      <rPr>
        <sz val="10"/>
        <color theme="1"/>
        <rFont val="Times New Roman"/>
        <charset val="134"/>
      </rPr>
      <t>14</t>
    </r>
    <r>
      <rPr>
        <sz val="10"/>
        <color theme="1"/>
        <rFont val="宋体"/>
        <charset val="134"/>
      </rPr>
      <t>级时变为</t>
    </r>
    <r>
      <rPr>
        <sz val="10"/>
        <color theme="1"/>
        <rFont val="Times New Roman"/>
        <charset val="134"/>
      </rPr>
      <t>d8</t>
    </r>
    <r>
      <rPr>
        <sz val="10"/>
        <color theme="1"/>
        <rFont val="宋体"/>
        <charset val="134"/>
      </rPr>
      <t>。</t>
    </r>
  </si>
  <si>
    <r>
      <rPr>
        <sz val="10"/>
        <color theme="1"/>
        <rFont val="宋体"/>
        <charset val="134"/>
      </rPr>
      <t>灼光复仇</t>
    </r>
  </si>
  <si>
    <r>
      <rPr>
        <sz val="10"/>
        <color theme="1"/>
        <rFont val="宋体"/>
        <charset val="134"/>
      </rPr>
      <t>当你或</t>
    </r>
    <r>
      <rPr>
        <sz val="10"/>
        <color theme="1"/>
        <rFont val="Times New Roman"/>
        <charset val="134"/>
      </rPr>
      <t>60</t>
    </r>
    <r>
      <rPr>
        <sz val="10"/>
        <color theme="1"/>
        <rFont val="宋体"/>
        <charset val="134"/>
      </rPr>
      <t>尺内的一个盟友将要进行一次死亡豁免时，你可以释放出一道光能来拯救那个生物。该生物恢复等于其生命值上限一半的生命值，且可以选择结束自身的倒地状态。之后，每个由你选择的位于该生物</t>
    </r>
    <r>
      <rPr>
        <sz val="10"/>
        <color theme="1"/>
        <rFont val="Times New Roman"/>
        <charset val="134"/>
      </rPr>
      <t>30</t>
    </r>
    <r>
      <rPr>
        <sz val="10"/>
        <color theme="1"/>
        <rFont val="宋体"/>
        <charset val="134"/>
      </rPr>
      <t>尺内生物的都将受到</t>
    </r>
    <r>
      <rPr>
        <sz val="10"/>
        <color theme="1"/>
        <rFont val="Times New Roman"/>
        <charset val="134"/>
      </rPr>
      <t>2d8+</t>
    </r>
    <r>
      <rPr>
        <sz val="10"/>
        <color theme="1"/>
        <rFont val="宋体"/>
        <charset val="134"/>
      </rPr>
      <t>你的魅力调整值点的光耀伤害，并陷入目盲状态直至当前回合结束。
此特性一经使用，直至完成长休你都无法再次使用。</t>
    </r>
  </si>
  <si>
    <t>稳态专注</t>
  </si>
  <si>
    <t>当你专注于一道法术时，你忽视任何污染症状，除了怪物转变Monstrous Transformation。</t>
  </si>
  <si>
    <r>
      <rPr>
        <sz val="10"/>
        <color theme="1"/>
        <rFont val="宋体"/>
        <charset val="134"/>
      </rPr>
      <t>渎魂施法表中记录了你所拥有的法术位数量，以及这些法术位的等级；你的所有法术位都是同一等级。你必须消耗法术位以施展</t>
    </r>
    <r>
      <rPr>
        <sz val="10"/>
        <color theme="1"/>
        <rFont val="Times New Roman"/>
        <charset val="134"/>
      </rPr>
      <t xml:space="preserve"> 1 </t>
    </r>
    <r>
      <rPr>
        <sz val="10"/>
        <color theme="1"/>
        <rFont val="宋体"/>
        <charset val="134"/>
      </rPr>
      <t>环或以上的魔契师法术。你在完成一次短休或长休时恢复所有已消耗的法术位。</t>
    </r>
  </si>
  <si>
    <r>
      <rPr>
        <sz val="10"/>
        <color theme="1"/>
        <rFont val="宋体"/>
        <charset val="134"/>
      </rPr>
      <t>虔信之证</t>
    </r>
  </si>
  <si>
    <r>
      <rPr>
        <sz val="10"/>
        <color theme="1"/>
        <rFont val="宋体"/>
        <charset val="134"/>
      </rPr>
      <t xml:space="preserve">作为一名虔信之人，你可以为你的神代言，并且能感受到祂们的力量在你体内激增。领导世人的灵魂并与邪恶斗志已成为你的第二天性。你获得了增强你能力的好处。
</t>
    </r>
    <r>
      <rPr>
        <sz val="10"/>
        <color theme="1"/>
        <rFont val="Times New Roman"/>
        <charset val="134"/>
      </rPr>
      <t xml:space="preserve">• </t>
    </r>
    <r>
      <rPr>
        <sz val="10"/>
        <color theme="1"/>
        <rFont val="宋体"/>
        <charset val="134"/>
      </rPr>
      <t>在对抗你驱魔：驱散邪恶</t>
    </r>
    <r>
      <rPr>
        <sz val="10"/>
        <color theme="1"/>
        <rFont val="Times New Roman"/>
        <charset val="134"/>
      </rPr>
      <t>Exorcism: Expel Evil</t>
    </r>
    <r>
      <rPr>
        <sz val="10"/>
        <color theme="1"/>
        <rFont val="宋体"/>
        <charset val="134"/>
      </rPr>
      <t>特性中豁免检定失败的生物将额外承受</t>
    </r>
    <r>
      <rPr>
        <sz val="10"/>
        <color theme="1"/>
        <rFont val="Times New Roman"/>
        <charset val="134"/>
      </rPr>
      <t>4d8</t>
    </r>
    <r>
      <rPr>
        <sz val="10"/>
        <color theme="1"/>
        <rFont val="宋体"/>
        <charset val="134"/>
      </rPr>
      <t xml:space="preserve">点光耀伤害。
</t>
    </r>
    <r>
      <rPr>
        <sz val="10"/>
        <color theme="1"/>
        <rFont val="Times New Roman"/>
        <charset val="134"/>
      </rPr>
      <t xml:space="preserve">• </t>
    </r>
    <r>
      <rPr>
        <sz val="10"/>
        <color theme="1"/>
        <rFont val="宋体"/>
        <charset val="134"/>
      </rPr>
      <t>受益于你驱魔：净化不洁</t>
    </r>
    <r>
      <rPr>
        <sz val="10"/>
        <color theme="1"/>
        <rFont val="Times New Roman"/>
        <charset val="134"/>
      </rPr>
      <t>Exorcism: Purge Corruption</t>
    </r>
    <r>
      <rPr>
        <sz val="10"/>
        <color theme="1"/>
        <rFont val="宋体"/>
        <charset val="134"/>
      </rPr>
      <t>特性的生物将额外获得</t>
    </r>
    <r>
      <rPr>
        <sz val="10"/>
        <color theme="1"/>
        <rFont val="Times New Roman"/>
        <charset val="134"/>
      </rPr>
      <t>4d8</t>
    </r>
    <r>
      <rPr>
        <sz val="10"/>
        <color theme="1"/>
        <rFont val="宋体"/>
        <charset val="134"/>
      </rPr>
      <t>点临时生命值。</t>
    </r>
  </si>
  <si>
    <t>苏特赫之禁令</t>
  </si>
  <si>
    <r>
      <rPr>
        <sz val="10"/>
        <color theme="1"/>
        <rFont val="宋体"/>
        <charset val="134"/>
      </rPr>
      <t>英雄</t>
    </r>
  </si>
  <si>
    <t>吾即怪物</t>
  </si>
  <si>
    <t>狂暴期间，你忽略你具有的任何污染等级带来的影响，怪诞转变Monstrous Transformation除外。
每当你因污染而发生变异时，你可以掷两次骰子，然后选择获得哪种变异。</t>
  </si>
  <si>
    <t>翁面</t>
  </si>
  <si>
    <t>当戴着此面具时，你可以随意施放侦测魔法Detect Magic和鉴定术Identify，无需消耗法术位或材料成分。</t>
  </si>
  <si>
    <t>附赠戏法</t>
  </si>
  <si>
    <t>你习得戏法：冻寒之触chill touch和次级幻影minor illusion。这些戏法对你而言视作牧师法术，且不计入你的已知牧师戏法上限。</t>
  </si>
  <si>
    <t>枯败之形</t>
  </si>
  <si>
    <r>
      <rPr>
        <sz val="10"/>
        <color theme="1"/>
        <rFont val="宋体"/>
        <charset val="134"/>
      </rPr>
      <t>你的肉体形态开始表现出你所驱使的腐化的影响，在你的皮肤上会显出发黑的纹路，生出多节、突出的骨质或其他怪异的外形。你获得魅力（威吓）技能的熟练。
此外，当你使用荒野形态特性变形时，扭曲凸出的骨棘会从你的身体中生出。在荒野变形期间，你的</t>
    </r>
    <r>
      <rPr>
        <sz val="10"/>
        <color theme="1"/>
        <rFont val="Times New Roman"/>
        <charset val="134"/>
      </rPr>
      <t>AC</t>
    </r>
    <r>
      <rPr>
        <sz val="10"/>
        <color theme="1"/>
        <rFont val="宋体"/>
        <charset val="134"/>
      </rPr>
      <t>获得</t>
    </r>
    <r>
      <rPr>
        <sz val="10"/>
        <color theme="1"/>
        <rFont val="Times New Roman"/>
        <charset val="134"/>
      </rPr>
      <t>+2</t>
    </r>
    <r>
      <rPr>
        <sz val="10"/>
        <color theme="1"/>
        <rFont val="宋体"/>
        <charset val="134"/>
      </rPr>
      <t>加值，你的野兽形态会获得</t>
    </r>
    <r>
      <rPr>
        <sz val="10"/>
        <color theme="1"/>
        <rFont val="Times New Roman"/>
        <charset val="134"/>
      </rPr>
      <t>60</t>
    </r>
    <r>
      <rPr>
        <sz val="10"/>
        <color theme="1"/>
        <rFont val="宋体"/>
        <charset val="134"/>
      </rPr>
      <t>尺黑暗视觉，若它已有黑暗视觉，则其黑暗视觉范围额外增加</t>
    </r>
    <r>
      <rPr>
        <sz val="10"/>
        <color theme="1"/>
        <rFont val="Times New Roman"/>
        <charset val="134"/>
      </rPr>
      <t>60</t>
    </r>
    <r>
      <rPr>
        <sz val="10"/>
        <color theme="1"/>
        <rFont val="宋体"/>
        <charset val="134"/>
      </rPr>
      <t>尺。</t>
    </r>
  </si>
  <si>
    <r>
      <rPr>
        <sz val="10"/>
        <color theme="1"/>
        <rFont val="宋体"/>
        <charset val="134"/>
      </rPr>
      <t>预备射击</t>
    </r>
  </si>
  <si>
    <r>
      <rPr>
        <sz val="10"/>
        <color theme="1"/>
        <rFont val="宋体"/>
        <charset val="134"/>
      </rPr>
      <t>无论战斗何时开始你都有魔法箭矢可用。
如果你投了先攻骰且没有任何奥术射击使用次数，你重新获得一次使用机会。</t>
    </r>
  </si>
  <si>
    <t>你从法师法术列表习得两个戏法。第10级时，你再额外习得一个法师戏法。</t>
  </si>
  <si>
    <t>狂欢之誓法术</t>
  </si>
  <si>
    <t>你誓言具有的魔法使你始终准备着特定的法术。当你到达狂欢之誓法术表中特定的圣武士等级时，你就始终准备着表中对应的法术。
狂欢之誓法术Oath of Revelry Spells
圣武士等级	准备法术
3 魅惑类人Charm Person，塔莎狂笑术Tasha's Hideous Laughter
5 强化属性Enhance Ability，宿醉感Hangover
9 创造食粮Create Food And Water，催眠图纹Hypnotic Pattern
13 魅惑怪物Charm Monster，行动自如Freedom of Movement
17 指使术Geas，拉瑞心灵联结Rary's Telepathic Bond</t>
  </si>
  <si>
    <t>完美位置</t>
  </si>
  <si>
    <t>当你对一个生物发动攻击受益于你的有利射界特性时，你对该目标额外造成2d6伤害，并且当骰出19-20时便造成重击。</t>
  </si>
  <si>
    <t>生意秘诀</t>
  </si>
  <si>
    <t>你获得易容工具、水陆载具的熟练项。
每当你进行与走私或隐藏物品相关的检定时，你在本次检定中加入双倍的熟练加值。
如果你驾驶的是马车、船只或者其他你所熟练的载具，你就可以知道在几乎任何载具上制造和改装简单的走私隔层的方法。经过一小时的改装，你可以在GM的判断下至多隐藏四分之一的载具最大运载空间。改造一辆大型以下的载具需要花费一小时，巨型载具需要八小时，超巨型则需要两天。</t>
  </si>
  <si>
    <t>符印强化</t>
  </si>
  <si>
    <r>
      <rPr>
        <sz val="10"/>
        <color theme="1"/>
        <rFont val="宋体"/>
        <charset val="134"/>
      </rPr>
      <t>你能引入符文的力量来临时强化你的肉体能力。当你进行一次力量、敏捷、或体质检定时，你能用反应消耗一枚蓄能符文来使本次检定具有优势。</t>
    </r>
    <r>
      <rPr>
        <sz val="10"/>
        <color theme="1"/>
        <rFont val="Times New Roman"/>
        <charset val="134"/>
      </rPr>
      <t xml:space="preserve">
</t>
    </r>
    <r>
      <rPr>
        <sz val="10"/>
        <color theme="1"/>
        <rFont val="宋体"/>
        <charset val="134"/>
      </rPr>
      <t>此外，当你被迫进行一次力量、敏捷、或体质豁免时，你同样能用反应来消耗一枚蓄能符文来使本次豁免具有优势。不过一旦你在豁免上使用了本特性，直到你完成一次长休前你都无法再次在豁免上这么做。</t>
    </r>
  </si>
  <si>
    <r>
      <rPr>
        <sz val="10"/>
        <color theme="1"/>
        <rFont val="宋体"/>
        <charset val="134"/>
      </rPr>
      <t>邪魔法术</t>
    </r>
  </si>
  <si>
    <r>
      <rPr>
        <sz val="10"/>
        <color theme="1"/>
        <rFont val="宋体"/>
        <charset val="134"/>
      </rPr>
      <t>宗主赐予的魔法使你始终准备了特定的法术。当你到达邪魔法术表中特定的魔契师等级时，你就始终准备了表中对应的法术。
邪魔法术</t>
    </r>
    <r>
      <rPr>
        <sz val="10"/>
        <color theme="1"/>
        <rFont val="Times New Roman"/>
        <charset val="134"/>
      </rPr>
      <t xml:space="preserve">Fiend Spells 
</t>
    </r>
    <r>
      <rPr>
        <sz val="10"/>
        <color theme="1"/>
        <rFont val="宋体"/>
        <charset val="134"/>
      </rPr>
      <t>魔契师等级</t>
    </r>
    <r>
      <rPr>
        <sz val="10"/>
        <color theme="1"/>
        <rFont val="Times New Roman"/>
        <charset val="134"/>
      </rPr>
      <t xml:space="preserve"> </t>
    </r>
    <r>
      <rPr>
        <sz val="10"/>
        <color theme="1"/>
        <rFont val="宋体"/>
        <charset val="134"/>
      </rPr>
      <t xml:space="preserve">法术
</t>
    </r>
    <r>
      <rPr>
        <sz val="10"/>
        <color theme="1"/>
        <rFont val="Times New Roman"/>
        <charset val="134"/>
      </rPr>
      <t xml:space="preserve">3 </t>
    </r>
    <r>
      <rPr>
        <sz val="10"/>
        <color theme="1"/>
        <rFont val="宋体"/>
        <charset val="134"/>
      </rPr>
      <t>燃烧之手</t>
    </r>
    <r>
      <rPr>
        <sz val="10"/>
        <color theme="1"/>
        <rFont val="Times New Roman"/>
        <charset val="134"/>
      </rPr>
      <t>Burning Hands</t>
    </r>
    <r>
      <rPr>
        <sz val="10"/>
        <color theme="1"/>
        <rFont val="宋体"/>
        <charset val="134"/>
      </rPr>
      <t>，命令术</t>
    </r>
    <r>
      <rPr>
        <sz val="10"/>
        <color theme="1"/>
        <rFont val="Times New Roman"/>
        <charset val="134"/>
      </rPr>
      <t>Command</t>
    </r>
    <r>
      <rPr>
        <sz val="10"/>
        <color theme="1"/>
        <rFont val="宋体"/>
        <charset val="134"/>
      </rPr>
      <t>，灼热射线</t>
    </r>
    <r>
      <rPr>
        <sz val="10"/>
        <color theme="1"/>
        <rFont val="Times New Roman"/>
        <charset val="134"/>
      </rPr>
      <t>Scorching Ray</t>
    </r>
    <r>
      <rPr>
        <sz val="10"/>
        <color theme="1"/>
        <rFont val="宋体"/>
        <charset val="134"/>
      </rPr>
      <t>，暗示术</t>
    </r>
    <r>
      <rPr>
        <sz val="10"/>
        <color theme="1"/>
        <rFont val="Times New Roman"/>
        <charset val="134"/>
      </rPr>
      <t xml:space="preserve">Suggestion 
5 </t>
    </r>
    <r>
      <rPr>
        <sz val="10"/>
        <color theme="1"/>
        <rFont val="宋体"/>
        <charset val="134"/>
      </rPr>
      <t>火球术</t>
    </r>
    <r>
      <rPr>
        <sz val="10"/>
        <color theme="1"/>
        <rFont val="Times New Roman"/>
        <charset val="134"/>
      </rPr>
      <t>Fireball</t>
    </r>
    <r>
      <rPr>
        <sz val="10"/>
        <color theme="1"/>
        <rFont val="宋体"/>
        <charset val="134"/>
      </rPr>
      <t>，臭云术</t>
    </r>
    <r>
      <rPr>
        <sz val="10"/>
        <color theme="1"/>
        <rFont val="Times New Roman"/>
        <charset val="134"/>
      </rPr>
      <t xml:space="preserve">Stinking Cloud 
7 </t>
    </r>
    <r>
      <rPr>
        <sz val="10"/>
        <color theme="1"/>
        <rFont val="宋体"/>
        <charset val="134"/>
      </rPr>
      <t>火焰护盾</t>
    </r>
    <r>
      <rPr>
        <sz val="10"/>
        <color theme="1"/>
        <rFont val="Times New Roman"/>
        <charset val="134"/>
      </rPr>
      <t>Fire Shield</t>
    </r>
    <r>
      <rPr>
        <sz val="10"/>
        <color theme="1"/>
        <rFont val="宋体"/>
        <charset val="134"/>
      </rPr>
      <t>，火墙术</t>
    </r>
    <r>
      <rPr>
        <sz val="10"/>
        <color theme="1"/>
        <rFont val="Times New Roman"/>
        <charset val="134"/>
      </rPr>
      <t xml:space="preserve">Wall of Fire 
9 </t>
    </r>
    <r>
      <rPr>
        <sz val="10"/>
        <color theme="1"/>
        <rFont val="宋体"/>
        <charset val="134"/>
      </rPr>
      <t>指使术</t>
    </r>
    <r>
      <rPr>
        <sz val="10"/>
        <color theme="1"/>
        <rFont val="Times New Roman"/>
        <charset val="134"/>
      </rPr>
      <t>Geas</t>
    </r>
    <r>
      <rPr>
        <sz val="10"/>
        <color theme="1"/>
        <rFont val="宋体"/>
        <charset val="134"/>
      </rPr>
      <t>，疫病虫群</t>
    </r>
    <r>
      <rPr>
        <sz val="10"/>
        <color theme="1"/>
        <rFont val="Times New Roman"/>
        <charset val="134"/>
      </rPr>
      <t xml:space="preserve">Insect Plague </t>
    </r>
  </si>
  <si>
    <t>血肉飞升</t>
  </si>
  <si>
    <t>如果你经历了一次怪物转变Monstrous Transformation，你将保持1分钟对自己新形态的控制权。
除非死亡，否则你在24小时后便会恢复到原始形态。当你恢复原始形态时，你视作完成了一次长休，并移除所有污染等级。
GM决定你从变形中保留哪些记忆（如果仍有记忆）。无论如何，这段艰难的经历将永远在你的梦魇中萦绕，且你获得一种德拉肯海姆疯狂Drakkenheim Madness（见第231页）。</t>
  </si>
  <si>
    <r>
      <rPr>
        <sz val="10"/>
        <color theme="1"/>
        <rFont val="Times New Roman"/>
        <charset val="134"/>
      </rPr>
      <t xml:space="preserve">1 </t>
    </r>
    <r>
      <rPr>
        <sz val="10"/>
        <color theme="1"/>
        <rFont val="宋体"/>
        <charset val="134"/>
      </rPr>
      <t>环及更高环阶的已知法术</t>
    </r>
  </si>
  <si>
    <r>
      <rPr>
        <sz val="10"/>
        <color theme="1"/>
        <rFont val="宋体"/>
        <charset val="134"/>
      </rPr>
      <t>在第</t>
    </r>
    <r>
      <rPr>
        <sz val="10"/>
        <color theme="1"/>
        <rFont val="Times New Roman"/>
        <charset val="134"/>
      </rPr>
      <t xml:space="preserve"> 3 </t>
    </r>
    <r>
      <rPr>
        <sz val="10"/>
        <color theme="1"/>
        <rFont val="宋体"/>
        <charset val="134"/>
      </rPr>
      <t>级，你已知两个由你选择的</t>
    </r>
    <r>
      <rPr>
        <sz val="10"/>
        <color theme="1"/>
        <rFont val="Times New Roman"/>
        <charset val="134"/>
      </rPr>
      <t xml:space="preserve"> 1 </t>
    </r>
    <r>
      <rPr>
        <sz val="10"/>
        <color theme="1"/>
        <rFont val="宋体"/>
        <charset val="134"/>
      </rPr>
      <t>环魔契师法术。</t>
    </r>
    <r>
      <rPr>
        <sz val="10"/>
        <color theme="1"/>
        <rFont val="Times New Roman"/>
        <charset val="134"/>
      </rPr>
      <t>“</t>
    </r>
    <r>
      <rPr>
        <sz val="10"/>
        <color theme="1"/>
        <rFont val="宋体"/>
        <charset val="134"/>
      </rPr>
      <t>渎魂施法表</t>
    </r>
    <r>
      <rPr>
        <sz val="10"/>
        <color theme="1"/>
        <rFont val="Times New Roman"/>
        <charset val="134"/>
      </rPr>
      <t>”</t>
    </r>
    <r>
      <rPr>
        <sz val="10"/>
        <color theme="1"/>
        <rFont val="宋体"/>
        <charset val="134"/>
      </rPr>
      <t>中</t>
    </r>
    <r>
      <rPr>
        <sz val="10"/>
        <color theme="1"/>
        <rFont val="Times New Roman"/>
        <charset val="134"/>
      </rPr>
      <t>“</t>
    </r>
    <r>
      <rPr>
        <sz val="10"/>
        <color theme="1"/>
        <rFont val="宋体"/>
        <charset val="134"/>
      </rPr>
      <t>已知法术</t>
    </r>
    <r>
      <rPr>
        <sz val="10"/>
        <color theme="1"/>
        <rFont val="Times New Roman"/>
        <charset val="134"/>
      </rPr>
      <t>”</t>
    </r>
    <r>
      <rPr>
        <sz val="10"/>
        <color theme="1"/>
        <rFont val="宋体"/>
        <charset val="134"/>
      </rPr>
      <t>一栏记录了你何时能够学习更多由你选择的、</t>
    </r>
    <r>
      <rPr>
        <sz val="10"/>
        <color theme="1"/>
        <rFont val="Times New Roman"/>
        <charset val="134"/>
      </rPr>
      <t xml:space="preserve">1 </t>
    </r>
    <r>
      <rPr>
        <sz val="10"/>
        <color theme="1"/>
        <rFont val="宋体"/>
        <charset val="134"/>
      </rPr>
      <t>环或以上的魔契师法术。
你选择的法术必须不超过表中当前等级的</t>
    </r>
    <r>
      <rPr>
        <sz val="10"/>
        <color theme="1"/>
        <rFont val="Times New Roman"/>
        <charset val="134"/>
      </rPr>
      <t>“</t>
    </r>
    <r>
      <rPr>
        <sz val="10"/>
        <color theme="1"/>
        <rFont val="宋体"/>
        <charset val="134"/>
      </rPr>
      <t>环位</t>
    </r>
    <r>
      <rPr>
        <sz val="10"/>
        <color theme="1"/>
        <rFont val="Times New Roman"/>
        <charset val="134"/>
      </rPr>
      <t>”</t>
    </r>
    <r>
      <rPr>
        <sz val="10"/>
        <color theme="1"/>
        <rFont val="宋体"/>
        <charset val="134"/>
      </rPr>
      <t>一栏对应的等级。例如，当你达到</t>
    </r>
    <r>
      <rPr>
        <sz val="10"/>
        <color theme="1"/>
        <rFont val="Times New Roman"/>
        <charset val="134"/>
      </rPr>
      <t xml:space="preserve"> 13 </t>
    </r>
    <r>
      <rPr>
        <sz val="10"/>
        <color theme="1"/>
        <rFont val="宋体"/>
        <charset val="134"/>
      </rPr>
      <t>级时，你学会一个新的魔契师法术，它可以是</t>
    </r>
    <r>
      <rPr>
        <sz val="10"/>
        <color theme="1"/>
        <rFont val="Times New Roman"/>
        <charset val="134"/>
      </rPr>
      <t xml:space="preserve"> 1 </t>
    </r>
    <r>
      <rPr>
        <sz val="10"/>
        <color theme="1"/>
        <rFont val="宋体"/>
        <charset val="134"/>
      </rPr>
      <t>环，</t>
    </r>
    <r>
      <rPr>
        <sz val="10"/>
        <color theme="1"/>
        <rFont val="Times New Roman"/>
        <charset val="134"/>
      </rPr>
      <t xml:space="preserve">2 </t>
    </r>
    <r>
      <rPr>
        <sz val="10"/>
        <color theme="1"/>
        <rFont val="宋体"/>
        <charset val="134"/>
      </rPr>
      <t>环或</t>
    </r>
    <r>
      <rPr>
        <sz val="10"/>
        <color theme="1"/>
        <rFont val="Times New Roman"/>
        <charset val="134"/>
      </rPr>
      <t xml:space="preserve"> 3 </t>
    </r>
    <r>
      <rPr>
        <sz val="10"/>
        <color theme="1"/>
        <rFont val="宋体"/>
        <charset val="134"/>
      </rPr>
      <t>环。此外，当你在此职业上得到等级时，你可以选择魔契师法术表里的一个法术替换一个已知法术，但你必须在当前等级拥有可用以施展该法术的法术位。</t>
    </r>
  </si>
  <si>
    <r>
      <rPr>
        <sz val="10"/>
        <color theme="1"/>
        <rFont val="宋体"/>
        <charset val="134"/>
      </rPr>
      <t>自然哲学</t>
    </r>
  </si>
  <si>
    <r>
      <rPr>
        <sz val="10"/>
        <color theme="1"/>
        <rFont val="宋体"/>
        <charset val="134"/>
      </rPr>
      <t>你获得炼金工具，以及草药工具，或制毒工具二者其一技能的熟练项。你同时习得两门语言，并获得自然技能的熟练项。如果你已经有该技能的熟练，则你获得任选的一门技能的熟练项。</t>
    </r>
  </si>
  <si>
    <t>淤秽调换</t>
  </si>
  <si>
    <r>
      <rPr>
        <sz val="10"/>
        <color theme="1"/>
        <rFont val="宋体"/>
        <charset val="134"/>
      </rPr>
      <t>先决：邪狱使等级</t>
    </r>
    <r>
      <rPr>
        <sz val="10"/>
        <color theme="1"/>
        <rFont val="Times New Roman"/>
        <charset val="134"/>
      </rPr>
      <t>7+</t>
    </r>
    <r>
      <rPr>
        <sz val="10"/>
        <color theme="1"/>
        <rFont val="宋体"/>
        <charset val="134"/>
      </rPr>
      <t>（猩红骑士）
以一个动作，你选择一名位于你</t>
    </r>
    <r>
      <rPr>
        <sz val="10"/>
        <color theme="1"/>
        <rFont val="Times New Roman"/>
        <charset val="134"/>
      </rPr>
      <t>30</t>
    </r>
    <r>
      <rPr>
        <sz val="10"/>
        <color theme="1"/>
        <rFont val="宋体"/>
        <charset val="134"/>
      </rPr>
      <t>尺内你可见的生物，消耗一枚缄印来终止正影响他的一种状态：目盲、魅惑、恍惚</t>
    </r>
    <r>
      <rPr>
        <sz val="10"/>
        <color theme="1"/>
        <rFont val="Times New Roman"/>
        <charset val="134"/>
      </rPr>
      <t>*</t>
    </r>
    <r>
      <rPr>
        <sz val="10"/>
        <color theme="1"/>
        <rFont val="宋体"/>
        <charset val="134"/>
      </rPr>
      <t>、耳聋、恐慌、麻痹或中毒</t>
    </r>
    <r>
      <rPr>
        <sz val="10"/>
        <color theme="1"/>
        <rFont val="Times New Roman"/>
        <charset val="134"/>
      </rPr>
      <t xml:space="preserve"> </t>
    </r>
    <r>
      <rPr>
        <sz val="10"/>
        <color theme="1"/>
        <rFont val="宋体"/>
        <charset val="134"/>
      </rPr>
      <t>。另一名位于你</t>
    </r>
    <r>
      <rPr>
        <sz val="10"/>
        <color theme="1"/>
        <rFont val="Times New Roman"/>
        <charset val="134"/>
      </rPr>
      <t>60</t>
    </r>
    <r>
      <rPr>
        <sz val="10"/>
        <color theme="1"/>
        <rFont val="宋体"/>
        <charset val="134"/>
      </rPr>
      <t>尺内你可见的生物必须成功通过一次体质豁免，否则将陷入相同的状态，直至你的下个回合结束。若该生物对此状态免疫，则其不会陷入此状态，但原始生物的状态仍会结束。</t>
    </r>
  </si>
  <si>
    <r>
      <rPr>
        <sz val="10"/>
        <color theme="1"/>
        <rFont val="宋体"/>
        <charset val="134"/>
      </rPr>
      <t>回音骑士</t>
    </r>
  </si>
  <si>
    <t>脑中呓语</t>
  </si>
  <si>
    <t>每天你都可以施放一次异界探知contact other plane法术。如果你在法术的智力豁免中失败，你可以选择免受错乱状态的影响，取而代之获得1级污染。</t>
  </si>
  <si>
    <t>主角面</t>
  </si>
  <si>
    <t>当你戴着此面具进行先攻检定时，你获得等于你吟游诗人等级一半（向上取整）的临时生命值。以一个附赠动作，你可以将一个生物标记为你的对手，持续1分钟。在持续时间内，你对涉及你对手的属性检定具有优势。此外，当你看到你的对手发动攻击时，你可以使用你的反应并消耗一次诗人激励，投掷一颗诗人激励骰，使该攻击检定减少等同于骰值的数值。</t>
  </si>
  <si>
    <t>暗影视界</t>
  </si>
  <si>
    <t>你获得长达300尺的黑暗视觉，不论该黑暗是否由魔法造成。</t>
  </si>
  <si>
    <t>阴影之种的呼唤</t>
  </si>
  <si>
    <r>
      <rPr>
        <sz val="10"/>
        <color theme="1"/>
        <rFont val="宋体"/>
        <charset val="134"/>
      </rPr>
      <t>你学会了如何从仇敌的生命力中召唤森林的凶残子嗣们。当一个并非不死非构装的生物的生物在你用</t>
    </r>
    <r>
      <rPr>
        <sz val="10"/>
        <color theme="1"/>
        <rFont val="Times New Roman"/>
        <charset val="134"/>
      </rPr>
      <t xml:space="preserve"> </t>
    </r>
    <r>
      <rPr>
        <sz val="10"/>
        <color theme="1"/>
        <rFont val="宋体"/>
        <charset val="134"/>
      </rPr>
      <t>污化土地</t>
    </r>
    <r>
      <rPr>
        <sz val="10"/>
        <color theme="1"/>
        <rFont val="Times New Roman"/>
        <charset val="134"/>
      </rPr>
      <t xml:space="preserve">Defile Ground </t>
    </r>
    <r>
      <rPr>
        <sz val="10"/>
        <color theme="1"/>
        <rFont val="宋体"/>
        <charset val="134"/>
      </rPr>
      <t>特性所创造出的区域中受到伤害时，你能用你的反应在该生物</t>
    </r>
    <r>
      <rPr>
        <sz val="10"/>
        <color theme="1"/>
        <rFont val="Times New Roman"/>
        <charset val="134"/>
      </rPr>
      <t>5</t>
    </r>
    <r>
      <rPr>
        <sz val="10"/>
        <color theme="1"/>
        <rFont val="宋体"/>
        <charset val="134"/>
      </rPr>
      <t>尺内召唤出一只枯萎幼苗。作为该反应的一部分，你能指挥幼苗对它周围</t>
    </r>
    <r>
      <rPr>
        <sz val="10"/>
        <color theme="1"/>
        <rFont val="Times New Roman"/>
        <charset val="134"/>
      </rPr>
      <t>5</t>
    </r>
    <r>
      <rPr>
        <sz val="10"/>
        <color theme="1"/>
        <rFont val="宋体"/>
        <charset val="134"/>
      </rPr>
      <t>尺范围内的一个生物进行一次攻击。幼苗会在你的先攻值时行动，并遵从你的口头指令。
枯萎幼苗会一直为你服务，直到其生命值降低到</t>
    </r>
    <r>
      <rPr>
        <sz val="10"/>
        <color theme="1"/>
        <rFont val="Times New Roman"/>
        <charset val="134"/>
      </rPr>
      <t>0</t>
    </r>
    <r>
      <rPr>
        <sz val="10"/>
        <color theme="1"/>
        <rFont val="宋体"/>
        <charset val="134"/>
      </rPr>
      <t>、你完成一次长休、或你召唤出另一株枯萎幼苗为止，此时它会碎作一滩难闻的腐殖。你能使用该特性的次数等于你的熟练加值次，当你结束一次长休后，你重获所有已消耗的使用次数。
幼苗使用下面的资料卡。它的能力会基于你的等级和熟练加值（</t>
    </r>
    <r>
      <rPr>
        <sz val="10"/>
        <color theme="1"/>
        <rFont val="Times New Roman"/>
        <charset val="134"/>
      </rPr>
      <t>PB</t>
    </r>
    <r>
      <rPr>
        <sz val="10"/>
        <color theme="1"/>
        <rFont val="宋体"/>
        <charset val="134"/>
      </rPr>
      <t>）而增强。
枯萎幼苗</t>
    </r>
    <r>
      <rPr>
        <sz val="10"/>
        <color theme="1"/>
        <rFont val="Times New Roman"/>
        <charset val="134"/>
      </rPr>
      <t xml:space="preserve"> Blighted Sapling
</t>
    </r>
    <r>
      <rPr>
        <sz val="10"/>
        <color theme="1"/>
        <rFont val="宋体"/>
        <charset val="134"/>
      </rPr>
      <t>中型植物</t>
    </r>
    <r>
      <rPr>
        <sz val="10"/>
        <color theme="1"/>
        <rFont val="Times New Roman"/>
        <charset val="134"/>
      </rPr>
      <t xml:space="preserve"> 
--------------------------------------------------------------------------------
AC</t>
    </r>
    <r>
      <rPr>
        <sz val="10"/>
        <color theme="1"/>
        <rFont val="宋体"/>
        <charset val="134"/>
      </rPr>
      <t>：</t>
    </r>
    <r>
      <rPr>
        <sz val="10"/>
        <color theme="1"/>
        <rFont val="Times New Roman"/>
        <charset val="134"/>
      </rPr>
      <t>10+PB</t>
    </r>
    <r>
      <rPr>
        <sz val="10"/>
        <color theme="1"/>
        <rFont val="宋体"/>
        <charset val="134"/>
      </rPr>
      <t xml:space="preserve">（天生护甲）
</t>
    </r>
    <r>
      <rPr>
        <sz val="10"/>
        <color theme="1"/>
        <rFont val="Times New Roman"/>
        <charset val="134"/>
      </rPr>
      <t>HP</t>
    </r>
    <r>
      <rPr>
        <sz val="10"/>
        <color theme="1"/>
        <rFont val="宋体"/>
        <charset val="134"/>
      </rPr>
      <t>：你的德鲁伊等级的两倍
速度：</t>
    </r>
    <r>
      <rPr>
        <sz val="10"/>
        <color theme="1"/>
        <rFont val="Times New Roman"/>
        <charset val="134"/>
      </rPr>
      <t>30</t>
    </r>
    <r>
      <rPr>
        <sz val="10"/>
        <color theme="1"/>
        <rFont val="宋体"/>
        <charset val="134"/>
      </rPr>
      <t xml:space="preserve">尺
</t>
    </r>
    <r>
      <rPr>
        <sz val="10"/>
        <color theme="1"/>
        <rFont val="Times New Roman"/>
        <charset val="134"/>
      </rPr>
      <t xml:space="preserve">--------------------------------------------------------------------------------
</t>
    </r>
    <r>
      <rPr>
        <sz val="10"/>
        <color theme="1"/>
        <rFont val="宋体"/>
        <charset val="134"/>
      </rPr>
      <t>力量</t>
    </r>
    <r>
      <rPr>
        <sz val="10"/>
        <color theme="1"/>
        <rFont val="Times New Roman"/>
        <charset val="134"/>
      </rPr>
      <t xml:space="preserve">  </t>
    </r>
    <r>
      <rPr>
        <sz val="10"/>
        <color theme="1"/>
        <rFont val="宋体"/>
        <charset val="134"/>
      </rPr>
      <t>敏捷</t>
    </r>
    <r>
      <rPr>
        <sz val="10"/>
        <color theme="1"/>
        <rFont val="Times New Roman"/>
        <charset val="134"/>
      </rPr>
      <t xml:space="preserve">  </t>
    </r>
    <r>
      <rPr>
        <sz val="10"/>
        <color theme="1"/>
        <rFont val="宋体"/>
        <charset val="134"/>
      </rPr>
      <t>体质</t>
    </r>
    <r>
      <rPr>
        <sz val="10"/>
        <color theme="1"/>
        <rFont val="Times New Roman"/>
        <charset val="134"/>
      </rPr>
      <t xml:space="preserve">  </t>
    </r>
    <r>
      <rPr>
        <sz val="10"/>
        <color theme="1"/>
        <rFont val="宋体"/>
        <charset val="134"/>
      </rPr>
      <t>智力</t>
    </r>
    <r>
      <rPr>
        <sz val="10"/>
        <color theme="1"/>
        <rFont val="Times New Roman"/>
        <charset val="134"/>
      </rPr>
      <t xml:space="preserve">  </t>
    </r>
    <r>
      <rPr>
        <sz val="10"/>
        <color theme="1"/>
        <rFont val="宋体"/>
        <charset val="134"/>
      </rPr>
      <t>感知</t>
    </r>
    <r>
      <rPr>
        <sz val="10"/>
        <color theme="1"/>
        <rFont val="Times New Roman"/>
        <charset val="134"/>
      </rPr>
      <t xml:space="preserve">  </t>
    </r>
    <r>
      <rPr>
        <sz val="10"/>
        <color theme="1"/>
        <rFont val="宋体"/>
        <charset val="134"/>
      </rPr>
      <t>魅力</t>
    </r>
    <r>
      <rPr>
        <sz val="10"/>
        <color theme="1"/>
        <rFont val="Times New Roman"/>
        <charset val="134"/>
      </rPr>
      <t xml:space="preserve"> 
8</t>
    </r>
    <r>
      <rPr>
        <sz val="10"/>
        <color theme="1"/>
        <rFont val="宋体"/>
        <charset val="134"/>
      </rPr>
      <t>（</t>
    </r>
    <r>
      <rPr>
        <sz val="10"/>
        <color theme="1"/>
        <rFont val="Times New Roman"/>
        <charset val="134"/>
      </rPr>
      <t>-1</t>
    </r>
    <r>
      <rPr>
        <sz val="10"/>
        <color theme="1"/>
        <rFont val="宋体"/>
        <charset val="134"/>
      </rPr>
      <t>）</t>
    </r>
    <r>
      <rPr>
        <sz val="10"/>
        <color theme="1"/>
        <rFont val="Times New Roman"/>
        <charset val="134"/>
      </rPr>
      <t xml:space="preserve">  13</t>
    </r>
    <r>
      <rPr>
        <sz val="10"/>
        <color theme="1"/>
        <rFont val="宋体"/>
        <charset val="134"/>
      </rPr>
      <t>（</t>
    </r>
    <r>
      <rPr>
        <sz val="10"/>
        <color theme="1"/>
        <rFont val="Times New Roman"/>
        <charset val="134"/>
      </rPr>
      <t>+1</t>
    </r>
    <r>
      <rPr>
        <sz val="10"/>
        <color theme="1"/>
        <rFont val="宋体"/>
        <charset val="134"/>
      </rPr>
      <t>）</t>
    </r>
    <r>
      <rPr>
        <sz val="10"/>
        <color theme="1"/>
        <rFont val="Times New Roman"/>
        <charset val="134"/>
      </rPr>
      <t xml:space="preserve">  12</t>
    </r>
    <r>
      <rPr>
        <sz val="10"/>
        <color theme="1"/>
        <rFont val="宋体"/>
        <charset val="134"/>
      </rPr>
      <t>（</t>
    </r>
    <r>
      <rPr>
        <sz val="10"/>
        <color theme="1"/>
        <rFont val="Times New Roman"/>
        <charset val="134"/>
      </rPr>
      <t>+1</t>
    </r>
    <r>
      <rPr>
        <sz val="10"/>
        <color theme="1"/>
        <rFont val="宋体"/>
        <charset val="134"/>
      </rPr>
      <t>）</t>
    </r>
    <r>
      <rPr>
        <sz val="10"/>
        <color theme="1"/>
        <rFont val="Times New Roman"/>
        <charset val="134"/>
      </rPr>
      <t xml:space="preserve">  4</t>
    </r>
    <r>
      <rPr>
        <sz val="10"/>
        <color theme="1"/>
        <rFont val="宋体"/>
        <charset val="134"/>
      </rPr>
      <t>（</t>
    </r>
    <r>
      <rPr>
        <sz val="10"/>
        <color theme="1"/>
        <rFont val="Times New Roman"/>
        <charset val="134"/>
      </rPr>
      <t>-3</t>
    </r>
    <r>
      <rPr>
        <sz val="10"/>
        <color theme="1"/>
        <rFont val="宋体"/>
        <charset val="134"/>
      </rPr>
      <t>）</t>
    </r>
    <r>
      <rPr>
        <sz val="10"/>
        <color theme="1"/>
        <rFont val="Times New Roman"/>
        <charset val="134"/>
      </rPr>
      <t xml:space="preserve">  8</t>
    </r>
    <r>
      <rPr>
        <sz val="10"/>
        <color theme="1"/>
        <rFont val="宋体"/>
        <charset val="134"/>
      </rPr>
      <t>（</t>
    </r>
    <r>
      <rPr>
        <sz val="10"/>
        <color theme="1"/>
        <rFont val="Times New Roman"/>
        <charset val="134"/>
      </rPr>
      <t>-1</t>
    </r>
    <r>
      <rPr>
        <sz val="10"/>
        <color theme="1"/>
        <rFont val="宋体"/>
        <charset val="134"/>
      </rPr>
      <t>）</t>
    </r>
    <r>
      <rPr>
        <sz val="10"/>
        <color theme="1"/>
        <rFont val="Times New Roman"/>
        <charset val="134"/>
      </rPr>
      <t xml:space="preserve">  3</t>
    </r>
    <r>
      <rPr>
        <sz val="10"/>
        <color theme="1"/>
        <rFont val="宋体"/>
        <charset val="134"/>
      </rPr>
      <t>（</t>
    </r>
    <r>
      <rPr>
        <sz val="10"/>
        <color theme="1"/>
        <rFont val="Times New Roman"/>
        <charset val="134"/>
      </rPr>
      <t>-4</t>
    </r>
    <r>
      <rPr>
        <sz val="10"/>
        <color theme="1"/>
        <rFont val="宋体"/>
        <charset val="134"/>
      </rPr>
      <t>）</t>
    </r>
    <r>
      <rPr>
        <sz val="10"/>
        <color theme="1"/>
        <rFont val="Times New Roman"/>
        <charset val="134"/>
      </rPr>
      <t xml:space="preserve"> 
--------------------------------------------------------------------------------
</t>
    </r>
    <r>
      <rPr>
        <sz val="10"/>
        <color theme="1"/>
        <rFont val="宋体"/>
        <charset val="134"/>
      </rPr>
      <t>伤害易伤：火焰
伤害免疫：暗蚀、毒素
状态免疫：目盲、耳聋、中毒
感官：盲视</t>
    </r>
    <r>
      <rPr>
        <sz val="10"/>
        <color theme="1"/>
        <rFont val="Times New Roman"/>
        <charset val="134"/>
      </rPr>
      <t>60</t>
    </r>
    <r>
      <rPr>
        <sz val="10"/>
        <color theme="1"/>
        <rFont val="宋体"/>
        <charset val="134"/>
      </rPr>
      <t>尺（在此范围外目盲），被动察觉</t>
    </r>
    <r>
      <rPr>
        <sz val="10"/>
        <color theme="1"/>
        <rFont val="Times New Roman"/>
        <charset val="134"/>
      </rPr>
      <t xml:space="preserve">9
</t>
    </r>
    <r>
      <rPr>
        <sz val="10"/>
        <color theme="1"/>
        <rFont val="宋体"/>
        <charset val="134"/>
      </rPr>
      <t>语言：理解你说的语言
挑战等级：</t>
    </r>
    <r>
      <rPr>
        <sz val="10"/>
        <color theme="1"/>
        <rFont val="宋体"/>
        <charset val="134"/>
      </rPr>
      <t>——</t>
    </r>
    <r>
      <rPr>
        <sz val="10"/>
        <color theme="1"/>
        <rFont val="Times New Roman"/>
        <charset val="134"/>
      </rPr>
      <t xml:space="preserve"> 
</t>
    </r>
    <r>
      <rPr>
        <sz val="10"/>
        <color theme="1"/>
        <rFont val="宋体"/>
        <charset val="134"/>
      </rPr>
      <t>熟练加值（</t>
    </r>
    <r>
      <rPr>
        <sz val="10"/>
        <color theme="1"/>
        <rFont val="Times New Roman"/>
        <charset val="134"/>
      </rPr>
      <t>PB</t>
    </r>
    <r>
      <rPr>
        <sz val="10"/>
        <color theme="1"/>
        <rFont val="宋体"/>
        <charset val="134"/>
      </rPr>
      <t>）：等于你的熟练加值。</t>
    </r>
    <r>
      <rPr>
        <sz val="10"/>
        <color theme="1"/>
        <rFont val="Times New Roman"/>
        <charset val="134"/>
      </rPr>
      <t xml:space="preserve"> 
--------------------------------------------------------------------------------
</t>
    </r>
    <r>
      <rPr>
        <sz val="10"/>
        <color theme="1"/>
        <rFont val="宋体"/>
        <charset val="134"/>
      </rPr>
      <t>动作</t>
    </r>
    <r>
      <rPr>
        <sz val="10"/>
        <color theme="1"/>
        <rFont val="Times New Roman"/>
        <charset val="134"/>
      </rPr>
      <t xml:space="preserve">Actions
</t>
    </r>
    <r>
      <rPr>
        <sz val="10"/>
        <color theme="1"/>
        <rFont val="宋体"/>
        <charset val="134"/>
      </rPr>
      <t>多重攻击</t>
    </r>
    <r>
      <rPr>
        <sz val="10"/>
        <color theme="1"/>
        <rFont val="Times New Roman"/>
        <charset val="134"/>
      </rPr>
      <t>Multiattack</t>
    </r>
    <r>
      <rPr>
        <sz val="10"/>
        <color theme="1"/>
        <rFont val="宋体"/>
        <charset val="134"/>
      </rPr>
      <t>。当你在这一职业中达到了</t>
    </r>
    <r>
      <rPr>
        <sz val="10"/>
        <color theme="1"/>
        <rFont val="Times New Roman"/>
        <charset val="134"/>
      </rPr>
      <t>14</t>
    </r>
    <r>
      <rPr>
        <sz val="10"/>
        <color theme="1"/>
        <rFont val="宋体"/>
        <charset val="134"/>
      </rPr>
      <t>级后，枯萎幼苗能进行两次攻击。
爪击</t>
    </r>
    <r>
      <rPr>
        <sz val="10"/>
        <color theme="1"/>
        <rFont val="Times New Roman"/>
        <charset val="134"/>
      </rPr>
      <t>Claws</t>
    </r>
    <r>
      <rPr>
        <sz val="10"/>
        <color theme="1"/>
        <rFont val="宋体"/>
        <charset val="134"/>
      </rPr>
      <t>。近战武器攻击：你的法术攻击加值，触及</t>
    </r>
    <r>
      <rPr>
        <sz val="10"/>
        <color theme="1"/>
        <rFont val="Times New Roman"/>
        <charset val="134"/>
      </rPr>
      <t>5</t>
    </r>
    <r>
      <rPr>
        <sz val="10"/>
        <color theme="1"/>
        <rFont val="宋体"/>
        <charset val="134"/>
      </rPr>
      <t>尺，单一目标。命中：</t>
    </r>
    <r>
      <rPr>
        <sz val="10"/>
        <color theme="1"/>
        <rFont val="Times New Roman"/>
        <charset val="134"/>
      </rPr>
      <t>2d4+PB</t>
    </r>
    <r>
      <rPr>
        <sz val="10"/>
        <color theme="1"/>
        <rFont val="宋体"/>
        <charset val="134"/>
      </rPr>
      <t>点穿刺伤害。</t>
    </r>
  </si>
  <si>
    <r>
      <rPr>
        <sz val="10"/>
        <color theme="1"/>
        <rFont val="宋体"/>
        <charset val="134"/>
      </rPr>
      <t>你选择以下技能中的一个并获得其熟练：动物驯服，历史，洞察，表演和劝说。
或者，你学会一门你选择的语言。</t>
    </r>
  </si>
  <si>
    <t>“织法宗施法能力”表中列出了你用以施展你法师法术的1环及更高环阶法术位数量。施展这些法术时，你必须同时消耗一个不低于该法术环阶的法术位。而已消耗的法术位可以通过完成以此长休进行恢复。</t>
  </si>
  <si>
    <t>嗟，来饮！</t>
  </si>
  <si>
    <t>以一个魔法动作，你可以消耗一次引导神力使用次数，咒唤至多等于你魅力调整值个装满泡沫麦芽酒的杯子（至少一杯），酒杯在你30尺内的空间中显现。一名生物能够以附赠动作喝下酒，获得等于你魅力调整值的临时生命值，并且在1分钟内进行豁免时具有优势。当你完成长休时，酒杯和剩余的麦芽酒消失。</t>
  </si>
  <si>
    <t>视若羔羊</t>
  </si>
  <si>
    <t>每个你的回合内一次，当你以远程武器攻击命中一个上回合没有进行移动的生物时，这次攻击自动变为重击。</t>
  </si>
  <si>
    <t>藏叶于林</t>
  </si>
  <si>
    <t>即使你只被两个或以上的非敌对生物所遮蔽，你也可以尝试进行躲藏。这些生物必须位于彼此的5尺之内，且体型和你相同或更大。</t>
  </si>
  <si>
    <t>显现刻印</t>
  </si>
  <si>
    <r>
      <rPr>
        <sz val="10"/>
        <color theme="1"/>
        <rFont val="宋体"/>
        <charset val="134"/>
      </rPr>
      <t>你能揭露周围隐藏的符号和魔法。以一个动作，你消耗一枚蓄能符文来揭露你周围</t>
    </r>
    <r>
      <rPr>
        <sz val="10"/>
        <color theme="1"/>
        <rFont val="Times New Roman"/>
        <charset val="134"/>
      </rPr>
      <t>60</t>
    </r>
    <r>
      <rPr>
        <sz val="10"/>
        <color theme="1"/>
        <rFont val="宋体"/>
        <charset val="134"/>
      </rPr>
      <t>尺内隐藏或隐性的陷阱、伪装、符文、结界、探知器或刻文等。接下来的一分钟内，它们将散发出</t>
    </r>
    <r>
      <rPr>
        <sz val="10"/>
        <color theme="1"/>
        <rFont val="Times New Roman"/>
        <charset val="134"/>
      </rPr>
      <t>5</t>
    </r>
    <r>
      <rPr>
        <sz val="10"/>
        <color theme="1"/>
        <rFont val="宋体"/>
        <charset val="134"/>
      </rPr>
      <t>尺半径的微弱光芒。</t>
    </r>
    <r>
      <rPr>
        <sz val="10"/>
        <color theme="1"/>
        <rFont val="Times New Roman"/>
        <charset val="134"/>
      </rPr>
      <t xml:space="preserve">
</t>
    </r>
    <r>
      <rPr>
        <sz val="10"/>
        <color theme="1"/>
        <rFont val="宋体"/>
        <charset val="134"/>
      </rPr>
      <t>你在辨认以这种方式发现的任何魔法的智力（奥秘）检定中具有优势。如果被你揭露出来的这些图像它们以你不知晓的语言记载了什么内容，在它们发光期间你可以理解这些图像记载了什么内容，如同你知晓那门语言一般。</t>
    </r>
  </si>
  <si>
    <r>
      <rPr>
        <sz val="10"/>
        <color theme="1"/>
        <rFont val="宋体"/>
        <charset val="134"/>
      </rPr>
      <t>黑暗赐福</t>
    </r>
  </si>
  <si>
    <r>
      <rPr>
        <sz val="10"/>
        <color theme="1"/>
        <rFont val="宋体"/>
        <charset val="134"/>
      </rPr>
      <t>当你将一个敌人的生命值降至</t>
    </r>
    <r>
      <rPr>
        <sz val="10"/>
        <color theme="1"/>
        <rFont val="Times New Roman"/>
        <charset val="134"/>
      </rPr>
      <t>0</t>
    </r>
    <r>
      <rPr>
        <sz val="10"/>
        <color theme="1"/>
        <rFont val="宋体"/>
        <charset val="134"/>
      </rPr>
      <t>时，你获得等同于你的魅力调整值＋你的魔契师等级的临时生命值（最低为</t>
    </r>
    <r>
      <rPr>
        <sz val="10"/>
        <color theme="1"/>
        <rFont val="Times New Roman"/>
        <charset val="134"/>
      </rPr>
      <t>1</t>
    </r>
    <r>
      <rPr>
        <sz val="10"/>
        <color theme="1"/>
        <rFont val="宋体"/>
        <charset val="134"/>
      </rPr>
      <t>）。而若其它人将一个位于你</t>
    </r>
    <r>
      <rPr>
        <sz val="10"/>
        <color theme="1"/>
        <rFont val="Times New Roman"/>
        <charset val="134"/>
      </rPr>
      <t>10</t>
    </r>
    <r>
      <rPr>
        <sz val="10"/>
        <color theme="1"/>
        <rFont val="宋体"/>
        <charset val="134"/>
      </rPr>
      <t>尺内的你的敌人的生命值降至</t>
    </r>
    <r>
      <rPr>
        <sz val="10"/>
        <color theme="1"/>
        <rFont val="Times New Roman"/>
        <charset val="134"/>
      </rPr>
      <t>0</t>
    </r>
    <r>
      <rPr>
        <sz val="10"/>
        <color theme="1"/>
        <rFont val="宋体"/>
        <charset val="134"/>
      </rPr>
      <t>时，你也会获得此收益。</t>
    </r>
  </si>
  <si>
    <t>鲜血传导</t>
  </si>
  <si>
    <r>
      <rPr>
        <sz val="10"/>
        <color theme="1"/>
        <rFont val="微软雅黑"/>
        <charset val="134"/>
      </rPr>
      <t>当你选择此奥术传承时，你能够使用自己流出的生命精华来传导你的法术能力。当你的生命值低于最大值时，你能够以自己的身体作为奥术法器使用。</t>
    </r>
    <r>
      <rPr>
        <sz val="10"/>
        <color theme="1"/>
        <rFont val="Times New Roman"/>
        <charset val="134"/>
      </rPr>
      <t xml:space="preserve">
</t>
    </r>
    <r>
      <rPr>
        <sz val="10"/>
        <color theme="1"/>
        <rFont val="微软雅黑"/>
        <charset val="134"/>
      </rPr>
      <t>此外，当施展一个需要有价值耗材的法术时，你能通过其价值一定额度的暗蚀伤害来代替其成分。每代替</t>
    </r>
    <r>
      <rPr>
        <sz val="10"/>
        <color theme="1"/>
        <rFont val="Times New Roman"/>
        <charset val="134"/>
      </rPr>
      <t>50gp</t>
    </r>
    <r>
      <rPr>
        <sz val="10"/>
        <color theme="1"/>
        <rFont val="微软雅黑"/>
        <charset val="134"/>
      </rPr>
      <t>就需要受到</t>
    </r>
    <r>
      <rPr>
        <sz val="10"/>
        <color theme="1"/>
        <rFont val="Times New Roman"/>
        <charset val="134"/>
      </rPr>
      <t>1d10</t>
    </r>
    <r>
      <rPr>
        <sz val="10"/>
        <color theme="1"/>
        <rFont val="微软雅黑"/>
        <charset val="134"/>
      </rPr>
      <t>点无法被任何方式减免的暗蚀伤害（至少</t>
    </r>
    <r>
      <rPr>
        <sz val="10"/>
        <color theme="1"/>
        <rFont val="Times New Roman"/>
        <charset val="134"/>
      </rPr>
      <t>1d10</t>
    </r>
    <r>
      <rPr>
        <sz val="10"/>
        <color theme="1"/>
        <rFont val="微软雅黑"/>
        <charset val="134"/>
      </rPr>
      <t>）。如果这一伤害将你的生命值降为了</t>
    </r>
    <r>
      <rPr>
        <sz val="10"/>
        <color theme="1"/>
        <rFont val="Times New Roman"/>
        <charset val="134"/>
      </rPr>
      <t>0</t>
    </r>
    <r>
      <rPr>
        <sz val="10"/>
        <color theme="1"/>
        <rFont val="微软雅黑"/>
        <charset val="134"/>
      </rPr>
      <t>，法术会失败，但法术位不会被消耗。</t>
    </r>
  </si>
  <si>
    <r>
      <rPr>
        <sz val="10"/>
        <color theme="1"/>
        <rFont val="宋体"/>
        <charset val="134"/>
      </rPr>
      <t>你所选的鲜血秘法属性（智力或感知）是你施展渎魂法术的关键属性。同样，你渎魂法术的豁免</t>
    </r>
    <r>
      <rPr>
        <sz val="10"/>
        <color theme="1"/>
        <rFont val="Times New Roman"/>
        <charset val="134"/>
      </rPr>
      <t xml:space="preserve"> DC </t>
    </r>
    <r>
      <rPr>
        <sz val="10"/>
        <color theme="1"/>
        <rFont val="宋体"/>
        <charset val="134"/>
      </rPr>
      <t>和攻击检定，使用你的鲜血秘法属性调整值。</t>
    </r>
  </si>
  <si>
    <r>
      <rPr>
        <sz val="10"/>
        <color theme="1"/>
        <rFont val="宋体"/>
        <charset val="134"/>
      </rPr>
      <t>突变者法术</t>
    </r>
  </si>
  <si>
    <r>
      <rPr>
        <sz val="10"/>
        <color theme="1"/>
        <rFont val="宋体"/>
        <charset val="134"/>
      </rPr>
      <t>当你达到此职业特定等级时，你视为已经准备了特定的法术，如突变者法术表所示。这些法术计入你的药剂师法术，且不计入你的药剂师准备法术。
突变者等级</t>
    </r>
    <r>
      <rPr>
        <sz val="10"/>
        <color theme="1"/>
        <rFont val="Times New Roman"/>
        <charset val="134"/>
      </rPr>
      <t xml:space="preserve">   </t>
    </r>
    <r>
      <rPr>
        <sz val="10"/>
        <color theme="1"/>
        <rFont val="宋体"/>
        <charset val="134"/>
      </rPr>
      <t xml:space="preserve">法术
</t>
    </r>
    <r>
      <rPr>
        <sz val="10"/>
        <color theme="1"/>
        <rFont val="Times New Roman"/>
        <charset val="134"/>
      </rPr>
      <t>1</t>
    </r>
    <r>
      <rPr>
        <sz val="10"/>
        <color theme="1"/>
        <rFont val="宋体"/>
        <charset val="134"/>
      </rPr>
      <t>级</t>
    </r>
    <r>
      <rPr>
        <sz val="10"/>
        <color theme="1"/>
        <rFont val="Times New Roman"/>
        <charset val="134"/>
      </rPr>
      <t xml:space="preserve">   </t>
    </r>
    <r>
      <rPr>
        <sz val="10"/>
        <color theme="1"/>
        <rFont val="宋体"/>
        <charset val="134"/>
      </rPr>
      <t>跳跃术</t>
    </r>
    <r>
      <rPr>
        <sz val="10"/>
        <color theme="1"/>
        <rFont val="Times New Roman"/>
        <charset val="134"/>
      </rPr>
      <t xml:space="preserve"> Jump </t>
    </r>
    <r>
      <rPr>
        <sz val="10"/>
        <color theme="1"/>
        <rFont val="宋体"/>
        <charset val="134"/>
      </rPr>
      <t>毒素护盾</t>
    </r>
    <r>
      <rPr>
        <sz val="10"/>
        <color theme="1"/>
        <rFont val="Times New Roman"/>
        <charset val="134"/>
      </rPr>
      <t>Toxic Shield*
3</t>
    </r>
    <r>
      <rPr>
        <sz val="10"/>
        <color theme="1"/>
        <rFont val="宋体"/>
        <charset val="134"/>
      </rPr>
      <t>级</t>
    </r>
    <r>
      <rPr>
        <sz val="10"/>
        <color theme="1"/>
        <rFont val="Times New Roman"/>
        <charset val="134"/>
      </rPr>
      <t xml:space="preserve">   </t>
    </r>
    <r>
      <rPr>
        <sz val="10"/>
        <color theme="1"/>
        <rFont val="宋体"/>
        <charset val="134"/>
      </rPr>
      <t>变身术</t>
    </r>
    <r>
      <rPr>
        <sz val="10"/>
        <color theme="1"/>
        <rFont val="Times New Roman"/>
        <charset val="134"/>
      </rPr>
      <t xml:space="preserve"> Alter Self </t>
    </r>
    <r>
      <rPr>
        <sz val="10"/>
        <color theme="1"/>
        <rFont val="宋体"/>
        <charset val="134"/>
      </rPr>
      <t>强化属性</t>
    </r>
    <r>
      <rPr>
        <sz val="10"/>
        <color theme="1"/>
        <rFont val="Times New Roman"/>
        <charset val="134"/>
      </rPr>
      <t xml:space="preserve"> Enhance Ability
5</t>
    </r>
    <r>
      <rPr>
        <sz val="10"/>
        <color theme="1"/>
        <rFont val="宋体"/>
        <charset val="134"/>
      </rPr>
      <t>级</t>
    </r>
    <r>
      <rPr>
        <sz val="10"/>
        <color theme="1"/>
        <rFont val="Times New Roman"/>
        <charset val="134"/>
      </rPr>
      <t xml:space="preserve">   </t>
    </r>
    <r>
      <rPr>
        <sz val="10"/>
        <color theme="1"/>
        <rFont val="宋体"/>
        <charset val="134"/>
      </rPr>
      <t>加速术</t>
    </r>
    <r>
      <rPr>
        <sz val="10"/>
        <color theme="1"/>
        <rFont val="Times New Roman"/>
        <charset val="134"/>
      </rPr>
      <t xml:space="preserve"> Haste </t>
    </r>
    <r>
      <rPr>
        <sz val="10"/>
        <color theme="1"/>
        <rFont val="宋体"/>
        <charset val="134"/>
      </rPr>
      <t>水下呼吸</t>
    </r>
    <r>
      <rPr>
        <sz val="10"/>
        <color theme="1"/>
        <rFont val="Times New Roman"/>
        <charset val="134"/>
      </rPr>
      <t xml:space="preserve"> Water Breathing
7</t>
    </r>
    <r>
      <rPr>
        <sz val="10"/>
        <color theme="1"/>
        <rFont val="宋体"/>
        <charset val="134"/>
      </rPr>
      <t>级</t>
    </r>
    <r>
      <rPr>
        <sz val="10"/>
        <color theme="1"/>
        <rFont val="Times New Roman"/>
        <charset val="134"/>
      </rPr>
      <t xml:space="preserve">   </t>
    </r>
    <r>
      <rPr>
        <sz val="10"/>
        <color theme="1"/>
        <rFont val="宋体"/>
        <charset val="134"/>
      </rPr>
      <t>变形术</t>
    </r>
    <r>
      <rPr>
        <sz val="10"/>
        <color theme="1"/>
        <rFont val="Times New Roman"/>
        <charset val="134"/>
      </rPr>
      <t xml:space="preserve"> Polymorph </t>
    </r>
    <r>
      <rPr>
        <sz val="10"/>
        <color theme="1"/>
        <rFont val="宋体"/>
        <charset val="134"/>
      </rPr>
      <t>石肤术</t>
    </r>
    <r>
      <rPr>
        <sz val="10"/>
        <color theme="1"/>
        <rFont val="Times New Roman"/>
        <charset val="134"/>
      </rPr>
      <t xml:space="preserve"> Stoneskin
9</t>
    </r>
    <r>
      <rPr>
        <sz val="10"/>
        <color theme="1"/>
        <rFont val="宋体"/>
        <charset val="134"/>
      </rPr>
      <t>级</t>
    </r>
    <r>
      <rPr>
        <sz val="10"/>
        <color theme="1"/>
        <rFont val="Times New Roman"/>
        <charset val="134"/>
      </rPr>
      <t xml:space="preserve">   </t>
    </r>
    <r>
      <rPr>
        <sz val="10"/>
        <color theme="1"/>
        <rFont val="宋体"/>
        <charset val="134"/>
      </rPr>
      <t>转生术</t>
    </r>
    <r>
      <rPr>
        <sz val="10"/>
        <color theme="1"/>
        <rFont val="Times New Roman"/>
        <charset val="134"/>
      </rPr>
      <t xml:space="preserve"> Reincarnate </t>
    </r>
    <r>
      <rPr>
        <sz val="10"/>
        <color theme="1"/>
        <rFont val="宋体"/>
        <charset val="134"/>
      </rPr>
      <t>脓毒休克</t>
    </r>
    <r>
      <rPr>
        <sz val="10"/>
        <color theme="1"/>
        <rFont val="Times New Roman"/>
        <charset val="134"/>
      </rPr>
      <t>Septic Shock*</t>
    </r>
  </si>
  <si>
    <t>赤血杀法</t>
  </si>
  <si>
    <t>保护盟友的魔法现在也会削弱敌人的力量。当一名具有你赤血流转赋予的临时生命值的盟友被近战攻击命中时，攻击者将受到寒冷、火焰或暗蚀伤害（由你选择），伤害等于你的邪狱使等级。</t>
  </si>
  <si>
    <t>指挥官</t>
  </si>
  <si>
    <t>与雾同行</t>
  </si>
  <si>
    <t>你可以对自己施放气化形体gaseous form法术。该特性的使用次数等于你的熟练加值。你在一次长休后重新获得已消耗的使用次数。</t>
  </si>
  <si>
    <t>海胆面</t>
  </si>
  <si>
    <t>当戴着此面具时，你可以使用一个附赠动作并消耗一次诗人激励，投掷一颗诗人激励骰，治疗自己等同于骰值加上你吟游诗人等级一半（向上取整）的生命值。
此外，你可以使用一个动作尝试使30尺内你能看见的一个生物静止，向其注入魔法毒素。目标必须通过一次体质豁免，否则被束缚1分钟。在其每个回合结束时，目标可以重复该豁免，豁免成功则效果终止。你可以使用该能力的次数等同于你的熟练加值，且当你完成一次长休后恢复所有已消耗的使用次数。</t>
  </si>
  <si>
    <t>暗夜斗篷</t>
  </si>
  <si>
    <t>你可以使用引导神力来召唤守护暗影。
以一个动作，你召唤魔法暗影形成的帷幕，持续1分钟。当你这样做时，选择你能看到的距离你60尺以内的一个生物被暗夜斗篷所笼罩（可以是你自己）。在斗篷持续期间，该生物在微光光照或黑暗中拥有对所有伤害的抗性。
此外，当你展开暗夜斗篷时，你周围60尺内的所有非魔法光源都会熄灭。由等级等于或低于你的熟练加值的法术产生的魔法光源则会被驱散。</t>
  </si>
  <si>
    <t>污秽召唤</t>
  </si>
  <si>
    <r>
      <rPr>
        <sz val="10"/>
        <color theme="1"/>
        <rFont val="宋体"/>
        <charset val="134"/>
      </rPr>
      <t>你召唤的生物变得畸形，并充满了毒素。任何由你的法术或职业特性创造或召唤的野兽、妖精、或植物生物都获得以下特质：
枯朽抗性</t>
    </r>
    <r>
      <rPr>
        <sz val="10"/>
        <color theme="1"/>
        <rFont val="Times New Roman"/>
        <charset val="134"/>
      </rPr>
      <t>Blighted Resliance</t>
    </r>
    <r>
      <rPr>
        <sz val="10"/>
        <color theme="1"/>
        <rFont val="宋体"/>
        <charset val="134"/>
      </rPr>
      <t>。</t>
    </r>
    <r>
      <rPr>
        <sz val="10"/>
        <color theme="1"/>
        <rFont val="Times New Roman"/>
        <charset val="134"/>
      </rPr>
      <t xml:space="preserve"> </t>
    </r>
    <r>
      <rPr>
        <sz val="10"/>
        <color theme="1"/>
        <rFont val="宋体"/>
        <charset val="134"/>
      </rPr>
      <t>该生物免疫暗蚀伤害、毒素伤害、与中毒状态。
临终遗毒</t>
    </r>
    <r>
      <rPr>
        <sz val="10"/>
        <color theme="1"/>
        <rFont val="Times New Roman"/>
        <charset val="134"/>
      </rPr>
      <t>Toxic Demise</t>
    </r>
    <r>
      <rPr>
        <sz val="10"/>
        <color theme="1"/>
        <rFont val="宋体"/>
        <charset val="134"/>
      </rPr>
      <t>。</t>
    </r>
    <r>
      <rPr>
        <sz val="10"/>
        <color theme="1"/>
        <rFont val="Times New Roman"/>
        <charset val="134"/>
      </rPr>
      <t xml:space="preserve"> </t>
    </r>
    <r>
      <rPr>
        <sz val="10"/>
        <color theme="1"/>
        <rFont val="宋体"/>
        <charset val="134"/>
      </rPr>
      <t>当该生物的生命值降低至</t>
    </r>
    <r>
      <rPr>
        <sz val="10"/>
        <color theme="1"/>
        <rFont val="Times New Roman"/>
        <charset val="134"/>
      </rPr>
      <t>0</t>
    </r>
    <r>
      <rPr>
        <sz val="10"/>
        <color theme="1"/>
        <rFont val="宋体"/>
        <charset val="134"/>
      </rPr>
      <t>时，它会爆作一团剧毒的残渣或恶臭的脏器。每个处于爆炸生物周围</t>
    </r>
    <r>
      <rPr>
        <sz val="10"/>
        <color theme="1"/>
        <rFont val="Times New Roman"/>
        <charset val="134"/>
      </rPr>
      <t>5</t>
    </r>
    <r>
      <rPr>
        <sz val="10"/>
        <color theme="1"/>
        <rFont val="宋体"/>
        <charset val="134"/>
      </rPr>
      <t>尺范围内的生物都必须通过一次对抗你的法术豁免</t>
    </r>
    <r>
      <rPr>
        <sz val="10"/>
        <color theme="1"/>
        <rFont val="Times New Roman"/>
        <charset val="134"/>
      </rPr>
      <t>DC</t>
    </r>
    <r>
      <rPr>
        <sz val="10"/>
        <color theme="1"/>
        <rFont val="宋体"/>
        <charset val="134"/>
      </rPr>
      <t>的体质豁免。豁免失败时将受到基于爆炸生物挑战等级的暗蚀伤害（见下表）。你也可以以一个动作，立刻杀死一个召唤的生物并使它爆发四散。
临终遗毒伤害生物挑战等级</t>
    </r>
    <r>
      <rPr>
        <sz val="10"/>
        <color theme="1"/>
        <rFont val="Times New Roman"/>
        <charset val="134"/>
      </rPr>
      <t xml:space="preserve">  </t>
    </r>
    <r>
      <rPr>
        <sz val="10"/>
        <color theme="1"/>
        <rFont val="宋体"/>
        <charset val="134"/>
      </rPr>
      <t>伤害</t>
    </r>
    <r>
      <rPr>
        <sz val="10"/>
        <color theme="1"/>
        <rFont val="Times New Roman"/>
        <charset val="134"/>
      </rPr>
      <t xml:space="preserve">  
1/4</t>
    </r>
    <r>
      <rPr>
        <sz val="10"/>
        <color theme="1"/>
        <rFont val="宋体"/>
        <charset val="134"/>
      </rPr>
      <t>或更低</t>
    </r>
    <r>
      <rPr>
        <sz val="10"/>
        <color theme="1"/>
        <rFont val="Times New Roman"/>
        <charset val="134"/>
      </rPr>
      <t xml:space="preserve"> 1d4</t>
    </r>
    <r>
      <rPr>
        <sz val="10"/>
        <color theme="1"/>
        <rFont val="宋体"/>
        <charset val="134"/>
      </rPr>
      <t>暗蚀伤害</t>
    </r>
    <r>
      <rPr>
        <sz val="10"/>
        <color theme="1"/>
        <rFont val="Times New Roman"/>
        <charset val="134"/>
      </rPr>
      <t xml:space="preserve"> 
1/2 1d6</t>
    </r>
    <r>
      <rPr>
        <sz val="10"/>
        <color theme="1"/>
        <rFont val="宋体"/>
        <charset val="134"/>
      </rPr>
      <t>暗蚀伤害</t>
    </r>
    <r>
      <rPr>
        <sz val="10"/>
        <color theme="1"/>
        <rFont val="Times New Roman"/>
        <charset val="134"/>
      </rPr>
      <t xml:space="preserve"> 
1</t>
    </r>
    <r>
      <rPr>
        <sz val="10"/>
        <color theme="1"/>
        <rFont val="宋体"/>
        <charset val="134"/>
      </rPr>
      <t>或更高</t>
    </r>
    <r>
      <rPr>
        <sz val="10"/>
        <color theme="1"/>
        <rFont val="Times New Roman"/>
        <charset val="134"/>
      </rPr>
      <t xml:space="preserve"> </t>
    </r>
    <r>
      <rPr>
        <sz val="10"/>
        <color theme="1"/>
        <rFont val="宋体"/>
        <charset val="134"/>
      </rPr>
      <t>等同于爆炸生物挑战等级枚</t>
    </r>
    <r>
      <rPr>
        <sz val="10"/>
        <color theme="1"/>
        <rFont val="Times New Roman"/>
        <charset val="134"/>
      </rPr>
      <t>d8</t>
    </r>
    <r>
      <rPr>
        <sz val="10"/>
        <color theme="1"/>
        <rFont val="宋体"/>
        <charset val="134"/>
      </rPr>
      <t>的暗蚀伤害</t>
    </r>
    <r>
      <rPr>
        <sz val="10"/>
        <color theme="1"/>
        <rFont val="Times New Roman"/>
        <charset val="134"/>
      </rPr>
      <t xml:space="preserve"> 
</t>
    </r>
    <r>
      <rPr>
        <sz val="10"/>
        <color theme="1"/>
        <rFont val="宋体"/>
        <charset val="134"/>
      </rPr>
      <t>没有挑战等级</t>
    </r>
    <r>
      <rPr>
        <sz val="10"/>
        <color theme="1"/>
        <rFont val="Times New Roman"/>
        <charset val="134"/>
      </rPr>
      <t xml:space="preserve"> </t>
    </r>
    <r>
      <rPr>
        <sz val="10"/>
        <color theme="1"/>
        <rFont val="宋体"/>
        <charset val="134"/>
      </rPr>
      <t>等同于你熟练加值枚</t>
    </r>
    <r>
      <rPr>
        <sz val="10"/>
        <color theme="1"/>
        <rFont val="Times New Roman"/>
        <charset val="134"/>
      </rPr>
      <t>d6</t>
    </r>
    <r>
      <rPr>
        <sz val="10"/>
        <color theme="1"/>
        <rFont val="宋体"/>
        <charset val="134"/>
      </rPr>
      <t>的暗蚀伤害</t>
    </r>
    <r>
      <rPr>
        <sz val="10"/>
        <color theme="1"/>
        <rFont val="Times New Roman"/>
        <charset val="134"/>
      </rPr>
      <t xml:space="preserve"> </t>
    </r>
  </si>
  <si>
    <r>
      <rPr>
        <sz val="10"/>
        <color theme="1"/>
        <rFont val="宋体"/>
        <charset val="134"/>
      </rPr>
      <t>生而为骑</t>
    </r>
  </si>
  <si>
    <r>
      <rPr>
        <sz val="10"/>
        <color theme="1"/>
        <rFont val="宋体"/>
        <charset val="134"/>
      </rPr>
      <t>你作为骑兵的资质是显而易见的。
在进行避免从你坐骑上摔下的豁免检定中，你获得优势。
若你从你的坐骑上摔落且摔落不超过</t>
    </r>
    <r>
      <rPr>
        <sz val="10"/>
        <color theme="1"/>
        <rFont val="Times New Roman"/>
        <charset val="134"/>
      </rPr>
      <t>10</t>
    </r>
    <r>
      <rPr>
        <sz val="10"/>
        <color theme="1"/>
        <rFont val="宋体"/>
        <charset val="134"/>
      </rPr>
      <t>尺，你能够双脚着陆如果你没有失能。
最后，骑上或离开一个角色只需要你</t>
    </r>
    <r>
      <rPr>
        <sz val="10"/>
        <color theme="1"/>
        <rFont val="Times New Roman"/>
        <charset val="134"/>
      </rPr>
      <t>5</t>
    </r>
    <r>
      <rPr>
        <sz val="10"/>
        <color theme="1"/>
        <rFont val="宋体"/>
        <charset val="134"/>
      </rPr>
      <t>尺的移动力，而非你速度的一半。</t>
    </r>
  </si>
  <si>
    <t>你习得三个自选的1环法师法术。
表格“织法宗施法能力”中“已知法术”一栏记录了你获得更多已知法术时的相应等级。例如，如果你在本职业达到第7级，则可以学习一个新的1环法术或2环法术。</t>
  </si>
  <si>
    <t>情谊灵光</t>
  </si>
  <si>
    <t>你和位于你守护灵光内的盟友以近战武器或徒手打击攻击时额外造成1d4的伤害。</t>
  </si>
  <si>
    <t>第一性状</t>
  </si>
  <si>
    <t>你内在的侵蚀开始在战斗中显现其力量。
每当你受到伤害，你还会获得一个诅咒标记；如果你承受了来自一次重击的伤害，则你获得两个诅咒标记。直至下个你自己的回合结束前，这些标记会持续生效，且你一次至多可以积攒2个诅咒标记。当你以一次武器攻击命中一个生物时，你持有的所有诅咒标记将立刻被消耗，每消耗一个标记就会额外对目标造成1d4的暗蚀伤害。
或者，你可以以一个附赠动作唤起侵蚀的力量，并立刻获得你能获取的最大数量的侵蚀标记。当你使用此能力时，你不能获得超出你最大可持有诅咒标记数量的标记。
你一次能够积攒的诅咒标记数会随着你达到特定等级而提升：5级时3个，11级时4个，17级时5个。</t>
  </si>
  <si>
    <t>蹑足鼠窜</t>
  </si>
  <si>
    <t>当你在自己的回合内执行疾走dash或撤离disengage动作时，你可以移动穿过另一个生物所在的空间，包括敌对生物，而不受惩罚。
当你这么做时，你对本回合内自己穿过空间上的任何生物的攻击具有优势。</t>
  </si>
  <si>
    <t>符文涌流</t>
  </si>
  <si>
    <r>
      <rPr>
        <sz val="10"/>
        <color theme="1"/>
        <rFont val="宋体"/>
        <charset val="134"/>
      </rPr>
      <t>你能传输符文的能量来击破敌人牢不可破的防御。当你施展一个法术时，你可以消耗两枚蓄能符文来令法术造成力场伤害，而非其原本的伤害类型。此外，所有被选为该法术目标的生物以及身处法术区域效应内的生物都必须成功通过</t>
    </r>
    <r>
      <rPr>
        <sz val="10"/>
        <color theme="1"/>
        <rFont val="Times New Roman"/>
        <charset val="134"/>
      </rPr>
      <t>DC</t>
    </r>
    <r>
      <rPr>
        <sz val="10"/>
        <color theme="1"/>
        <rFont val="宋体"/>
        <charset val="134"/>
      </rPr>
      <t>等同于你法术豁免</t>
    </r>
    <r>
      <rPr>
        <sz val="10"/>
        <color theme="1"/>
        <rFont val="Times New Roman"/>
        <charset val="134"/>
      </rPr>
      <t>DC</t>
    </r>
    <r>
      <rPr>
        <sz val="10"/>
        <color theme="1"/>
        <rFont val="宋体"/>
        <charset val="134"/>
      </rPr>
      <t>的力量豁免，否则将应击</t>
    </r>
    <r>
      <rPr>
        <sz val="10"/>
        <color theme="1"/>
        <rFont val="Times New Roman"/>
        <charset val="134"/>
      </rPr>
      <t xml:space="preserve"> </t>
    </r>
    <r>
      <rPr>
        <sz val="10"/>
        <color theme="1"/>
        <rFont val="宋体"/>
        <charset val="134"/>
      </rPr>
      <t>倒地</t>
    </r>
    <r>
      <rPr>
        <sz val="10"/>
        <color theme="1"/>
        <rFont val="Times New Roman"/>
        <charset val="134"/>
      </rPr>
      <t xml:space="preserve">Prone </t>
    </r>
    <r>
      <rPr>
        <sz val="10"/>
        <color theme="1"/>
        <rFont val="宋体"/>
        <charset val="134"/>
      </rPr>
      <t>或被推离法术源点最多</t>
    </r>
    <r>
      <rPr>
        <sz val="10"/>
        <color theme="1"/>
        <rFont val="Times New Roman"/>
        <charset val="134"/>
      </rPr>
      <t>15</t>
    </r>
    <r>
      <rPr>
        <sz val="10"/>
        <color theme="1"/>
        <rFont val="宋体"/>
        <charset val="134"/>
      </rPr>
      <t>尺（由你选择）。</t>
    </r>
    <r>
      <rPr>
        <sz val="10"/>
        <color theme="1"/>
        <rFont val="Times New Roman"/>
        <charset val="134"/>
      </rPr>
      <t xml:space="preserve">
</t>
    </r>
    <r>
      <rPr>
        <sz val="10"/>
        <color theme="1"/>
        <rFont val="宋体"/>
        <charset val="134"/>
      </rPr>
      <t>一旦你使用了此特性，直到你完成一次短休或长休前你都无法再次使用它。</t>
    </r>
  </si>
  <si>
    <r>
      <rPr>
        <sz val="10"/>
        <color theme="1"/>
        <rFont val="宋体"/>
        <charset val="134"/>
      </rPr>
      <t>黑暗强运</t>
    </r>
  </si>
  <si>
    <r>
      <rPr>
        <sz val="10"/>
        <color theme="1"/>
        <rFont val="宋体"/>
        <charset val="134"/>
      </rPr>
      <t>你可以呼唤你的宗主将命运改写为对你有利的方向。当你进行属性检定或豁免检定时，你可以使用该特性为此次掷骰增添一个</t>
    </r>
    <r>
      <rPr>
        <sz val="10"/>
        <color theme="1"/>
        <rFont val="Times New Roman"/>
        <charset val="134"/>
      </rPr>
      <t>d10</t>
    </r>
    <r>
      <rPr>
        <sz val="10"/>
        <color theme="1"/>
        <rFont val="宋体"/>
        <charset val="134"/>
      </rPr>
      <t>骰。你可在看到掷骰结果后，其结果生效前使用该特性。
你可以使用此特性的次数等于你的魅力调整值（至少一次），但你在一次检定中只能使用此特性一次。你在完成一次长休后恢复所有已消耗的次数。</t>
    </r>
  </si>
  <si>
    <t>绯红爆发</t>
  </si>
  <si>
    <r>
      <rPr>
        <sz val="10"/>
        <color theme="1"/>
        <rFont val="微软雅黑"/>
        <charset val="134"/>
      </rPr>
      <t>你学会如何将自己的生命精华编织进你施展的法术中，以生命力为代价增强那些法术的力量。当你为你施展的</t>
    </r>
    <r>
      <rPr>
        <sz val="10"/>
        <color theme="1"/>
        <rFont val="Times New Roman"/>
        <charset val="134"/>
      </rPr>
      <t>1</t>
    </r>
    <r>
      <rPr>
        <sz val="10"/>
        <color theme="1"/>
        <rFont val="微软雅黑"/>
        <charset val="134"/>
      </rPr>
      <t>环或更高环阶的法术投掷伤害时，你能够选择受到等同于该法术环阶点的暗蚀伤害，以此重投至多等同于你智力调整值（最低为</t>
    </r>
    <r>
      <rPr>
        <sz val="10"/>
        <color theme="1"/>
        <rFont val="Times New Roman"/>
        <charset val="134"/>
      </rPr>
      <t>1</t>
    </r>
    <r>
      <rPr>
        <sz val="10"/>
        <color theme="1"/>
        <rFont val="微软雅黑"/>
        <charset val="134"/>
      </rPr>
      <t>）枚伤害骰。这一伤害无法被任何方式减少，且你必须采用新的结果。</t>
    </r>
  </si>
  <si>
    <r>
      <rPr>
        <sz val="10"/>
        <color theme="1"/>
        <rFont val="宋体"/>
        <charset val="134"/>
      </rPr>
      <t>血仪法器</t>
    </r>
  </si>
  <si>
    <r>
      <rPr>
        <sz val="10"/>
        <color theme="1"/>
        <rFont val="宋体"/>
        <charset val="134"/>
      </rPr>
      <t>你的武器成为你以契约联系你所选宗主的传导。当你有正在激活的猩红仪式，你可以将你的武器作为魔契师法术的法器，且你根据选择的契约得到以下增益。
至高妖精</t>
    </r>
    <r>
      <rPr>
        <sz val="10"/>
        <color theme="1"/>
        <rFont val="Times New Roman"/>
        <charset val="134"/>
      </rPr>
      <t>The Archfey</t>
    </r>
    <r>
      <rPr>
        <sz val="10"/>
        <color theme="1"/>
        <rFont val="宋体"/>
        <charset val="134"/>
      </rPr>
      <t>。当你对一个生物造成血仪伤害，他将闪烁微光，直至你下回合结束。在此期间，其无法从半遮蔽或四分之三遮蔽中得到好处，也不能隐形。
天界</t>
    </r>
    <r>
      <rPr>
        <sz val="10"/>
        <color theme="1"/>
        <rFont val="Times New Roman"/>
        <charset val="134"/>
      </rPr>
      <t>The Celestial</t>
    </r>
    <r>
      <rPr>
        <sz val="10"/>
        <color theme="1"/>
        <rFont val="宋体"/>
        <charset val="134"/>
      </rPr>
      <t>。以一个附赠动作，你可以消耗一次鲜血降咒次数，以治疗一个</t>
    </r>
    <r>
      <rPr>
        <sz val="10"/>
        <color theme="1"/>
        <rFont val="Times New Roman"/>
        <charset val="134"/>
      </rPr>
      <t xml:space="preserve"> 60 </t>
    </r>
    <r>
      <rPr>
        <sz val="10"/>
        <color theme="1"/>
        <rFont val="宋体"/>
        <charset val="134"/>
      </rPr>
      <t>尺内你能看见的生物，为其恢复一个鲜血秘法骰</t>
    </r>
    <r>
      <rPr>
        <sz val="10"/>
        <color theme="1"/>
        <rFont val="Times New Roman"/>
        <charset val="134"/>
      </rPr>
      <t>+</t>
    </r>
    <r>
      <rPr>
        <sz val="10"/>
        <color theme="1"/>
        <rFont val="宋体"/>
        <charset val="134"/>
      </rPr>
      <t>你的鲜血秘法调整值（至少为</t>
    </r>
    <r>
      <rPr>
        <sz val="10"/>
        <color theme="1"/>
        <rFont val="Times New Roman"/>
        <charset val="134"/>
      </rPr>
      <t xml:space="preserve"> 1</t>
    </r>
    <r>
      <rPr>
        <sz val="10"/>
        <color theme="1"/>
        <rFont val="宋体"/>
        <charset val="134"/>
      </rPr>
      <t>）的生命值。
深海意志</t>
    </r>
    <r>
      <rPr>
        <sz val="10"/>
        <color theme="1"/>
        <rFont val="Times New Roman"/>
        <charset val="134"/>
      </rPr>
      <t>The Fathomless</t>
    </r>
    <r>
      <rPr>
        <sz val="10"/>
        <color theme="1"/>
        <rFont val="宋体"/>
        <charset val="134"/>
      </rPr>
      <t>。你可以在水下呼吸。此外，每回合一次，当你用激活猩红仪式的武器伤害一个生物时，你可以在你下一回合开始前将该生物的速度减少</t>
    </r>
    <r>
      <rPr>
        <sz val="10"/>
        <color theme="1"/>
        <rFont val="Times New Roman"/>
        <charset val="134"/>
      </rPr>
      <t xml:space="preserve"> 10 </t>
    </r>
    <r>
      <rPr>
        <sz val="10"/>
        <color theme="1"/>
        <rFont val="宋体"/>
        <charset val="134"/>
      </rPr>
      <t>尺。
邪魔</t>
    </r>
    <r>
      <rPr>
        <sz val="10"/>
        <color theme="1"/>
        <rFont val="Times New Roman"/>
        <charset val="134"/>
      </rPr>
      <t>The Fiend</t>
    </r>
    <r>
      <rPr>
        <sz val="10"/>
        <color theme="1"/>
        <rFont val="宋体"/>
        <charset val="134"/>
      </rPr>
      <t>。当你以烈焰血仪命中一个生物，且在鲜血秘法骰中掷出</t>
    </r>
    <r>
      <rPr>
        <sz val="10"/>
        <color theme="1"/>
        <rFont val="Times New Roman"/>
        <charset val="134"/>
      </rPr>
      <t xml:space="preserve"> 1 </t>
    </r>
    <r>
      <rPr>
        <sz val="10"/>
        <color theme="1"/>
        <rFont val="宋体"/>
        <charset val="134"/>
      </rPr>
      <t>或</t>
    </r>
    <r>
      <rPr>
        <sz val="10"/>
        <color theme="1"/>
        <rFont val="Times New Roman"/>
        <charset val="134"/>
      </rPr>
      <t xml:space="preserve"> 2 </t>
    </r>
    <r>
      <rPr>
        <sz val="10"/>
        <color theme="1"/>
        <rFont val="宋体"/>
        <charset val="134"/>
      </rPr>
      <t>时，你可以重投，并选择要使用哪个结果。
巨灵</t>
    </r>
    <r>
      <rPr>
        <sz val="10"/>
        <color theme="1"/>
        <rFont val="Times New Roman"/>
        <charset val="134"/>
      </rPr>
      <t>The Genie</t>
    </r>
    <r>
      <rPr>
        <sz val="10"/>
        <color theme="1"/>
        <rFont val="宋体"/>
        <charset val="134"/>
      </rPr>
      <t>。以一个附赠动作发动，你花费</t>
    </r>
    <r>
      <rPr>
        <sz val="10"/>
        <color theme="1"/>
        <rFont val="Times New Roman"/>
        <charset val="134"/>
      </rPr>
      <t xml:space="preserve"> 1 </t>
    </r>
    <r>
      <rPr>
        <sz val="10"/>
        <color theme="1"/>
        <rFont val="宋体"/>
        <charset val="134"/>
      </rPr>
      <t>次你的鲜血降咒次数，获得</t>
    </r>
    <r>
      <rPr>
        <sz val="10"/>
        <color theme="1"/>
        <rFont val="Times New Roman"/>
        <charset val="134"/>
      </rPr>
      <t xml:space="preserve"> 30 </t>
    </r>
    <r>
      <rPr>
        <sz val="10"/>
        <color theme="1"/>
        <rFont val="宋体"/>
        <charset val="134"/>
      </rPr>
      <t>尺飞行速度，持续时间等于你的鲜血秘法调整值轮数（最少</t>
    </r>
    <r>
      <rPr>
        <sz val="10"/>
        <color theme="1"/>
        <rFont val="Times New Roman"/>
        <charset val="134"/>
      </rPr>
      <t xml:space="preserve"> 1 </t>
    </r>
    <r>
      <rPr>
        <sz val="10"/>
        <color theme="1"/>
        <rFont val="宋体"/>
        <charset val="134"/>
      </rPr>
      <t>轮）。
旧日支配者</t>
    </r>
    <r>
      <rPr>
        <sz val="10"/>
        <color theme="1"/>
        <rFont val="Times New Roman"/>
        <charset val="134"/>
      </rPr>
      <t>The Great Old One</t>
    </r>
    <r>
      <rPr>
        <sz val="10"/>
        <color theme="1"/>
        <rFont val="宋体"/>
        <charset val="134"/>
      </rPr>
      <t>。当你以该武器对一个生物造成重击，该生物及其</t>
    </r>
    <r>
      <rPr>
        <sz val="10"/>
        <color theme="1"/>
        <rFont val="Times New Roman"/>
        <charset val="134"/>
      </rPr>
      <t xml:space="preserve"> 10 </t>
    </r>
    <r>
      <rPr>
        <sz val="10"/>
        <color theme="1"/>
        <rFont val="宋体"/>
        <charset val="134"/>
      </rPr>
      <t>尺内其他你选择的生物恐惧于你，直至你下回合结束。
咒剑</t>
    </r>
    <r>
      <rPr>
        <sz val="10"/>
        <color theme="1"/>
        <rFont val="Times New Roman"/>
        <charset val="134"/>
      </rPr>
      <t>The Hexblade</t>
    </r>
    <r>
      <rPr>
        <sz val="10"/>
        <color theme="1"/>
        <rFont val="宋体"/>
        <charset val="134"/>
      </rPr>
      <t>。当你以血咒成功指定一个生物为目标，你对被诅咒生物下次攻击造成伤害时，只要还在血咒影响期间，则加上你的熟练加值。
死灵</t>
    </r>
    <r>
      <rPr>
        <sz val="10"/>
        <color theme="1"/>
        <rFont val="Times New Roman"/>
        <charset val="134"/>
      </rPr>
      <t>The Undead</t>
    </r>
    <r>
      <rPr>
        <sz val="10"/>
        <color theme="1"/>
        <rFont val="宋体"/>
        <charset val="134"/>
      </rPr>
      <t>。当你受到暗蚀伤害时，你可以使用反应将伤害减半。此外，当你有任何猩红仪式激活时，你的外表发生变化，反映宗主的某些方面。
不朽者</t>
    </r>
    <r>
      <rPr>
        <sz val="10"/>
        <color theme="1"/>
        <rFont val="Times New Roman"/>
        <charset val="134"/>
      </rPr>
      <t>The Undying</t>
    </r>
    <r>
      <rPr>
        <sz val="10"/>
        <color theme="1"/>
        <rFont val="宋体"/>
        <charset val="134"/>
      </rPr>
      <t>。当你使用武器将一个有一定威胁的敌对生物</t>
    </r>
    <r>
      <rPr>
        <sz val="10"/>
        <color theme="1"/>
        <rFont val="Times New Roman"/>
        <charset val="134"/>
      </rPr>
      <t xml:space="preserve"> </t>
    </r>
    <r>
      <rPr>
        <sz val="10"/>
        <color theme="1"/>
        <rFont val="宋体"/>
        <charset val="134"/>
      </rPr>
      <t>（</t>
    </r>
    <r>
      <rPr>
        <sz val="10"/>
        <color theme="1"/>
        <rFont val="Times New Roman"/>
        <charset val="134"/>
      </rPr>
      <t xml:space="preserve">DM </t>
    </r>
    <r>
      <rPr>
        <sz val="10"/>
        <color theme="1"/>
        <rFont val="宋体"/>
        <charset val="134"/>
      </rPr>
      <t>决定）的生命值降至</t>
    </r>
    <r>
      <rPr>
        <sz val="10"/>
        <color theme="1"/>
        <rFont val="Times New Roman"/>
        <charset val="134"/>
      </rPr>
      <t xml:space="preserve"> 0 </t>
    </r>
    <r>
      <rPr>
        <sz val="10"/>
        <color theme="1"/>
        <rFont val="宋体"/>
        <charset val="134"/>
      </rPr>
      <t>时，你得到一个鲜血秘法骰的生命值。</t>
    </r>
  </si>
  <si>
    <r>
      <rPr>
        <sz val="10"/>
        <color theme="1"/>
        <rFont val="宋体"/>
        <charset val="134"/>
      </rPr>
      <t>变形灵药</t>
    </r>
  </si>
  <si>
    <r>
      <rPr>
        <sz val="10"/>
        <color theme="1"/>
        <rFont val="宋体"/>
        <charset val="134"/>
      </rPr>
      <t xml:space="preserve">以一个附赠动作，你可以消耗一个法术位来进行一次怪诞转变。这个转变持续一分钟，或你的生命值归零或失能。当你进行这场转变后你保留你的个性，阵营，以及游戏数据。然而，依然存在几个变化：
</t>
    </r>
    <r>
      <rPr>
        <sz val="10"/>
        <color theme="1"/>
        <rFont val="Times New Roman"/>
        <charset val="134"/>
      </rPr>
      <t xml:space="preserve">• </t>
    </r>
    <r>
      <rPr>
        <sz val="10"/>
        <color theme="1"/>
        <rFont val="宋体"/>
        <charset val="134"/>
      </rPr>
      <t xml:space="preserve">你的力量属性和你的智力属性替换。
</t>
    </r>
    <r>
      <rPr>
        <sz val="10"/>
        <color theme="1"/>
        <rFont val="Times New Roman"/>
        <charset val="134"/>
      </rPr>
      <t xml:space="preserve">• </t>
    </r>
    <r>
      <rPr>
        <sz val="10"/>
        <color theme="1"/>
        <rFont val="宋体"/>
        <charset val="134"/>
      </rPr>
      <t xml:space="preserve">你的体型变为大型，你的跳跃距离翻倍，并且当你进行推、拉、负重及你能带动的重量时你视为大一个体型。
</t>
    </r>
    <r>
      <rPr>
        <sz val="10"/>
        <color theme="1"/>
        <rFont val="Times New Roman"/>
        <charset val="134"/>
      </rPr>
      <t xml:space="preserve">• </t>
    </r>
    <r>
      <rPr>
        <sz val="10"/>
        <color theme="1"/>
        <rFont val="宋体"/>
        <charset val="134"/>
      </rPr>
      <t>你的每一个手掌变为一个大肉拳，你可以以之施展近战武器攻击。它被你视为简易武器。你的大肉拳命中时，造成</t>
    </r>
    <r>
      <rPr>
        <sz val="10"/>
        <color theme="1"/>
        <rFont val="Times New Roman"/>
        <charset val="134"/>
      </rPr>
      <t>1d10+</t>
    </r>
    <r>
      <rPr>
        <sz val="10"/>
        <color theme="1"/>
        <rFont val="宋体"/>
        <charset val="134"/>
      </rPr>
      <t>你的力量调整值</t>
    </r>
    <r>
      <rPr>
        <sz val="10"/>
        <color theme="1"/>
        <rFont val="Times New Roman"/>
        <charset val="134"/>
      </rPr>
      <t>+</t>
    </r>
    <r>
      <rPr>
        <sz val="10"/>
        <color theme="1"/>
        <rFont val="宋体"/>
        <charset val="134"/>
      </rPr>
      <t xml:space="preserve">你的药剂师等级的钝击伤害。
</t>
    </r>
    <r>
      <rPr>
        <sz val="10"/>
        <color theme="1"/>
        <rFont val="Times New Roman"/>
        <charset val="134"/>
      </rPr>
      <t xml:space="preserve">• </t>
    </r>
    <r>
      <rPr>
        <sz val="10"/>
        <color theme="1"/>
        <rFont val="宋体"/>
        <charset val="134"/>
      </rPr>
      <t xml:space="preserve">你无法施法或维持法术的专注。
</t>
    </r>
    <r>
      <rPr>
        <sz val="10"/>
        <color theme="1"/>
        <rFont val="Times New Roman"/>
        <charset val="134"/>
      </rPr>
      <t xml:space="preserve">• </t>
    </r>
    <r>
      <rPr>
        <sz val="10"/>
        <color theme="1"/>
        <rFont val="宋体"/>
        <charset val="134"/>
      </rPr>
      <t>你获得</t>
    </r>
    <r>
      <rPr>
        <sz val="10"/>
        <color theme="1"/>
        <rFont val="Times New Roman"/>
        <charset val="134"/>
      </rPr>
      <t>120</t>
    </r>
    <r>
      <rPr>
        <sz val="10"/>
        <color theme="1"/>
        <rFont val="宋体"/>
        <charset val="134"/>
      </rPr>
      <t xml:space="preserve">尺的黑暗视觉。
</t>
    </r>
    <r>
      <rPr>
        <sz val="10"/>
        <color theme="1"/>
        <rFont val="Times New Roman"/>
        <charset val="134"/>
      </rPr>
      <t xml:space="preserve">• </t>
    </r>
    <r>
      <rPr>
        <sz val="10"/>
        <color theme="1"/>
        <rFont val="宋体"/>
        <charset val="134"/>
      </rPr>
      <t xml:space="preserve">你获得等同于你药剂师等级五倍的临时生命值。
你还能根据你所调化合物的不同效力来增强你的能力。这与你为变身所消耗的法术环位有关联：
</t>
    </r>
    <r>
      <rPr>
        <sz val="10"/>
        <color theme="1"/>
        <rFont val="Times New Roman"/>
        <charset val="134"/>
      </rPr>
      <t xml:space="preserve">• </t>
    </r>
    <r>
      <rPr>
        <sz val="10"/>
        <color theme="1"/>
        <rFont val="宋体"/>
        <charset val="134"/>
      </rPr>
      <t>每消耗一阶法术环位，你的移动速度提升</t>
    </r>
    <r>
      <rPr>
        <sz val="10"/>
        <color theme="1"/>
        <rFont val="Times New Roman"/>
        <charset val="134"/>
      </rPr>
      <t>5</t>
    </r>
    <r>
      <rPr>
        <sz val="10"/>
        <color theme="1"/>
        <rFont val="宋体"/>
        <charset val="134"/>
      </rPr>
      <t xml:space="preserve">尺。
</t>
    </r>
    <r>
      <rPr>
        <sz val="10"/>
        <color theme="1"/>
        <rFont val="Times New Roman"/>
        <charset val="134"/>
      </rPr>
      <t xml:space="preserve">• </t>
    </r>
    <r>
      <rPr>
        <sz val="10"/>
        <color theme="1"/>
        <rFont val="宋体"/>
        <charset val="134"/>
      </rPr>
      <t>你的</t>
    </r>
    <r>
      <rPr>
        <sz val="10"/>
        <color theme="1"/>
        <rFont val="Times New Roman"/>
        <charset val="134"/>
      </rPr>
      <t>AC</t>
    </r>
    <r>
      <rPr>
        <sz val="10"/>
        <color theme="1"/>
        <rFont val="宋体"/>
        <charset val="134"/>
      </rPr>
      <t>变为</t>
    </r>
    <r>
      <rPr>
        <sz val="10"/>
        <color theme="1"/>
        <rFont val="Times New Roman"/>
        <charset val="134"/>
      </rPr>
      <t>13+</t>
    </r>
    <r>
      <rPr>
        <sz val="10"/>
        <color theme="1"/>
        <rFont val="宋体"/>
        <charset val="134"/>
      </rPr>
      <t xml:space="preserve">你消耗的法术环阶。
</t>
    </r>
    <r>
      <rPr>
        <sz val="10"/>
        <color theme="1"/>
        <rFont val="Times New Roman"/>
        <charset val="134"/>
      </rPr>
      <t xml:space="preserve">• </t>
    </r>
    <r>
      <rPr>
        <sz val="10"/>
        <color theme="1"/>
        <rFont val="宋体"/>
        <charset val="134"/>
      </rPr>
      <t>在每个回合开始，只要你保有至少</t>
    </r>
    <r>
      <rPr>
        <sz val="10"/>
        <color theme="1"/>
        <rFont val="Times New Roman"/>
        <charset val="134"/>
      </rPr>
      <t>1</t>
    </r>
    <r>
      <rPr>
        <sz val="10"/>
        <color theme="1"/>
        <rFont val="宋体"/>
        <charset val="134"/>
      </rPr>
      <t>点生命值，你恢复等同于你所消耗的法术环阶数的生命值。</t>
    </r>
  </si>
  <si>
    <t>猩红礼物</t>
  </si>
  <si>
    <r>
      <rPr>
        <sz val="10"/>
        <color theme="1"/>
        <rFont val="宋体"/>
        <charset val="134"/>
      </rPr>
      <t>先决：邪狱使等级</t>
    </r>
    <r>
      <rPr>
        <sz val="10"/>
        <color theme="1"/>
        <rFont val="Times New Roman"/>
        <charset val="134"/>
      </rPr>
      <t>13+</t>
    </r>
    <r>
      <rPr>
        <sz val="10"/>
        <color theme="1"/>
        <rFont val="宋体"/>
        <charset val="134"/>
      </rPr>
      <t>（猩红骑士）
当一名位于你</t>
    </r>
    <r>
      <rPr>
        <sz val="10"/>
        <color theme="1"/>
        <rFont val="Times New Roman"/>
        <charset val="134"/>
      </rPr>
      <t>30</t>
    </r>
    <r>
      <rPr>
        <sz val="10"/>
        <color theme="1"/>
        <rFont val="宋体"/>
        <charset val="134"/>
      </rPr>
      <t>尺内你可见的生物恢复生命值时，你可以消耗一枚缄印（无需动作），该生物额外恢复等于你邪狱使等级的生命值。</t>
    </r>
  </si>
  <si>
    <t>地城探险家</t>
  </si>
  <si>
    <t>污霭之息</t>
  </si>
  <si>
    <t>当你进入狂暴时，你将用充满了疯狂呓语声的污霭环绕住你周围的区域。迷雾会在以你为中心的半径15尺范围内盘旋，并随你移动。迷雾中的区域处于轻度遮蔽。在迷雾中开始自己回合的生物必须进行一次智力豁免。豁免DC等于 8+你的熟练加值+你的体质调整值 。豁免失败的角色会受到 3d8 点心灵伤害且速度减半。此外，他们直到自己的下个回合开始前都不能执行反应。在你释放迷雾时，你可以指定任意数量的生物不受影响。</t>
  </si>
  <si>
    <t>石面</t>
  </si>
  <si>
    <t>当戴着此面具时，你获得运动技能熟练项，且你受到的非魔法攻击造成的钝击、穿刺和挥砍伤害减少2。此外，当你戴着面具时，对抗被推动、拉动或倒地的属性检定和豁免具有优势。</t>
  </si>
  <si>
    <t>移形换影</t>
  </si>
  <si>
    <t>你能够扭曲其他生物周围的暗影来跨越空间拉取他们。
以一个动作，你能选择一个你能看到的距离你60尺以内处于微光光照或黑暗中的生物。你将该生物传送到你选择的同样处于微光光照或黑暗中、你能看到且未被占据的空间，距离最多60尺。所选择的空间必须是一个可以容下而无需挤压目标生物的表面或液体。成功通过感知豁免对抗你的法术豁免DC的非自愿生物不受影响。</t>
  </si>
  <si>
    <t>腐败化身</t>
  </si>
  <si>
    <r>
      <rPr>
        <sz val="10"/>
        <color theme="1"/>
        <rFont val="宋体"/>
        <charset val="134"/>
      </rPr>
      <t>你的肉体呈现出你所联结之大地的污染特征。你的皮肤枯槁如死灰，眼睛变得黯淡或完全苍白。骨棘或锯齿状的倒刺从身体中生出，赋予你对暗蚀伤害的抗性与</t>
    </r>
    <r>
      <rPr>
        <sz val="10"/>
        <color theme="1"/>
        <rFont val="Times New Roman"/>
        <charset val="134"/>
      </rPr>
      <t>AC</t>
    </r>
    <r>
      <rPr>
        <sz val="10"/>
        <color theme="1"/>
        <rFont val="宋体"/>
        <charset val="134"/>
      </rPr>
      <t>上的</t>
    </r>
    <r>
      <rPr>
        <sz val="10"/>
        <color theme="1"/>
        <rFont val="Times New Roman"/>
        <charset val="134"/>
      </rPr>
      <t>+2</t>
    </r>
    <r>
      <rPr>
        <sz val="10"/>
        <color theme="1"/>
        <rFont val="宋体"/>
        <charset val="134"/>
      </rPr>
      <t>加值。
此外，每当你在你的</t>
    </r>
    <r>
      <rPr>
        <sz val="10"/>
        <color theme="1"/>
        <rFont val="Times New Roman"/>
        <charset val="134"/>
      </rPr>
      <t xml:space="preserve"> </t>
    </r>
    <r>
      <rPr>
        <sz val="10"/>
        <color theme="1"/>
        <rFont val="宋体"/>
        <charset val="134"/>
      </rPr>
      <t>污化土地</t>
    </r>
    <r>
      <rPr>
        <sz val="10"/>
        <color theme="1"/>
        <rFont val="Times New Roman"/>
        <charset val="134"/>
      </rPr>
      <t xml:space="preserve">Defile Ground </t>
    </r>
    <r>
      <rPr>
        <sz val="10"/>
        <color theme="1"/>
        <rFont val="宋体"/>
        <charset val="134"/>
      </rPr>
      <t>特性产生的污浊区域中开始你的回合时，你可以以一个附赠动作获得等同于你熟练加值点的临时生命值。</t>
    </r>
  </si>
  <si>
    <r>
      <rPr>
        <sz val="10"/>
        <color theme="1"/>
        <rFont val="宋体"/>
        <charset val="134"/>
      </rPr>
      <t>坚定之印</t>
    </r>
  </si>
  <si>
    <r>
      <rPr>
        <sz val="10"/>
        <color theme="1"/>
        <rFont val="宋体"/>
        <charset val="134"/>
      </rPr>
      <t>你能够恐吓你的敌人，抑制他们的攻击并惩罚他们。
当你以一次近战武器攻击击中一名敌人时，你可以标记他直到你的下一个回合，这个效果会提前结束，如果你失能，死亡或者有其他人标记该敌人。
在你的</t>
    </r>
    <r>
      <rPr>
        <sz val="10"/>
        <color theme="1"/>
        <rFont val="Times New Roman"/>
        <charset val="134"/>
      </rPr>
      <t>5</t>
    </r>
    <r>
      <rPr>
        <sz val="10"/>
        <color theme="1"/>
        <rFont val="宋体"/>
        <charset val="134"/>
      </rPr>
      <t>尺之内，该名被你标记的敌人的攻击骰承受劣势如果他的攻击不是以你为目标。
额外的，如果该敌人对除你之外的人造成了伤害，在你的下一个回合你可以用一个附赠动作对该敌人进行一次特殊近战攻击，你这次攻击骰有优势，且如果击中，攻击武器对目标额外造成等同于你战士等级一半的伤害。
无论你标记了多少名角色，你能够使用的特殊攻击次数等同于你的力量调整值（至少为</t>
    </r>
    <r>
      <rPr>
        <sz val="10"/>
        <color theme="1"/>
        <rFont val="Times New Roman"/>
        <charset val="134"/>
      </rPr>
      <t>1</t>
    </r>
    <r>
      <rPr>
        <sz val="10"/>
        <color theme="1"/>
        <rFont val="宋体"/>
        <charset val="134"/>
      </rPr>
      <t>），而且你在长休后重新获得所有被消耗的特殊攻击次数。</t>
    </r>
  </si>
  <si>
    <t>每当你获得一个武僧等级时，你就可以将你准备列表上的一道法术替换为另一道法师法术，你必须拥有替换后法术对应环阶的法术位才可以替换。</t>
  </si>
  <si>
    <t>快乐崇拜</t>
  </si>
  <si>
    <t>当你或位于你30尺内能看见或听见你的盟友进行D20检定时，你能够以反应使该生物进行那次检定时具有优势。
你可以使用此特性的次数等于你的魅力调整值（至少一次），当你完成长休时重获所有已消耗的使用次数。若该生物那次D20检定仍旧失败，此次快乐崇拜的次数不会被消耗。</t>
  </si>
  <si>
    <t>第二性状</t>
  </si>
  <si>
    <t>你开始注意到自己体内正在发生的诡异变化。有时你会发现自己的四肢和躯干会独立地做出动作，就好像这出于它们自己的意愿。
当你进行一次力量或敏捷检定时，你可以选择将结果替换为 10+你的游侠等级 的数值。你可以等到掷出d20后，但在DM宣布检定成功或失败前，再决定是否使用此特性，你可以使用此特性的次数等于你熟练加值的一般（向上取整），且你在完成一次长休后重新获得所有已消耗的使用次数。</t>
  </si>
  <si>
    <t>釜底抽薪</t>
  </si>
  <si>
    <t>有时，当局势对你不利时，其实恰好正是你对敌人发起突击的好时机，你可以利用混乱来造成致命一击。
只要满足偷袭的发动条件，即使在你的攻击检定具有劣势的情况下，你也可以发动偷袭。
（*译注：只要目标的周围5尺内还有其他与之敌对的未失能生物，你就可以劣势偷袭）</t>
  </si>
  <si>
    <t>奥法化身</t>
  </si>
  <si>
    <r>
      <rPr>
        <sz val="10"/>
        <color theme="1"/>
        <rFont val="宋体"/>
        <charset val="134"/>
      </rPr>
      <t>你能以一个附赠动作消耗一枚蓄能符文使自己化作由纯净魔法组成的存在。处于化身形态期间，你获得以下增益：</t>
    </r>
    <r>
      <rPr>
        <sz val="10"/>
        <color theme="1"/>
        <rFont val="Times New Roman"/>
        <charset val="134"/>
      </rPr>
      <t xml:space="preserve">
·</t>
    </r>
    <r>
      <rPr>
        <sz val="10"/>
        <color theme="1"/>
        <rFont val="宋体"/>
        <charset val="134"/>
      </rPr>
      <t>你获得</t>
    </r>
    <r>
      <rPr>
        <sz val="10"/>
        <color theme="1"/>
        <rFont val="Times New Roman"/>
        <charset val="134"/>
      </rPr>
      <t>60</t>
    </r>
    <r>
      <rPr>
        <sz val="10"/>
        <color theme="1"/>
        <rFont val="宋体"/>
        <charset val="134"/>
      </rPr>
      <t>尺飞行速度。</t>
    </r>
    <r>
      <rPr>
        <sz val="10"/>
        <color theme="1"/>
        <rFont val="Times New Roman"/>
        <charset val="134"/>
      </rPr>
      <t xml:space="preserve">
·</t>
    </r>
    <r>
      <rPr>
        <sz val="10"/>
        <color theme="1"/>
        <rFont val="宋体"/>
        <charset val="134"/>
      </rPr>
      <t>生物为对抗你的术士法术所做的豁免检定具有劣势。</t>
    </r>
    <r>
      <rPr>
        <sz val="10"/>
        <color theme="1"/>
        <rFont val="Times New Roman"/>
        <charset val="134"/>
      </rPr>
      <t xml:space="preserve">
·</t>
    </r>
    <r>
      <rPr>
        <sz val="10"/>
        <color theme="1"/>
        <rFont val="宋体"/>
        <charset val="134"/>
      </rPr>
      <t>你对法术造成的伤害具有抗性。</t>
    </r>
    <r>
      <rPr>
        <sz val="10"/>
        <color theme="1"/>
        <rFont val="Times New Roman"/>
        <charset val="134"/>
      </rPr>
      <t xml:space="preserve">
·</t>
    </r>
    <r>
      <rPr>
        <sz val="10"/>
        <color theme="1"/>
        <rFont val="宋体"/>
        <charset val="134"/>
      </rPr>
      <t>当你施展一个</t>
    </r>
    <r>
      <rPr>
        <sz val="10"/>
        <color theme="1"/>
        <rFont val="Times New Roman"/>
        <charset val="134"/>
      </rPr>
      <t>1</t>
    </r>
    <r>
      <rPr>
        <sz val="10"/>
        <color theme="1"/>
        <rFont val="宋体"/>
        <charset val="134"/>
      </rPr>
      <t>环或更高的法术时，你恢复等同于该法术环位点的生命值。</t>
    </r>
    <r>
      <rPr>
        <sz val="10"/>
        <color theme="1"/>
        <rFont val="Times New Roman"/>
        <charset val="134"/>
      </rPr>
      <t xml:space="preserve">
</t>
    </r>
    <r>
      <rPr>
        <sz val="10"/>
        <color theme="1"/>
        <rFont val="宋体"/>
        <charset val="134"/>
      </rPr>
      <t>你的化身形态持续至你的这一回合结束。不过，你也可以在回合结束时消耗一枚蓄能符文（无需动作）来将持续时间延长至你的下回合结束。当你的化身形态结束时，你陷入震慑，直到你的下个回合结束。</t>
    </r>
    <r>
      <rPr>
        <sz val="10"/>
        <color theme="1"/>
        <rFont val="Times New Roman"/>
        <charset val="134"/>
      </rPr>
      <t xml:space="preserve">
</t>
    </r>
    <r>
      <rPr>
        <sz val="10"/>
        <color theme="1"/>
        <rFont val="宋体"/>
        <charset val="134"/>
      </rPr>
      <t>一旦你使用了此特性，直到你完成一次长休前你都无法再次使用它。</t>
    </r>
  </si>
  <si>
    <r>
      <rPr>
        <sz val="10"/>
        <color theme="1"/>
        <rFont val="宋体"/>
        <charset val="134"/>
      </rPr>
      <t>邪魔体魄</t>
    </r>
  </si>
  <si>
    <r>
      <rPr>
        <sz val="10"/>
        <color theme="1"/>
        <rFont val="宋体"/>
        <charset val="134"/>
      </rPr>
      <t>当你完成一次短休或长休时，选择一种除力场伤害之外的伤害类型。直到你以此特性选择另外一种伤害类型之前，你都拥有对于所选伤害类型的抗性。</t>
    </r>
  </si>
  <si>
    <t>共苦之缚</t>
  </si>
  <si>
    <r>
      <rPr>
        <sz val="10"/>
        <color theme="1"/>
        <rFont val="微软雅黑"/>
        <charset val="134"/>
      </rPr>
      <t>当你可见的一个生物以一次攻击命中你时，你可以使用反应来将你的生命与攻击者维系在一起，强迫他们分担你的痛楚。攻击者将受到与你同样的伤害。</t>
    </r>
    <r>
      <rPr>
        <sz val="10"/>
        <color theme="1"/>
        <rFont val="Times New Roman"/>
        <charset val="134"/>
      </rPr>
      <t xml:space="preserve">
</t>
    </r>
    <r>
      <rPr>
        <sz val="10"/>
        <color theme="1"/>
        <rFont val="微软雅黑"/>
        <charset val="134"/>
      </rPr>
      <t>你无法对构装或亡灵生物使用这一特性，且你只能使用此特性一次，使用后你必须完成一次短休或长休后才能再次使用它。</t>
    </r>
    <r>
      <rPr>
        <sz val="10"/>
        <color theme="1"/>
        <rFont val="Times New Roman"/>
        <charset val="134"/>
      </rPr>
      <t xml:space="preserve">
14</t>
    </r>
    <r>
      <rPr>
        <sz val="10"/>
        <color theme="1"/>
        <rFont val="微软雅黑"/>
        <charset val="134"/>
      </rPr>
      <t>级起，你能在休息之间使用此特性两次。</t>
    </r>
  </si>
  <si>
    <r>
      <rPr>
        <sz val="10"/>
        <color theme="1"/>
        <rFont val="宋体"/>
        <charset val="134"/>
      </rPr>
      <t>神秘狂乱</t>
    </r>
  </si>
  <si>
    <r>
      <rPr>
        <sz val="10"/>
        <color theme="1"/>
        <rFont val="宋体"/>
        <charset val="134"/>
      </rPr>
      <t>当你以动作施法一个戏法后，你可以立即以一个附赠动作发动一次武器攻击。</t>
    </r>
  </si>
  <si>
    <r>
      <rPr>
        <sz val="10"/>
        <color theme="1"/>
        <rFont val="宋体"/>
        <charset val="134"/>
      </rPr>
      <t>你在自己回合内执行攻击动作时可以发动两次攻击而非一次。</t>
    </r>
  </si>
  <si>
    <t>灵血交换</t>
  </si>
  <si>
    <r>
      <rPr>
        <sz val="10"/>
        <color theme="1"/>
        <rFont val="宋体"/>
        <charset val="134"/>
      </rPr>
      <t>你已经掌握了削弱敌人增强盟友的力量。当一名位于你</t>
    </r>
    <r>
      <rPr>
        <sz val="10"/>
        <color theme="1"/>
        <rFont val="Times New Roman"/>
        <charset val="134"/>
      </rPr>
      <t>60</t>
    </r>
    <r>
      <rPr>
        <sz val="10"/>
        <color theme="1"/>
        <rFont val="宋体"/>
        <charset val="134"/>
      </rPr>
      <t>尺内的受禁生物进行攻击检定或豁免检定时，你能够以反应焚灭其身上的一枚缄印并转移其力量。目标必须投掷一枚</t>
    </r>
    <r>
      <rPr>
        <sz val="10"/>
        <color theme="1"/>
        <rFont val="Times New Roman"/>
        <charset val="134"/>
      </rPr>
      <t>d8</t>
    </r>
    <r>
      <rPr>
        <sz val="10"/>
        <color theme="1"/>
        <rFont val="宋体"/>
        <charset val="134"/>
      </rPr>
      <t>，然后从此次攻击检定或豁免检定中减去骰值。
然后你将力量赋予位于你</t>
    </r>
    <r>
      <rPr>
        <sz val="10"/>
        <color theme="1"/>
        <rFont val="Times New Roman"/>
        <charset val="134"/>
      </rPr>
      <t>30</t>
    </r>
    <r>
      <rPr>
        <sz val="10"/>
        <color theme="1"/>
        <rFont val="宋体"/>
        <charset val="134"/>
      </rPr>
      <t>尺内的盟友。下次该盟友进行攻击检定或豁免检定时，投掷一枚</t>
    </r>
    <r>
      <rPr>
        <sz val="10"/>
        <color theme="1"/>
        <rFont val="Times New Roman"/>
        <charset val="134"/>
      </rPr>
      <t>d8</t>
    </r>
    <r>
      <rPr>
        <sz val="10"/>
        <color theme="1"/>
        <rFont val="宋体"/>
        <charset val="134"/>
      </rPr>
      <t>并将骰值加到此次攻击检定或豁免检定中。</t>
    </r>
  </si>
  <si>
    <t>附灵</t>
  </si>
  <si>
    <t>雷鸣猛推</t>
  </si>
  <si>
    <r>
      <rPr>
        <sz val="10"/>
        <color theme="1"/>
        <rFont val="宋体"/>
        <charset val="134"/>
      </rPr>
      <t>当你选择此原初道途时，你的愤怒为你注入冲破一切敌人的力量，令战场成为你的领地。在你狂暴期间，当你的近战攻击命中一个生物时，你能迫使该生物推动至多</t>
    </r>
    <r>
      <rPr>
        <sz val="10"/>
        <color theme="1"/>
        <rFont val="Times New Roman"/>
        <charset val="134"/>
      </rPr>
      <t>5</t>
    </r>
    <r>
      <rPr>
        <sz val="10"/>
        <color theme="1"/>
        <rFont val="宋体"/>
        <charset val="134"/>
      </rPr>
      <t>尺距离，其方向由你选择。若被推动的生物体型为巨型或更大，它们就可以进行一次</t>
    </r>
    <r>
      <rPr>
        <sz val="10"/>
        <color theme="1"/>
        <rFont val="Times New Roman"/>
        <charset val="134"/>
      </rPr>
      <t>DC</t>
    </r>
    <r>
      <rPr>
        <sz val="10"/>
        <color theme="1"/>
        <rFont val="宋体"/>
        <charset val="134"/>
      </rPr>
      <t>为</t>
    </r>
    <r>
      <rPr>
        <sz val="10"/>
        <color theme="1"/>
        <rFont val="Times New Roman"/>
        <charset val="134"/>
      </rPr>
      <t xml:space="preserve"> 8+</t>
    </r>
    <r>
      <rPr>
        <sz val="10"/>
        <color theme="1"/>
        <rFont val="宋体"/>
        <charset val="134"/>
      </rPr>
      <t>你的熟练加值</t>
    </r>
    <r>
      <rPr>
        <sz val="10"/>
        <color theme="1"/>
        <rFont val="Times New Roman"/>
        <charset val="134"/>
      </rPr>
      <t>+</t>
    </r>
    <r>
      <rPr>
        <sz val="10"/>
        <color theme="1"/>
        <rFont val="宋体"/>
        <charset val="134"/>
      </rPr>
      <t>你的力量调整值</t>
    </r>
    <r>
      <rPr>
        <sz val="10"/>
        <color theme="1"/>
        <rFont val="Times New Roman"/>
        <charset val="134"/>
      </rPr>
      <t xml:space="preserve"> </t>
    </r>
    <r>
      <rPr>
        <sz val="10"/>
        <color theme="1"/>
        <rFont val="宋体"/>
        <charset val="134"/>
      </rPr>
      <t>的力量豁免。若豁免成功，则该生物将不会被推动。
当你达到</t>
    </r>
    <r>
      <rPr>
        <sz val="10"/>
        <color theme="1"/>
        <rFont val="Times New Roman"/>
        <charset val="134"/>
      </rPr>
      <t>10</t>
    </r>
    <r>
      <rPr>
        <sz val="10"/>
        <color theme="1"/>
        <rFont val="宋体"/>
        <charset val="134"/>
      </rPr>
      <t>级后，击中后你能将其推动至多</t>
    </r>
    <r>
      <rPr>
        <sz val="10"/>
        <color theme="1"/>
        <rFont val="Times New Roman"/>
        <charset val="134"/>
      </rPr>
      <t>10</t>
    </r>
    <r>
      <rPr>
        <sz val="10"/>
        <color theme="1"/>
        <rFont val="宋体"/>
        <charset val="134"/>
      </rPr>
      <t>尺，而非</t>
    </r>
    <r>
      <rPr>
        <sz val="10"/>
        <color theme="1"/>
        <rFont val="Times New Roman"/>
        <charset val="134"/>
      </rPr>
      <t>5</t>
    </r>
    <r>
      <rPr>
        <sz val="10"/>
        <color theme="1"/>
        <rFont val="宋体"/>
        <charset val="134"/>
      </rPr>
      <t>尺。</t>
    </r>
  </si>
  <si>
    <t>拟形换影</t>
  </si>
  <si>
    <t>你获得迅速改变外表以模仿他人的能力。你可以用一个动作消耗一次诗人激励，施展法术易容术Alter Self，使用该法术的"改变外貌"选项将自己变形为你见过的另一名类人生物。当以此方式施放时，该法术具有以下变化：
它不需要你进行专注，但你仍可随时终止该法术（无需动作）。
你获得5点临时生命值，如果你失去所有这些临时生命值或死亡，法术会提前结束。
你获得你所知晓的目标持有的相关装备，如其衣物、护甲、武器和其他小型随身物品。以此方式获得的任何装备都不具有魔法属性，即使目标使用的原始物品具有魔法属性。
你原本穿戴或携带的任何装备都会融入你的新形态中，你无法激活、使用、持握或以其他方式从中获益。</t>
  </si>
  <si>
    <t>黑暗重生</t>
  </si>
  <si>
    <t>当你处于黑暗中时，你在每个你的回合开始时恢复10点生命值。如果你受到光耀伤害，则在你的下一个回合开始前都无法再生。只有在你的回合不能再生时，你才会死亡。此外，当你处于黑暗中时，你不会变老。</t>
  </si>
  <si>
    <t>飞花漫舞</t>
  </si>
  <si>
    <t>胧忆岛的精魂已经渗入你的身体，你现在能够控制一小部分胧忆岛的魔法，它们体现为由德鲁伊所选择的一种花瓣。以一个附赠动作，你可以使用你的荒野形态来呼唤这种力量，并召唤出一团难以消灭的花瓣云，它们是你自己存在的延伸。这团花瓣云会持续存在一个小时。当被花瓣云包围时，你的AC增加1，并且你将获得以下增益：
以一个附赠动作，你能让花瓣射向30尺内你可见的一个生物。对该目标进行一次使用你的法术攻击加值的远程法术攻击。命中时，目标受到1d6挥砍伤害。该伤害会在你提升到5级（2d6）、11级（3d6）和17级（4d6）时各提升1d6。
此外，当你或一个位于你10尺内你可见的生物受到伤害时，你可以使用你的反应来将伤害减少等于你的德鲁伊等级+你的感知调整值的数值。当你以这种方式使用花瓣云后，花瓣云便会消散。</t>
  </si>
  <si>
    <r>
      <rPr>
        <sz val="10"/>
        <color theme="1"/>
        <rFont val="宋体"/>
        <charset val="134"/>
      </rPr>
      <t>防护战术</t>
    </r>
  </si>
  <si>
    <r>
      <rPr>
        <sz val="10"/>
        <color theme="1"/>
        <rFont val="宋体"/>
        <charset val="134"/>
      </rPr>
      <t>你学会如何抵御对你，你的坐骑和你附近角色的直接攻击。
如果你或者在你</t>
    </r>
    <r>
      <rPr>
        <sz val="10"/>
        <color theme="1"/>
        <rFont val="Times New Roman"/>
        <charset val="134"/>
      </rPr>
      <t>5</t>
    </r>
    <r>
      <rPr>
        <sz val="10"/>
        <color theme="1"/>
        <rFont val="宋体"/>
        <charset val="134"/>
      </rPr>
      <t>尺之内对你可视的一名角色被一次攻击击中，你能以一个反应投一个</t>
    </r>
    <r>
      <rPr>
        <sz val="10"/>
        <color theme="1"/>
        <rFont val="Times New Roman"/>
        <charset val="134"/>
      </rPr>
      <t>1d8</t>
    </r>
    <r>
      <rPr>
        <sz val="10"/>
        <color theme="1"/>
        <rFont val="宋体"/>
        <charset val="134"/>
      </rPr>
      <t>如果你手持一把近战武器或者一面盾牌，将骰值加入被攻击角色的</t>
    </r>
    <r>
      <rPr>
        <sz val="10"/>
        <color theme="1"/>
        <rFont val="Times New Roman"/>
        <charset val="134"/>
      </rPr>
      <t>AC</t>
    </r>
    <r>
      <rPr>
        <sz val="10"/>
        <color theme="1"/>
        <rFont val="宋体"/>
        <charset val="134"/>
      </rPr>
      <t>中，如果这次攻击仍然击中，被攻击目标对这次攻击伤害有抗性。
你能够使用该特性的次数等同于你的体质调整值（至少为</t>
    </r>
    <r>
      <rPr>
        <sz val="10"/>
        <color theme="1"/>
        <rFont val="Times New Roman"/>
        <charset val="134"/>
      </rPr>
      <t>1</t>
    </r>
    <r>
      <rPr>
        <sz val="10"/>
        <color theme="1"/>
        <rFont val="宋体"/>
        <charset val="134"/>
      </rPr>
      <t>），而且你在长休后重新获得所有被消耗的使用次数。</t>
    </r>
  </si>
  <si>
    <t>你法师法术的施法属性是感知。</t>
  </si>
  <si>
    <t>派对嗨客</t>
  </si>
  <si>
    <t>以一个附赠动作，你将缤纷的狂欢魔法注入你的守护灵光之中，使其获得以下增益，持续10分钟或在你使其终止时提前结束（无需动作），此特性一经使用，直至完成长休你都无法再次使用。你也可以消耗一个五环法术位（无需动作）重置此特性的使用权。
额外伤害Extra Damage。 你情谊灵光的额外伤害提升至1d8
英雄激励Heroic Inspiration。 在你的回合开始时，你可以将英雄激励赋予一名位于灵光内的盟友。
免疫Immunities。 你和位于你灵光内的盟友具有对目盲、耳聋、力竭和中毒状态的免疫。</t>
  </si>
  <si>
    <t>第三性状</t>
  </si>
  <si>
    <t>当你对一个生物发动一次武器攻击时，你可以花费一个诅咒标记并掷一枚d4骰，然后将结果加入到这次攻击检定中。你可以在你进行一次攻击检定掷骰之前或之后选择以此方式使用一个诅咒标记。你一回合仅能以此法消耗一个诅咒标记。
此外，无论你在何时受到伤害，你都可以花费你的反应将伤害量减少等于你游侠等级的数额。一旦你以此法减少了一次所受的伤害，你不能再这么做直到你完成一次短休或长休。</t>
  </si>
  <si>
    <t>袋里乾坤</t>
  </si>
  <si>
    <t>你可以把其他人施放的法术藏到你的储物袋里。你的储物袋里可以储存环阶总和至多为6环的法术。
任何生物都可以在施法时通过触碰你的储物袋，向其中施放一个1环至5环的法术。这个法术不会生效，而是被储存进你的储物袋。如果你的储物袋无法再容纳法术，则法术会被消耗且不会有任何效果。用于施放法术的法术位决定了这个法术所占用的空间。
你也可以将法术卷轴放入储物袋中。法术会被施放并储存入你的储物袋中，且法术卷轴会被摧毁。你可以施放任何储存在你储物袋内的任何法术。该法术使用其原主人的法术位、法术豁免DC、法术攻击加值以及施法关键属性，但是视为由你施放了此法术。施放掉的法术不会再储存在储物袋里，且空间会被腾出来。</t>
  </si>
  <si>
    <t>奥术囚笼</t>
  </si>
  <si>
    <r>
      <rPr>
        <sz val="10"/>
        <color theme="1"/>
        <rFont val="宋体"/>
        <charset val="134"/>
      </rPr>
      <t>你的体内封印着最初之鬼的本质，经由它的子嗣代代相传，并延续至一条漫长而险恶的血脉。随着你的力量增长，沉眠于你体内的精魂也随之壮大。它迫切的想要冲破束缚，而在你最虚弱时，它的影响尤为强烈。</t>
    </r>
    <r>
      <rPr>
        <sz val="10"/>
        <color theme="1"/>
        <rFont val="Times New Roman"/>
        <charset val="134"/>
      </rPr>
      <t xml:space="preserve">
</t>
    </r>
    <r>
      <rPr>
        <sz val="10"/>
        <color theme="1"/>
        <rFont val="宋体"/>
        <charset val="134"/>
      </rPr>
      <t>第</t>
    </r>
    <r>
      <rPr>
        <sz val="10"/>
        <color theme="1"/>
        <rFont val="Times New Roman"/>
        <charset val="134"/>
      </rPr>
      <t>3</t>
    </r>
    <r>
      <rPr>
        <sz val="10"/>
        <color theme="1"/>
        <rFont val="宋体"/>
        <charset val="134"/>
      </rPr>
      <t>级时，你获得鬼之力，这些特征会在你消耗术法点时逐步显现。每个鬼之力的显现都取决于你当前消耗的术法点数量，具体如下表所示。当你恢复术法点时，你可能会失去一个或多个鬼之力。</t>
    </r>
    <r>
      <rPr>
        <sz val="10"/>
        <color theme="1"/>
        <rFont val="Times New Roman"/>
        <charset val="134"/>
      </rPr>
      <t xml:space="preserve">
</t>
    </r>
    <r>
      <rPr>
        <sz val="10"/>
        <color theme="1"/>
        <rFont val="宋体"/>
        <charset val="134"/>
      </rPr>
      <t>每个鬼之力都会同时在肉体与奥术层面上显现，会持续到你完成一次长休为止。</t>
    </r>
    <r>
      <rPr>
        <sz val="10"/>
        <color theme="1"/>
        <rFont val="Times New Roman"/>
        <charset val="134"/>
      </rPr>
      <t xml:space="preserve">
</t>
    </r>
    <r>
      <rPr>
        <sz val="10"/>
        <color theme="1"/>
        <rFont val="宋体"/>
        <charset val="134"/>
      </rPr>
      <t>消耗的术法点</t>
    </r>
    <r>
      <rPr>
        <sz val="10"/>
        <color theme="1"/>
        <rFont val="Times New Roman"/>
        <charset val="134"/>
      </rPr>
      <t xml:space="preserve">	</t>
    </r>
    <r>
      <rPr>
        <sz val="10"/>
        <color theme="1"/>
        <rFont val="宋体"/>
        <charset val="134"/>
      </rPr>
      <t>显现特征</t>
    </r>
    <r>
      <rPr>
        <sz val="10"/>
        <color theme="1"/>
        <rFont val="Times New Roman"/>
        <charset val="134"/>
      </rPr>
      <t xml:space="preserve">
0–1	</t>
    </r>
    <r>
      <rPr>
        <sz val="10"/>
        <color theme="1"/>
        <rFont val="宋体"/>
        <charset val="134"/>
      </rPr>
      <t>双眼</t>
    </r>
    <r>
      <rPr>
        <sz val="10"/>
        <color theme="1"/>
        <rFont val="Times New Roman"/>
        <charset val="134"/>
      </rPr>
      <t xml:space="preserve">
2–4	</t>
    </r>
    <r>
      <rPr>
        <sz val="10"/>
        <color theme="1"/>
        <rFont val="宋体"/>
        <charset val="134"/>
      </rPr>
      <t>角</t>
    </r>
    <r>
      <rPr>
        <sz val="10"/>
        <color theme="1"/>
        <rFont val="Times New Roman"/>
        <charset val="134"/>
      </rPr>
      <t xml:space="preserve">
5–9	</t>
    </r>
    <r>
      <rPr>
        <sz val="10"/>
        <color theme="1"/>
        <rFont val="宋体"/>
        <charset val="134"/>
      </rPr>
      <t>皮肤</t>
    </r>
    <r>
      <rPr>
        <sz val="10"/>
        <color theme="1"/>
        <rFont val="Times New Roman"/>
        <charset val="134"/>
      </rPr>
      <t xml:space="preserve">
10–14	</t>
    </r>
    <r>
      <rPr>
        <sz val="10"/>
        <color theme="1"/>
        <rFont val="宋体"/>
        <charset val="134"/>
      </rPr>
      <t>舌头</t>
    </r>
    <r>
      <rPr>
        <sz val="10"/>
        <color theme="1"/>
        <rFont val="Times New Roman"/>
        <charset val="134"/>
      </rPr>
      <t xml:space="preserve">
15 </t>
    </r>
    <r>
      <rPr>
        <sz val="10"/>
        <color theme="1"/>
        <rFont val="宋体"/>
        <charset val="134"/>
      </rPr>
      <t>及以上</t>
    </r>
    <r>
      <rPr>
        <sz val="10"/>
        <color theme="1"/>
        <rFont val="Times New Roman"/>
        <charset val="134"/>
      </rPr>
      <t xml:space="preserve">	</t>
    </r>
    <r>
      <rPr>
        <sz val="10"/>
        <color theme="1"/>
        <rFont val="宋体"/>
        <charset val="134"/>
      </rPr>
      <t>头发</t>
    </r>
  </si>
  <si>
    <r>
      <rPr>
        <sz val="10"/>
        <color theme="1"/>
        <rFont val="宋体"/>
        <charset val="134"/>
      </rPr>
      <t>直坠噩梦</t>
    </r>
  </si>
  <si>
    <r>
      <rPr>
        <sz val="10"/>
        <color theme="1"/>
        <rFont val="宋体"/>
        <charset val="134"/>
      </rPr>
      <t>每回合一次，当你以攻击检定命中一个生物时，你可以将目标瞬间传送并拉入下层位面。目标必须进行一次对抗你法术豁免</t>
    </r>
    <r>
      <rPr>
        <sz val="10"/>
        <color theme="1"/>
        <rFont val="Times New Roman"/>
        <charset val="134"/>
      </rPr>
      <t>DC</t>
    </r>
    <r>
      <rPr>
        <sz val="10"/>
        <color theme="1"/>
        <rFont val="宋体"/>
        <charset val="134"/>
      </rPr>
      <t>的魅力豁免，豁免失败则该生物立刻消失并坠入如同噩梦一般的景色中。若目标并非邪魔，则它会受到</t>
    </r>
    <r>
      <rPr>
        <sz val="10"/>
        <color theme="1"/>
        <rFont val="Times New Roman"/>
        <charset val="134"/>
      </rPr>
      <t>8d10</t>
    </r>
    <r>
      <rPr>
        <sz val="10"/>
        <color theme="1"/>
        <rFont val="宋体"/>
        <charset val="134"/>
      </rPr>
      <t>点心灵伤害。目标还会陷入失能状态直至你的下一回合结束，此时目标返回先前所占据的空间、或是最近的未被占据空间。
此特性一经使用，直至完成长休你都无法再次使用。你也可以消耗一个契约魔法特性的法术位（无需动作）重置该特性的使用权。</t>
    </r>
  </si>
  <si>
    <t>操血刻印</t>
  </si>
  <si>
    <r>
      <rPr>
        <sz val="10"/>
        <color theme="1"/>
        <rFont val="微软雅黑"/>
        <charset val="134"/>
      </rPr>
      <t>当</t>
    </r>
    <r>
      <rPr>
        <sz val="10"/>
        <color theme="1"/>
        <rFont val="宋体"/>
        <charset val="134"/>
      </rPr>
      <t>你</t>
    </r>
    <r>
      <rPr>
        <sz val="10"/>
        <color theme="1"/>
        <rFont val="微软雅黑"/>
        <charset val="134"/>
      </rPr>
      <t>的法术对一个生物造成了伤害时，你可以选择诅咒该生物一分钟。诅咒期间，每当该生物被一次攻击命中时，它都会额外受到</t>
    </r>
    <r>
      <rPr>
        <sz val="10"/>
        <color theme="1"/>
        <rFont val="Times New Roman"/>
        <charset val="134"/>
      </rPr>
      <t>1d6</t>
    </r>
    <r>
      <rPr>
        <sz val="10"/>
        <color theme="1"/>
        <rFont val="微软雅黑"/>
        <charset val="134"/>
      </rPr>
      <t>点暗蚀伤害。该生物可以在每次自己回合结束时进行一次对抗你法术豁免</t>
    </r>
    <r>
      <rPr>
        <sz val="10"/>
        <color theme="1"/>
        <rFont val="Times New Roman"/>
        <charset val="134"/>
      </rPr>
      <t>DC</t>
    </r>
    <r>
      <rPr>
        <sz val="10"/>
        <color theme="1"/>
        <rFont val="微软雅黑"/>
        <charset val="134"/>
      </rPr>
      <t>的体质豁免，豁免成功则诅咒提前结束。</t>
    </r>
    <r>
      <rPr>
        <sz val="10"/>
        <color theme="1"/>
        <rFont val="Times New Roman"/>
        <charset val="134"/>
      </rPr>
      <t xml:space="preserve">
</t>
    </r>
    <r>
      <rPr>
        <sz val="10"/>
        <color theme="1"/>
        <rFont val="微软雅黑"/>
        <charset val="134"/>
      </rPr>
      <t>你无法对构装或亡灵生物使用这一特性。一旦你使用了此特性，直到你完成一次短休或长休前你都不能再次使用它。</t>
    </r>
  </si>
  <si>
    <r>
      <rPr>
        <sz val="10"/>
        <color theme="1"/>
        <rFont val="宋体"/>
        <charset val="134"/>
      </rPr>
      <t>奥秘揭示</t>
    </r>
  </si>
  <si>
    <r>
      <rPr>
        <sz val="10"/>
        <color theme="1"/>
        <rFont val="宋体"/>
        <charset val="134"/>
      </rPr>
      <t>你的宗主根据根据你的契约授予你一个特别的法术，你可以用任何契约魔法法术位释放，但一旦施展了该法术后直到完成一次长休前你不能再次以此施展它。
至高妖精</t>
    </r>
    <r>
      <rPr>
        <sz val="10"/>
        <color theme="1"/>
        <rFont val="Times New Roman"/>
        <charset val="134"/>
      </rPr>
      <t>The Archfey</t>
    </r>
    <r>
      <rPr>
        <sz val="10"/>
        <color theme="1"/>
        <rFont val="宋体"/>
        <charset val="134"/>
      </rPr>
      <t>。你可以施展</t>
    </r>
    <r>
      <rPr>
        <sz val="10"/>
        <color theme="1"/>
        <rFont val="Times New Roman"/>
        <charset val="134"/>
      </rPr>
      <t xml:space="preserve"> </t>
    </r>
    <r>
      <rPr>
        <sz val="10"/>
        <color theme="1"/>
        <rFont val="宋体"/>
        <charset val="134"/>
      </rPr>
      <t>朦胧术</t>
    </r>
    <r>
      <rPr>
        <sz val="10"/>
        <color theme="1"/>
        <rFont val="Times New Roman"/>
        <charset val="134"/>
      </rPr>
      <t xml:space="preserve">Blur </t>
    </r>
    <r>
      <rPr>
        <sz val="10"/>
        <color theme="1"/>
        <rFont val="宋体"/>
        <charset val="134"/>
      </rPr>
      <t>。
天界</t>
    </r>
    <r>
      <rPr>
        <sz val="10"/>
        <color theme="1"/>
        <rFont val="Times New Roman"/>
        <charset val="134"/>
      </rPr>
      <t>The Celestial</t>
    </r>
    <r>
      <rPr>
        <sz val="10"/>
        <color theme="1"/>
        <rFont val="宋体"/>
        <charset val="134"/>
      </rPr>
      <t>。你可以施展</t>
    </r>
    <r>
      <rPr>
        <sz val="10"/>
        <color theme="1"/>
        <rFont val="Times New Roman"/>
        <charset val="134"/>
      </rPr>
      <t xml:space="preserve"> </t>
    </r>
    <r>
      <rPr>
        <sz val="10"/>
        <color theme="1"/>
        <rFont val="宋体"/>
        <charset val="134"/>
      </rPr>
      <t>次等复原术</t>
    </r>
    <r>
      <rPr>
        <sz val="10"/>
        <color theme="1"/>
        <rFont val="Times New Roman"/>
        <charset val="134"/>
      </rPr>
      <t xml:space="preserve">Lesser Restoration </t>
    </r>
    <r>
      <rPr>
        <sz val="10"/>
        <color theme="1"/>
        <rFont val="宋体"/>
        <charset val="134"/>
      </rPr>
      <t>。
深海意志</t>
    </r>
    <r>
      <rPr>
        <sz val="10"/>
        <color theme="1"/>
        <rFont val="Times New Roman"/>
        <charset val="134"/>
      </rPr>
      <t>The Fathomless</t>
    </r>
    <r>
      <rPr>
        <sz val="10"/>
        <color theme="1"/>
        <rFont val="宋体"/>
        <charset val="134"/>
      </rPr>
      <t>。你可以施展</t>
    </r>
    <r>
      <rPr>
        <sz val="10"/>
        <color theme="1"/>
        <rFont val="Times New Roman"/>
        <charset val="134"/>
      </rPr>
      <t xml:space="preserve"> </t>
    </r>
    <r>
      <rPr>
        <sz val="10"/>
        <color theme="1"/>
        <rFont val="宋体"/>
        <charset val="134"/>
      </rPr>
      <t>造风术</t>
    </r>
    <r>
      <rPr>
        <sz val="10"/>
        <color theme="1"/>
        <rFont val="Times New Roman"/>
        <charset val="134"/>
      </rPr>
      <t xml:space="preserve">Gust of Wind </t>
    </r>
    <r>
      <rPr>
        <sz val="10"/>
        <color theme="1"/>
        <rFont val="宋体"/>
        <charset val="134"/>
      </rPr>
      <t>。
邪魔</t>
    </r>
    <r>
      <rPr>
        <sz val="10"/>
        <color theme="1"/>
        <rFont val="Times New Roman"/>
        <charset val="134"/>
      </rPr>
      <t>The Fiend</t>
    </r>
    <r>
      <rPr>
        <sz val="10"/>
        <color theme="1"/>
        <rFont val="宋体"/>
        <charset val="134"/>
      </rPr>
      <t>。你可以施展</t>
    </r>
    <r>
      <rPr>
        <sz val="10"/>
        <color theme="1"/>
        <rFont val="Times New Roman"/>
        <charset val="134"/>
      </rPr>
      <t xml:space="preserve"> </t>
    </r>
    <r>
      <rPr>
        <sz val="10"/>
        <color theme="1"/>
        <rFont val="宋体"/>
        <charset val="134"/>
      </rPr>
      <t>灼热射线</t>
    </r>
    <r>
      <rPr>
        <sz val="10"/>
        <color theme="1"/>
        <rFont val="Times New Roman"/>
        <charset val="134"/>
      </rPr>
      <t xml:space="preserve">Scorching Ray </t>
    </r>
    <r>
      <rPr>
        <sz val="10"/>
        <color theme="1"/>
        <rFont val="宋体"/>
        <charset val="134"/>
      </rPr>
      <t>。
巨灵</t>
    </r>
    <r>
      <rPr>
        <sz val="10"/>
        <color theme="1"/>
        <rFont val="Times New Roman"/>
        <charset val="134"/>
      </rPr>
      <t>The Genie</t>
    </r>
    <r>
      <rPr>
        <sz val="10"/>
        <color theme="1"/>
        <rFont val="宋体"/>
        <charset val="134"/>
      </rPr>
      <t>。你可以施展</t>
    </r>
    <r>
      <rPr>
        <sz val="10"/>
        <color theme="1"/>
        <rFont val="Times New Roman"/>
        <charset val="134"/>
      </rPr>
      <t xml:space="preserve"> </t>
    </r>
    <r>
      <rPr>
        <sz val="10"/>
        <color theme="1"/>
        <rFont val="宋体"/>
        <charset val="134"/>
      </rPr>
      <t>魅影之力</t>
    </r>
    <r>
      <rPr>
        <sz val="10"/>
        <color theme="1"/>
        <rFont val="Times New Roman"/>
        <charset val="134"/>
      </rPr>
      <t xml:space="preserve">Phantasmal Force </t>
    </r>
    <r>
      <rPr>
        <sz val="10"/>
        <color theme="1"/>
        <rFont val="宋体"/>
        <charset val="134"/>
      </rPr>
      <t>。
旧日支配者</t>
    </r>
    <r>
      <rPr>
        <sz val="10"/>
        <color theme="1"/>
        <rFont val="Times New Roman"/>
        <charset val="134"/>
      </rPr>
      <t>The Great Old One</t>
    </r>
    <r>
      <rPr>
        <sz val="10"/>
        <color theme="1"/>
        <rFont val="宋体"/>
        <charset val="134"/>
      </rPr>
      <t>。你可以施展</t>
    </r>
    <r>
      <rPr>
        <sz val="10"/>
        <color theme="1"/>
        <rFont val="Times New Roman"/>
        <charset val="134"/>
      </rPr>
      <t xml:space="preserve"> </t>
    </r>
    <r>
      <rPr>
        <sz val="10"/>
        <color theme="1"/>
        <rFont val="宋体"/>
        <charset val="134"/>
      </rPr>
      <t>侦测思想</t>
    </r>
    <r>
      <rPr>
        <sz val="10"/>
        <color theme="1"/>
        <rFont val="Times New Roman"/>
        <charset val="134"/>
      </rPr>
      <t xml:space="preserve">Detect Thoughts </t>
    </r>
    <r>
      <rPr>
        <sz val="10"/>
        <color theme="1"/>
        <rFont val="宋体"/>
        <charset val="134"/>
      </rPr>
      <t>。
咒剑</t>
    </r>
    <r>
      <rPr>
        <sz val="10"/>
        <color theme="1"/>
        <rFont val="Times New Roman"/>
        <charset val="134"/>
      </rPr>
      <t>The Hexblade</t>
    </r>
    <r>
      <rPr>
        <sz val="10"/>
        <color theme="1"/>
        <rFont val="宋体"/>
        <charset val="134"/>
      </rPr>
      <t>。你可以施展</t>
    </r>
    <r>
      <rPr>
        <sz val="10"/>
        <color theme="1"/>
        <rFont val="Times New Roman"/>
        <charset val="134"/>
      </rPr>
      <t xml:space="preserve"> </t>
    </r>
    <r>
      <rPr>
        <sz val="10"/>
        <color theme="1"/>
        <rFont val="宋体"/>
        <charset val="134"/>
      </rPr>
      <t>印记斩</t>
    </r>
    <r>
      <rPr>
        <sz val="10"/>
        <color theme="1"/>
        <rFont val="Times New Roman"/>
        <charset val="134"/>
      </rPr>
      <t xml:space="preserve">Branding Smite </t>
    </r>
    <r>
      <rPr>
        <sz val="10"/>
        <color theme="1"/>
        <rFont val="宋体"/>
        <charset val="134"/>
      </rPr>
      <t>。
死灵</t>
    </r>
    <r>
      <rPr>
        <sz val="10"/>
        <color theme="1"/>
        <rFont val="Times New Roman"/>
        <charset val="134"/>
      </rPr>
      <t>The Undead</t>
    </r>
    <r>
      <rPr>
        <sz val="10"/>
        <color theme="1"/>
        <rFont val="宋体"/>
        <charset val="134"/>
      </rPr>
      <t>。你可以施展</t>
    </r>
    <r>
      <rPr>
        <sz val="10"/>
        <color theme="1"/>
        <rFont val="Times New Roman"/>
        <charset val="134"/>
      </rPr>
      <t xml:space="preserve"> </t>
    </r>
    <r>
      <rPr>
        <sz val="10"/>
        <color theme="1"/>
        <rFont val="宋体"/>
        <charset val="134"/>
      </rPr>
      <t>目盲术</t>
    </r>
    <r>
      <rPr>
        <sz val="10"/>
        <color theme="1"/>
        <rFont val="Times New Roman"/>
        <charset val="134"/>
      </rPr>
      <t>/</t>
    </r>
    <r>
      <rPr>
        <sz val="10"/>
        <color theme="1"/>
        <rFont val="宋体"/>
        <charset val="134"/>
      </rPr>
      <t>耳聋术</t>
    </r>
    <r>
      <rPr>
        <sz val="10"/>
        <color theme="1"/>
        <rFont val="Times New Roman"/>
        <charset val="134"/>
      </rPr>
      <t xml:space="preserve">Blindness/Deafness </t>
    </r>
    <r>
      <rPr>
        <sz val="10"/>
        <color theme="1"/>
        <rFont val="宋体"/>
        <charset val="134"/>
      </rPr>
      <t>。
不朽者</t>
    </r>
    <r>
      <rPr>
        <sz val="10"/>
        <color theme="1"/>
        <rFont val="Times New Roman"/>
        <charset val="134"/>
      </rPr>
      <t>The Undying</t>
    </r>
    <r>
      <rPr>
        <sz val="10"/>
        <color theme="1"/>
        <rFont val="宋体"/>
        <charset val="134"/>
      </rPr>
      <t>。你可以施展</t>
    </r>
    <r>
      <rPr>
        <sz val="10"/>
        <color theme="1"/>
        <rFont val="Times New Roman"/>
        <charset val="134"/>
      </rPr>
      <t xml:space="preserve"> </t>
    </r>
    <r>
      <rPr>
        <sz val="10"/>
        <color theme="1"/>
        <rFont val="宋体"/>
        <charset val="134"/>
      </rPr>
      <t>沉默术</t>
    </r>
    <r>
      <rPr>
        <sz val="10"/>
        <color theme="1"/>
        <rFont val="Times New Roman"/>
        <charset val="134"/>
      </rPr>
      <t xml:space="preserve">Silence </t>
    </r>
    <r>
      <rPr>
        <sz val="10"/>
        <color theme="1"/>
        <rFont val="宋体"/>
        <charset val="134"/>
      </rPr>
      <t>。</t>
    </r>
  </si>
  <si>
    <r>
      <rPr>
        <sz val="10"/>
        <color theme="1"/>
        <rFont val="宋体"/>
        <charset val="134"/>
      </rPr>
      <t>强力生物学</t>
    </r>
  </si>
  <si>
    <r>
      <rPr>
        <sz val="10"/>
        <color theme="1"/>
        <rFont val="宋体"/>
        <charset val="134"/>
      </rPr>
      <t>当你处于变身形态时，你获得更强大的攻击力，能够跨越敌人最强大的防御。你的大肉拳攻击视为魔法攻击，以克服对非魔法攻击和伤害的抗性和免疫。
当你用你的大肉拳发起攻击，命中一个生物时，你可以消耗一个法术位，以非自然的能量增强你的攻击力。当你如此消耗一个法术位时你额外造成</t>
    </r>
    <r>
      <rPr>
        <sz val="10"/>
        <color theme="1"/>
        <rFont val="Times New Roman"/>
        <charset val="134"/>
      </rPr>
      <t>1d8*</t>
    </r>
    <r>
      <rPr>
        <sz val="10"/>
        <color theme="1"/>
        <rFont val="宋体"/>
        <charset val="134"/>
      </rPr>
      <t>你所消耗法术位的环阶的伤害。</t>
    </r>
  </si>
  <si>
    <t>血债血偿（被动）</t>
  </si>
  <si>
    <r>
      <rPr>
        <sz val="10"/>
        <color theme="1"/>
        <rFont val="宋体"/>
        <charset val="134"/>
      </rPr>
      <t>先决：邪狱使等级</t>
    </r>
    <r>
      <rPr>
        <sz val="10"/>
        <color theme="1"/>
        <rFont val="Times New Roman"/>
        <charset val="134"/>
      </rPr>
      <t>18+</t>
    </r>
    <r>
      <rPr>
        <sz val="10"/>
        <color theme="1"/>
        <rFont val="宋体"/>
        <charset val="134"/>
      </rPr>
      <t>（猩红骑士）
每当你的盟友受到受禁生物造成的伤害时，该受禁生物都将受到等于你熟练加值的暗蚀伤害。</t>
    </r>
  </si>
  <si>
    <t>陵墓守卫</t>
  </si>
  <si>
    <t>高山之魂</t>
  </si>
  <si>
    <r>
      <rPr>
        <sz val="10"/>
        <color theme="1"/>
        <rFont val="宋体"/>
        <charset val="134"/>
      </rPr>
      <t>你利用你的愤怒来将脚牢牢锚定在大地上，化作一堵力量之墙。狂暴期间，只要你站在地面上，你就无法被非自愿的击入</t>
    </r>
    <r>
      <rPr>
        <sz val="10"/>
        <color theme="1"/>
        <rFont val="Times New Roman"/>
        <charset val="134"/>
      </rPr>
      <t xml:space="preserve"> </t>
    </r>
    <r>
      <rPr>
        <sz val="10"/>
        <color theme="1"/>
        <rFont val="宋体"/>
        <charset val="134"/>
      </rPr>
      <t>倒地</t>
    </r>
    <r>
      <rPr>
        <sz val="10"/>
        <color theme="1"/>
        <rFont val="Times New Roman"/>
        <charset val="134"/>
      </rPr>
      <t xml:space="preserve">Prone </t>
    </r>
    <r>
      <rPr>
        <sz val="10"/>
        <color theme="1"/>
        <rFont val="宋体"/>
        <charset val="134"/>
      </rPr>
      <t>，也无法被非自愿的强迫移动。</t>
    </r>
  </si>
  <si>
    <t>千面之演</t>
  </si>
  <si>
    <t>你获得以戏剧表演令观众入迷的能力。在1分钟的时间里，你可以进行一场摄人心魄的表演，并尝试使附近的生物被魅惑、恐慌或陷入昏迷（由你选择）。选择距你60尺内不超过你吟游诗人等级数量的、能听到你的生物。当表演结束时，每个目标必须通过一次对抗你法术豁免DC的感知豁免，否则将陷入你所选择的状态。
使用此特性后，你必须完成一次长休才能再次使用它。</t>
  </si>
  <si>
    <t>月亮领域法术</t>
  </si>
  <si>
    <r>
      <rPr>
        <sz val="10"/>
        <color theme="1"/>
        <rFont val="宋体"/>
        <charset val="134"/>
      </rPr>
      <t>你在月亮领域法术表格中的牧师等级获得领域法术。
月亮领域法术</t>
    </r>
    <r>
      <rPr>
        <sz val="10"/>
        <color theme="1"/>
        <rFont val="Times New Roman"/>
        <charset val="134"/>
      </rPr>
      <t xml:space="preserve"> </t>
    </r>
    <r>
      <rPr>
        <sz val="10"/>
        <color theme="1"/>
        <rFont val="宋体"/>
        <charset val="134"/>
      </rPr>
      <t>牧师等级</t>
    </r>
    <r>
      <rPr>
        <sz val="10"/>
        <color theme="1"/>
        <rFont val="Times New Roman"/>
        <charset val="134"/>
      </rPr>
      <t xml:space="preserve"> </t>
    </r>
    <r>
      <rPr>
        <sz val="10"/>
        <color theme="1"/>
        <rFont val="宋体"/>
        <charset val="134"/>
      </rPr>
      <t xml:space="preserve">法术
</t>
    </r>
    <r>
      <rPr>
        <sz val="10"/>
        <color theme="1"/>
        <rFont val="Times New Roman"/>
        <charset val="134"/>
      </rPr>
      <t xml:space="preserve">1st </t>
    </r>
    <r>
      <rPr>
        <sz val="10"/>
        <color theme="1"/>
        <rFont val="宋体"/>
        <charset val="134"/>
      </rPr>
      <t>妖火</t>
    </r>
    <r>
      <rPr>
        <sz val="10"/>
        <color theme="1"/>
        <rFont val="Times New Roman"/>
        <charset val="134"/>
      </rPr>
      <t>faerie fire</t>
    </r>
    <r>
      <rPr>
        <sz val="10"/>
        <color theme="1"/>
        <rFont val="宋体"/>
        <charset val="134"/>
      </rPr>
      <t>，无声幻影</t>
    </r>
    <r>
      <rPr>
        <sz val="10"/>
        <color theme="1"/>
        <rFont val="Times New Roman"/>
        <charset val="134"/>
      </rPr>
      <t xml:space="preserve">silent image
3rd </t>
    </r>
    <r>
      <rPr>
        <sz val="10"/>
        <color theme="1"/>
        <rFont val="宋体"/>
        <charset val="134"/>
      </rPr>
      <t>隐形术</t>
    </r>
    <r>
      <rPr>
        <sz val="10"/>
        <color theme="1"/>
        <rFont val="Times New Roman"/>
        <charset val="134"/>
      </rPr>
      <t>invisibility</t>
    </r>
    <r>
      <rPr>
        <sz val="10"/>
        <color theme="1"/>
        <rFont val="宋体"/>
        <charset val="134"/>
      </rPr>
      <t>，月华之光</t>
    </r>
    <r>
      <rPr>
        <sz val="10"/>
        <color theme="1"/>
        <rFont val="Times New Roman"/>
        <charset val="134"/>
      </rPr>
      <t xml:space="preserve">moonbeam
5th </t>
    </r>
    <r>
      <rPr>
        <sz val="10"/>
        <color theme="1"/>
        <rFont val="宋体"/>
        <charset val="134"/>
      </rPr>
      <t>催眠图纹</t>
    </r>
    <r>
      <rPr>
        <sz val="10"/>
        <color theme="1"/>
        <rFont val="Times New Roman"/>
        <charset val="134"/>
      </rPr>
      <t>hypnotic pattern</t>
    </r>
    <r>
      <rPr>
        <sz val="10"/>
        <color theme="1"/>
        <rFont val="宋体"/>
        <charset val="134"/>
      </rPr>
      <t>，高级幻影</t>
    </r>
    <r>
      <rPr>
        <sz val="10"/>
        <color theme="1"/>
        <rFont val="Times New Roman"/>
        <charset val="134"/>
      </rPr>
      <t xml:space="preserve">major image
7th </t>
    </r>
    <r>
      <rPr>
        <sz val="10"/>
        <color theme="1"/>
        <rFont val="宋体"/>
        <charset val="134"/>
      </rPr>
      <t>高等隐形术</t>
    </r>
    <r>
      <rPr>
        <sz val="10"/>
        <color theme="1"/>
        <rFont val="Times New Roman"/>
        <charset val="134"/>
      </rPr>
      <t>greater invisibility</t>
    </r>
    <r>
      <rPr>
        <sz val="10"/>
        <color theme="1"/>
        <rFont val="宋体"/>
        <charset val="134"/>
      </rPr>
      <t>，幻景</t>
    </r>
    <r>
      <rPr>
        <sz val="10"/>
        <color theme="1"/>
        <rFont val="Times New Roman"/>
        <charset val="134"/>
      </rPr>
      <t xml:space="preserve">hallucinatory terrain
9th </t>
    </r>
    <r>
      <rPr>
        <sz val="10"/>
        <color theme="1"/>
        <rFont val="宋体"/>
        <charset val="134"/>
      </rPr>
      <t>托梦术</t>
    </r>
    <r>
      <rPr>
        <sz val="10"/>
        <color theme="1"/>
        <rFont val="Times New Roman"/>
        <charset val="134"/>
      </rPr>
      <t>dream</t>
    </r>
    <r>
      <rPr>
        <sz val="10"/>
        <color theme="1"/>
        <rFont val="宋体"/>
        <charset val="134"/>
      </rPr>
      <t>，穿墙术</t>
    </r>
    <r>
      <rPr>
        <sz val="10"/>
        <color theme="1"/>
        <rFont val="Times New Roman"/>
        <charset val="134"/>
      </rPr>
      <t>passwall</t>
    </r>
  </si>
  <si>
    <t>落英化兽</t>
  </si>
  <si>
    <t>你获得了为你的花瓣注入生命的力量。以一个动作，你能唤来一个具有你所选择的生物外表的灵魄。灵魄会化作一阵强风，卷起花瓣，变为你想要的野兽形态并听从你的控制。灵魄使用兽灵bestial spirit 的数据，并具有以下变化：
它的生命值等于你的德鲁伊等级的三倍。
当它使用攻击动作时，攻击调整值等于你的法术攻击调整值。
除了原本的行走速度外。它还具有20尺的飞行速度，并且可以悬浮。
它能移动穿过其他生物占据的空间，将其视作困难地形。
兽灵出现在你的30尺内一处你选择的未占据的空间中，并在你的回合中行动。兽灵只能使用疾跑和攻击动作。如果兽灵的生命值降低为0，它会爆散成绚烂的落花。在下一回合结束前，以兽灵为中心的20尺半径区域内的所有生物都会受到法术妖火Faerie Fire的效应影响。否则，兽灵会在1分钟后或你提前解除它（无需任何动作）时消失。
11级起，当你使用该动作时，你能消耗两次该能力的使用次数召唤出两个而非一个兽灵。
你具有两次该特性的使用次数，并且你会在德鲁伊职业中提升到特定等级时获得额外的使用次数：11级（3次）、16级（4次）。你在结束一次长休后重新获得所有消耗的使用次数。</t>
  </si>
  <si>
    <r>
      <rPr>
        <sz val="10"/>
        <color theme="1"/>
        <rFont val="宋体"/>
        <charset val="134"/>
      </rPr>
      <t>坚守战线</t>
    </r>
  </si>
  <si>
    <r>
      <rPr>
        <sz val="10"/>
        <color theme="1"/>
        <rFont val="宋体"/>
        <charset val="134"/>
      </rPr>
      <t>你成为了封锁敌人的大师。
目标会承受来自于你的借机攻击当他们在你的攻击范围里移动了</t>
    </r>
    <r>
      <rPr>
        <sz val="10"/>
        <color theme="1"/>
        <rFont val="Times New Roman"/>
        <charset val="134"/>
      </rPr>
      <t>5</t>
    </r>
    <r>
      <rPr>
        <sz val="10"/>
        <color theme="1"/>
        <rFont val="宋体"/>
        <charset val="134"/>
      </rPr>
      <t>尺以上的距离，而且如果你用借机攻击击中敌人，敌人的移动速度降为</t>
    </r>
    <r>
      <rPr>
        <sz val="10"/>
        <color theme="1"/>
        <rFont val="Times New Roman"/>
        <charset val="134"/>
      </rPr>
      <t>0</t>
    </r>
    <r>
      <rPr>
        <sz val="10"/>
        <color theme="1"/>
        <rFont val="宋体"/>
        <charset val="134"/>
      </rPr>
      <t>直到当前回合结束。</t>
    </r>
  </si>
  <si>
    <t>你可以使用一把武僧武器作为你施法时的奥术法器。</t>
  </si>
  <si>
    <t>川流之誓法术</t>
  </si>
  <si>
    <t>你在相应的圣武士等级获得以下圣誓法术。
圣武士等级	法术
3级 祝福术Bless，潮覆武器Whelm Weapon
5级 寻获坐骑Find Steed，次等复原术Lesser Restoration
9级 水下呼吸Water Breathing，水上行走Water Walk
13级 行动自如freedom of movement，操控水体Control Water
17级 群体疗伤术Mass Cure Wounds，潜渡术Submerge</t>
  </si>
  <si>
    <t>第四性状</t>
  </si>
  <si>
    <t>你的病症开始对你的身体产生副作用。你选择并获得以下病症之一。
灰视Graying Vision。 你的视觉减弱，且你周遭的世界开始失去斑斓的色彩。为了适应你逐渐恶化的视力，你获得15尺范围内的盲视。此外，你可以自动侦测到视觉上的幻象，只要它们的智力（调查）检定的DC低于或等于你的游侠施法DC。
坏肺Failing Lungs。 你的肺开始作痛，每天都在不停咳嗽。有时你会觉得难以呼吸，而与此同时，你也习得了如何偷走他人的呼吸。以一个动作，你可以从一个可见生物身上夺取下一次呼吸。目标陷入倒地且不能执行反应，直到你的下个回合开始。此外，你所有的诅咒标记都会因此被消耗，并对该生物造成每个标记1d4的暗蚀伤害。
或者，你也可以将你的呼吸给予一个其他生物。每当一个你能看见的生物进行一次敏捷豁免时，你可以用你的反应给予其在该豁免中的优势，且目标的速度提高15尺，直到你的下个回合开始。
丧感Losing Feeling。 麻木渗入你的筋肉骨骼，在皮肤表层蔓延扩散。你鲜活的知觉逐渐被无边的恨意取代。你的双手和臂膀燃烧着唯你可见的冰冷以太火焰。以一个附赠动作，你可以指定60尺内的一个可见生物，以同样的诅咒之火笼罩该生物。当你对受你的火焰所笼罩的生物通过诅咒标记造成伤害时，每个诅咒标记将额外造成1d6暗蚀伤害，而非原本的1d4。
此特性在使用后，直至你完成一次短休或长休前无法再次使用。</t>
  </si>
  <si>
    <t>织网</t>
  </si>
  <si>
    <t>你可以以附赠动作魔法地从你的手掌中产生粘稠柔滑的蜘蛛网。该网在1分钟后溶解，你可以用此网执行下列动作之一：
自己拉自己Pull Yourself。你向30尺内可见一点射一条网线，将自己以直线拉去而不会引起借机攻击。当你倒地时，你可以以反应使用此特性将你拉向10尺内一点。
操作物件Manipulate Objects。你可以使用网线操纵30尺内没有被穿戴或携带的物品。例如你可以将物件拉到手上、关上门，或抓起一个重量小于 10磅的小型或更小的物体。
创建绳索Create Rope。 你可以制作一条60尺长的网绳，并将其固定在你选择的一点上。
蛛网术Web Spell。你可以在不使用法术位的情况下用此特性的附赠动作施展法术蛛网术web （DC＝8+你的敏捷调整值+熟练加值）。 使用此特性施展该法术时，网会充满1处5尺立方区域，法术持续时间变为1分钟。 你可以使用此特性施展该法术两次。 当你完成短休时重获一次已消耗的使用次数，当你完成长休时重获所以已消耗的使用次数。</t>
  </si>
  <si>
    <t>鬼之力-双眼</t>
  </si>
  <si>
    <r>
      <rPr>
        <sz val="10"/>
        <color theme="1"/>
        <rFont val="宋体"/>
        <charset val="134"/>
      </rPr>
      <t>你的双眼闪烁着近乎摄魂的光芒。以一个动作，你可以激活你天生的魅惑之眼。在接下来的</t>
    </r>
    <r>
      <rPr>
        <sz val="10"/>
        <color theme="1"/>
        <rFont val="Times New Roman"/>
        <charset val="134"/>
      </rPr>
      <t>1</t>
    </r>
    <r>
      <rPr>
        <sz val="10"/>
        <color theme="1"/>
        <rFont val="宋体"/>
        <charset val="134"/>
      </rPr>
      <t>分钟内，一名由你选择的、对你而言的非敌对生物，只要能够看到你的眼睛，你对其所有魅力检定具有优势。当该效应结束时，该生物必须进行一次感知豁免，其</t>
    </r>
    <r>
      <rPr>
        <sz val="10"/>
        <color theme="1"/>
        <rFont val="Times New Roman"/>
        <charset val="134"/>
      </rPr>
      <t>DC</t>
    </r>
    <r>
      <rPr>
        <sz val="10"/>
        <color theme="1"/>
        <rFont val="宋体"/>
        <charset val="134"/>
      </rPr>
      <t>等于你的法术豁免</t>
    </r>
    <r>
      <rPr>
        <sz val="10"/>
        <color theme="1"/>
        <rFont val="Times New Roman"/>
        <charset val="134"/>
      </rPr>
      <t>DC</t>
    </r>
    <r>
      <rPr>
        <sz val="10"/>
        <color theme="1"/>
        <rFont val="宋体"/>
        <charset val="134"/>
      </rPr>
      <t>。若成功，目标会发觉你曾用魔法影响其情绪，并会对你产生敌意。具有暴力倾向的生物可能会攻击你。取决于你与其互动的性质，其他生物可能会以不同的方式报复（由</t>
    </r>
    <r>
      <rPr>
        <sz val="10"/>
        <color theme="1"/>
        <rFont val="Times New Roman"/>
        <charset val="134"/>
      </rPr>
      <t>DM</t>
    </r>
    <r>
      <rPr>
        <sz val="10"/>
        <color theme="1"/>
        <rFont val="宋体"/>
        <charset val="134"/>
      </rPr>
      <t>决定）。</t>
    </r>
  </si>
  <si>
    <r>
      <rPr>
        <sz val="10"/>
        <color theme="1"/>
        <rFont val="宋体"/>
        <charset val="134"/>
      </rPr>
      <t>旧日支配者法术</t>
    </r>
  </si>
  <si>
    <r>
      <rPr>
        <sz val="10"/>
        <color theme="1"/>
        <rFont val="宋体"/>
        <charset val="134"/>
      </rPr>
      <t>宗主赐予的魔法使你始终准备了特定的法术。当你到达旧日支配者法术</t>
    </r>
    <r>
      <rPr>
        <sz val="10"/>
        <color theme="1"/>
        <rFont val="Times New Roman"/>
        <charset val="134"/>
      </rPr>
      <t xml:space="preserve"> </t>
    </r>
    <r>
      <rPr>
        <sz val="10"/>
        <color theme="1"/>
        <rFont val="宋体"/>
        <charset val="134"/>
      </rPr>
      <t>表中特定的魔契师等级时，你就始终准备了表中对应的法术。
旧日支配者法术</t>
    </r>
    <r>
      <rPr>
        <sz val="10"/>
        <color theme="1"/>
        <rFont val="Times New Roman"/>
        <charset val="134"/>
      </rPr>
      <t xml:space="preserve">Great Old One Spells 
</t>
    </r>
    <r>
      <rPr>
        <sz val="10"/>
        <color theme="1"/>
        <rFont val="宋体"/>
        <charset val="134"/>
      </rPr>
      <t>魔契师等级</t>
    </r>
    <r>
      <rPr>
        <sz val="10"/>
        <color theme="1"/>
        <rFont val="Times New Roman"/>
        <charset val="134"/>
      </rPr>
      <t xml:space="preserve"> </t>
    </r>
    <r>
      <rPr>
        <sz val="10"/>
        <color theme="1"/>
        <rFont val="宋体"/>
        <charset val="134"/>
      </rPr>
      <t xml:space="preserve">法术
</t>
    </r>
    <r>
      <rPr>
        <sz val="10"/>
        <color theme="1"/>
        <rFont val="Times New Roman"/>
        <charset val="134"/>
      </rPr>
      <t xml:space="preserve">3 </t>
    </r>
    <r>
      <rPr>
        <sz val="10"/>
        <color theme="1"/>
        <rFont val="宋体"/>
        <charset val="134"/>
      </rPr>
      <t>不谐低语</t>
    </r>
    <r>
      <rPr>
        <sz val="10"/>
        <color theme="1"/>
        <rFont val="Times New Roman"/>
        <charset val="134"/>
      </rPr>
      <t>Dissonant Whisper</t>
    </r>
    <r>
      <rPr>
        <sz val="10"/>
        <color theme="1"/>
        <rFont val="宋体"/>
        <charset val="134"/>
      </rPr>
      <t>，塔莎狂笑术</t>
    </r>
    <r>
      <rPr>
        <sz val="10"/>
        <color theme="1"/>
        <rFont val="Times New Roman"/>
        <charset val="134"/>
      </rPr>
      <t>Tasha’s Hideous Laughter</t>
    </r>
    <r>
      <rPr>
        <sz val="10"/>
        <color theme="1"/>
        <rFont val="宋体"/>
        <charset val="134"/>
      </rPr>
      <t>，魅影之力</t>
    </r>
    <r>
      <rPr>
        <sz val="10"/>
        <color theme="1"/>
        <rFont val="Times New Roman"/>
        <charset val="134"/>
      </rPr>
      <t>Phantasmal Force</t>
    </r>
    <r>
      <rPr>
        <sz val="10"/>
        <color theme="1"/>
        <rFont val="宋体"/>
        <charset val="134"/>
      </rPr>
      <t>，侦测思想</t>
    </r>
    <r>
      <rPr>
        <sz val="10"/>
        <color theme="1"/>
        <rFont val="Times New Roman"/>
        <charset val="134"/>
      </rPr>
      <t xml:space="preserve">Detect Thoughts 
5 </t>
    </r>
    <r>
      <rPr>
        <sz val="10"/>
        <color theme="1"/>
        <rFont val="宋体"/>
        <charset val="134"/>
      </rPr>
      <t>鹰眼术</t>
    </r>
    <r>
      <rPr>
        <sz val="10"/>
        <color theme="1"/>
        <rFont val="Times New Roman"/>
        <charset val="134"/>
      </rPr>
      <t>Clairvoyance</t>
    </r>
    <r>
      <rPr>
        <sz val="10"/>
        <color theme="1"/>
        <rFont val="宋体"/>
        <charset val="134"/>
      </rPr>
      <t>，哈达之欲</t>
    </r>
    <r>
      <rPr>
        <sz val="10"/>
        <color theme="1"/>
        <rFont val="Times New Roman"/>
        <charset val="134"/>
      </rPr>
      <t xml:space="preserve">Hunger of Hadar 
7 </t>
    </r>
    <r>
      <rPr>
        <sz val="10"/>
        <color theme="1"/>
        <rFont val="宋体"/>
        <charset val="134"/>
      </rPr>
      <t>困惑术</t>
    </r>
    <r>
      <rPr>
        <sz val="10"/>
        <color theme="1"/>
        <rFont val="Times New Roman"/>
        <charset val="134"/>
      </rPr>
      <t>Confusion</t>
    </r>
    <r>
      <rPr>
        <sz val="10"/>
        <color theme="1"/>
        <rFont val="宋体"/>
        <charset val="134"/>
      </rPr>
      <t>，异怪召唤术</t>
    </r>
    <r>
      <rPr>
        <sz val="10"/>
        <color theme="1"/>
        <rFont val="Times New Roman"/>
        <charset val="134"/>
      </rPr>
      <t xml:space="preserve">Summon Aberration 
9 </t>
    </r>
    <r>
      <rPr>
        <sz val="10"/>
        <color theme="1"/>
        <rFont val="宋体"/>
        <charset val="134"/>
      </rPr>
      <t>篡改记忆</t>
    </r>
    <r>
      <rPr>
        <sz val="10"/>
        <color theme="1"/>
        <rFont val="Times New Roman"/>
        <charset val="134"/>
      </rPr>
      <t>Modify Memory</t>
    </r>
    <r>
      <rPr>
        <sz val="10"/>
        <color theme="1"/>
        <rFont val="宋体"/>
        <charset val="134"/>
      </rPr>
      <t>，心灵遥控</t>
    </r>
    <r>
      <rPr>
        <sz val="10"/>
        <color theme="1"/>
        <rFont val="Times New Roman"/>
        <charset val="134"/>
      </rPr>
      <t xml:space="preserve">Telekinesis </t>
    </r>
  </si>
  <si>
    <t>血浓于水</t>
  </si>
  <si>
    <r>
      <rPr>
        <sz val="10"/>
        <color theme="1"/>
        <rFont val="宋体"/>
        <charset val="134"/>
      </rPr>
      <t>流淌在你血管中的鲜血已经充满了魔法的活力，能够修复创伤，保护你的生命。当一个法术或魔法效应令你回复生命值时，你额外恢复等同于你熟练加值点的生命值。</t>
    </r>
    <r>
      <rPr>
        <sz val="10"/>
        <color theme="1"/>
        <rFont val="Times New Roman"/>
        <charset val="134"/>
      </rPr>
      <t xml:space="preserve">
</t>
    </r>
    <r>
      <rPr>
        <sz val="10"/>
        <color theme="1"/>
        <rFont val="宋体"/>
        <charset val="134"/>
      </rPr>
      <t>此外，当你专注一个法术时，你获得对非魔法攻击造成的钝击、穿刺、和挥砍伤害的抗性。</t>
    </r>
  </si>
  <si>
    <r>
      <rPr>
        <sz val="10"/>
        <color theme="1"/>
        <rFont val="宋体"/>
        <charset val="134"/>
      </rPr>
      <t>痂痕烙印</t>
    </r>
  </si>
  <si>
    <r>
      <rPr>
        <sz val="10"/>
        <color theme="1"/>
        <rFont val="宋体"/>
        <charset val="134"/>
      </rPr>
      <t>你的惩戒烙印特性现在会在目标上挖出黑暗的奥术伤痕，留下对你的魔法的弱点。被你烙印的生物在对抗你的魔契师法术时，豁免具有劣势。</t>
    </r>
  </si>
  <si>
    <r>
      <rPr>
        <sz val="10"/>
        <color theme="1"/>
        <rFont val="宋体"/>
        <charset val="134"/>
      </rPr>
      <t>适应遗留</t>
    </r>
  </si>
  <si>
    <r>
      <rPr>
        <sz val="10"/>
        <color theme="1"/>
        <rFont val="宋体"/>
        <charset val="134"/>
      </rPr>
      <t>你能够利用转变后的生物学特性从死亡的魔爪下保护自己。当你在自然状态下，或变身状态下生命值减少至</t>
    </r>
    <r>
      <rPr>
        <sz val="10"/>
        <color theme="1"/>
        <rFont val="Times New Roman"/>
        <charset val="134"/>
      </rPr>
      <t>0</t>
    </r>
    <r>
      <rPr>
        <sz val="10"/>
        <color theme="1"/>
        <rFont val="宋体"/>
        <charset val="134"/>
      </rPr>
      <t xml:space="preserve">时，你的另一个自我正随时准备接管身体。
</t>
    </r>
    <r>
      <rPr>
        <sz val="10"/>
        <color theme="1"/>
        <rFont val="Times New Roman"/>
        <charset val="134"/>
      </rPr>
      <t xml:space="preserve">• </t>
    </r>
    <r>
      <rPr>
        <sz val="10"/>
        <color theme="1"/>
        <rFont val="宋体"/>
        <charset val="134"/>
      </rPr>
      <t>在自然状态下，你的生命值减少至</t>
    </r>
    <r>
      <rPr>
        <sz val="10"/>
        <color theme="1"/>
        <rFont val="Times New Roman"/>
        <charset val="134"/>
      </rPr>
      <t>0</t>
    </r>
    <r>
      <rPr>
        <sz val="10"/>
        <color theme="1"/>
        <rFont val="宋体"/>
        <charset val="134"/>
      </rPr>
      <t>时，你可以立即使用你的变形灵药</t>
    </r>
    <r>
      <rPr>
        <sz val="10"/>
        <color theme="1"/>
        <rFont val="Times New Roman"/>
        <charset val="134"/>
      </rPr>
      <t>Transmogrifying Elixir</t>
    </r>
    <r>
      <rPr>
        <sz val="10"/>
        <color theme="1"/>
        <rFont val="宋体"/>
        <charset val="134"/>
      </rPr>
      <t xml:space="preserve">特性如常第消耗一个法术位。当你这样做时，你恢复等同于你药剂师等级的生命值（同时正常额外地获得变身的临时生命值）。
</t>
    </r>
    <r>
      <rPr>
        <sz val="10"/>
        <color theme="1"/>
        <rFont val="Times New Roman"/>
        <charset val="134"/>
      </rPr>
      <t xml:space="preserve">• </t>
    </r>
    <r>
      <rPr>
        <sz val="10"/>
        <color theme="1"/>
        <rFont val="宋体"/>
        <charset val="134"/>
      </rPr>
      <t>在变身状态下，你的生命值减少至</t>
    </r>
    <r>
      <rPr>
        <sz val="10"/>
        <color theme="1"/>
        <rFont val="Times New Roman"/>
        <charset val="134"/>
      </rPr>
      <t>0</t>
    </r>
    <r>
      <rPr>
        <sz val="10"/>
        <color theme="1"/>
        <rFont val="宋体"/>
        <charset val="134"/>
      </rPr>
      <t>时，你恢复自然形态并保留</t>
    </r>
    <r>
      <rPr>
        <sz val="10"/>
        <color theme="1"/>
        <rFont val="Times New Roman"/>
        <charset val="134"/>
      </rPr>
      <t>1</t>
    </r>
    <r>
      <rPr>
        <sz val="10"/>
        <color theme="1"/>
        <rFont val="宋体"/>
        <charset val="134"/>
      </rPr>
      <t>点生命值。如果这样，你不能再次变身直到你完成了一次短休或长休。</t>
    </r>
  </si>
  <si>
    <t>暗影戒律</t>
  </si>
  <si>
    <t>影宗在加入墟寂教团时向彼列立下誓言。这些戒律要求他们先为彼列的敌人服务再向他们揭露自己的身份。
连环计。我的敌人绝不会发现我的真实目的。我可以牺牲自己以推动计划成功。
权力的位置。我知道应当欺骗谁，应当在哪里藏身，我将在阴影中操控一切。
耐心的力量。我研究我的敌人，与他们一步一步建立信任。我的忠诚不可置疑，我的背叛无人置信。
犹豫就会败北。我通常依靠代理，但机会出现时，我的杀戮亦是精准且高效。</t>
  </si>
  <si>
    <t>破锋者</t>
  </si>
  <si>
    <t>摧枯拉朽</t>
  </si>
  <si>
    <r>
      <rPr>
        <sz val="10"/>
        <color theme="1"/>
        <rFont val="宋体"/>
        <charset val="134"/>
      </rPr>
      <t>你的近战武器攻击对构装生物额外造成</t>
    </r>
    <r>
      <rPr>
        <sz val="10"/>
        <color theme="1"/>
        <rFont val="Times New Roman"/>
        <charset val="134"/>
      </rPr>
      <t>1d8</t>
    </r>
    <r>
      <rPr>
        <sz val="10"/>
        <color theme="1"/>
        <rFont val="宋体"/>
        <charset val="134"/>
      </rPr>
      <t>伤害，对物件和建筑物造成双倍伤害。</t>
    </r>
  </si>
  <si>
    <t>般若面</t>
  </si>
  <si>
    <t>当戴着此面具时，你获得奥法记忆和魔眼两种能力。
奥法记忆Arcane Memory。 戴着此面具时，你可以使用一个动作并消耗一环或更高环位的法术位，魔法般地得知你指定的生物或物体在过去24小时内是否出现在以你当前位置为中心的20尺半径范围内。如果你消耗三环或更高环位的法术位，你会获得该生物或物体在此处时的简短幻象，并得知其确切出现时间。
魔眼Demon Eye。 以一个动作，你获得魔法般地透视固体物体的能力，范围为15尺。你的视觉可穿透大多数屏障，但会被1尺厚的石头、1寸厚的普通金属、一层薄铅片或3尺厚的木材或泥土阻挡。</t>
  </si>
  <si>
    <t>银月明光</t>
  </si>
  <si>
    <r>
      <rPr>
        <sz val="10"/>
        <color theme="1"/>
        <rFont val="宋体"/>
        <charset val="134"/>
      </rPr>
      <t>在选择该领域时，你学会了如何在你想守护之人的心智最危险的时候向其映射光亮，并用这光亮化作护盾保护他们。当你身边</t>
    </r>
    <r>
      <rPr>
        <sz val="10"/>
        <color theme="1"/>
        <rFont val="宋体"/>
        <charset val="134"/>
      </rPr>
      <t>30</t>
    </r>
    <r>
      <rPr>
        <sz val="10"/>
        <color theme="1"/>
        <rFont val="宋体"/>
        <charset val="134"/>
      </rPr>
      <t>尺内一个你可见的生物进行感知豁免时，你可以用你的反应令本次豁免获得优势。
你可以使用本特性的次数等同于你的熟练加值次。而你在完成一次长休后，你重获所有已消耗的使用次数。</t>
    </r>
  </si>
  <si>
    <t>胧忆之灵</t>
  </si>
  <si>
    <t>胧忆岛之灵会以微小或恢弘的形式为你提供帮助。当进行感知（求生）检定寻找路径或生物时，风都会将一团灿烂的白色花瓣吹向你寻找的方向。在进行这些检定时，你具有优势。
此外，你可以以一个动作魔法地唤来大量的花瓣，形成一道宏伟的壁障。在你能看见的空间中，会出现一道旋转的花瓣组成的墙壁。这道墙壁宽1尺，高15尺，最多能有60尺长。它能朝向你选择的任意方向，可以水平、垂直或具有一定斜角。它可以浮在空中或放置于固体表面上。如果墙壁出现时穿过了一个生物的所占据空间，这该生物将会被推到墙壁的一侧（你可以选择哪一侧）。
除了你选择的生物之外，一切都无法物理穿过这道墙壁。它免疫所有伤害，花瓣会神奇地补上攻击或效应创造出的缺口。这道花墙会持续存在等于你德鲁伊等级的分钟数。
一旦你使用了花墙，直到你结束一次长休为止，你无法再次使用它。</t>
  </si>
  <si>
    <r>
      <rPr>
        <sz val="10"/>
        <color theme="1"/>
        <rFont val="宋体"/>
        <charset val="134"/>
      </rPr>
      <t>野蛮冲撞</t>
    </r>
  </si>
  <si>
    <r>
      <rPr>
        <sz val="10"/>
        <color theme="1"/>
        <rFont val="宋体"/>
        <charset val="134"/>
      </rPr>
      <t>你能够冲击你的敌人。
无论你是否乘骑，如果你在攻击一名角色前至少直线移动</t>
    </r>
    <r>
      <rPr>
        <sz val="10"/>
        <color theme="1"/>
        <rFont val="Times New Roman"/>
        <charset val="134"/>
      </rPr>
      <t>10</t>
    </r>
    <r>
      <rPr>
        <sz val="10"/>
        <color theme="1"/>
        <rFont val="宋体"/>
        <charset val="134"/>
      </rPr>
      <t>尺且这次攻击成功，目标必须通过一个力量豁免（</t>
    </r>
    <r>
      <rPr>
        <sz val="10"/>
        <color theme="1"/>
        <rFont val="Times New Roman"/>
        <charset val="134"/>
      </rPr>
      <t>DC8+</t>
    </r>
    <r>
      <rPr>
        <sz val="10"/>
        <color theme="1"/>
        <rFont val="宋体"/>
        <charset val="134"/>
      </rPr>
      <t>你的熟练调整值</t>
    </r>
    <r>
      <rPr>
        <sz val="10"/>
        <color theme="1"/>
        <rFont val="Times New Roman"/>
        <charset val="134"/>
      </rPr>
      <t>+</t>
    </r>
    <r>
      <rPr>
        <sz val="10"/>
        <color theme="1"/>
        <rFont val="宋体"/>
        <charset val="134"/>
      </rPr>
      <t>你的力量调整值）或者被击倒，每到你的回合你都可以使用一次该特性。</t>
    </r>
  </si>
  <si>
    <t>魔能疾风</t>
  </si>
  <si>
    <t>每当你在你的回合内执行攻击动作时，你可以将其中的一次攻击替换为施放一个已知戏法。当你使用疾风连击时，你可以以附赠动作施放一个施法时间为1动作的法术来取代徒手打击。最后，当你使用你的动作进行施法时，你可以将此动作视为使用武僧武器执行了一次攻击，以此满足使用其他武僧特性的条件。</t>
  </si>
  <si>
    <t>在选择本誓言时，你获得以下两种引导神力选项。
急流冲击Rushing Rapids。以一个动作，你能在以自身为中心20尺半径范围内激起一股强劲的水浪。在范围内你选择的大型或更小体型的生物必须通过一次力量豁免，否则会被推离5尺。
祝福之池Blessed Pool。以一个附赠动作，你说出温和而鼓舞人心的话语来激励并治愈你的盟友。你可以选择30尺内你可见的生物，数量最多等于你的魅力调整值的两倍（最少2个）。所选的生物恢复2d6点生命值。</t>
  </si>
  <si>
    <t>第五性状</t>
  </si>
  <si>
    <t>你能够唤起侵蚀的力量并极大程度地改变你的天生能力。以一个附赠动作，你可以令此特性生效，你的步行速度翻倍，你的AC获得2点加值，并且当你执行攻击动作时你可以发动两次额外的攻击。此外，你在发动所有攻击时都视作你持有最大数量的诅咒标记。此特性效果持续至你的下个回合开始。你可以在两次长休间不受副作用地使用一次此特性。
如果你在完成一次长休前第二次使用此特性，那么除了特性效果会在你的下个回合开始时结束外，你还会获得1级力竭，如果你在自己的回合开始时生命值大于1点，你的生命值立刻降至1点。
一旦你第二次使用此特性，你不能再次使用它，直到你完成一次长休。</t>
  </si>
  <si>
    <t>毒液打击</t>
  </si>
  <si>
    <t>当你对一个生物造成偷袭伤害时，你可以选择将偷袭的伤害骰改为d8的毒素伤害而不是与武器类型相同的d6骰。</t>
  </si>
  <si>
    <t>鬼之力-双角</t>
  </si>
  <si>
    <r>
      <rPr>
        <sz val="10"/>
        <color theme="1"/>
        <rFont val="宋体"/>
        <charset val="134"/>
      </rPr>
      <t>你的额头迅速长出一对突出的角。当你施展一个需要进行近战法术或远程法术攻击检定的戏法时，你可以用双角进行一次近战法术攻击检定，通过它们引导法术来代替。当你用以此法施展的戏法命中一名生物时，目标受到额外的</t>
    </r>
    <r>
      <rPr>
        <sz val="10"/>
        <color theme="1"/>
        <rFont val="Times New Roman"/>
        <charset val="134"/>
      </rPr>
      <t>1d6</t>
    </r>
    <r>
      <rPr>
        <sz val="10"/>
        <color theme="1"/>
        <rFont val="宋体"/>
        <charset val="134"/>
      </rPr>
      <t>穿刺伤害。</t>
    </r>
    <r>
      <rPr>
        <sz val="10"/>
        <color theme="1"/>
        <rFont val="Times New Roman"/>
        <charset val="134"/>
      </rPr>
      <t xml:space="preserve">
</t>
    </r>
    <r>
      <rPr>
        <sz val="10"/>
        <color theme="1"/>
        <rFont val="宋体"/>
        <charset val="134"/>
      </rPr>
      <t>此外，当一名敌对生物的移动引起你的借机攻击时，你能用的你的反应来对这个生物用双角施展一道戏法，而非发动一次借机攻击。这道法术的施法时间必须为</t>
    </r>
    <r>
      <rPr>
        <sz val="10"/>
        <color theme="1"/>
        <rFont val="Times New Roman"/>
        <charset val="134"/>
      </rPr>
      <t>1</t>
    </r>
    <r>
      <rPr>
        <sz val="10"/>
        <color theme="1"/>
        <rFont val="宋体"/>
        <charset val="134"/>
      </rPr>
      <t>动作，且必须将该生物选为法术的唯一目标。</t>
    </r>
  </si>
  <si>
    <r>
      <rPr>
        <sz val="10"/>
        <color theme="1"/>
        <rFont val="宋体"/>
        <charset val="134"/>
      </rPr>
      <t>唤醒心灵</t>
    </r>
  </si>
  <si>
    <r>
      <rPr>
        <sz val="10"/>
        <color theme="1"/>
        <rFont val="宋体"/>
        <charset val="134"/>
      </rPr>
      <t>你的心灵可以与其它心灵建立感应联系。以一个附赠动作，你指定一个位于你</t>
    </r>
    <r>
      <rPr>
        <sz val="10"/>
        <color theme="1"/>
        <rFont val="Times New Roman"/>
        <charset val="134"/>
      </rPr>
      <t>30</t>
    </r>
    <r>
      <rPr>
        <sz val="10"/>
        <color theme="1"/>
        <rFont val="宋体"/>
        <charset val="134"/>
      </rPr>
      <t>尺内的可见生物并创造一道心灵连结。当你与目标相距不超过等于你魅力调整值（至少</t>
    </r>
    <r>
      <rPr>
        <sz val="10"/>
        <color theme="1"/>
        <rFont val="Times New Roman"/>
        <charset val="134"/>
      </rPr>
      <t>1</t>
    </r>
    <r>
      <rPr>
        <sz val="10"/>
        <color theme="1"/>
        <rFont val="宋体"/>
        <charset val="134"/>
      </rPr>
      <t>英里）的英里数时，你们便可以互相用心灵感应交谈。为了理解彼此，你们都必须在心灵交流中使用一种对方具有的语言。
这道心灵连结持续等于你魔契师等级的分钟。它也会在你使用此特性形成另一道心灵连结时提前结束。</t>
    </r>
  </si>
  <si>
    <t>奥术纸艺</t>
  </si>
  <si>
    <t>你学会将魔法编织入折纸之中，使其化作精妙绝伦的动态艺术品，并为你效力。
你可以使用附赠动作折叠一个纸制构装并为其注入生命，你从如下列表中选择纸制构装的形态。制作完成后，折纸构装会与你或你周边60尺范围内一个你选择的其他可见生物绑定。
拥有绑定折纸构装的生物会获得该构装的独特效应和特性。除非另有说明，否则一个生物同一时间不能绑定超过一个相同的折纸构装。绑定构装占据与其绑定的生物相同的空间。
这些折纸构装的生命持续时间等于你法师等级的一半（以小时计）。折纸构装的AC等于你的法术豁免DC，并且具有毒素与心灵伤害免疫。一旦受到任何伤害，折纸构装即被摧毁。你可以使用此特性创造折纸构装的次数等于你的熟练加值，并在完成一次长休后恢复所有已消耗的次数。
折纸构装 Origami Constructs
折纸构装按字母顺序排列。
鸟Bird。当折纸鸟与你绑定期间，你获得察觉技能的熟练项。此外，每当你以远程攻击命中目标时，该攻击会额外造成2挥砍伤害。
猫Cat。当折纸猫与你绑定期间，你获得隐匿技能的熟练项。此外，每回合一次，当你以近战武器攻击命中目标时，折纸猫可以对同一目标发动一次近战法术攻击。该攻击的命中加值等于你的武器攻击加值，命中时造成1d6挥砍伤害。此伤害在你到达该职业的更高等级时提升：5级时变为1d8，11级时变为1d10，17级时变为1d12。
蟹Crab。当折纸蟹与你绑定期间，你的AC获得+1加值，并获得运动技能的熟练项。如果制造该折纸蟹的法师创造了另一只折纸蟹，则先前的折纸蟹会被摧毁。
龙Dragon。当折纸龙与你绑定期间，你在敏捷（隐匿）检定中具有劣势，并且无法从隐形状态中受益。此外，你会在自己的每个回合开始时受到1d4火焰伤害。你可以同时绑定多个折纸龙。当折纸龙被摧毁时，它会伴随一次清晰可闻的爆裂声，对其5尺内的每个生物造成2d6火焰伤害。
蛙Frog。当折纸蛙与你绑定期间，你获得特技技能的熟练项。当你即将在一次敏捷豁免中失败时，你可以使用反应在检定结果上获得加值，该加值等于制造该构装的法师的施法属性调整值。使用此特性会摧毁折纸蛙。</t>
  </si>
  <si>
    <r>
      <rPr>
        <sz val="10"/>
        <color theme="1"/>
        <rFont val="宋体"/>
        <charset val="134"/>
      </rPr>
      <t>奥秘展露</t>
    </r>
  </si>
  <si>
    <r>
      <rPr>
        <sz val="10"/>
        <color theme="1"/>
        <rFont val="宋体"/>
        <charset val="134"/>
      </rPr>
      <t>你的宗主根据根据你的契约再授予你一个法术，你可以不用任何法术位释放这个法术一次，那之后直到完成长休前你都不能再次施展它。
至高妖精</t>
    </r>
    <r>
      <rPr>
        <sz val="10"/>
        <color theme="1"/>
        <rFont val="Times New Roman"/>
        <charset val="134"/>
      </rPr>
      <t>The Archfey</t>
    </r>
    <r>
      <rPr>
        <sz val="10"/>
        <color theme="1"/>
        <rFont val="宋体"/>
        <charset val="134"/>
      </rPr>
      <t>。你可以施展</t>
    </r>
    <r>
      <rPr>
        <sz val="10"/>
        <color theme="1"/>
        <rFont val="Times New Roman"/>
        <charset val="134"/>
      </rPr>
      <t xml:space="preserve"> </t>
    </r>
    <r>
      <rPr>
        <sz val="10"/>
        <color theme="1"/>
        <rFont val="宋体"/>
        <charset val="134"/>
      </rPr>
      <t>缓慢术</t>
    </r>
    <r>
      <rPr>
        <sz val="10"/>
        <color theme="1"/>
        <rFont val="Times New Roman"/>
        <charset val="134"/>
      </rPr>
      <t xml:space="preserve">Slow </t>
    </r>
    <r>
      <rPr>
        <sz val="10"/>
        <color theme="1"/>
        <rFont val="宋体"/>
        <charset val="134"/>
      </rPr>
      <t>。
天界</t>
    </r>
    <r>
      <rPr>
        <sz val="10"/>
        <color theme="1"/>
        <rFont val="Times New Roman"/>
        <charset val="134"/>
      </rPr>
      <t>The Celestial</t>
    </r>
    <r>
      <rPr>
        <sz val="10"/>
        <color theme="1"/>
        <rFont val="宋体"/>
        <charset val="134"/>
      </rPr>
      <t>。你可以施展</t>
    </r>
    <r>
      <rPr>
        <sz val="10"/>
        <color theme="1"/>
        <rFont val="Times New Roman"/>
        <charset val="134"/>
      </rPr>
      <t xml:space="preserve"> </t>
    </r>
    <r>
      <rPr>
        <sz val="10"/>
        <color theme="1"/>
        <rFont val="宋体"/>
        <charset val="134"/>
      </rPr>
      <t>回生术</t>
    </r>
    <r>
      <rPr>
        <sz val="10"/>
        <color theme="1"/>
        <rFont val="Times New Roman"/>
        <charset val="134"/>
      </rPr>
      <t xml:space="preserve">Revivify </t>
    </r>
    <r>
      <rPr>
        <sz val="10"/>
        <color theme="1"/>
        <rFont val="宋体"/>
        <charset val="134"/>
      </rPr>
      <t>。
深海意志</t>
    </r>
    <r>
      <rPr>
        <sz val="10"/>
        <color theme="1"/>
        <rFont val="Times New Roman"/>
        <charset val="134"/>
      </rPr>
      <t>The Fathomless</t>
    </r>
    <r>
      <rPr>
        <sz val="10"/>
        <color theme="1"/>
        <rFont val="宋体"/>
        <charset val="134"/>
      </rPr>
      <t>。你可以施展</t>
    </r>
    <r>
      <rPr>
        <sz val="10"/>
        <color theme="1"/>
        <rFont val="Times New Roman"/>
        <charset val="134"/>
      </rPr>
      <t xml:space="preserve"> </t>
    </r>
    <r>
      <rPr>
        <sz val="10"/>
        <color theme="1"/>
        <rFont val="宋体"/>
        <charset val="134"/>
      </rPr>
      <t>闪电束</t>
    </r>
    <r>
      <rPr>
        <sz val="10"/>
        <color theme="1"/>
        <rFont val="Times New Roman"/>
        <charset val="134"/>
      </rPr>
      <t xml:space="preserve">Lightning Bolt </t>
    </r>
    <r>
      <rPr>
        <sz val="10"/>
        <color theme="1"/>
        <rFont val="宋体"/>
        <charset val="134"/>
      </rPr>
      <t>。
邪魔</t>
    </r>
    <r>
      <rPr>
        <sz val="10"/>
        <color theme="1"/>
        <rFont val="Times New Roman"/>
        <charset val="134"/>
      </rPr>
      <t>The Fiend</t>
    </r>
    <r>
      <rPr>
        <sz val="10"/>
        <color theme="1"/>
        <rFont val="宋体"/>
        <charset val="134"/>
      </rPr>
      <t>。你可以施展</t>
    </r>
    <r>
      <rPr>
        <sz val="10"/>
        <color theme="1"/>
        <rFont val="Times New Roman"/>
        <charset val="134"/>
      </rPr>
      <t xml:space="preserve"> </t>
    </r>
    <r>
      <rPr>
        <sz val="10"/>
        <color theme="1"/>
        <rFont val="宋体"/>
        <charset val="134"/>
      </rPr>
      <t>火球术</t>
    </r>
    <r>
      <rPr>
        <sz val="10"/>
        <color theme="1"/>
        <rFont val="Times New Roman"/>
        <charset val="134"/>
      </rPr>
      <t xml:space="preserve">Fireball </t>
    </r>
    <r>
      <rPr>
        <sz val="10"/>
        <color theme="1"/>
        <rFont val="宋体"/>
        <charset val="134"/>
      </rPr>
      <t>。
巨灵</t>
    </r>
    <r>
      <rPr>
        <sz val="10"/>
        <color theme="1"/>
        <rFont val="Times New Roman"/>
        <charset val="134"/>
      </rPr>
      <t>The Genie</t>
    </r>
    <r>
      <rPr>
        <sz val="10"/>
        <color theme="1"/>
        <rFont val="宋体"/>
        <charset val="134"/>
      </rPr>
      <t>。你可以施展</t>
    </r>
    <r>
      <rPr>
        <sz val="10"/>
        <color theme="1"/>
        <rFont val="Times New Roman"/>
        <charset val="134"/>
      </rPr>
      <t xml:space="preserve"> </t>
    </r>
    <r>
      <rPr>
        <sz val="10"/>
        <color theme="1"/>
        <rFont val="宋体"/>
        <charset val="134"/>
      </rPr>
      <t>防护能量</t>
    </r>
    <r>
      <rPr>
        <sz val="10"/>
        <color theme="1"/>
        <rFont val="Times New Roman"/>
        <charset val="134"/>
      </rPr>
      <t xml:space="preserve">Protection from Energy </t>
    </r>
    <r>
      <rPr>
        <sz val="10"/>
        <color theme="1"/>
        <rFont val="宋体"/>
        <charset val="134"/>
      </rPr>
      <t>。
旧日支配者</t>
    </r>
    <r>
      <rPr>
        <sz val="10"/>
        <color theme="1"/>
        <rFont val="Times New Roman"/>
        <charset val="134"/>
      </rPr>
      <t>The Great Old One</t>
    </r>
    <r>
      <rPr>
        <sz val="10"/>
        <color theme="1"/>
        <rFont val="宋体"/>
        <charset val="134"/>
      </rPr>
      <t>。你可以施展</t>
    </r>
    <r>
      <rPr>
        <sz val="10"/>
        <color theme="1"/>
        <rFont val="Times New Roman"/>
        <charset val="134"/>
      </rPr>
      <t xml:space="preserve"> </t>
    </r>
    <r>
      <rPr>
        <sz val="10"/>
        <color theme="1"/>
        <rFont val="宋体"/>
        <charset val="134"/>
      </rPr>
      <t>加速术</t>
    </r>
    <r>
      <rPr>
        <sz val="10"/>
        <color theme="1"/>
        <rFont val="Times New Roman"/>
        <charset val="134"/>
      </rPr>
      <t xml:space="preserve">Haste </t>
    </r>
    <r>
      <rPr>
        <sz val="10"/>
        <color theme="1"/>
        <rFont val="宋体"/>
        <charset val="134"/>
      </rPr>
      <t>。
咒剑</t>
    </r>
    <r>
      <rPr>
        <sz val="10"/>
        <color theme="1"/>
        <rFont val="Times New Roman"/>
        <charset val="134"/>
      </rPr>
      <t>The Hexblade</t>
    </r>
    <r>
      <rPr>
        <sz val="10"/>
        <color theme="1"/>
        <rFont val="宋体"/>
        <charset val="134"/>
      </rPr>
      <t>。你可以施展</t>
    </r>
    <r>
      <rPr>
        <sz val="10"/>
        <color theme="1"/>
        <rFont val="Times New Roman"/>
        <charset val="134"/>
      </rPr>
      <t xml:space="preserve"> </t>
    </r>
    <r>
      <rPr>
        <sz val="10"/>
        <color theme="1"/>
        <rFont val="宋体"/>
        <charset val="134"/>
      </rPr>
      <t>闪现术</t>
    </r>
    <r>
      <rPr>
        <sz val="10"/>
        <color theme="1"/>
        <rFont val="Times New Roman"/>
        <charset val="134"/>
      </rPr>
      <t xml:space="preserve">Blink </t>
    </r>
    <r>
      <rPr>
        <sz val="10"/>
        <color theme="1"/>
        <rFont val="宋体"/>
        <charset val="134"/>
      </rPr>
      <t>。
死灵</t>
    </r>
    <r>
      <rPr>
        <sz val="10"/>
        <color theme="1"/>
        <rFont val="Times New Roman"/>
        <charset val="134"/>
      </rPr>
      <t>The Undead</t>
    </r>
    <r>
      <rPr>
        <sz val="10"/>
        <color theme="1"/>
        <rFont val="宋体"/>
        <charset val="134"/>
      </rPr>
      <t>。你可以施展</t>
    </r>
    <r>
      <rPr>
        <sz val="10"/>
        <color theme="1"/>
        <rFont val="Times New Roman"/>
        <charset val="134"/>
      </rPr>
      <t xml:space="preserve"> </t>
    </r>
    <r>
      <rPr>
        <sz val="10"/>
        <color theme="1"/>
        <rFont val="宋体"/>
        <charset val="134"/>
      </rPr>
      <t>死者交谈</t>
    </r>
    <r>
      <rPr>
        <sz val="10"/>
        <color theme="1"/>
        <rFont val="Times New Roman"/>
        <charset val="134"/>
      </rPr>
      <t>Speak with Dead .</t>
    </r>
    <r>
      <rPr>
        <sz val="10"/>
        <color theme="1"/>
        <rFont val="宋体"/>
        <charset val="134"/>
      </rPr>
      <t>。
不朽者</t>
    </r>
    <r>
      <rPr>
        <sz val="10"/>
        <color theme="1"/>
        <rFont val="Times New Roman"/>
        <charset val="134"/>
      </rPr>
      <t>The Undying</t>
    </r>
    <r>
      <rPr>
        <sz val="10"/>
        <color theme="1"/>
        <rFont val="宋体"/>
        <charset val="134"/>
      </rPr>
      <t>。你可以施展</t>
    </r>
    <r>
      <rPr>
        <sz val="10"/>
        <color theme="1"/>
        <rFont val="Times New Roman"/>
        <charset val="134"/>
      </rPr>
      <t xml:space="preserve"> </t>
    </r>
    <r>
      <rPr>
        <sz val="10"/>
        <color theme="1"/>
        <rFont val="宋体"/>
        <charset val="134"/>
      </rPr>
      <t>降咒</t>
    </r>
    <r>
      <rPr>
        <sz val="10"/>
        <color theme="1"/>
        <rFont val="Times New Roman"/>
        <charset val="134"/>
      </rPr>
      <t xml:space="preserve">Bestow Curse </t>
    </r>
    <r>
      <rPr>
        <sz val="10"/>
        <color theme="1"/>
        <rFont val="宋体"/>
        <charset val="134"/>
      </rPr>
      <t>。</t>
    </r>
  </si>
  <si>
    <r>
      <rPr>
        <sz val="10"/>
        <color theme="1"/>
        <rFont val="宋体"/>
        <charset val="134"/>
      </rPr>
      <t>异常进化</t>
    </r>
  </si>
  <si>
    <r>
      <rPr>
        <sz val="10"/>
        <color theme="1"/>
        <rFont val="宋体"/>
        <charset val="134"/>
      </rPr>
      <t>你可以使用大公式</t>
    </r>
    <r>
      <rPr>
        <sz val="10"/>
        <color theme="1"/>
        <rFont val="Times New Roman"/>
        <charset val="134"/>
      </rPr>
      <t>Greater Formulas</t>
    </r>
    <r>
      <rPr>
        <sz val="10"/>
        <color theme="1"/>
        <rFont val="宋体"/>
        <charset val="134"/>
      </rPr>
      <t xml:space="preserve">特性来变身，其等同于你消耗了一个对应环阶的法术位。当你如此变身时，你获得以下列出的一种额外的基因突变。
</t>
    </r>
    <r>
      <rPr>
        <sz val="10"/>
        <color theme="1"/>
        <rFont val="Times New Roman"/>
        <charset val="134"/>
      </rPr>
      <t xml:space="preserve">• </t>
    </r>
    <r>
      <rPr>
        <sz val="10"/>
        <color theme="1"/>
        <rFont val="宋体"/>
        <charset val="134"/>
      </rPr>
      <t>龙族基因</t>
    </r>
    <r>
      <rPr>
        <sz val="10"/>
        <color theme="1"/>
        <rFont val="Times New Roman"/>
        <charset val="134"/>
      </rPr>
      <t>Draconic Genome</t>
    </r>
    <r>
      <rPr>
        <sz val="10"/>
        <color theme="1"/>
        <rFont val="宋体"/>
        <charset val="134"/>
      </rPr>
      <t>。你从后背长出肉质翅膀并且你的皮肤转变成鳞片状。你获得等同于你移动速度的飞行速度，并且以一个动作，你可以在</t>
    </r>
    <r>
      <rPr>
        <sz val="10"/>
        <color theme="1"/>
        <rFont val="Times New Roman"/>
        <charset val="134"/>
      </rPr>
      <t>30</t>
    </r>
    <r>
      <rPr>
        <sz val="10"/>
        <color theme="1"/>
        <rFont val="宋体"/>
        <charset val="134"/>
      </rPr>
      <t>尺锥形范围内喷吐出胆汁。区域内的所有生物必须成功通过一次对抗你施法</t>
    </r>
    <r>
      <rPr>
        <sz val="10"/>
        <color theme="1"/>
        <rFont val="Times New Roman"/>
        <charset val="134"/>
      </rPr>
      <t>DC</t>
    </r>
    <r>
      <rPr>
        <sz val="10"/>
        <color theme="1"/>
        <rFont val="宋体"/>
        <charset val="134"/>
      </rPr>
      <t>的体质豁免，否则将承受</t>
    </r>
    <r>
      <rPr>
        <sz val="10"/>
        <color theme="1"/>
        <rFont val="Times New Roman"/>
        <charset val="134"/>
      </rPr>
      <t>8d6</t>
    </r>
    <r>
      <rPr>
        <sz val="10"/>
        <color theme="1"/>
        <rFont val="宋体"/>
        <charset val="134"/>
      </rPr>
      <t xml:space="preserve">点强酸伤害，豁免成功则伤害减半。一旦你使用了该特性，你不能再次使用它直到你完成了一次短休或长休。
</t>
    </r>
    <r>
      <rPr>
        <sz val="10"/>
        <color theme="1"/>
        <rFont val="Times New Roman"/>
        <charset val="134"/>
      </rPr>
      <t xml:space="preserve">• </t>
    </r>
    <r>
      <rPr>
        <sz val="10"/>
        <color theme="1"/>
        <rFont val="宋体"/>
        <charset val="134"/>
      </rPr>
      <t>巨人基因</t>
    </r>
    <r>
      <rPr>
        <sz val="10"/>
        <color theme="1"/>
        <rFont val="Times New Roman"/>
        <charset val="134"/>
      </rPr>
      <t>Giant Genome</t>
    </r>
    <r>
      <rPr>
        <sz val="10"/>
        <color theme="1"/>
        <rFont val="宋体"/>
        <charset val="134"/>
      </rPr>
      <t>。你变成一个由肉块和肌肉组成的大块头，将你自己化身成一个活生生的攻城机器。你的体型变为巨型，并且对物件和建筑物造成双倍的伤害。以一个动作，你可以在自己的回合内消耗一个法术位，用你的拳头猛击地面，让冲击波和碎石向你四周飞溅。以你为中心半径</t>
    </r>
    <r>
      <rPr>
        <sz val="10"/>
        <color theme="1"/>
        <rFont val="Times New Roman"/>
        <charset val="134"/>
      </rPr>
      <t>30</t>
    </r>
    <r>
      <rPr>
        <sz val="10"/>
        <color theme="1"/>
        <rFont val="宋体"/>
        <charset val="134"/>
      </rPr>
      <t>尺范围内的所有生物必须通过一次对抗你施法豁免</t>
    </r>
    <r>
      <rPr>
        <sz val="10"/>
        <color theme="1"/>
        <rFont val="Times New Roman"/>
        <charset val="134"/>
      </rPr>
      <t>DC</t>
    </r>
    <r>
      <rPr>
        <sz val="10"/>
        <color theme="1"/>
        <rFont val="宋体"/>
        <charset val="134"/>
      </rPr>
      <t>的敏捷检定，失败则承受</t>
    </r>
    <r>
      <rPr>
        <sz val="10"/>
        <color theme="1"/>
        <rFont val="Times New Roman"/>
        <charset val="134"/>
      </rPr>
      <t>8d6</t>
    </r>
    <r>
      <rPr>
        <sz val="10"/>
        <color theme="1"/>
        <rFont val="宋体"/>
        <charset val="134"/>
      </rPr>
      <t xml:space="preserve">点钝击伤害并受击倒地。若豁免检定成功，则伤害减半并且不会倒地。
</t>
    </r>
    <r>
      <rPr>
        <sz val="10"/>
        <color theme="1"/>
        <rFont val="Times New Roman"/>
        <charset val="134"/>
      </rPr>
      <t xml:space="preserve">• </t>
    </r>
    <r>
      <rPr>
        <sz val="10"/>
        <color theme="1"/>
        <rFont val="宋体"/>
        <charset val="134"/>
      </rPr>
      <t>小脑基因</t>
    </r>
    <r>
      <rPr>
        <sz val="10"/>
        <color theme="1"/>
        <rFont val="Times New Roman"/>
        <charset val="134"/>
      </rPr>
      <t>Cerebellum Genome</t>
    </r>
    <r>
      <rPr>
        <sz val="10"/>
        <color theme="1"/>
        <rFont val="宋体"/>
        <charset val="134"/>
      </rPr>
      <t>。在你变身时，你保有了部分的神智，允许你残余的部分知识徘徊在你畸形的大脑里。现在当你处于变身状态时，你有能力保留施法专注。当你处于变身状态时，你的专注不会因受到伤害而被打断。</t>
    </r>
  </si>
  <si>
    <t>死亡印记</t>
  </si>
  <si>
    <t>你善于应对被你标记为死亡的敌人。在你的每个回合中，你对受禁生物发动的首次攻击具有优势。</t>
  </si>
  <si>
    <t>法外狂徒</t>
  </si>
  <si>
    <t>坚不可移</t>
  </si>
  <si>
    <r>
      <rPr>
        <sz val="10"/>
        <color theme="1"/>
        <rFont val="宋体"/>
        <charset val="134"/>
      </rPr>
      <t>你能临时性的调配你的战斗能力，让自己成为一堵防御之墙。在你的回合开始时（无需动作），你能够使自己进入防御姿态，持续直至你的下个回合开始。在这一姿态下，你无法被</t>
    </r>
    <r>
      <rPr>
        <sz val="10"/>
        <color theme="1"/>
        <rFont val="Times New Roman"/>
        <charset val="134"/>
      </rPr>
      <t xml:space="preserve"> </t>
    </r>
    <r>
      <rPr>
        <sz val="10"/>
        <color theme="1"/>
        <rFont val="宋体"/>
        <charset val="134"/>
      </rPr>
      <t>擒抱</t>
    </r>
    <r>
      <rPr>
        <sz val="10"/>
        <color theme="1"/>
        <rFont val="Times New Roman"/>
        <charset val="134"/>
      </rPr>
      <t xml:space="preserve">Grappled </t>
    </r>
    <r>
      <rPr>
        <sz val="10"/>
        <color theme="1"/>
        <rFont val="宋体"/>
        <charset val="134"/>
      </rPr>
      <t>，任何对你发动的攻击都将具有劣势，不过你发动的武器攻击也将具有劣势。</t>
    </r>
  </si>
  <si>
    <t>傀儡面</t>
  </si>
  <si>
    <t>当戴着此面具时，你的武器攻击命中时额外造成1d8伤害。如果你是小型体型，你不会因武器的重型属性而在攻击检定上具有劣势。此外，你的攻击和法术对物体和建筑造成双倍伤害。</t>
  </si>
  <si>
    <t>引导神力：满月祝福</t>
  </si>
  <si>
    <r>
      <rPr>
        <sz val="10"/>
        <color theme="1"/>
        <rFont val="宋体"/>
        <charset val="134"/>
      </rPr>
      <t>你可以用引导神力特性为你的盟友注入野性之力。你可以用一个动作从以下祝福中选择一种灌输给你身边</t>
    </r>
    <r>
      <rPr>
        <sz val="10"/>
        <color theme="1"/>
        <rFont val="Times New Roman"/>
        <charset val="134"/>
      </rPr>
      <t>30</t>
    </r>
    <r>
      <rPr>
        <sz val="10"/>
        <color theme="1"/>
        <rFont val="宋体"/>
        <charset val="134"/>
      </rPr>
      <t>尺内你选择的一个自愿生物：
警觉之月的祝福</t>
    </r>
    <r>
      <rPr>
        <sz val="10"/>
        <color theme="1"/>
        <rFont val="Times New Roman"/>
        <charset val="134"/>
      </rPr>
      <t>Blessing of the Watchful Moon</t>
    </r>
    <r>
      <rPr>
        <sz val="10"/>
        <color theme="1"/>
        <rFont val="宋体"/>
        <charset val="134"/>
      </rPr>
      <t>。在接下来的</t>
    </r>
    <r>
      <rPr>
        <sz val="10"/>
        <color theme="1"/>
        <rFont val="Times New Roman"/>
        <charset val="134"/>
      </rPr>
      <t>1</t>
    </r>
    <r>
      <rPr>
        <sz val="10"/>
        <color theme="1"/>
        <rFont val="宋体"/>
        <charset val="134"/>
      </rPr>
      <t>小时内，被祝福过的生物的移动速度增加了</t>
    </r>
    <r>
      <rPr>
        <sz val="10"/>
        <color theme="1"/>
        <rFont val="Times New Roman"/>
        <charset val="134"/>
      </rPr>
      <t>10</t>
    </r>
    <r>
      <rPr>
        <sz val="10"/>
        <color theme="1"/>
        <rFont val="宋体"/>
        <charset val="134"/>
      </rPr>
      <t>尺，并且在涉及使用嗅觉或追踪生物时所做的感知（察觉或生存）具有优势。
血染之月的祝福</t>
    </r>
    <r>
      <rPr>
        <sz val="10"/>
        <color theme="1"/>
        <rFont val="Times New Roman"/>
        <charset val="134"/>
      </rPr>
      <t>Blessing of the Blood-Drenched</t>
    </r>
    <r>
      <rPr>
        <sz val="10"/>
        <color theme="1"/>
        <rFont val="宋体"/>
        <charset val="134"/>
      </rPr>
      <t>。在接下来的</t>
    </r>
    <r>
      <rPr>
        <sz val="10"/>
        <color theme="1"/>
        <rFont val="Times New Roman"/>
        <charset val="134"/>
      </rPr>
      <t>10</t>
    </r>
    <r>
      <rPr>
        <sz val="10"/>
        <color theme="1"/>
        <rFont val="宋体"/>
        <charset val="134"/>
      </rPr>
      <t>分钟内，如果受祝福的生物发动攻击检定时，其目标周围</t>
    </r>
    <r>
      <rPr>
        <sz val="10"/>
        <color theme="1"/>
        <rFont val="Times New Roman"/>
        <charset val="134"/>
      </rPr>
      <t>5</t>
    </r>
    <r>
      <rPr>
        <sz val="10"/>
        <color theme="1"/>
        <rFont val="宋体"/>
        <charset val="134"/>
      </rPr>
      <t>尺范围内有至少一名未</t>
    </r>
    <r>
      <rPr>
        <sz val="10"/>
        <color theme="1"/>
        <rFont val="Times New Roman"/>
        <charset val="134"/>
      </rPr>
      <t xml:space="preserve"> </t>
    </r>
    <r>
      <rPr>
        <sz val="10"/>
        <color theme="1"/>
        <rFont val="宋体"/>
        <charset val="134"/>
      </rPr>
      <t>失能</t>
    </r>
    <r>
      <rPr>
        <sz val="10"/>
        <color theme="1"/>
        <rFont val="Times New Roman"/>
        <charset val="134"/>
      </rPr>
      <t xml:space="preserve">Incapacitated </t>
    </r>
    <r>
      <rPr>
        <sz val="10"/>
        <color theme="1"/>
        <rFont val="宋体"/>
        <charset val="134"/>
      </rPr>
      <t>的盟友，则本次攻击检定将具有优势。</t>
    </r>
  </si>
  <si>
    <t>复苏之风</t>
  </si>
  <si>
    <t>胧忆岛之灵会在你最需要的时候施以援手。当你的生命值降低至0时，你改为获得一半的生命值并在纷飞的花瓣中重新站起。
你能立即使用你的反应从自己身上吹起一阵强风。以你为中心的10尺半径区域内的每个生物都必须成功通过等于你法术豁免DC的力量豁免，否则将被你推离15尺并受到2d8挥砍伤害。
当你使用本特性后，直到你结束一次长休为止你才能再次使用它。</t>
  </si>
  <si>
    <r>
      <rPr>
        <sz val="10"/>
        <color theme="1"/>
        <rFont val="宋体"/>
        <charset val="134"/>
      </rPr>
      <t>警戒守卫</t>
    </r>
  </si>
  <si>
    <r>
      <rPr>
        <sz val="10"/>
        <color theme="1"/>
        <rFont val="宋体"/>
        <charset val="134"/>
      </rPr>
      <t>你能用你的特殊警戒来造成伤害。
战斗中，你获得一个你可以在除你自己的回合以外的回合各使用一次的特殊反应，该特殊反应只能进行一次借机攻击，你不能在同一回合使用特殊反应和普通反应。</t>
    </r>
  </si>
  <si>
    <t>洗濯魔淬</t>
  </si>
  <si>
    <t>当你专注于一个法术时，你在你的徒手打击和武僧武器所做的攻击伤害中加入两倍于该法术环阶的额外伤害。</t>
  </si>
  <si>
    <t>川流灵光</t>
  </si>
  <si>
    <t>你散发出一道灵光，使你周围的区域如同涉水而行，减缓敌人接近的速度。你周围10尺范围内的区域对其他生物而言是困难地形。你可以选择任意数量你能看见的生物不受此效果影响（无需动作）。
此外，在你的回合中，当你首次用近战攻击命中一个大型或更小体型的生物时，你可以使用你的灵光将目标移动最多10尺到一个你选择的未被占据的空间。
在18级时，灵光的范围从10尺扩大到30尺，你30尺内的区域对其他生物而言是困难地形。</t>
  </si>
  <si>
    <t>噩兆先驱法术</t>
  </si>
  <si>
    <r>
      <rPr>
        <sz val="10"/>
        <color theme="1"/>
        <rFont val="宋体"/>
        <charset val="134"/>
      </rPr>
      <t>当你到达噩兆先驱法术表中特定的游侠等级时，你就始终准备着表中对应的法术：</t>
    </r>
    <r>
      <rPr>
        <sz val="10"/>
        <color theme="1"/>
        <rFont val="Times New Roman"/>
        <charset val="134"/>
      </rPr>
      <t xml:space="preserve">
</t>
    </r>
    <r>
      <rPr>
        <sz val="10"/>
        <color theme="1"/>
        <rFont val="宋体"/>
        <charset val="134"/>
      </rPr>
      <t>噩兆先驱法术</t>
    </r>
    <r>
      <rPr>
        <sz val="10"/>
        <color theme="1"/>
        <rFont val="Times New Roman"/>
        <charset val="134"/>
      </rPr>
      <t xml:space="preserve">Grim Harbinger Spells
</t>
    </r>
    <r>
      <rPr>
        <sz val="10"/>
        <color theme="1"/>
        <rFont val="宋体"/>
        <charset val="134"/>
      </rPr>
      <t>游侠等级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灾祸术</t>
    </r>
    <r>
      <rPr>
        <sz val="10"/>
        <color theme="1"/>
        <rFont val="Times New Roman"/>
        <charset val="134"/>
      </rPr>
      <t xml:space="preserve">Bane
5 </t>
    </r>
    <r>
      <rPr>
        <sz val="10"/>
        <color theme="1"/>
        <rFont val="宋体"/>
        <charset val="134"/>
      </rPr>
      <t>定身类人</t>
    </r>
    <r>
      <rPr>
        <sz val="10"/>
        <color theme="1"/>
        <rFont val="Times New Roman"/>
        <charset val="134"/>
      </rPr>
      <t xml:space="preserve">Hold Person
9 </t>
    </r>
    <r>
      <rPr>
        <sz val="10"/>
        <color theme="1"/>
        <rFont val="宋体"/>
        <charset val="134"/>
      </rPr>
      <t>恐惧术</t>
    </r>
    <r>
      <rPr>
        <sz val="10"/>
        <color theme="1"/>
        <rFont val="Times New Roman"/>
        <charset val="134"/>
      </rPr>
      <t xml:space="preserve">Fear
13 </t>
    </r>
    <r>
      <rPr>
        <sz val="10"/>
        <color theme="1"/>
        <rFont val="宋体"/>
        <charset val="134"/>
      </rPr>
      <t>绝望侵袭</t>
    </r>
    <r>
      <rPr>
        <sz val="10"/>
        <color theme="1"/>
        <rFont val="Times New Roman"/>
        <charset val="134"/>
      </rPr>
      <t xml:space="preserve">Intrusive Despair
17 </t>
    </r>
    <r>
      <rPr>
        <sz val="10"/>
        <color theme="1"/>
        <rFont val="宋体"/>
        <charset val="134"/>
      </rPr>
      <t>托梦术</t>
    </r>
    <r>
      <rPr>
        <sz val="10"/>
        <color theme="1"/>
        <rFont val="Times New Roman"/>
        <charset val="134"/>
      </rPr>
      <t xml:space="preserve">Dream
</t>
    </r>
  </si>
  <si>
    <t>爬墙</t>
  </si>
  <si>
    <t>你已经习惯了像蜘蛛一样移动，这让你获得了以下好处。
攀爬者Climber。你获得等于你速度的攀爬速度。
隐匿于顶Hiding on Ceilings。如果你在天花板上并被轻度遮蔽，只要任何可见你的敌人都在你的下方，你就可以执行躲藏动作。
蛛行Spider Climb。你可以在垂直表面和天花板上向上向下、横跨移动，同时双手不受限制。</t>
  </si>
  <si>
    <t>鬼之力-皮肤</t>
  </si>
  <si>
    <r>
      <rPr>
        <sz val="10"/>
        <color theme="1"/>
        <rFont val="宋体"/>
        <charset val="134"/>
      </rPr>
      <t>你的皮肤变为暗淡的红色、绿色或蓝色，并且你获得了鬼的再生之力。每当你施展一道一环或更高环阶的法术时，你恢复等同于该法术环阶</t>
    </r>
    <r>
      <rPr>
        <sz val="10"/>
        <color theme="1"/>
        <rFont val="Times New Roman"/>
        <charset val="134"/>
      </rPr>
      <t>+</t>
    </r>
    <r>
      <rPr>
        <sz val="10"/>
        <color theme="1"/>
        <rFont val="宋体"/>
        <charset val="134"/>
      </rPr>
      <t>你的体质调整值的生命值。如果你在这次施法时激活了舌头特征，则你不能获得该增益。</t>
    </r>
  </si>
  <si>
    <r>
      <rPr>
        <sz val="10"/>
        <color theme="1"/>
        <rFont val="宋体"/>
        <charset val="134"/>
      </rPr>
      <t>心灵法术</t>
    </r>
  </si>
  <si>
    <r>
      <rPr>
        <sz val="10"/>
        <color theme="1"/>
        <rFont val="宋体"/>
        <charset val="134"/>
      </rPr>
      <t>当你施展一道造成伤害的魔契师法术时，你可以将其伤害类型改为心灵伤害。此外，当你施展一道惑控或幻术学派的魔契师法术时，你不需要声音和姿势成分。</t>
    </r>
  </si>
  <si>
    <t>折纸魔宠</t>
  </si>
  <si>
    <t>你习得并始终准备着法术寻获魔宠Find Familiar ，且不计入你每日可准备的法术数量。你的魔宠会以折纸版本出现，具有毒素和心灵伤害免疫，并且是构装，而非天族、妖精或邪魔。除魔宠的正常统计数据外，它还可以使用如下能力：
伪装Camouflage。 你可以命令魔宠变为扁平的纸张形态。在这种形态下，魔宠看起来几乎与普通纸张没有区别。如果一个生物使用动作仔细检查魔宠，则其可以尝试进行一次对抗你法术豁免DC的智力（调查）检定，检定成功则辨识出魔宠的真实身份。魔宠可以使用动作恢复其折纸形态。
绝境反扑Last Resort。你的折纸魔宠可以使用动作朝一个目标生物扑去，展开自身并包裹住目标的面部，犹如一张被风吹起的纸张。目标必须进行一次对抗你法术豁免DC的敏捷豁免。豁免失败则陷入目盲状态，持续1分钟。被纸致盲的生物或可以触碰到该生物的生物可以使用其动作进行一次对抗你法术豁免DC的力量检定。检定成功则目标不再目盲。当此效应结束时，你的魔宠被摧毁。
侦察Reconnaissance。 你可以使用动作命令你的魔宠执行侦察任务。折纸魔宠会在1分钟内倾听其15尺范围内的所有声音，并将所听到的内容记录在其纸质躯体上。之后，它会返回你身边，并解除其魔宠形态，留下一份使用一种你选择的已知语言书写的情报记录。</t>
  </si>
  <si>
    <r>
      <rPr>
        <sz val="10"/>
        <color theme="1"/>
        <rFont val="宋体"/>
        <charset val="134"/>
      </rPr>
      <t>你学会从倒下的猎物吸收灵魂。你学会噬魂血咒，且不计入你的已知血咒数量。</t>
    </r>
  </si>
  <si>
    <r>
      <rPr>
        <sz val="10"/>
        <color theme="1"/>
        <rFont val="宋体"/>
        <charset val="134"/>
      </rPr>
      <t>崭新肉体</t>
    </r>
  </si>
  <si>
    <r>
      <rPr>
        <sz val="10"/>
        <color theme="1"/>
        <rFont val="宋体"/>
        <charset val="134"/>
      </rPr>
      <t>你完善了你的变形灵药</t>
    </r>
    <r>
      <rPr>
        <sz val="10"/>
        <color theme="1"/>
        <rFont val="Times New Roman"/>
        <charset val="134"/>
      </rPr>
      <t>Transmogrifying Elixir</t>
    </r>
    <r>
      <rPr>
        <sz val="10"/>
        <color theme="1"/>
        <rFont val="宋体"/>
        <charset val="134"/>
      </rPr>
      <t xml:space="preserve">，打破了进化的桎梏，并且将你的形态推升至了你所认为的进化的顶点。当你处于变形状态时，你获得如下好处：
</t>
    </r>
    <r>
      <rPr>
        <sz val="10"/>
        <color theme="1"/>
        <rFont val="Times New Roman"/>
        <charset val="134"/>
      </rPr>
      <t xml:space="preserve">• </t>
    </r>
    <r>
      <rPr>
        <sz val="10"/>
        <color theme="1"/>
        <rFont val="宋体"/>
        <charset val="134"/>
      </rPr>
      <t>只要你保留</t>
    </r>
    <r>
      <rPr>
        <sz val="10"/>
        <color theme="1"/>
        <rFont val="Times New Roman"/>
        <charset val="134"/>
      </rPr>
      <t>1</t>
    </r>
    <r>
      <rPr>
        <sz val="10"/>
        <color theme="1"/>
        <rFont val="宋体"/>
        <charset val="134"/>
      </rPr>
      <t xml:space="preserve">点，或更多的生命值时，你就可以消耗一个附赠动作和一个法术位，来恢复等同于你所消耗的法术环阶十倍的生命值。
</t>
    </r>
    <r>
      <rPr>
        <sz val="10"/>
        <color theme="1"/>
        <rFont val="Times New Roman"/>
        <charset val="134"/>
      </rPr>
      <t xml:space="preserve">• </t>
    </r>
    <r>
      <rPr>
        <sz val="10"/>
        <color theme="1"/>
        <rFont val="宋体"/>
        <charset val="134"/>
      </rPr>
      <t xml:space="preserve">如果你在一次豁免检定中失败，以一个反应你可以消耗一个法术位并将其改为成功。
</t>
    </r>
    <r>
      <rPr>
        <sz val="10"/>
        <color theme="1"/>
        <rFont val="Times New Roman"/>
        <charset val="134"/>
      </rPr>
      <t xml:space="preserve">• </t>
    </r>
    <r>
      <rPr>
        <sz val="10"/>
        <color theme="1"/>
        <rFont val="宋体"/>
        <charset val="134"/>
      </rPr>
      <t>当你变身时，你的力量值将等同于你的智力值。除此之外，当你处于变身形态时，你可以施展法术。</t>
    </r>
  </si>
  <si>
    <t>暗袭</t>
  </si>
  <si>
    <r>
      <rPr>
        <sz val="10"/>
        <color theme="1"/>
        <rFont val="宋体"/>
        <charset val="134"/>
      </rPr>
      <t>你了解自阴影发起攻击的力量。每个回合一次，当你的攻击检定命中一名受禁生物时，你可以投掷等于你熟练加值枚</t>
    </r>
    <r>
      <rPr>
        <sz val="10"/>
        <color theme="1"/>
        <rFont val="Times New Roman"/>
        <charset val="134"/>
      </rPr>
      <t>d4</t>
    </r>
    <r>
      <rPr>
        <sz val="10"/>
        <color theme="1"/>
        <rFont val="宋体"/>
        <charset val="134"/>
      </rPr>
      <t>，额外造成等于掷骰总值的伤害，这次攻击必须使用一把近战武器并具有优势。若目标身处微光光照或黑暗中，此伤害提升</t>
    </r>
    <r>
      <rPr>
        <sz val="10"/>
        <color theme="1"/>
        <rFont val="Times New Roman"/>
        <charset val="134"/>
      </rPr>
      <t>1d4</t>
    </r>
    <r>
      <rPr>
        <sz val="10"/>
        <color theme="1"/>
        <rFont val="宋体"/>
        <charset val="134"/>
      </rPr>
      <t>。</t>
    </r>
  </si>
  <si>
    <t>钢隼</t>
  </si>
  <si>
    <t>旋风打击</t>
  </si>
  <si>
    <r>
      <rPr>
        <sz val="10"/>
        <color theme="1"/>
        <rFont val="宋体"/>
        <charset val="134"/>
      </rPr>
      <t>你能将敌人高高抛起，甩向你盟友的兵刃之间。当你推动一个生物（至少</t>
    </r>
    <r>
      <rPr>
        <sz val="10"/>
        <color theme="1"/>
        <rFont val="Times New Roman"/>
        <charset val="134"/>
      </rPr>
      <t>5</t>
    </r>
    <r>
      <rPr>
        <sz val="10"/>
        <color theme="1"/>
        <rFont val="宋体"/>
        <charset val="134"/>
      </rPr>
      <t>尺）时，你能紧随其后，用你的反应跳至一处与该生物相邻的未被占据的空间。若你使用了这一反应，那个生物还必须通过一次</t>
    </r>
    <r>
      <rPr>
        <sz val="10"/>
        <color theme="1"/>
        <rFont val="Times New Roman"/>
        <charset val="134"/>
      </rPr>
      <t>DC</t>
    </r>
    <r>
      <rPr>
        <sz val="10"/>
        <color theme="1"/>
        <rFont val="宋体"/>
        <charset val="134"/>
      </rPr>
      <t>为</t>
    </r>
    <r>
      <rPr>
        <sz val="10"/>
        <color theme="1"/>
        <rFont val="Times New Roman"/>
        <charset val="134"/>
      </rPr>
      <t xml:space="preserve"> 8+</t>
    </r>
    <r>
      <rPr>
        <sz val="10"/>
        <color theme="1"/>
        <rFont val="宋体"/>
        <charset val="134"/>
      </rPr>
      <t>你的熟练加值</t>
    </r>
    <r>
      <rPr>
        <sz val="10"/>
        <color theme="1"/>
        <rFont val="Times New Roman"/>
        <charset val="134"/>
      </rPr>
      <t>+</t>
    </r>
    <r>
      <rPr>
        <sz val="10"/>
        <color theme="1"/>
        <rFont val="宋体"/>
        <charset val="134"/>
      </rPr>
      <t>你的力量调整值</t>
    </r>
    <r>
      <rPr>
        <sz val="10"/>
        <color theme="1"/>
        <rFont val="Times New Roman"/>
        <charset val="134"/>
      </rPr>
      <t xml:space="preserve"> </t>
    </r>
    <r>
      <rPr>
        <sz val="10"/>
        <color theme="1"/>
        <rFont val="宋体"/>
        <charset val="134"/>
      </rPr>
      <t>的力量豁免，否则将应击</t>
    </r>
    <r>
      <rPr>
        <sz val="10"/>
        <color theme="1"/>
        <rFont val="Times New Roman"/>
        <charset val="134"/>
      </rPr>
      <t xml:space="preserve"> </t>
    </r>
    <r>
      <rPr>
        <sz val="10"/>
        <color theme="1"/>
        <rFont val="宋体"/>
        <charset val="134"/>
      </rPr>
      <t>倒地</t>
    </r>
    <r>
      <rPr>
        <sz val="10"/>
        <color theme="1"/>
        <rFont val="Times New Roman"/>
        <charset val="134"/>
      </rPr>
      <t>Prone</t>
    </r>
    <r>
      <rPr>
        <sz val="10"/>
        <color theme="1"/>
        <rFont val="宋体"/>
        <charset val="134"/>
      </rPr>
      <t>。此次跳跃不消耗移动力，也不会触发借机攻击。
此外，当你将一个生物推入一位盟友的周围</t>
    </r>
    <r>
      <rPr>
        <sz val="10"/>
        <color theme="1"/>
        <rFont val="Times New Roman"/>
        <charset val="134"/>
      </rPr>
      <t>5</t>
    </r>
    <r>
      <rPr>
        <sz val="10"/>
        <color theme="1"/>
        <rFont val="宋体"/>
        <charset val="134"/>
      </rPr>
      <t>尺空间内时，那个盟友能立刻用自己的反应对该生物进行一次近战武器攻击。</t>
    </r>
  </si>
  <si>
    <t>灵面</t>
  </si>
  <si>
    <t>当戴着此面具时，你习得死者交谈Speak with Dead法术。此外，你可以消耗一次诗人激励来暂时穿行于灵界。每当你要移动时，你改为穿越帷幕进入与你当前位面重叠区域的灵界。你会一直停留在灵界，直到你停止移动或你的回合结束。如果这时你与实体物体或生物占据同一位置，你会立即被传送到最近的你能占据的未被占据空间，并受到1d10力场伤害。
在灵界中，你只能影响灵界中的其他生物或被灵界中的其他生物影响。不在灵界中的生物无法察觉你也无法与你互动，除非他们拥有特殊能力或魔法赋予他们这样做的能力。你会忽略所有不在灵界的物体和效果，使你能穿过你在原位面所察觉到的物体。此效果持续到你的回合结束。</t>
  </si>
  <si>
    <t>引导神力：双月同心</t>
  </si>
  <si>
    <t>你可以用你的引导神力引动艾桑椎亚月亮中的双重奥秘。通过消耗一次引导神力的使用次数，你就可以在专注于某一法术的情况下施展第二个需要专注法术。两个法术都必须处于你月亮领域法术的列表中。不过，若你需要为保持这两个法术的专注而进行体质豁免时，你进行的那次豁免将具有劣势。如果豁免失败，你同时失去对这两个法术的专注。</t>
  </si>
  <si>
    <t>旧途结社法术</t>
  </si>
  <si>
    <r>
      <rPr>
        <sz val="10"/>
        <color theme="1"/>
        <rFont val="宋体"/>
        <charset val="134"/>
      </rPr>
      <t>当你到达旧途结社法术表中特定的德鲁伊等级时，你就始终准备了表中对应的法术。</t>
    </r>
    <r>
      <rPr>
        <sz val="10"/>
        <color theme="1"/>
        <rFont val="Times New Roman"/>
        <charset val="134"/>
      </rPr>
      <t xml:space="preserve">
</t>
    </r>
    <r>
      <rPr>
        <sz val="10"/>
        <color theme="1"/>
        <rFont val="宋体"/>
        <charset val="134"/>
      </rPr>
      <t>旧途结社法术</t>
    </r>
    <r>
      <rPr>
        <sz val="10"/>
        <color theme="1"/>
        <rFont val="Times New Roman"/>
        <charset val="134"/>
      </rPr>
      <t xml:space="preserve">Circle of the Old Ways Spells
</t>
    </r>
    <r>
      <rPr>
        <sz val="10"/>
        <color theme="1"/>
        <rFont val="宋体"/>
        <charset val="134"/>
      </rPr>
      <t>德鲁伊等级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橡棍术</t>
    </r>
    <r>
      <rPr>
        <sz val="10"/>
        <color theme="1"/>
        <rFont val="Times New Roman"/>
        <charset val="134"/>
      </rPr>
      <t>Shillelagh</t>
    </r>
    <r>
      <rPr>
        <sz val="10"/>
        <color theme="1"/>
        <rFont val="宋体"/>
        <charset val="134"/>
      </rPr>
      <t>，先祖授慧</t>
    </r>
    <r>
      <rPr>
        <sz val="10"/>
        <color theme="1"/>
        <rFont val="Times New Roman"/>
        <charset val="134"/>
      </rPr>
      <t>Ancestral Guidance</t>
    </r>
    <r>
      <rPr>
        <sz val="10"/>
        <color theme="1"/>
        <rFont val="宋体"/>
        <charset val="134"/>
      </rPr>
      <t>，虔诚护盾</t>
    </r>
    <r>
      <rPr>
        <sz val="10"/>
        <color theme="1"/>
        <rFont val="Times New Roman"/>
        <charset val="134"/>
      </rPr>
      <t>Shield of Faith</t>
    </r>
    <r>
      <rPr>
        <sz val="10"/>
        <color theme="1"/>
        <rFont val="宋体"/>
        <charset val="134"/>
      </rPr>
      <t>，树肤术</t>
    </r>
    <r>
      <rPr>
        <sz val="10"/>
        <color theme="1"/>
        <rFont val="Times New Roman"/>
        <charset val="134"/>
      </rPr>
      <t>Barkskin</t>
    </r>
    <r>
      <rPr>
        <sz val="10"/>
        <color theme="1"/>
        <rFont val="宋体"/>
        <charset val="134"/>
      </rPr>
      <t>，荆棘丛生</t>
    </r>
    <r>
      <rPr>
        <sz val="10"/>
        <color theme="1"/>
        <rFont val="Times New Roman"/>
        <charset val="134"/>
      </rPr>
      <t xml:space="preserve">Spike Growth
5  </t>
    </r>
    <r>
      <rPr>
        <sz val="10"/>
        <color theme="1"/>
        <rFont val="宋体"/>
        <charset val="134"/>
      </rPr>
      <t>防护法阵</t>
    </r>
    <r>
      <rPr>
        <sz val="10"/>
        <color theme="1"/>
        <rFont val="Times New Roman"/>
        <charset val="134"/>
      </rPr>
      <t>Magic Circle</t>
    </r>
    <r>
      <rPr>
        <sz val="10"/>
        <color theme="1"/>
        <rFont val="宋体"/>
        <charset val="134"/>
      </rPr>
      <t>，植物滋长</t>
    </r>
    <r>
      <rPr>
        <sz val="10"/>
        <color theme="1"/>
        <rFont val="Times New Roman"/>
        <charset val="134"/>
      </rPr>
      <t xml:space="preserve">Plant Growth
7 </t>
    </r>
    <r>
      <rPr>
        <sz val="10"/>
        <color theme="1"/>
        <rFont val="宋体"/>
        <charset val="134"/>
      </rPr>
      <t>行动自如</t>
    </r>
    <r>
      <rPr>
        <sz val="10"/>
        <color theme="1"/>
        <rFont val="Times New Roman"/>
        <charset val="134"/>
      </rPr>
      <t>Freedom of Movement</t>
    </r>
    <r>
      <rPr>
        <sz val="10"/>
        <color theme="1"/>
        <rFont val="宋体"/>
        <charset val="134"/>
      </rPr>
      <t>，魔邓肯私人密室</t>
    </r>
    <r>
      <rPr>
        <sz val="10"/>
        <color theme="1"/>
        <rFont val="Times New Roman"/>
        <charset val="134"/>
      </rPr>
      <t xml:space="preserve">Mordenkainen's Private Sanctum
9 </t>
    </r>
    <r>
      <rPr>
        <sz val="10"/>
        <color theme="1"/>
        <rFont val="宋体"/>
        <charset val="134"/>
      </rPr>
      <t>启蒙术</t>
    </r>
    <r>
      <rPr>
        <sz val="10"/>
        <color theme="1"/>
        <rFont val="Times New Roman"/>
        <charset val="134"/>
      </rPr>
      <t>Awaken</t>
    </r>
    <r>
      <rPr>
        <sz val="10"/>
        <color theme="1"/>
        <rFont val="宋体"/>
        <charset val="134"/>
      </rPr>
      <t>，树跃术</t>
    </r>
    <r>
      <rPr>
        <sz val="10"/>
        <color theme="1"/>
        <rFont val="Times New Roman"/>
        <charset val="134"/>
      </rPr>
      <t>Tree Stride</t>
    </r>
  </si>
  <si>
    <r>
      <rPr>
        <sz val="10"/>
        <color theme="1"/>
        <rFont val="宋体"/>
        <charset val="134"/>
      </rPr>
      <t>你获得以下你选择的技能熟练：历史、洞察、表演和劝说。
或者，你学会一门你选择的语言。</t>
    </r>
  </si>
  <si>
    <t>法力聚焦</t>
  </si>
  <si>
    <t>当你施放一个法术时，你可以消耗功力来提升该法术的环阶，就如同你使用了一个更高环的法术位进行了这次施法。你必须像正常施法一样消耗法术位来施法，且你每提高该法术1环就额外消耗1点功力。你可以将法术环阶提升至你可使用的最高法术位以上，至高可以提升至等于你的熟练加值的法术环阶。例如，如果你是一名11级织法宗武僧，当你使用一个2环法术位施放灼热射线scorching ray时，你可以消耗2点功力将该法术提高至4环。</t>
  </si>
  <si>
    <t>护卫之灵</t>
  </si>
  <si>
    <t>每当你进行敏捷豁免时，你可以使用你的反应来将该效应对你造成的任何伤害减半。当你这么做时，你还可以消耗一个法术位来将这个好处共享给附近的盟友。你可以选择在你10尺范围内的生物，数量等于你所消耗的法术位等级；这些生物同样将从该效应受到的伤害减半。</t>
  </si>
  <si>
    <t>死兆星闪</t>
  </si>
  <si>
    <r>
      <rPr>
        <sz val="10"/>
        <color theme="1"/>
        <rFont val="宋体"/>
        <charset val="134"/>
      </rPr>
      <t>你可以使用附赠动作选择周边</t>
    </r>
    <r>
      <rPr>
        <sz val="10"/>
        <color theme="1"/>
        <rFont val="Times New Roman"/>
        <charset val="134"/>
      </rPr>
      <t>90</t>
    </r>
    <r>
      <rPr>
        <sz val="10"/>
        <color theme="1"/>
        <rFont val="宋体"/>
        <charset val="134"/>
      </rPr>
      <t>尺范围内一个你可见的生物，魔法般地封定其末日，持续</t>
    </r>
    <r>
      <rPr>
        <sz val="10"/>
        <color theme="1"/>
        <rFont val="Times New Roman"/>
        <charset val="134"/>
      </rPr>
      <t>1</t>
    </r>
    <r>
      <rPr>
        <sz val="10"/>
        <color theme="1"/>
        <rFont val="宋体"/>
        <charset val="134"/>
      </rPr>
      <t>小时。每回合一次，当你以攻击命中被封定的目标时，它额外受到</t>
    </r>
    <r>
      <rPr>
        <sz val="10"/>
        <color theme="1"/>
        <rFont val="Times New Roman"/>
        <charset val="134"/>
      </rPr>
      <t>1d6</t>
    </r>
    <r>
      <rPr>
        <sz val="10"/>
        <color theme="1"/>
        <rFont val="宋体"/>
        <charset val="134"/>
      </rPr>
      <t>暗蚀伤害。</t>
    </r>
    <r>
      <rPr>
        <sz val="10"/>
        <color theme="1"/>
        <rFont val="Times New Roman"/>
        <charset val="134"/>
      </rPr>
      <t xml:space="preserve">
</t>
    </r>
    <r>
      <rPr>
        <sz val="10"/>
        <color theme="1"/>
        <rFont val="宋体"/>
        <charset val="134"/>
      </rPr>
      <t>此外，名为噩兆</t>
    </r>
    <r>
      <rPr>
        <sz val="10"/>
        <color theme="1"/>
        <rFont val="Times New Roman"/>
        <charset val="134"/>
      </rPr>
      <t>Grim</t>
    </r>
    <r>
      <rPr>
        <sz val="10"/>
        <color theme="1"/>
        <rFont val="宋体"/>
        <charset val="134"/>
      </rPr>
      <t>的幽灵般的生物出现在目标周边</t>
    </r>
    <r>
      <rPr>
        <sz val="10"/>
        <color theme="1"/>
        <rFont val="Times New Roman"/>
        <charset val="134"/>
      </rPr>
      <t>30</t>
    </r>
    <r>
      <rPr>
        <sz val="10"/>
        <color theme="1"/>
        <rFont val="宋体"/>
        <charset val="134"/>
      </rPr>
      <t>尺范围内的一处未占据空间内。噩兆通常以幽灵般的黑色猎犬的形象现身，但你也可以选择与其数据卡相符的其他外观。</t>
    </r>
    <r>
      <rPr>
        <sz val="10"/>
        <color theme="1"/>
        <rFont val="Times New Roman"/>
        <charset val="134"/>
      </rPr>
      <t xml:space="preserve">
</t>
    </r>
    <r>
      <rPr>
        <sz val="10"/>
        <color theme="1"/>
        <rFont val="宋体"/>
        <charset val="134"/>
      </rPr>
      <t>噩兆对你和你的盟友友好，遵循你的命令。噩兆会在你死亡，或被封定的生物死亡，或其生命值降至</t>
    </r>
    <r>
      <rPr>
        <sz val="10"/>
        <color theme="1"/>
        <rFont val="Times New Roman"/>
        <charset val="134"/>
      </rPr>
      <t>0</t>
    </r>
    <r>
      <rPr>
        <sz val="10"/>
        <color theme="1"/>
        <rFont val="宋体"/>
        <charset val="134"/>
      </rPr>
      <t>，或你再次使用此特性时消失。</t>
    </r>
    <r>
      <rPr>
        <sz val="10"/>
        <color theme="1"/>
        <rFont val="Times New Roman"/>
        <charset val="134"/>
      </rPr>
      <t xml:space="preserve">
</t>
    </r>
    <r>
      <rPr>
        <sz val="10"/>
        <color theme="1"/>
        <rFont val="宋体"/>
        <charset val="134"/>
      </rPr>
      <t>你能使用本特性的次数等于你的感知调整值（至少为</t>
    </r>
    <r>
      <rPr>
        <sz val="10"/>
        <color theme="1"/>
        <rFont val="Times New Roman"/>
        <charset val="134"/>
      </rPr>
      <t>1</t>
    </r>
    <r>
      <rPr>
        <sz val="10"/>
        <color theme="1"/>
        <rFont val="宋体"/>
        <charset val="134"/>
      </rPr>
      <t>）。完成一次短休或长休后，你重获所有已消耗的使用次数。你也可以消耗一枚法术位（无需动作）来恢复该特性的使用次数。</t>
    </r>
    <r>
      <rPr>
        <sz val="10"/>
        <color theme="1"/>
        <rFont val="Times New Roman"/>
        <charset val="134"/>
      </rPr>
      <t xml:space="preserve">
</t>
    </r>
    <r>
      <rPr>
        <sz val="10"/>
        <color theme="1"/>
        <rFont val="宋体"/>
        <charset val="134"/>
      </rPr>
      <t>战斗中的噩兆</t>
    </r>
    <r>
      <rPr>
        <sz val="10"/>
        <color theme="1"/>
        <rFont val="Times New Roman"/>
        <charset val="134"/>
      </rPr>
      <t>The Grim in Combat</t>
    </r>
    <r>
      <rPr>
        <sz val="10"/>
        <color theme="1"/>
        <rFont val="宋体"/>
        <charset val="134"/>
      </rPr>
      <t>。</t>
    </r>
    <r>
      <rPr>
        <sz val="10"/>
        <color theme="1"/>
        <rFont val="Times New Roman"/>
        <charset val="134"/>
      </rPr>
      <t xml:space="preserve"> </t>
    </r>
    <r>
      <rPr>
        <sz val="10"/>
        <color theme="1"/>
        <rFont val="宋体"/>
        <charset val="134"/>
      </rPr>
      <t>战斗中，噩兆会在你的回合中行动。它能自主地移动或使用其反应，但除非你使用附赠动作命令它执行其数据卡中的动作或其它动作，它只会执行回避动作。你可以作为使用死兆星闪特性这一附赠动作的一部分来命令它。当你执行攻击动作时，你可以放弃一次攻击，命令噩兆执行死兆撕裂动作。如果你陷入失能状态，噩兆可以自主行动，且不再受限于只执行回避动作。</t>
    </r>
  </si>
  <si>
    <t>蜘蛛感应</t>
  </si>
  <si>
    <t>当你进行一次豁免并受到伤害时，你能够以反应执行直觉闪避，令你受到的伤害减半（向下取整）。</t>
  </si>
  <si>
    <t>鬼之力-舌头</t>
  </si>
  <si>
    <r>
      <rPr>
        <sz val="10"/>
        <color theme="1"/>
        <rFont val="宋体"/>
        <charset val="134"/>
      </rPr>
      <t>随着每一个咒语的施展，最初之鬼扭曲而妖邪的声音会在你的言语中回响。当你施展一道需要言语成分且以单个生物为目标的法术时，你可以使用一个附赠动作，使目标因恐惧而退缩。目标必须进行一次感知豁免，</t>
    </r>
    <r>
      <rPr>
        <sz val="10"/>
        <color theme="1"/>
        <rFont val="Times New Roman"/>
        <charset val="134"/>
      </rPr>
      <t>DC</t>
    </r>
    <r>
      <rPr>
        <sz val="10"/>
        <color theme="1"/>
        <rFont val="宋体"/>
        <charset val="134"/>
      </rPr>
      <t>等同于你的法术豁免</t>
    </r>
    <r>
      <rPr>
        <sz val="10"/>
        <color theme="1"/>
        <rFont val="Times New Roman"/>
        <charset val="134"/>
      </rPr>
      <t>DC</t>
    </r>
    <r>
      <rPr>
        <sz val="10"/>
        <color theme="1"/>
        <rFont val="宋体"/>
        <charset val="134"/>
      </rPr>
      <t>。若失败，目标必须使用其反应（若可用）移动至多自身速度的一半距离来远离你或倒地（由你选择）。</t>
    </r>
  </si>
  <si>
    <r>
      <rPr>
        <sz val="10"/>
        <color theme="1"/>
        <rFont val="宋体"/>
        <charset val="134"/>
      </rPr>
      <t>锐眼斗士</t>
    </r>
  </si>
  <si>
    <r>
      <rPr>
        <sz val="10"/>
        <color theme="1"/>
        <rFont val="宋体"/>
        <charset val="134"/>
      </rPr>
      <t>当你用唤醒心灵与一个生物形成心灵连结时，你可以迫使对方进行一次对抗你法术豁免</t>
    </r>
    <r>
      <rPr>
        <sz val="10"/>
        <color theme="1"/>
        <rFont val="Times New Roman"/>
        <charset val="134"/>
      </rPr>
      <t>DC</t>
    </r>
    <r>
      <rPr>
        <sz val="10"/>
        <color theme="1"/>
        <rFont val="宋体"/>
        <charset val="134"/>
      </rPr>
      <t>的感知豁免。若豁免失败，则该生物在连结期间对你进行的攻击检定具有劣势，而你对它进行的攻击检定具有优势。
此特性一经使用，直至完成短休或长休你都无法再次使用。你也可以消耗一个契约魔法</t>
    </r>
    <r>
      <rPr>
        <sz val="10"/>
        <color theme="1"/>
        <rFont val="Times New Roman"/>
        <charset val="134"/>
      </rPr>
      <t xml:space="preserve"> </t>
    </r>
    <r>
      <rPr>
        <sz val="10"/>
        <color theme="1"/>
        <rFont val="宋体"/>
        <charset val="134"/>
      </rPr>
      <t>特性的法术位（无需动作）来重置该特性的使用权。</t>
    </r>
  </si>
  <si>
    <t>绑定解放</t>
  </si>
  <si>
    <t>你可以使用一个附赠动作将你的一只折纸构装转移至位于其30尺内一个你可见的生物身上。</t>
  </si>
  <si>
    <r>
      <rPr>
        <sz val="10"/>
        <color theme="1"/>
        <rFont val="宋体"/>
        <charset val="134"/>
      </rPr>
      <t>瘟疫熟练</t>
    </r>
  </si>
  <si>
    <r>
      <rPr>
        <sz val="10"/>
        <color theme="1"/>
        <rFont val="宋体"/>
        <charset val="134"/>
      </rPr>
      <t>你习得戏法冻寒之触</t>
    </r>
    <r>
      <rPr>
        <sz val="10"/>
        <color theme="1"/>
        <rFont val="Times New Roman"/>
        <charset val="134"/>
      </rPr>
      <t>Chill Touch</t>
    </r>
    <r>
      <rPr>
        <sz val="10"/>
        <color theme="1"/>
        <rFont val="宋体"/>
        <charset val="134"/>
      </rPr>
      <t>。你获得草药工具的熟练项。如果你已经有这个熟练了，则你获得其他任选的一项工匠工具的熟练项。</t>
    </r>
  </si>
  <si>
    <r>
      <rPr>
        <sz val="10"/>
        <color theme="1"/>
        <rFont val="宋体"/>
        <charset val="134"/>
      </rPr>
      <t>你获得以下两个招引狱力选项：
伪装大师</t>
    </r>
    <r>
      <rPr>
        <sz val="10"/>
        <color theme="1"/>
        <rFont val="Times New Roman"/>
        <charset val="134"/>
      </rPr>
      <t>Master of Disguise</t>
    </r>
    <r>
      <rPr>
        <sz val="10"/>
        <color theme="1"/>
        <rFont val="宋体"/>
        <charset val="134"/>
      </rPr>
      <t>。以一个动作，你可以无需法术位的施展易容术。
无处可逃</t>
    </r>
    <r>
      <rPr>
        <sz val="10"/>
        <color theme="1"/>
        <rFont val="Times New Roman"/>
        <charset val="134"/>
      </rPr>
      <t>No Escape</t>
    </r>
    <r>
      <rPr>
        <sz val="10"/>
        <color theme="1"/>
        <rFont val="宋体"/>
        <charset val="134"/>
      </rPr>
      <t>。以一个附赠动作，你可以呼唤阴影捕获一名位于你</t>
    </r>
    <r>
      <rPr>
        <sz val="10"/>
        <color theme="1"/>
        <rFont val="Times New Roman"/>
        <charset val="134"/>
      </rPr>
      <t>30</t>
    </r>
    <r>
      <rPr>
        <sz val="10"/>
        <color theme="1"/>
        <rFont val="宋体"/>
        <charset val="134"/>
      </rPr>
      <t>尺内你可见的生物。目标必须进行一次魅力豁免，若目标身处微光光照或黑暗中，则其进行的此豁免具有劣势。豁免失败则目标速度减半且无法自主移动到距离你超过</t>
    </r>
    <r>
      <rPr>
        <sz val="10"/>
        <color theme="1"/>
        <rFont val="Times New Roman"/>
        <charset val="134"/>
      </rPr>
      <t>30</t>
    </r>
    <r>
      <rPr>
        <sz val="10"/>
        <color theme="1"/>
        <rFont val="宋体"/>
        <charset val="134"/>
      </rPr>
      <t>尺的位置。若你陷入失能或死亡，或者目标与你的距离超过</t>
    </r>
    <r>
      <rPr>
        <sz val="10"/>
        <color theme="1"/>
        <rFont val="Times New Roman"/>
        <charset val="134"/>
      </rPr>
      <t>30</t>
    </r>
    <r>
      <rPr>
        <sz val="10"/>
        <color theme="1"/>
        <rFont val="宋体"/>
        <charset val="134"/>
      </rPr>
      <t>尺，目标身上的此效应结束。</t>
    </r>
  </si>
  <si>
    <t>旗将</t>
  </si>
  <si>
    <t>势不可挡</t>
  </si>
  <si>
    <r>
      <rPr>
        <sz val="10"/>
        <color theme="1"/>
        <rFont val="宋体"/>
        <charset val="134"/>
      </rPr>
      <t>你在战斗中的愤怒令你变得势不可挡。狂暴期间，你的速度无法被降低，且你免疫于</t>
    </r>
    <r>
      <rPr>
        <sz val="10"/>
        <color theme="1"/>
        <rFont val="Times New Roman"/>
        <charset val="134"/>
      </rPr>
      <t xml:space="preserve"> </t>
    </r>
    <r>
      <rPr>
        <sz val="10"/>
        <color theme="1"/>
        <rFont val="宋体"/>
        <charset val="134"/>
      </rPr>
      <t>恐慌</t>
    </r>
    <r>
      <rPr>
        <sz val="10"/>
        <color theme="1"/>
        <rFont val="Times New Roman"/>
        <charset val="134"/>
      </rPr>
      <t>Frightened</t>
    </r>
    <r>
      <rPr>
        <sz val="10"/>
        <color theme="1"/>
        <rFont val="宋体"/>
        <charset val="134"/>
      </rPr>
      <t>、麻痹</t>
    </r>
    <r>
      <rPr>
        <sz val="10"/>
        <color theme="1"/>
        <rFont val="Times New Roman"/>
        <charset val="134"/>
      </rPr>
      <t>Paralyzed</t>
    </r>
    <r>
      <rPr>
        <sz val="10"/>
        <color theme="1"/>
        <rFont val="宋体"/>
        <charset val="134"/>
      </rPr>
      <t>、倒地</t>
    </r>
    <r>
      <rPr>
        <sz val="10"/>
        <color theme="1"/>
        <rFont val="Times New Roman"/>
        <charset val="134"/>
      </rPr>
      <t>Prone</t>
    </r>
    <r>
      <rPr>
        <sz val="10"/>
        <color theme="1"/>
        <rFont val="宋体"/>
        <charset val="134"/>
      </rPr>
      <t>、和</t>
    </r>
    <r>
      <rPr>
        <sz val="10"/>
        <color theme="1"/>
        <rFont val="Times New Roman"/>
        <charset val="134"/>
      </rPr>
      <t xml:space="preserve"> </t>
    </r>
    <r>
      <rPr>
        <sz val="10"/>
        <color theme="1"/>
        <rFont val="宋体"/>
        <charset val="134"/>
      </rPr>
      <t>震慑</t>
    </r>
    <r>
      <rPr>
        <sz val="10"/>
        <color theme="1"/>
        <rFont val="Times New Roman"/>
        <charset val="134"/>
      </rPr>
      <t xml:space="preserve">Stunned </t>
    </r>
    <r>
      <rPr>
        <sz val="10"/>
        <color theme="1"/>
        <rFont val="宋体"/>
        <charset val="134"/>
      </rPr>
      <t>状态。
若你已处于</t>
    </r>
    <r>
      <rPr>
        <sz val="10"/>
        <color theme="1"/>
        <rFont val="Times New Roman"/>
        <charset val="134"/>
      </rPr>
      <t xml:space="preserve"> </t>
    </r>
    <r>
      <rPr>
        <sz val="10"/>
        <color theme="1"/>
        <rFont val="宋体"/>
        <charset val="134"/>
      </rPr>
      <t>恐慌</t>
    </r>
    <r>
      <rPr>
        <sz val="10"/>
        <color theme="1"/>
        <rFont val="Times New Roman"/>
        <charset val="134"/>
      </rPr>
      <t>Frightened</t>
    </r>
    <r>
      <rPr>
        <sz val="10"/>
        <color theme="1"/>
        <rFont val="宋体"/>
        <charset val="134"/>
      </rPr>
      <t>、麻痹</t>
    </r>
    <r>
      <rPr>
        <sz val="10"/>
        <color theme="1"/>
        <rFont val="Times New Roman"/>
        <charset val="134"/>
      </rPr>
      <t>Paralyzed</t>
    </r>
    <r>
      <rPr>
        <sz val="10"/>
        <color theme="1"/>
        <rFont val="宋体"/>
        <charset val="134"/>
      </rPr>
      <t>、或</t>
    </r>
    <r>
      <rPr>
        <sz val="10"/>
        <color theme="1"/>
        <rFont val="Times New Roman"/>
        <charset val="134"/>
      </rPr>
      <t xml:space="preserve"> </t>
    </r>
    <r>
      <rPr>
        <sz val="10"/>
        <color theme="1"/>
        <rFont val="宋体"/>
        <charset val="134"/>
      </rPr>
      <t>震慑</t>
    </r>
    <r>
      <rPr>
        <sz val="10"/>
        <color theme="1"/>
        <rFont val="Times New Roman"/>
        <charset val="134"/>
      </rPr>
      <t xml:space="preserve">Stunned </t>
    </r>
    <r>
      <rPr>
        <sz val="10"/>
        <color theme="1"/>
        <rFont val="宋体"/>
        <charset val="134"/>
      </rPr>
      <t>状态，你依旧可以以一个附赠动作进入狂暴（即使你无法使用动作）。狂暴后，你将不再受这些状态的影响。</t>
    </r>
  </si>
  <si>
    <t>鸟妖面</t>
  </si>
  <si>
    <t>当戴着此面具时，你获得30尺飞行速度和心灵伤害抗性。</t>
  </si>
  <si>
    <t>月蚀恶兆</t>
  </si>
  <si>
    <r>
      <rPr>
        <sz val="10"/>
        <color theme="1"/>
        <rFont val="宋体"/>
        <charset val="134"/>
      </rPr>
      <t>你可以将血月茹蒂斯唤至你头顶的天空中，侵蚀其他的天光。哪怕在看不到天空的地方甚至其他位面，它的力量依旧能环绕着你。你可以使用一个附赠动作让你周围</t>
    </r>
    <r>
      <rPr>
        <sz val="10"/>
        <color theme="1"/>
        <rFont val="Times New Roman"/>
        <charset val="134"/>
      </rPr>
      <t>60</t>
    </r>
    <r>
      <rPr>
        <sz val="10"/>
        <color theme="1"/>
        <rFont val="宋体"/>
        <charset val="134"/>
      </rPr>
      <t>尺的区域内显现出微红色的微光。除了微光光照的正常效果外，任何处在这片区域的生物进行的豁免检定具有劣势。当你创造这片月蚀区域时，你可以选择任意数量的生物不受它影响。
你需要为你的月蚀保持专注（如同专注一个法术），它至多能持续</t>
    </r>
    <r>
      <rPr>
        <sz val="10"/>
        <color theme="1"/>
        <rFont val="Times New Roman"/>
        <charset val="134"/>
      </rPr>
      <t>1</t>
    </r>
    <r>
      <rPr>
        <sz val="10"/>
        <color theme="1"/>
        <rFont val="宋体"/>
        <charset val="134"/>
      </rPr>
      <t>分钟。这个特性的专注对于你的</t>
    </r>
    <r>
      <rPr>
        <sz val="10"/>
        <color theme="1"/>
        <rFont val="Times New Roman"/>
        <charset val="134"/>
      </rPr>
      <t xml:space="preserve"> </t>
    </r>
    <r>
      <rPr>
        <sz val="10"/>
        <color theme="1"/>
        <rFont val="宋体"/>
        <charset val="134"/>
      </rPr>
      <t>双月同心</t>
    </r>
    <r>
      <rPr>
        <sz val="10"/>
        <color theme="1"/>
        <rFont val="Times New Roman"/>
        <charset val="134"/>
      </rPr>
      <t xml:space="preserve">Mind of Two Moons </t>
    </r>
    <r>
      <rPr>
        <sz val="10"/>
        <color theme="1"/>
        <rFont val="宋体"/>
        <charset val="134"/>
      </rPr>
      <t>特性而言，也被视为一个正专注的月亮领域法术。
另外，每回合一次，当你对这个微光光照范围内的任何生物造成光耀伤害时，你可以诅咒其中一个被伤害的生物（不需要动作）。诅咒将一直持续到月蚀结束为止，期间。被这种方法诅咒的生物移动速度减半，且无法回复生命值。
一旦你使用了这个特性，直到你完成一次长休前你都无法再次使用它。</t>
    </r>
  </si>
  <si>
    <t>主干与分枝</t>
  </si>
  <si>
    <r>
      <rPr>
        <sz val="10"/>
        <color theme="1"/>
        <rFont val="宋体"/>
        <charset val="134"/>
      </rPr>
      <t>在你手中，即便是最低微的武器也能引导古老森林的威能。当你施展橡棍术</t>
    </r>
    <r>
      <rPr>
        <sz val="10"/>
        <color theme="1"/>
        <rFont val="Times New Roman"/>
        <charset val="134"/>
      </rPr>
      <t>Shillelagh</t>
    </r>
    <r>
      <rPr>
        <sz val="10"/>
        <color theme="1"/>
        <rFont val="宋体"/>
        <charset val="134"/>
      </rPr>
      <t>时，你可以在一只空闲的手中（如果有的话）长出一面由扭曲木材制成的盾牌（无需动作即可穿戴），该盾牌在该法术结束时消失。除非你陷入失能状态，否则你无法被迫放下受此影响的武器或盾牌。</t>
    </r>
    <r>
      <rPr>
        <sz val="10"/>
        <color theme="1"/>
        <rFont val="Times New Roman"/>
        <charset val="134"/>
      </rPr>
      <t xml:space="preserve">
</t>
    </r>
    <r>
      <rPr>
        <sz val="10"/>
        <color theme="1"/>
        <rFont val="宋体"/>
        <charset val="134"/>
      </rPr>
      <t>此外，在该法术的持续时间内，你无视你德鲁伊法术的姿势成分，并且可以将该法术所强化的武器用作德鲁伊法器。</t>
    </r>
  </si>
  <si>
    <r>
      <rPr>
        <sz val="10"/>
        <color theme="1"/>
        <rFont val="宋体"/>
        <charset val="134"/>
      </rPr>
      <t>战意</t>
    </r>
  </si>
  <si>
    <r>
      <rPr>
        <sz val="10"/>
        <color theme="1"/>
        <rFont val="宋体"/>
        <charset val="134"/>
      </rPr>
      <t>你在战斗中的气势能保护你并帮助你精准攻击。
在你的回合以一个附赠动作，直到当前回合结束前你的武器攻击骰有优势。
当你这么做时，你还获得</t>
    </r>
    <r>
      <rPr>
        <sz val="10"/>
        <color theme="1"/>
        <rFont val="Times New Roman"/>
        <charset val="134"/>
      </rPr>
      <t>5</t>
    </r>
    <r>
      <rPr>
        <sz val="10"/>
        <color theme="1"/>
        <rFont val="宋体"/>
        <charset val="134"/>
      </rPr>
      <t>点临时生命。
临时生命的数值会在你到达一定战士等级时增加，在</t>
    </r>
    <r>
      <rPr>
        <sz val="10"/>
        <color theme="1"/>
        <rFont val="Times New Roman"/>
        <charset val="134"/>
      </rPr>
      <t>10</t>
    </r>
    <r>
      <rPr>
        <sz val="10"/>
        <color theme="1"/>
        <rFont val="宋体"/>
        <charset val="134"/>
      </rPr>
      <t>级时增加到</t>
    </r>
    <r>
      <rPr>
        <sz val="10"/>
        <color theme="1"/>
        <rFont val="Times New Roman"/>
        <charset val="134"/>
      </rPr>
      <t>10</t>
    </r>
    <r>
      <rPr>
        <sz val="10"/>
        <color theme="1"/>
        <rFont val="宋体"/>
        <charset val="134"/>
      </rPr>
      <t>点，在</t>
    </r>
    <r>
      <rPr>
        <sz val="10"/>
        <color theme="1"/>
        <rFont val="Times New Roman"/>
        <charset val="134"/>
      </rPr>
      <t>15</t>
    </r>
    <r>
      <rPr>
        <sz val="10"/>
        <color theme="1"/>
        <rFont val="宋体"/>
        <charset val="134"/>
      </rPr>
      <t>级时增加到</t>
    </r>
    <r>
      <rPr>
        <sz val="10"/>
        <color theme="1"/>
        <rFont val="Times New Roman"/>
        <charset val="134"/>
      </rPr>
      <t>15</t>
    </r>
    <r>
      <rPr>
        <sz val="10"/>
        <color theme="1"/>
        <rFont val="宋体"/>
        <charset val="134"/>
      </rPr>
      <t>点。
你能使用该特性</t>
    </r>
    <r>
      <rPr>
        <sz val="10"/>
        <color theme="1"/>
        <rFont val="Times New Roman"/>
        <charset val="134"/>
      </rPr>
      <t>3</t>
    </r>
    <r>
      <rPr>
        <sz val="10"/>
        <color theme="1"/>
        <rFont val="宋体"/>
        <charset val="134"/>
      </rPr>
      <t>次，你在完成一次长休后重新获得所有的使用次数。</t>
    </r>
  </si>
  <si>
    <t>法术坚韧</t>
  </si>
  <si>
    <t>你在对抗法术和魔法效应所做的豁免中具有优势。此外，你对法术和魔法效应造成的伤害具有抗性。</t>
  </si>
  <si>
    <t>身化长川</t>
  </si>
  <si>
    <t>你可以在身体周围显现出强大的河流之灵形象。以一个附赠动作，你获得以下好处，持续1分钟：
你获得60尺游泳速度，且你的步行速度增加15尺。
你在所有豁免检定上具有优势。
每当你成功地用你的灵光移动一个生物时，你可以选择对其造成2d8点钝击伤害。
一旦你使用此附赠动作，你必须完成一次长休才能再次使用它，除非你消耗一个5环法术位来再次使用它。</t>
  </si>
  <si>
    <t>灾劫使者</t>
  </si>
  <si>
    <r>
      <rPr>
        <sz val="10"/>
        <color theme="1"/>
        <rFont val="宋体"/>
        <charset val="134"/>
      </rPr>
      <t>你对厄运的操控日趋强大，获得以下增益。</t>
    </r>
    <r>
      <rPr>
        <sz val="10"/>
        <color theme="1"/>
        <rFont val="Times New Roman"/>
        <charset val="134"/>
      </rPr>
      <t xml:space="preserve">
</t>
    </r>
    <r>
      <rPr>
        <sz val="10"/>
        <color theme="1"/>
        <rFont val="宋体"/>
        <charset val="134"/>
      </rPr>
      <t>荒坟猎手</t>
    </r>
    <r>
      <rPr>
        <sz val="10"/>
        <color theme="1"/>
        <rFont val="Times New Roman"/>
        <charset val="134"/>
      </rPr>
      <t>Graveyard Hunter</t>
    </r>
    <r>
      <rPr>
        <sz val="10"/>
        <color theme="1"/>
        <rFont val="宋体"/>
        <charset val="134"/>
      </rPr>
      <t>。</t>
    </r>
    <r>
      <rPr>
        <sz val="10"/>
        <color theme="1"/>
        <rFont val="Times New Roman"/>
        <charset val="134"/>
      </rPr>
      <t xml:space="preserve"> </t>
    </r>
    <r>
      <rPr>
        <sz val="10"/>
        <color theme="1"/>
        <rFont val="宋体"/>
        <charset val="134"/>
      </rPr>
      <t>噩兆的死兆撕裂动作在命中时额外造成</t>
    </r>
    <r>
      <rPr>
        <sz val="10"/>
        <color theme="1"/>
        <rFont val="Times New Roman"/>
        <charset val="134"/>
      </rPr>
      <t>1d6</t>
    </r>
    <r>
      <rPr>
        <sz val="10"/>
        <color theme="1"/>
        <rFont val="宋体"/>
        <charset val="134"/>
      </rPr>
      <t>暗蚀伤害。</t>
    </r>
    <r>
      <rPr>
        <sz val="10"/>
        <color theme="1"/>
        <rFont val="Times New Roman"/>
        <charset val="134"/>
      </rPr>
      <t xml:space="preserve">
</t>
    </r>
    <r>
      <rPr>
        <sz val="10"/>
        <color theme="1"/>
        <rFont val="宋体"/>
        <charset val="134"/>
      </rPr>
      <t>凡尘警示</t>
    </r>
    <r>
      <rPr>
        <sz val="10"/>
        <color theme="1"/>
        <rFont val="Times New Roman"/>
        <charset val="134"/>
      </rPr>
      <t>Mortal Reminder</t>
    </r>
    <r>
      <rPr>
        <sz val="10"/>
        <color theme="1"/>
        <rFont val="宋体"/>
        <charset val="134"/>
      </rPr>
      <t>。</t>
    </r>
    <r>
      <rPr>
        <sz val="10"/>
        <color theme="1"/>
        <rFont val="Times New Roman"/>
        <charset val="134"/>
      </rPr>
      <t xml:space="preserve"> </t>
    </r>
    <r>
      <rPr>
        <sz val="10"/>
        <color theme="1"/>
        <rFont val="宋体"/>
        <charset val="134"/>
      </rPr>
      <t>当你对被你的死兆星闪封定厄运的生物造成伤害时，你可以将伤害类型改为暗蚀伤害。</t>
    </r>
    <r>
      <rPr>
        <sz val="10"/>
        <color theme="1"/>
        <rFont val="Times New Roman"/>
        <charset val="134"/>
      </rPr>
      <t xml:space="preserve">
</t>
    </r>
    <r>
      <rPr>
        <sz val="10"/>
        <color theme="1"/>
        <rFont val="宋体"/>
        <charset val="134"/>
      </rPr>
      <t>恐惧渐生</t>
    </r>
    <r>
      <rPr>
        <sz val="10"/>
        <color theme="1"/>
        <rFont val="Times New Roman"/>
        <charset val="134"/>
      </rPr>
      <t>Mounting Dread</t>
    </r>
    <r>
      <rPr>
        <sz val="10"/>
        <color theme="1"/>
        <rFont val="宋体"/>
        <charset val="134"/>
      </rPr>
      <t>。</t>
    </r>
    <r>
      <rPr>
        <sz val="10"/>
        <color theme="1"/>
        <rFont val="Times New Roman"/>
        <charset val="134"/>
      </rPr>
      <t xml:space="preserve"> </t>
    </r>
    <r>
      <rPr>
        <sz val="10"/>
        <color theme="1"/>
        <rFont val="宋体"/>
        <charset val="134"/>
      </rPr>
      <t>你或噩兆造成的暗蚀伤害无视抗性。</t>
    </r>
  </si>
  <si>
    <t>麻痹毒液</t>
  </si>
  <si>
    <t>你获得以下诡诈打击选项。
麻痹Paralyze（花费4d6）。当你以毒液打击造成毒素伤害时，目标必须通过一次体质豁免，否则陷入麻痹，直到你的下一个回合结束。</t>
  </si>
  <si>
    <t>鬼之力-头发</t>
  </si>
  <si>
    <r>
      <rPr>
        <sz val="10"/>
        <color theme="1"/>
        <rFont val="宋体"/>
        <charset val="134"/>
      </rPr>
      <t>你的头发变为骇人的白色，并且向地面延伸，随着其生长以覆盖你的背部。你的</t>
    </r>
    <r>
      <rPr>
        <sz val="10"/>
        <color theme="1"/>
        <rFont val="Times New Roman"/>
        <charset val="134"/>
      </rPr>
      <t>AC</t>
    </r>
    <r>
      <rPr>
        <sz val="10"/>
        <color theme="1"/>
        <rFont val="宋体"/>
        <charset val="134"/>
      </rPr>
      <t>获得</t>
    </r>
    <r>
      <rPr>
        <sz val="10"/>
        <color theme="1"/>
        <rFont val="Times New Roman"/>
        <charset val="134"/>
      </rPr>
      <t>+2</t>
    </r>
    <r>
      <rPr>
        <sz val="10"/>
        <color theme="1"/>
        <rFont val="宋体"/>
        <charset val="134"/>
      </rPr>
      <t>加值。</t>
    </r>
  </si>
  <si>
    <r>
      <rPr>
        <sz val="10"/>
        <color theme="1"/>
        <rFont val="宋体"/>
        <charset val="134"/>
      </rPr>
      <t>骇异恶咒</t>
    </r>
  </si>
  <si>
    <r>
      <rPr>
        <sz val="10"/>
        <color theme="1"/>
        <rFont val="宋体"/>
        <charset val="134"/>
      </rPr>
      <t>你的异界宗主给予你强大的诅咒之力。你始终准备了脆弱诅咒</t>
    </r>
    <r>
      <rPr>
        <sz val="10"/>
        <color theme="1"/>
        <rFont val="Times New Roman"/>
        <charset val="134"/>
      </rPr>
      <t>Hex</t>
    </r>
    <r>
      <rPr>
        <sz val="10"/>
        <color theme="1"/>
        <rFont val="宋体"/>
        <charset val="134"/>
      </rPr>
      <t>法术。当你施展脆弱诅咒</t>
    </r>
    <r>
      <rPr>
        <sz val="10"/>
        <color theme="1"/>
        <rFont val="Times New Roman"/>
        <charset val="134"/>
      </rPr>
      <t>Hex</t>
    </r>
    <r>
      <rPr>
        <sz val="10"/>
        <color theme="1"/>
        <rFont val="宋体"/>
        <charset val="134"/>
      </rPr>
      <t>并选择了一项属性时，目标在法术持续时间内还会在以这项属性进行的豁免上具有劣势。</t>
    </r>
  </si>
  <si>
    <t>纸途传递</t>
  </si>
  <si>
    <t>当你施展一道施法距离为触碰的法术时，你的折纸构装可以如同它施展该法术一样传递该法术。你的折纸构装必须在你100尺范围内。如果该法术需要攻击检定，则使用你的攻击加值进行检定。</t>
  </si>
  <si>
    <r>
      <rPr>
        <sz val="10"/>
        <color theme="1"/>
        <rFont val="宋体"/>
        <charset val="134"/>
      </rPr>
      <t>病原师法术</t>
    </r>
  </si>
  <si>
    <r>
      <rPr>
        <sz val="10"/>
        <color theme="1"/>
        <rFont val="宋体"/>
        <charset val="134"/>
      </rPr>
      <t>当你达到此职业特定等级时，你视为已经准备了特定的法术，如病原师法术表所示。这些法术计入你的药剂师法术，且不计入你的药剂师准备法术。
病原师等级</t>
    </r>
    <r>
      <rPr>
        <sz val="10"/>
        <color theme="1"/>
        <rFont val="Times New Roman"/>
        <charset val="134"/>
      </rPr>
      <t xml:space="preserve">   </t>
    </r>
    <r>
      <rPr>
        <sz val="10"/>
        <color theme="1"/>
        <rFont val="宋体"/>
        <charset val="134"/>
      </rPr>
      <t xml:space="preserve">法术
</t>
    </r>
    <r>
      <rPr>
        <sz val="10"/>
        <color theme="1"/>
        <rFont val="Times New Roman"/>
        <charset val="134"/>
      </rPr>
      <t>1</t>
    </r>
    <r>
      <rPr>
        <sz val="10"/>
        <color theme="1"/>
        <rFont val="宋体"/>
        <charset val="134"/>
      </rPr>
      <t>级</t>
    </r>
    <r>
      <rPr>
        <sz val="10"/>
        <color theme="1"/>
        <rFont val="Times New Roman"/>
        <charset val="134"/>
      </rPr>
      <t xml:space="preserve">   </t>
    </r>
    <r>
      <rPr>
        <sz val="10"/>
        <color theme="1"/>
        <rFont val="宋体"/>
        <charset val="134"/>
      </rPr>
      <t>感染术</t>
    </r>
    <r>
      <rPr>
        <sz val="10"/>
        <color theme="1"/>
        <rFont val="Times New Roman"/>
        <charset val="134"/>
      </rPr>
      <t xml:space="preserve">Infect* </t>
    </r>
    <r>
      <rPr>
        <sz val="10"/>
        <color theme="1"/>
        <rFont val="宋体"/>
        <charset val="134"/>
      </rPr>
      <t>致伤术</t>
    </r>
    <r>
      <rPr>
        <sz val="10"/>
        <color theme="1"/>
        <rFont val="Times New Roman"/>
        <charset val="134"/>
      </rPr>
      <t xml:space="preserve"> Inflict Wounds
3</t>
    </r>
    <r>
      <rPr>
        <sz val="10"/>
        <color theme="1"/>
        <rFont val="宋体"/>
        <charset val="134"/>
      </rPr>
      <t>级</t>
    </r>
    <r>
      <rPr>
        <sz val="10"/>
        <color theme="1"/>
        <rFont val="Times New Roman"/>
        <charset val="134"/>
      </rPr>
      <t xml:space="preserve">   </t>
    </r>
    <r>
      <rPr>
        <sz val="10"/>
        <color theme="1"/>
        <rFont val="宋体"/>
        <charset val="134"/>
      </rPr>
      <t>目盲术／耳聋术</t>
    </r>
    <r>
      <rPr>
        <sz val="10"/>
        <color theme="1"/>
        <rFont val="Times New Roman"/>
        <charset val="134"/>
      </rPr>
      <t xml:space="preserve"> Blindness/Deafness </t>
    </r>
    <r>
      <rPr>
        <sz val="10"/>
        <color theme="1"/>
        <rFont val="宋体"/>
        <charset val="134"/>
      </rPr>
      <t>生物危害</t>
    </r>
    <r>
      <rPr>
        <sz val="10"/>
        <color theme="1"/>
        <rFont val="Times New Roman"/>
        <charset val="134"/>
      </rPr>
      <t>Biohazard*
5</t>
    </r>
    <r>
      <rPr>
        <sz val="10"/>
        <color theme="1"/>
        <rFont val="宋体"/>
        <charset val="134"/>
      </rPr>
      <t>级</t>
    </r>
    <r>
      <rPr>
        <sz val="10"/>
        <color theme="1"/>
        <rFont val="Times New Roman"/>
        <charset val="134"/>
      </rPr>
      <t xml:space="preserve">   </t>
    </r>
    <r>
      <rPr>
        <sz val="10"/>
        <color theme="1"/>
        <rFont val="宋体"/>
        <charset val="134"/>
      </rPr>
      <t>瘟疫术</t>
    </r>
    <r>
      <rPr>
        <sz val="10"/>
        <color theme="1"/>
        <rFont val="Times New Roman"/>
        <charset val="134"/>
      </rPr>
      <t xml:space="preserve">Pestilence* </t>
    </r>
    <r>
      <rPr>
        <sz val="10"/>
        <color theme="1"/>
        <rFont val="宋体"/>
        <charset val="134"/>
      </rPr>
      <t>恶毒灵光</t>
    </r>
    <r>
      <rPr>
        <sz val="10"/>
        <color theme="1"/>
        <rFont val="Times New Roman"/>
        <charset val="134"/>
      </rPr>
      <t>Venomous Aura*
7</t>
    </r>
    <r>
      <rPr>
        <sz val="10"/>
        <color theme="1"/>
        <rFont val="宋体"/>
        <charset val="134"/>
      </rPr>
      <t>级</t>
    </r>
    <r>
      <rPr>
        <sz val="10"/>
        <color theme="1"/>
        <rFont val="Times New Roman"/>
        <charset val="134"/>
      </rPr>
      <t xml:space="preserve">   </t>
    </r>
    <r>
      <rPr>
        <sz val="10"/>
        <color theme="1"/>
        <rFont val="宋体"/>
        <charset val="134"/>
      </rPr>
      <t>枯萎术</t>
    </r>
    <r>
      <rPr>
        <sz val="10"/>
        <color theme="1"/>
        <rFont val="Times New Roman"/>
        <charset val="134"/>
      </rPr>
      <t xml:space="preserve"> Blight </t>
    </r>
    <r>
      <rPr>
        <sz val="10"/>
        <color theme="1"/>
        <rFont val="宋体"/>
        <charset val="134"/>
      </rPr>
      <t>鲜血蠕虫</t>
    </r>
    <r>
      <rPr>
        <sz val="10"/>
        <color theme="1"/>
        <rFont val="Times New Roman"/>
        <charset val="134"/>
      </rPr>
      <t>Blood Worm*
9</t>
    </r>
    <r>
      <rPr>
        <sz val="10"/>
        <color theme="1"/>
        <rFont val="宋体"/>
        <charset val="134"/>
      </rPr>
      <t>级</t>
    </r>
    <r>
      <rPr>
        <sz val="10"/>
        <color theme="1"/>
        <rFont val="Times New Roman"/>
        <charset val="134"/>
      </rPr>
      <t xml:space="preserve">   </t>
    </r>
    <r>
      <rPr>
        <sz val="10"/>
        <color theme="1"/>
        <rFont val="宋体"/>
        <charset val="134"/>
      </rPr>
      <t>疫病术</t>
    </r>
    <r>
      <rPr>
        <sz val="10"/>
        <color theme="1"/>
        <rFont val="Times New Roman"/>
        <charset val="134"/>
      </rPr>
      <t xml:space="preserve"> Contagion </t>
    </r>
    <r>
      <rPr>
        <sz val="10"/>
        <color theme="1"/>
        <rFont val="宋体"/>
        <charset val="134"/>
      </rPr>
      <t>疫病虫群</t>
    </r>
    <r>
      <rPr>
        <sz val="10"/>
        <color theme="1"/>
        <rFont val="Times New Roman"/>
        <charset val="134"/>
      </rPr>
      <t xml:space="preserve"> Insect Plague</t>
    </r>
  </si>
  <si>
    <t>彼列之禁令</t>
  </si>
  <si>
    <t>角斗士</t>
  </si>
  <si>
    <t>法威难驳</t>
  </si>
  <si>
    <t>你那无可争议的资历和强健的胸肌使你在进行魅力（威吓）检定时具有优势，这适用于说服他人相信你确实是一名法师的场合。
此外，如果有任何人质疑你无可争辩的魔法造诣，你能够以反应立即进入狂暴，持续至你的下个回合结束。这种狂暴无法延长，且不消耗你的狂暴次数。</t>
  </si>
  <si>
    <t>传艺授面</t>
  </si>
  <si>
    <t>你获得将一个面具赠予5尺内盟友的能力。以一个动作，你可以暂时解除将面具与你绑定的咒语，并允许你的一位盟友使用它。面具可以以此方式使用1分钟，且只能指定一个其他生物使用它。
在赠予盟友一个面具后，你必须完成一次短休或长休才能再次这样做。</t>
  </si>
  <si>
    <t>领域法术</t>
  </si>
  <si>
    <r>
      <rPr>
        <sz val="10"/>
        <color theme="1"/>
        <rFont val="宋体"/>
        <charset val="134"/>
      </rPr>
      <t>你在鲜血领域法术表格中的牧师等级获得领域法术。
鲜血领域法术</t>
    </r>
    <r>
      <rPr>
        <sz val="10"/>
        <color theme="1"/>
        <rFont val="Times New Roman"/>
        <charset val="134"/>
      </rPr>
      <t xml:space="preserve"> </t>
    </r>
    <r>
      <rPr>
        <sz val="10"/>
        <color theme="1"/>
        <rFont val="宋体"/>
        <charset val="134"/>
      </rPr>
      <t>牧师等级</t>
    </r>
    <r>
      <rPr>
        <sz val="10"/>
        <color theme="1"/>
        <rFont val="Times New Roman"/>
        <charset val="134"/>
      </rPr>
      <t xml:space="preserve">  </t>
    </r>
    <r>
      <rPr>
        <sz val="10"/>
        <color theme="1"/>
        <rFont val="宋体"/>
        <charset val="134"/>
      </rPr>
      <t>法术</t>
    </r>
    <r>
      <rPr>
        <sz val="10"/>
        <color theme="1"/>
        <rFont val="Times New Roman"/>
        <charset val="134"/>
      </rPr>
      <t xml:space="preserve">  
1st </t>
    </r>
    <r>
      <rPr>
        <sz val="10"/>
        <color theme="1"/>
        <rFont val="宋体"/>
        <charset val="134"/>
      </rPr>
      <t>虚假生命</t>
    </r>
    <r>
      <rPr>
        <sz val="10"/>
        <color theme="1"/>
        <rFont val="Times New Roman"/>
        <charset val="134"/>
      </rPr>
      <t>false life</t>
    </r>
    <r>
      <rPr>
        <sz val="10"/>
        <color theme="1"/>
        <rFont val="宋体"/>
        <charset val="134"/>
      </rPr>
      <t>，睡眠术</t>
    </r>
    <r>
      <rPr>
        <sz val="10"/>
        <color theme="1"/>
        <rFont val="Times New Roman"/>
        <charset val="134"/>
      </rPr>
      <t xml:space="preserve">sleep 
3rd </t>
    </r>
    <r>
      <rPr>
        <sz val="10"/>
        <color theme="1"/>
        <rFont val="宋体"/>
        <charset val="134"/>
      </rPr>
      <t>定身类人</t>
    </r>
    <r>
      <rPr>
        <sz val="10"/>
        <color theme="1"/>
        <rFont val="Times New Roman"/>
        <charset val="134"/>
      </rPr>
      <t>hold person</t>
    </r>
    <r>
      <rPr>
        <sz val="10"/>
        <color theme="1"/>
        <rFont val="宋体"/>
        <charset val="134"/>
      </rPr>
      <t>，衰弱射线</t>
    </r>
    <r>
      <rPr>
        <sz val="10"/>
        <color theme="1"/>
        <rFont val="Times New Roman"/>
        <charset val="134"/>
      </rPr>
      <t xml:space="preserve">ray of enfeeblement 
5th </t>
    </r>
    <r>
      <rPr>
        <sz val="10"/>
        <color theme="1"/>
        <rFont val="宋体"/>
        <charset val="134"/>
      </rPr>
      <t>加速术</t>
    </r>
    <r>
      <rPr>
        <sz val="10"/>
        <color theme="1"/>
        <rFont val="Times New Roman"/>
        <charset val="134"/>
      </rPr>
      <t>haste</t>
    </r>
    <r>
      <rPr>
        <sz val="10"/>
        <color theme="1"/>
        <rFont val="宋体"/>
        <charset val="134"/>
      </rPr>
      <t>，缓慢术</t>
    </r>
    <r>
      <rPr>
        <sz val="10"/>
        <color theme="1"/>
        <rFont val="Times New Roman"/>
        <charset val="134"/>
      </rPr>
      <t xml:space="preserve">slow 
7th </t>
    </r>
    <r>
      <rPr>
        <sz val="10"/>
        <color theme="1"/>
        <rFont val="宋体"/>
        <charset val="134"/>
      </rPr>
      <t>枯萎术</t>
    </r>
    <r>
      <rPr>
        <sz val="10"/>
        <color theme="1"/>
        <rFont val="Times New Roman"/>
        <charset val="134"/>
      </rPr>
      <t>blight</t>
    </r>
    <r>
      <rPr>
        <sz val="10"/>
        <color theme="1"/>
        <rFont val="宋体"/>
        <charset val="134"/>
      </rPr>
      <t>，石肤术</t>
    </r>
    <r>
      <rPr>
        <sz val="10"/>
        <color theme="1"/>
        <rFont val="Times New Roman"/>
        <charset val="134"/>
      </rPr>
      <t xml:space="preserve">stoneskin 
9th </t>
    </r>
    <r>
      <rPr>
        <sz val="10"/>
        <color theme="1"/>
        <rFont val="宋体"/>
        <charset val="134"/>
      </rPr>
      <t>支配类人</t>
    </r>
    <r>
      <rPr>
        <sz val="10"/>
        <color theme="1"/>
        <rFont val="Times New Roman"/>
        <charset val="134"/>
      </rPr>
      <t>dominate person</t>
    </r>
    <r>
      <rPr>
        <sz val="10"/>
        <color theme="1"/>
        <rFont val="宋体"/>
        <charset val="134"/>
      </rPr>
      <t>，定身怪物</t>
    </r>
    <r>
      <rPr>
        <sz val="10"/>
        <color theme="1"/>
        <rFont val="Times New Roman"/>
        <charset val="134"/>
      </rPr>
      <t xml:space="preserve">hold monster  </t>
    </r>
  </si>
  <si>
    <t>树灵化身</t>
  </si>
  <si>
    <r>
      <rPr>
        <sz val="10"/>
        <color theme="1"/>
        <rFont val="宋体"/>
        <charset val="134"/>
      </rPr>
      <t>作为一项附赠动作，或者作为施展橡棍术</t>
    </r>
    <r>
      <rPr>
        <sz val="10"/>
        <color theme="1"/>
        <rFont val="Times New Roman"/>
        <charset val="134"/>
      </rPr>
      <t>Shillelagh</t>
    </r>
    <r>
      <rPr>
        <sz val="10"/>
        <color theme="1"/>
        <rFont val="宋体"/>
        <charset val="134"/>
      </rPr>
      <t>的一部分，你可以消耗一次荒野形态特性的使用次数，以原始森林的力量浸润自身，获得如下增益。</t>
    </r>
    <r>
      <rPr>
        <sz val="10"/>
        <color theme="1"/>
        <rFont val="Times New Roman"/>
        <charset val="134"/>
      </rPr>
      <t xml:space="preserve">
</t>
    </r>
    <r>
      <rPr>
        <sz val="10"/>
        <color theme="1"/>
        <rFont val="宋体"/>
        <charset val="134"/>
      </rPr>
      <t>树皮堡垒</t>
    </r>
    <r>
      <rPr>
        <sz val="10"/>
        <color theme="1"/>
        <rFont val="Times New Roman"/>
        <charset val="134"/>
      </rPr>
      <t>Bark Bulwark</t>
    </r>
    <r>
      <rPr>
        <sz val="10"/>
        <color theme="1"/>
        <rFont val="宋体"/>
        <charset val="134"/>
      </rPr>
      <t>。当你未着装护甲时，你的基础</t>
    </r>
    <r>
      <rPr>
        <sz val="10"/>
        <color theme="1"/>
        <rFont val="Times New Roman"/>
        <charset val="134"/>
      </rPr>
      <t>AC</t>
    </r>
    <r>
      <rPr>
        <sz val="10"/>
        <color theme="1"/>
        <rFont val="宋体"/>
        <charset val="134"/>
      </rPr>
      <t>等于</t>
    </r>
    <r>
      <rPr>
        <sz val="10"/>
        <color theme="1"/>
        <rFont val="Times New Roman"/>
        <charset val="134"/>
      </rPr>
      <t>10+</t>
    </r>
    <r>
      <rPr>
        <sz val="10"/>
        <color theme="1"/>
        <rFont val="宋体"/>
        <charset val="134"/>
      </rPr>
      <t>你的敏捷调整值</t>
    </r>
    <r>
      <rPr>
        <sz val="10"/>
        <color theme="1"/>
        <rFont val="Times New Roman"/>
        <charset val="134"/>
      </rPr>
      <t>+</t>
    </r>
    <r>
      <rPr>
        <sz val="10"/>
        <color theme="1"/>
        <rFont val="宋体"/>
        <charset val="134"/>
      </rPr>
      <t>你的感知调整值。</t>
    </r>
    <r>
      <rPr>
        <sz val="10"/>
        <color theme="1"/>
        <rFont val="Times New Roman"/>
        <charset val="134"/>
      </rPr>
      <t xml:space="preserve">
</t>
    </r>
    <r>
      <rPr>
        <sz val="10"/>
        <color theme="1"/>
        <rFont val="宋体"/>
        <charset val="134"/>
      </rPr>
      <t>长老木汁</t>
    </r>
    <r>
      <rPr>
        <sz val="10"/>
        <color theme="1"/>
        <rFont val="Times New Roman"/>
        <charset val="134"/>
      </rPr>
      <t>Elderwood Sap</t>
    </r>
    <r>
      <rPr>
        <sz val="10"/>
        <color theme="1"/>
        <rFont val="宋体"/>
        <charset val="134"/>
      </rPr>
      <t>。当你使用被橡棍术</t>
    </r>
    <r>
      <rPr>
        <sz val="10"/>
        <color theme="1"/>
        <rFont val="Times New Roman"/>
        <charset val="134"/>
      </rPr>
      <t>Shillelagh</t>
    </r>
    <r>
      <rPr>
        <sz val="10"/>
        <color theme="1"/>
        <rFont val="宋体"/>
        <charset val="134"/>
      </rPr>
      <t>强化的武器进行攻击检定并命中一个生物时，目标会被长老木的汁液所包裹，直至你的下一回合开始。被包裹期间，目标对你以外的其他目标进行的攻击检定具有劣势。</t>
    </r>
    <r>
      <rPr>
        <sz val="10"/>
        <color theme="1"/>
        <rFont val="Times New Roman"/>
        <charset val="134"/>
      </rPr>
      <t xml:space="preserve">
</t>
    </r>
    <r>
      <rPr>
        <sz val="10"/>
        <color theme="1"/>
        <rFont val="宋体"/>
        <charset val="134"/>
      </rPr>
      <t>橡木决意</t>
    </r>
    <r>
      <rPr>
        <sz val="10"/>
        <color theme="1"/>
        <rFont val="Times New Roman"/>
        <charset val="134"/>
      </rPr>
      <t>Oaken Resolve</t>
    </r>
    <r>
      <rPr>
        <sz val="10"/>
        <color theme="1"/>
        <rFont val="宋体"/>
        <charset val="134"/>
      </rPr>
      <t>。你在力量和体质豁免中具有优势。</t>
    </r>
    <r>
      <rPr>
        <sz val="10"/>
        <color theme="1"/>
        <rFont val="Times New Roman"/>
        <charset val="134"/>
      </rPr>
      <t xml:space="preserve">
</t>
    </r>
    <r>
      <rPr>
        <sz val="10"/>
        <color theme="1"/>
        <rFont val="宋体"/>
        <charset val="134"/>
      </rPr>
      <t>该效应持续</t>
    </r>
    <r>
      <rPr>
        <sz val="10"/>
        <color theme="1"/>
        <rFont val="Times New Roman"/>
        <charset val="134"/>
      </rPr>
      <t>10</t>
    </r>
    <r>
      <rPr>
        <sz val="10"/>
        <color theme="1"/>
        <rFont val="宋体"/>
        <charset val="134"/>
      </rPr>
      <t>分钟。如果你解除它（无需动作）、陷入失能状态或死亡，则提前结束。</t>
    </r>
  </si>
  <si>
    <r>
      <rPr>
        <sz val="10"/>
        <color theme="1"/>
        <rFont val="宋体"/>
        <charset val="134"/>
      </rPr>
      <t>雅臣</t>
    </r>
  </si>
  <si>
    <r>
      <rPr>
        <sz val="10"/>
        <color theme="1"/>
        <rFont val="宋体"/>
        <charset val="134"/>
      </rPr>
      <t>你对于细节的严谨和专注让你能胜任各种公共场合。
当你进行魅力（劝说）检定时，你获得等同于你的感知调整值的额外加值。
你的自控能力也让你获得了感知豁免的熟练。
如果你已经有这项熟练，你获得智力或者魅力的豁免熟练来代替（自选）。</t>
    </r>
  </si>
  <si>
    <t>术法自行</t>
  </si>
  <si>
    <t>当你施放一个施法时间为1动作的专注法术时，你可以消耗等于此法术环阶的功力来修塑法术，使其不再需要你的专注。此法术将会持续至多1分钟，或是其最大持续时间，取决于哪个时长更短。</t>
  </si>
  <si>
    <t>惩奸除恶</t>
  </si>
  <si>
    <r>
      <rPr>
        <sz val="10"/>
        <color theme="1"/>
        <rFont val="宋体"/>
        <charset val="134"/>
      </rPr>
      <t>你可以使用魔法动作消耗一次引导神力的使用次数，以烈焰镣铐锁缚你意欲惩戒的生物。选择你周边</t>
    </r>
    <r>
      <rPr>
        <sz val="10"/>
        <color theme="1"/>
        <rFont val="Times New Roman"/>
        <charset val="134"/>
      </rPr>
      <t>30</t>
    </r>
    <r>
      <rPr>
        <sz val="10"/>
        <color theme="1"/>
        <rFont val="宋体"/>
        <charset val="134"/>
      </rPr>
      <t>尺范围内至多等于你魅力调整值（至少为</t>
    </r>
    <r>
      <rPr>
        <sz val="10"/>
        <color theme="1"/>
        <rFont val="Times New Roman"/>
        <charset val="134"/>
      </rPr>
      <t>1</t>
    </r>
    <r>
      <rPr>
        <sz val="10"/>
        <color theme="1"/>
        <rFont val="宋体"/>
        <charset val="134"/>
      </rPr>
      <t>）的你可见的生物。每个生物都必须进行一次力量豁免，豁免失败则被戴上烈焰镣铐，其速度减少至</t>
    </r>
    <r>
      <rPr>
        <sz val="10"/>
        <color theme="1"/>
        <rFont val="Times New Roman"/>
        <charset val="134"/>
      </rPr>
      <t>0</t>
    </r>
    <r>
      <rPr>
        <sz val="10"/>
        <color theme="1"/>
        <rFont val="宋体"/>
        <charset val="134"/>
      </rPr>
      <t>。你可以使用附赠动作令镣铐爆发炽焰。所有被镣铐锁缚的生物都会受到</t>
    </r>
    <r>
      <rPr>
        <sz val="10"/>
        <color theme="1"/>
        <rFont val="Times New Roman"/>
        <charset val="134"/>
      </rPr>
      <t>2d6</t>
    </r>
    <r>
      <rPr>
        <sz val="10"/>
        <color theme="1"/>
        <rFont val="宋体"/>
        <charset val="134"/>
      </rPr>
      <t>火焰伤害。被镣铐锁缚的生物在其回合结束时重复豁免，成功则终止其身上的该效应。</t>
    </r>
    <r>
      <rPr>
        <sz val="10"/>
        <color theme="1"/>
        <rFont val="Times New Roman"/>
        <charset val="134"/>
      </rPr>
      <t>1</t>
    </r>
    <r>
      <rPr>
        <sz val="10"/>
        <color theme="1"/>
        <rFont val="宋体"/>
        <charset val="134"/>
      </rPr>
      <t>分钟后，其豁免自动成功。</t>
    </r>
  </si>
  <si>
    <t>墓契相连</t>
  </si>
  <si>
    <r>
      <rPr>
        <sz val="10"/>
        <color theme="1"/>
        <rFont val="宋体"/>
        <charset val="134"/>
      </rPr>
      <t>你从墓穴中汲取更深层的力量。你获得以下增益。</t>
    </r>
    <r>
      <rPr>
        <sz val="10"/>
        <color theme="1"/>
        <rFont val="Times New Roman"/>
        <charset val="134"/>
      </rPr>
      <t xml:space="preserve">
</t>
    </r>
    <r>
      <rPr>
        <sz val="10"/>
        <color theme="1"/>
        <rFont val="宋体"/>
        <charset val="134"/>
      </rPr>
      <t>阴森猎犬</t>
    </r>
    <r>
      <rPr>
        <sz val="10"/>
        <color theme="1"/>
        <rFont val="Times New Roman"/>
        <charset val="134"/>
      </rPr>
      <t>Ghastly Hound</t>
    </r>
    <r>
      <rPr>
        <sz val="10"/>
        <color theme="1"/>
        <rFont val="宋体"/>
        <charset val="134"/>
      </rPr>
      <t>。</t>
    </r>
    <r>
      <rPr>
        <sz val="10"/>
        <color theme="1"/>
        <rFont val="Times New Roman"/>
        <charset val="134"/>
      </rPr>
      <t xml:space="preserve"> </t>
    </r>
    <r>
      <rPr>
        <sz val="10"/>
        <color theme="1"/>
        <rFont val="宋体"/>
        <charset val="134"/>
      </rPr>
      <t>噩兆对钝击、穿刺和挥砍伤害具有抗性。</t>
    </r>
    <r>
      <rPr>
        <sz val="10"/>
        <color theme="1"/>
        <rFont val="Times New Roman"/>
        <charset val="134"/>
      </rPr>
      <t xml:space="preserve">
</t>
    </r>
    <r>
      <rPr>
        <sz val="10"/>
        <color theme="1"/>
        <rFont val="宋体"/>
        <charset val="134"/>
      </rPr>
      <t>墓穴坚毅</t>
    </r>
    <r>
      <rPr>
        <sz val="10"/>
        <color theme="1"/>
        <rFont val="Times New Roman"/>
        <charset val="134"/>
      </rPr>
      <t>Grave Fortitude</t>
    </r>
    <r>
      <rPr>
        <sz val="10"/>
        <color theme="1"/>
        <rFont val="宋体"/>
        <charset val="134"/>
      </rPr>
      <t>。</t>
    </r>
    <r>
      <rPr>
        <sz val="10"/>
        <color theme="1"/>
        <rFont val="Times New Roman"/>
        <charset val="134"/>
      </rPr>
      <t xml:space="preserve"> </t>
    </r>
    <r>
      <rPr>
        <sz val="10"/>
        <color theme="1"/>
        <rFont val="宋体"/>
        <charset val="134"/>
      </rPr>
      <t>你对暗蚀伤害具有抗性。</t>
    </r>
    <r>
      <rPr>
        <sz val="10"/>
        <color theme="1"/>
        <rFont val="Times New Roman"/>
        <charset val="134"/>
      </rPr>
      <t xml:space="preserve">
</t>
    </r>
    <r>
      <rPr>
        <sz val="10"/>
        <color theme="1"/>
        <rFont val="宋体"/>
        <charset val="134"/>
      </rPr>
      <t>宿命难逃</t>
    </r>
    <r>
      <rPr>
        <sz val="10"/>
        <color theme="1"/>
        <rFont val="Times New Roman"/>
        <charset val="134"/>
      </rPr>
      <t>Inescapable Fate</t>
    </r>
    <r>
      <rPr>
        <sz val="10"/>
        <color theme="1"/>
        <rFont val="宋体"/>
        <charset val="134"/>
      </rPr>
      <t>。</t>
    </r>
    <r>
      <rPr>
        <sz val="10"/>
        <color theme="1"/>
        <rFont val="Times New Roman"/>
        <charset val="134"/>
      </rPr>
      <t xml:space="preserve"> </t>
    </r>
    <r>
      <rPr>
        <sz val="10"/>
        <color theme="1"/>
        <rFont val="宋体"/>
        <charset val="134"/>
      </rPr>
      <t>当你的死兆星闪目标成功于一次豁免检定时，你可以使用反应迫使其以劣势重投该豁免，并使用新的掷骰结果。一旦你通过此增益导致一次豁免失败，在当前死兆星闪结束之前，你无法再次使用它。</t>
    </r>
  </si>
  <si>
    <t>咒唤炽焰</t>
  </si>
  <si>
    <t>你习得戏法舞光术Dancing Lights（光源形似漂浮的蜡烛）和燃火术Produce Flame。</t>
  </si>
  <si>
    <t>食人掌控</t>
  </si>
  <si>
    <r>
      <rPr>
        <sz val="10"/>
        <color theme="1"/>
        <rFont val="宋体"/>
        <charset val="134"/>
      </rPr>
      <t>你可以显现你的某项鬼之力，不论你消耗了多少术法点。以一个附赠动作，你可以提前获得某项通常需要消耗术法点才能获得的鬼之力。该特征持续</t>
    </r>
    <r>
      <rPr>
        <sz val="10"/>
        <color theme="1"/>
        <rFont val="Times New Roman"/>
        <charset val="134"/>
      </rPr>
      <t>1</t>
    </r>
    <r>
      <rPr>
        <sz val="10"/>
        <color theme="1"/>
        <rFont val="宋体"/>
        <charset val="134"/>
      </rPr>
      <t>分钟，若在此期间，你未通过正常方式获得该特性，则你失去该特性。</t>
    </r>
    <r>
      <rPr>
        <sz val="10"/>
        <color theme="1"/>
        <rFont val="Times New Roman"/>
        <charset val="134"/>
      </rPr>
      <t xml:space="preserve">
</t>
    </r>
    <r>
      <rPr>
        <sz val="10"/>
        <color theme="1"/>
        <rFont val="宋体"/>
        <charset val="134"/>
      </rPr>
      <t>此特性一经使用，直到你完成一次长休为止不能再次使用。</t>
    </r>
  </si>
  <si>
    <r>
      <rPr>
        <sz val="10"/>
        <color theme="1"/>
        <rFont val="宋体"/>
        <charset val="134"/>
      </rPr>
      <t>思维之盾</t>
    </r>
  </si>
  <si>
    <r>
      <rPr>
        <sz val="10"/>
        <color theme="1"/>
        <rFont val="宋体"/>
        <charset val="134"/>
      </rPr>
      <t>除非获得你的允许，否则你的思维无法被心灵感应或者其他手段阅读。此外你还具有对心灵伤害的抗性，且每当一个生物对你造成心灵伤害时，该生物将受到与你承受的同等的伤害。</t>
    </r>
  </si>
  <si>
    <t>折纸侍仆</t>
  </si>
  <si>
    <t>你习得并始终准备法术隐形仆役Unseen Sevrant，且不计入你每日可准备的法术数量。此外，你可以不消耗法术位地施展该法术，但你可同时维持的仆役数量最多等于你法师等级的一半（向上取整）。当你施展该法术时，它具有以下变化：
该法术的持续时间变为等于你的熟练加值（以小时计），而非1小时。
你的仆役以可见的折纸形态出现。
你的仆役具有毒素和心灵伤害免疫。
你的仆役可以穿过宽度为1寸的狭窄空间而不会受到挤压。
当你使用附赠动作指挥你的仆役时，作为同一附赠动作的一部分，你可以对每个仆役分别下达不同的指令。
你的仆役坠落速度为每轮60尺，并且不会受到坠落伤害。
你的仆役可以看见隐形生物与物件，就像它们是可见的一样。
当你的仆役在你周边100尺范围内时，你可以使用动作通过它的视角进行观察，并听见它所听到的声音，直至你的下一回合开始。你可以获得仆役所拥有的特殊感官增益。在此期间，你自身感官会目盲和耳聋。</t>
  </si>
  <si>
    <r>
      <rPr>
        <sz val="10"/>
        <color theme="1"/>
        <rFont val="宋体"/>
        <charset val="134"/>
      </rPr>
      <t>恶性病原</t>
    </r>
  </si>
  <si>
    <r>
      <rPr>
        <sz val="10"/>
        <color theme="1"/>
        <rFont val="宋体"/>
        <charset val="134"/>
      </rPr>
      <t>当一个生物施展一个法术或使用一种特性或能力来治愈或移除你的一种疾病（例如施展次级复原术</t>
    </r>
    <r>
      <rPr>
        <sz val="10"/>
        <color theme="1"/>
        <rFont val="Times New Roman"/>
        <charset val="134"/>
      </rPr>
      <t>Lesser Restoration</t>
    </r>
    <r>
      <rPr>
        <sz val="10"/>
        <color theme="1"/>
        <rFont val="宋体"/>
        <charset val="134"/>
      </rPr>
      <t>来移除你的感染术</t>
    </r>
    <r>
      <rPr>
        <sz val="10"/>
        <color theme="1"/>
        <rFont val="Times New Roman"/>
        <charset val="134"/>
      </rPr>
      <t>Infect*</t>
    </r>
    <r>
      <rPr>
        <sz val="10"/>
        <color theme="1"/>
        <rFont val="宋体"/>
        <charset val="134"/>
      </rPr>
      <t>），该生物必须先使用它的施法属性进行一次属性检定（或它的魅力调整值，如果该咒语或特殊能力并未指定一个法术调整值时）。其</t>
    </r>
    <r>
      <rPr>
        <sz val="10"/>
        <color theme="1"/>
        <rFont val="Times New Roman"/>
        <charset val="134"/>
      </rPr>
      <t>DC</t>
    </r>
    <r>
      <rPr>
        <sz val="10"/>
        <color theme="1"/>
        <rFont val="宋体"/>
        <charset val="134"/>
      </rPr>
      <t>等同于你的法术豁免</t>
    </r>
    <r>
      <rPr>
        <sz val="10"/>
        <color theme="1"/>
        <rFont val="Times New Roman"/>
        <charset val="134"/>
      </rPr>
      <t>DC</t>
    </r>
    <r>
      <rPr>
        <sz val="10"/>
        <color theme="1"/>
        <rFont val="宋体"/>
        <charset val="134"/>
      </rPr>
      <t>。若检定失败，该生物施展的法术、能力或特性失败并且没有产生效果。任何使用的材料成分都将被消耗，并且消耗的法术位将被浪费。</t>
    </r>
  </si>
  <si>
    <t>谎言面纱</t>
  </si>
  <si>
    <r>
      <rPr>
        <sz val="10"/>
        <color theme="1"/>
        <rFont val="宋体"/>
        <charset val="134"/>
      </rPr>
      <t>先决：邪狱使等级</t>
    </r>
    <r>
      <rPr>
        <sz val="10"/>
        <color theme="1"/>
        <rFont val="Times New Roman"/>
        <charset val="134"/>
      </rPr>
      <t>7+</t>
    </r>
    <r>
      <rPr>
        <sz val="10"/>
        <color theme="1"/>
        <rFont val="宋体"/>
        <charset val="134"/>
      </rPr>
      <t>（影宗）
以一个附赠动作，你可以消耗一枚缄印进入隐形，持续</t>
    </r>
    <r>
      <rPr>
        <sz val="10"/>
        <color theme="1"/>
        <rFont val="Times New Roman"/>
        <charset val="134"/>
      </rPr>
      <t>10</t>
    </r>
    <r>
      <rPr>
        <sz val="10"/>
        <color theme="1"/>
        <rFont val="宋体"/>
        <charset val="134"/>
      </rPr>
      <t>分钟或在你发动攻击或施展法术时提前结束。</t>
    </r>
  </si>
  <si>
    <r>
      <rPr>
        <sz val="10"/>
        <color theme="1"/>
        <rFont val="宋体"/>
        <charset val="134"/>
      </rPr>
      <t>命流武者</t>
    </r>
  </si>
  <si>
    <t>"戏法"</t>
  </si>
  <si>
    <t>你可以使用你的"魔法"来在战斗中施展"戏法"。每个你的回合一次，当你以一次基于力量属性的攻击命中目标时，你可以使用以下任一“戏法”。
法师之手Mage Hand。 若目标体型不超过大型，你可以将目标直线推离至多5尺。你的狂暴激活期间，你可以改为将目标推离至多10尺。
电爪Shocking Grasp。你的打击使人如遭雷击Shocking 。目标无法发动借机攻击直至当前回合结束。你的狂暴激活期间，目标无法发动借机攻击直至你的下个回合开始。
克敌先击True Strike。你真实Truely且有力地击打Strike目标，对目标造成额外1d6伤害。此伤害的类型与用于攻击的武器或徒手打击相同。你的狂暴激活期间，你将你野蛮人等级的一半（向下取整）加到额外伤害上。</t>
  </si>
  <si>
    <t>助人祟魂</t>
  </si>
  <si>
    <r>
      <rPr>
        <sz val="10"/>
        <color theme="1"/>
        <rFont val="宋体"/>
        <charset val="134"/>
      </rPr>
      <t>你可以召唤祟魂——即那些四处漂泊的精魂。当你用诗人激励特性激励一个生物时，你可以召唤一个幽灵般的幻影漂浮在被激励的目标周围。</t>
    </r>
    <r>
      <rPr>
        <sz val="10"/>
        <color theme="1"/>
        <rFont val="Times New Roman"/>
        <charset val="134"/>
      </rPr>
      <t xml:space="preserve">
</t>
    </r>
    <r>
      <rPr>
        <sz val="10"/>
        <color theme="1"/>
        <rFont val="宋体"/>
        <charset val="134"/>
      </rPr>
      <t>祟魂在源自该目标的</t>
    </r>
    <r>
      <rPr>
        <sz val="10"/>
        <color theme="1"/>
        <rFont val="Times New Roman"/>
        <charset val="134"/>
      </rPr>
      <t>15</t>
    </r>
    <r>
      <rPr>
        <sz val="10"/>
        <color theme="1"/>
        <rFont val="宋体"/>
        <charset val="134"/>
      </rPr>
      <t>尺光环区域中发出灵光。该祟魂会在</t>
    </r>
    <r>
      <rPr>
        <sz val="10"/>
        <color theme="1"/>
        <rFont val="Times New Roman"/>
        <charset val="134"/>
      </rPr>
      <t>1</t>
    </r>
    <r>
      <rPr>
        <sz val="10"/>
        <color theme="1"/>
        <rFont val="宋体"/>
        <charset val="134"/>
      </rPr>
      <t>分钟后、当你召唤一个新的祟魂时、当你使用它赋予你的反应时，或当你陷入失能状态或死亡时消失。当你召唤一个祟魂时，选它的形态：牢骚鬼、冒失鬼或捣蛋鬼。</t>
    </r>
    <r>
      <rPr>
        <sz val="10"/>
        <color theme="1"/>
        <rFont val="Times New Roman"/>
        <charset val="134"/>
      </rPr>
      <t xml:space="preserve">
</t>
    </r>
    <r>
      <rPr>
        <sz val="10"/>
        <color theme="1"/>
        <rFont val="宋体"/>
        <charset val="134"/>
      </rPr>
      <t>牢骚鬼</t>
    </r>
    <r>
      <rPr>
        <sz val="10"/>
        <color theme="1"/>
        <rFont val="Times New Roman"/>
        <charset val="134"/>
      </rPr>
      <t>Grump</t>
    </r>
    <r>
      <rPr>
        <sz val="10"/>
        <color theme="1"/>
        <rFont val="宋体"/>
        <charset val="134"/>
      </rPr>
      <t>。</t>
    </r>
    <r>
      <rPr>
        <sz val="10"/>
        <color theme="1"/>
        <rFont val="Times New Roman"/>
        <charset val="134"/>
      </rPr>
      <t xml:space="preserve"> </t>
    </r>
    <r>
      <rPr>
        <sz val="10"/>
        <color theme="1"/>
        <rFont val="宋体"/>
        <charset val="134"/>
      </rPr>
      <t>这个略带红色、衣衫褴褛的老年精魂会威胁你的敌人，并说教你的盟友去表现得更好。被激励的生物以及灵光内它的盟友会在魅力（威吓）检定和力量豁免中具有优势。此外，当灵光内的一个生物造成伤害时，你可以使用反应让其对一个目标造成的伤害增加，数值等于你诗人激励骰的掷骰结果加上你的魅力调整值。</t>
    </r>
    <r>
      <rPr>
        <sz val="10"/>
        <color theme="1"/>
        <rFont val="Times New Roman"/>
        <charset val="134"/>
      </rPr>
      <t xml:space="preserve">
</t>
    </r>
    <r>
      <rPr>
        <sz val="10"/>
        <color theme="1"/>
        <rFont val="宋体"/>
        <charset val="134"/>
      </rPr>
      <t>冒失鬼</t>
    </r>
    <r>
      <rPr>
        <sz val="10"/>
        <color theme="1"/>
        <rFont val="Times New Roman"/>
        <charset val="134"/>
      </rPr>
      <t>Sad Sack</t>
    </r>
    <r>
      <rPr>
        <sz val="10"/>
        <color theme="1"/>
        <rFont val="宋体"/>
        <charset val="134"/>
      </rPr>
      <t>。</t>
    </r>
    <r>
      <rPr>
        <sz val="10"/>
        <color theme="1"/>
        <rFont val="Times New Roman"/>
        <charset val="134"/>
      </rPr>
      <t xml:space="preserve"> </t>
    </r>
    <r>
      <rPr>
        <sz val="10"/>
        <color theme="1"/>
        <rFont val="宋体"/>
        <charset val="134"/>
      </rPr>
      <t>这个带些蓝色的忧郁精魂会削弱你敌人的热情。被激励的生物以及灵光内它的盟友会在对抗远程攻击时视为处于半身掩护。此外，当灵光内的一个生物受到伤害时，你可以使用反应让该伤害减少，数值等于你诗人激励骰的掷骰结果加上你的魅力调整值。</t>
    </r>
    <r>
      <rPr>
        <sz val="10"/>
        <color theme="1"/>
        <rFont val="Times New Roman"/>
        <charset val="134"/>
      </rPr>
      <t xml:space="preserve">
</t>
    </r>
    <r>
      <rPr>
        <sz val="10"/>
        <color theme="1"/>
        <rFont val="宋体"/>
        <charset val="134"/>
      </rPr>
      <t>捣蛋鬼</t>
    </r>
    <r>
      <rPr>
        <sz val="10"/>
        <color theme="1"/>
        <rFont val="Times New Roman"/>
        <charset val="134"/>
      </rPr>
      <t>Scamp</t>
    </r>
    <r>
      <rPr>
        <sz val="10"/>
        <color theme="1"/>
        <rFont val="宋体"/>
        <charset val="134"/>
      </rPr>
      <t>。</t>
    </r>
    <r>
      <rPr>
        <sz val="10"/>
        <color theme="1"/>
        <rFont val="Times New Roman"/>
        <charset val="134"/>
      </rPr>
      <t xml:space="preserve"> </t>
    </r>
    <r>
      <rPr>
        <sz val="10"/>
        <color theme="1"/>
        <rFont val="宋体"/>
        <charset val="134"/>
      </rPr>
      <t>这个染有金色的童真精魂会使你的盟友感到愉悦并充满活力。被激励的生物或其盟友在灵光内开始一个回合时，该生物的速度增加</t>
    </r>
    <r>
      <rPr>
        <sz val="10"/>
        <color theme="1"/>
        <rFont val="Times New Roman"/>
        <charset val="134"/>
      </rPr>
      <t>10</t>
    </r>
    <r>
      <rPr>
        <sz val="10"/>
        <color theme="1"/>
        <rFont val="宋体"/>
        <charset val="134"/>
      </rPr>
      <t>尺，直至其下一回合结束。此外，当灵光内的一个生物失败于一次豁免检定时，你可以使用反应让该生物重掷该</t>
    </r>
    <r>
      <rPr>
        <sz val="10"/>
        <color theme="1"/>
        <rFont val="Times New Roman"/>
        <charset val="134"/>
      </rPr>
      <t>d20</t>
    </r>
    <r>
      <rPr>
        <sz val="10"/>
        <color theme="1"/>
        <rFont val="宋体"/>
        <charset val="134"/>
      </rPr>
      <t>。</t>
    </r>
  </si>
  <si>
    <t>附赠熟练项</t>
  </si>
  <si>
    <t>在选择该领域时，你获得军用武器的熟练项。</t>
  </si>
  <si>
    <t>橡木与荆棘</t>
  </si>
  <si>
    <r>
      <rPr>
        <sz val="10"/>
        <color theme="1"/>
        <rFont val="宋体"/>
        <charset val="134"/>
      </rPr>
      <t>长老木的怒火驱使你惩罚你的敌人。当你激活树灵化身特性时，你在持续时间内获得以下额外增益。</t>
    </r>
    <r>
      <rPr>
        <sz val="10"/>
        <color theme="1"/>
        <rFont val="Times New Roman"/>
        <charset val="134"/>
      </rPr>
      <t xml:space="preserve">
</t>
    </r>
    <r>
      <rPr>
        <sz val="10"/>
        <color theme="1"/>
        <rFont val="宋体"/>
        <charset val="134"/>
      </rPr>
      <t>橡木圣拳</t>
    </r>
    <r>
      <rPr>
        <sz val="10"/>
        <color theme="1"/>
        <rFont val="Times New Roman"/>
        <charset val="134"/>
      </rPr>
      <t>Oakenfist</t>
    </r>
    <r>
      <rPr>
        <sz val="10"/>
        <color theme="1"/>
        <rFont val="宋体"/>
        <charset val="134"/>
      </rPr>
      <t>。</t>
    </r>
    <r>
      <rPr>
        <sz val="10"/>
        <color theme="1"/>
        <rFont val="Times New Roman"/>
        <charset val="134"/>
      </rPr>
      <t xml:space="preserve"> </t>
    </r>
    <r>
      <rPr>
        <sz val="10"/>
        <color theme="1"/>
        <rFont val="宋体"/>
        <charset val="134"/>
      </rPr>
      <t>当你在自己回合中执行攻击动作时，你可以攻击两次而不是一次。</t>
    </r>
    <r>
      <rPr>
        <sz val="10"/>
        <color theme="1"/>
        <rFont val="Times New Roman"/>
        <charset val="134"/>
      </rPr>
      <t xml:space="preserve">
</t>
    </r>
    <r>
      <rPr>
        <sz val="10"/>
        <color theme="1"/>
        <rFont val="宋体"/>
        <charset val="134"/>
      </rPr>
      <t>缠结荆棘</t>
    </r>
    <r>
      <rPr>
        <sz val="10"/>
        <color theme="1"/>
        <rFont val="Times New Roman"/>
        <charset val="134"/>
      </rPr>
      <t>Gnarled Thorns</t>
    </r>
    <r>
      <rPr>
        <sz val="10"/>
        <color theme="1"/>
        <rFont val="宋体"/>
        <charset val="134"/>
      </rPr>
      <t>。</t>
    </r>
    <r>
      <rPr>
        <sz val="10"/>
        <color theme="1"/>
        <rFont val="Times New Roman"/>
        <charset val="134"/>
      </rPr>
      <t xml:space="preserve"> </t>
    </r>
    <r>
      <rPr>
        <sz val="10"/>
        <color theme="1"/>
        <rFont val="宋体"/>
        <charset val="134"/>
      </rPr>
      <t>每个你的回合一次，当你使用武器进行近战攻击检定并命中一个生物时，目标额外受到</t>
    </r>
    <r>
      <rPr>
        <sz val="10"/>
        <color theme="1"/>
        <rFont val="Times New Roman"/>
        <charset val="134"/>
      </rPr>
      <t>1d6</t>
    </r>
    <r>
      <rPr>
        <sz val="10"/>
        <color theme="1"/>
        <rFont val="宋体"/>
        <charset val="134"/>
      </rPr>
      <t>穿刺伤害。</t>
    </r>
  </si>
  <si>
    <r>
      <rPr>
        <sz val="10"/>
        <color theme="1"/>
        <rFont val="宋体"/>
        <charset val="134"/>
      </rPr>
      <t>不懈</t>
    </r>
  </si>
  <si>
    <r>
      <rPr>
        <sz val="10"/>
        <color theme="1"/>
        <rFont val="宋体"/>
        <charset val="134"/>
      </rPr>
      <t>当你投先攻且没有剩余的战意使用次数时，你重新获得一次使用机会。</t>
    </r>
  </si>
  <si>
    <t>问诊详情</t>
  </si>
  <si>
    <r>
      <rPr>
        <sz val="10"/>
        <color theme="1"/>
        <rFont val="宋体"/>
        <charset val="134"/>
      </rPr>
      <t>在你选择这一宗派后，你能击打一位对手，并连接复数的穴位，你能从中提取出关于你的敌人的关键信息。当你以</t>
    </r>
    <r>
      <rPr>
        <sz val="10"/>
        <color theme="1"/>
        <rFont val="Times New Roman"/>
        <charset val="134"/>
      </rPr>
      <t xml:space="preserve"> </t>
    </r>
    <r>
      <rPr>
        <sz val="10"/>
        <color theme="1"/>
        <rFont val="宋体"/>
        <charset val="134"/>
      </rPr>
      <t>疾风连击</t>
    </r>
    <r>
      <rPr>
        <sz val="10"/>
        <color theme="1"/>
        <rFont val="Times New Roman"/>
        <charset val="134"/>
      </rPr>
      <t xml:space="preserve">Flurry of Blows </t>
    </r>
    <r>
      <rPr>
        <sz val="10"/>
        <color theme="1"/>
        <rFont val="宋体"/>
        <charset val="134"/>
      </rPr>
      <t>中的一次攻击命中一位敌人，你能分析它之。当被分析的生物对你发动的攻击打失时，如果它在你的触及范围内，你能以反应对其进行一次徒手打击。这一增益持续直到你结束一次短休或长休。
此外，当你分析一个生物后，你还会知晓所有关于其伤害易伤、伤害抗性、伤害免疫、与状态免疫的信息。</t>
    </r>
  </si>
  <si>
    <t>诘问真心</t>
  </si>
  <si>
    <r>
      <rPr>
        <sz val="10"/>
        <color theme="1"/>
        <rFont val="宋体"/>
        <charset val="134"/>
      </rPr>
      <t>你可以使用魔法动作消耗一次引导神力的使用次数，以更好地搜寻邪恶与腐化。在接下来的</t>
    </r>
    <r>
      <rPr>
        <sz val="10"/>
        <color theme="1"/>
        <rFont val="Times New Roman"/>
        <charset val="134"/>
      </rPr>
      <t>10</t>
    </r>
    <r>
      <rPr>
        <sz val="10"/>
        <color theme="1"/>
        <rFont val="宋体"/>
        <charset val="134"/>
      </rPr>
      <t>分钟内，你在感知（洞悉）和智力（调查）检定中具有优势。</t>
    </r>
    <r>
      <rPr>
        <sz val="10"/>
        <color theme="1"/>
        <rFont val="Times New Roman"/>
        <charset val="134"/>
      </rPr>
      <t xml:space="preserve">
</t>
    </r>
    <r>
      <rPr>
        <sz val="10"/>
        <color theme="1"/>
        <rFont val="宋体"/>
        <charset val="134"/>
      </rPr>
      <t>持续时间内，你可以使用附赠动作选择你周边</t>
    </r>
    <r>
      <rPr>
        <sz val="10"/>
        <color theme="1"/>
        <rFont val="Times New Roman"/>
        <charset val="134"/>
      </rPr>
      <t>10</t>
    </r>
    <r>
      <rPr>
        <sz val="10"/>
        <color theme="1"/>
        <rFont val="宋体"/>
        <charset val="134"/>
      </rPr>
      <t>尺范围内一个你可见的生物。目标必须进行一次魅力豁免，豁免失败则陷入恐慌状态，持续</t>
    </r>
    <r>
      <rPr>
        <sz val="10"/>
        <color theme="1"/>
        <rFont val="Times New Roman"/>
        <charset val="134"/>
      </rPr>
      <t>1</t>
    </r>
    <r>
      <rPr>
        <sz val="10"/>
        <color theme="1"/>
        <rFont val="宋体"/>
        <charset val="134"/>
      </rPr>
      <t>分钟。以这种方式陷入恐慌状态期间，目标不能故意说谎。如果目标受到伤害，或者你再次使用该附赠动作，则此状态提前结束。</t>
    </r>
  </si>
  <si>
    <t>宿命已定</t>
  </si>
  <si>
    <r>
      <rPr>
        <sz val="10"/>
        <color theme="1"/>
        <rFont val="宋体"/>
        <charset val="134"/>
      </rPr>
      <t>你的死兆星闪力量达到巅峰，当它处于激活状态时，为你带来以下增益。</t>
    </r>
    <r>
      <rPr>
        <sz val="10"/>
        <color theme="1"/>
        <rFont val="Times New Roman"/>
        <charset val="134"/>
      </rPr>
      <t xml:space="preserve">
</t>
    </r>
    <r>
      <rPr>
        <sz val="10"/>
        <color theme="1"/>
        <rFont val="宋体"/>
        <charset val="134"/>
      </rPr>
      <t>毁灭之颚</t>
    </r>
    <r>
      <rPr>
        <sz val="10"/>
        <color theme="1"/>
        <rFont val="Times New Roman"/>
        <charset val="134"/>
      </rPr>
      <t>Jaws of Doom</t>
    </r>
    <r>
      <rPr>
        <sz val="10"/>
        <color theme="1"/>
        <rFont val="宋体"/>
        <charset val="134"/>
      </rPr>
      <t>。</t>
    </r>
    <r>
      <rPr>
        <sz val="10"/>
        <color theme="1"/>
        <rFont val="Times New Roman"/>
        <charset val="134"/>
      </rPr>
      <t xml:space="preserve"> </t>
    </r>
    <r>
      <rPr>
        <sz val="10"/>
        <color theme="1"/>
        <rFont val="宋体"/>
        <charset val="134"/>
      </rPr>
      <t>噩兆的死兆撕裂动作在命中时额外造成</t>
    </r>
    <r>
      <rPr>
        <sz val="10"/>
        <color theme="1"/>
        <rFont val="Times New Roman"/>
        <charset val="134"/>
      </rPr>
      <t>1d6</t>
    </r>
    <r>
      <rPr>
        <sz val="10"/>
        <color theme="1"/>
        <rFont val="宋体"/>
        <charset val="134"/>
      </rPr>
      <t>暗蚀伤害（总计额外</t>
    </r>
    <r>
      <rPr>
        <sz val="10"/>
        <color theme="1"/>
        <rFont val="Times New Roman"/>
        <charset val="134"/>
      </rPr>
      <t>2d6</t>
    </r>
    <r>
      <rPr>
        <sz val="10"/>
        <color theme="1"/>
        <rFont val="宋体"/>
        <charset val="134"/>
      </rPr>
      <t>伤害）。</t>
    </r>
    <r>
      <rPr>
        <sz val="10"/>
        <color theme="1"/>
        <rFont val="Times New Roman"/>
        <charset val="134"/>
      </rPr>
      <t xml:space="preserve">
</t>
    </r>
    <r>
      <rPr>
        <sz val="10"/>
        <color theme="1"/>
        <rFont val="宋体"/>
        <charset val="134"/>
      </rPr>
      <t>终亡印记</t>
    </r>
    <r>
      <rPr>
        <sz val="10"/>
        <color theme="1"/>
        <rFont val="Times New Roman"/>
        <charset val="134"/>
      </rPr>
      <t>Marked for Death</t>
    </r>
    <r>
      <rPr>
        <sz val="10"/>
        <color theme="1"/>
        <rFont val="宋体"/>
        <charset val="134"/>
      </rPr>
      <t>。</t>
    </r>
    <r>
      <rPr>
        <sz val="10"/>
        <color theme="1"/>
        <rFont val="Times New Roman"/>
        <charset val="134"/>
      </rPr>
      <t xml:space="preserve"> </t>
    </r>
    <r>
      <rPr>
        <sz val="10"/>
        <color theme="1"/>
        <rFont val="宋体"/>
        <charset val="134"/>
      </rPr>
      <t>当你使用死兆星闪时，你可以迫使目标进行一次对抗你法术豁免</t>
    </r>
    <r>
      <rPr>
        <sz val="10"/>
        <color theme="1"/>
        <rFont val="Times New Roman"/>
        <charset val="134"/>
      </rPr>
      <t>DC</t>
    </r>
    <r>
      <rPr>
        <sz val="10"/>
        <color theme="1"/>
        <rFont val="宋体"/>
        <charset val="134"/>
      </rPr>
      <t>的魅力豁免。若豁免失败，则直至当前死兆星闪结束，目标对噩兆造成的伤害以及你通过死兆星闪造成的额外伤害具有易伤。一旦你使用了此特性，则直至你完成一次长休前，都无法再次使用。你也可以消耗一枚四环或更高环阶的法术位（无需动作）来重置该特性的使用权。</t>
    </r>
  </si>
  <si>
    <t>魔蜡技艺</t>
  </si>
  <si>
    <t>当你选择此范型时，你习得魔蜡技艺，这种技艺受你从灵界汲取和操控能量的能力所驱动。此能力会表现为一定数量的烛心点。
魔艺Enchantments。你习得自选的三种魔艺，这些魔艺会在下方内容中列出。
你会在5级、10级和15级时额外习得额外两种魔艺。每当你习得新的魔艺，你还可以将你已知的一种魔艺替换为另一种。
豁免检定Saving Throws。 你的某些魔艺会需要生物进行一次豁免以抵抗魔艺的效果。豁免检定DC的计算方式如下：
魔艺豁免DC = 8 + 你的熟练加值 + 你的智力或魅力调整值（由你选择）
烛心点Wick Points。 你持有3点烛心点，它代表了你当前操控灵界魔法的能力。操控异界的魔法，并将其能量注入另一个物体，哪怕只是一支蜡烛这般微小简易的物体，也会对施术者造成身心的双重负担。你消耗的烛心点需要在你完成一次短休或长休后恢复。
每当你提升一个游荡者等级，你获得1点额外的烛心点。</t>
  </si>
  <si>
    <t>沸腾之力</t>
  </si>
  <si>
    <r>
      <rPr>
        <sz val="10"/>
        <color theme="1"/>
        <rFont val="宋体"/>
        <charset val="134"/>
      </rPr>
      <t>你的鬼之力愈发强大，产生以下变化：</t>
    </r>
    <r>
      <rPr>
        <sz val="10"/>
        <color theme="1"/>
        <rFont val="Times New Roman"/>
        <charset val="134"/>
      </rPr>
      <t xml:space="preserve">
</t>
    </r>
    <r>
      <rPr>
        <sz val="10"/>
        <color theme="1"/>
        <rFont val="宋体"/>
        <charset val="134"/>
      </rPr>
      <t>双眼</t>
    </r>
    <r>
      <rPr>
        <sz val="10"/>
        <color theme="1"/>
        <rFont val="Times New Roman"/>
        <charset val="134"/>
      </rPr>
      <t>Eyes</t>
    </r>
    <r>
      <rPr>
        <sz val="10"/>
        <color theme="1"/>
        <rFont val="宋体"/>
        <charset val="134"/>
      </rPr>
      <t>。除原有效果之外，你习得了法术诚实之域</t>
    </r>
    <r>
      <rPr>
        <sz val="10"/>
        <color theme="1"/>
        <rFont val="Times New Roman"/>
        <charset val="134"/>
      </rPr>
      <t>Zone of Truth</t>
    </r>
    <r>
      <rPr>
        <sz val="10"/>
        <color theme="1"/>
        <rFont val="宋体"/>
        <charset val="134"/>
      </rPr>
      <t>，你可以在不消耗法术位的情况下施展该法术。当你施展该法术时，它仅影响</t>
    </r>
    <r>
      <rPr>
        <sz val="10"/>
        <color theme="1"/>
        <rFont val="Times New Roman"/>
        <charset val="134"/>
      </rPr>
      <t>60</t>
    </r>
    <r>
      <rPr>
        <sz val="10"/>
        <color theme="1"/>
        <rFont val="宋体"/>
        <charset val="134"/>
      </rPr>
      <t>尺范围内由你选择的一名生物。只要其仍能看见你的双眼，该生物就必须在其每回合开始时进行一次豁免检定；若目标无法再看到你的双眼，法术立即结束。</t>
    </r>
    <r>
      <rPr>
        <sz val="10"/>
        <color theme="1"/>
        <rFont val="Times New Roman"/>
        <charset val="134"/>
      </rPr>
      <t xml:space="preserve">
</t>
    </r>
    <r>
      <rPr>
        <sz val="10"/>
        <color theme="1"/>
        <rFont val="宋体"/>
        <charset val="134"/>
      </rPr>
      <t>双角</t>
    </r>
    <r>
      <rPr>
        <sz val="10"/>
        <color theme="1"/>
        <rFont val="Times New Roman"/>
        <charset val="134"/>
      </rPr>
      <t>Horns</t>
    </r>
    <r>
      <rPr>
        <sz val="10"/>
        <color theme="1"/>
        <rFont val="宋体"/>
        <charset val="134"/>
      </rPr>
      <t>。你双角造成的额外伤害增长至</t>
    </r>
    <r>
      <rPr>
        <sz val="10"/>
        <color theme="1"/>
        <rFont val="Times New Roman"/>
        <charset val="134"/>
      </rPr>
      <t>1d12</t>
    </r>
    <r>
      <rPr>
        <sz val="10"/>
        <color theme="1"/>
        <rFont val="宋体"/>
        <charset val="134"/>
      </rPr>
      <t>。</t>
    </r>
    <r>
      <rPr>
        <sz val="10"/>
        <color theme="1"/>
        <rFont val="Times New Roman"/>
        <charset val="134"/>
      </rPr>
      <t xml:space="preserve">
</t>
    </r>
    <r>
      <rPr>
        <sz val="10"/>
        <color theme="1"/>
        <rFont val="宋体"/>
        <charset val="134"/>
      </rPr>
      <t>皮肤</t>
    </r>
    <r>
      <rPr>
        <sz val="10"/>
        <color theme="1"/>
        <rFont val="Times New Roman"/>
        <charset val="134"/>
      </rPr>
      <t>Skin</t>
    </r>
    <r>
      <rPr>
        <sz val="10"/>
        <color theme="1"/>
        <rFont val="宋体"/>
        <charset val="134"/>
      </rPr>
      <t>。每当你施展一道一环或更高环阶的法术时，你现在恢复等同于该法术环阶的两倍</t>
    </r>
    <r>
      <rPr>
        <sz val="10"/>
        <color theme="1"/>
        <rFont val="Times New Roman"/>
        <charset val="134"/>
      </rPr>
      <t>+</t>
    </r>
    <r>
      <rPr>
        <sz val="10"/>
        <color theme="1"/>
        <rFont val="宋体"/>
        <charset val="134"/>
      </rPr>
      <t>你的体质调整值的生命值。</t>
    </r>
    <r>
      <rPr>
        <sz val="10"/>
        <color theme="1"/>
        <rFont val="Times New Roman"/>
        <charset val="134"/>
      </rPr>
      <t xml:space="preserve">
</t>
    </r>
    <r>
      <rPr>
        <sz val="10"/>
        <color theme="1"/>
        <rFont val="宋体"/>
        <charset val="134"/>
      </rPr>
      <t>舌头</t>
    </r>
    <r>
      <rPr>
        <sz val="10"/>
        <color theme="1"/>
        <rFont val="Times New Roman"/>
        <charset val="134"/>
      </rPr>
      <t>Tongue</t>
    </r>
    <r>
      <rPr>
        <sz val="10"/>
        <color theme="1"/>
        <rFont val="宋体"/>
        <charset val="134"/>
      </rPr>
      <t>。当你在施展一道五环或更高环阶的法术时激活了舌头特性，你可以使目标在恐惧中颤抖且变得对你极度迷恋，以代替该特性的正常效果。目标的被动感知（察觉）点数减少至</t>
    </r>
    <r>
      <rPr>
        <sz val="10"/>
        <color theme="1"/>
        <rFont val="Times New Roman"/>
        <charset val="134"/>
      </rPr>
      <t>5</t>
    </r>
    <r>
      <rPr>
        <sz val="10"/>
        <color theme="1"/>
        <rFont val="宋体"/>
        <charset val="134"/>
      </rPr>
      <t>，且在面对所有并非来自于你的攻击时，其</t>
    </r>
    <r>
      <rPr>
        <sz val="10"/>
        <color theme="1"/>
        <rFont val="Times New Roman"/>
        <charset val="134"/>
      </rPr>
      <t>AC</t>
    </r>
    <r>
      <rPr>
        <sz val="10"/>
        <color theme="1"/>
        <rFont val="宋体"/>
        <charset val="134"/>
      </rPr>
      <t>获得</t>
    </r>
    <r>
      <rPr>
        <sz val="10"/>
        <color theme="1"/>
        <rFont val="Times New Roman"/>
        <charset val="134"/>
      </rPr>
      <t>-5</t>
    </r>
    <r>
      <rPr>
        <sz val="10"/>
        <color theme="1"/>
        <rFont val="宋体"/>
        <charset val="134"/>
      </rPr>
      <t>的减值。这一效应持续至你的下一回合开始。</t>
    </r>
  </si>
  <si>
    <r>
      <rPr>
        <sz val="10"/>
        <color theme="1"/>
        <rFont val="宋体"/>
        <charset val="134"/>
      </rPr>
      <t>创造奴仆</t>
    </r>
  </si>
  <si>
    <r>
      <rPr>
        <sz val="10"/>
        <color theme="1"/>
        <rFont val="宋体"/>
        <charset val="134"/>
      </rPr>
      <t>当你施展异怪召唤术</t>
    </r>
    <r>
      <rPr>
        <sz val="10"/>
        <color theme="1"/>
        <rFont val="Times New Roman"/>
        <charset val="134"/>
      </rPr>
      <t>Summon Aberration</t>
    </r>
    <r>
      <rPr>
        <sz val="10"/>
        <color theme="1"/>
        <rFont val="宋体"/>
        <charset val="134"/>
      </rPr>
      <t>时，你可以微调这一法术使其无需专注。以无需专注的方式施展时，该法术的持续时间将变为一分钟，且召唤来的异怪拥有等于你魔契师等级</t>
    </r>
    <r>
      <rPr>
        <sz val="10"/>
        <color theme="1"/>
        <rFont val="Times New Roman"/>
        <charset val="134"/>
      </rPr>
      <t>+</t>
    </r>
    <r>
      <rPr>
        <sz val="10"/>
        <color theme="1"/>
        <rFont val="宋体"/>
        <charset val="134"/>
      </rPr>
      <t>你的魅力调整值的临时生命值。
此外，该异怪在每个回合中第一次命中一个被你的脆弱诅咒</t>
    </r>
    <r>
      <rPr>
        <sz val="10"/>
        <color theme="1"/>
        <rFont val="Times New Roman"/>
        <charset val="134"/>
      </rPr>
      <t>Hex</t>
    </r>
    <r>
      <rPr>
        <sz val="10"/>
        <color theme="1"/>
        <rFont val="宋体"/>
        <charset val="134"/>
      </rPr>
      <t>影响的生物时，该异怪会对目标额外造成等于该法术的附加伤害的心灵伤害。</t>
    </r>
  </si>
  <si>
    <t>秘法回溯</t>
  </si>
  <si>
    <t>你的折纸构装会在被摧毁时返还你在赋予它们生命时借给它们的魔法。当你的一个折纸构装被摧毁时，你可以选择恢复10点生命值，或恢复一个二环或更低环阶的法术位。
此外，当你的一个折纸构装即将受到伤害时，你可以使用你的反应来完全抵消此次伤害。一旦你使用了该能力，你必须完成一次长休才能再次使用。</t>
  </si>
  <si>
    <r>
      <rPr>
        <sz val="10"/>
        <color theme="1"/>
        <rFont val="宋体"/>
        <charset val="134"/>
      </rPr>
      <t>突变菌株</t>
    </r>
  </si>
  <si>
    <r>
      <rPr>
        <sz val="10"/>
        <color theme="1"/>
        <rFont val="宋体"/>
        <charset val="134"/>
      </rPr>
      <t>你可以使你的疾病进化来产生新的病症。你习得你所选的两种突变菌株，并且每当你获得一个新的职业等级时，你可以将本特性给出的另一个不同菌株和你的一个已知菌株替换。当你达到特定等级时，你习得额外的一个突变菌株，如突变菌株已知表所示。
已知突变菌株
药剂师等级</t>
    </r>
    <r>
      <rPr>
        <sz val="10"/>
        <color theme="1"/>
        <rFont val="Times New Roman"/>
        <charset val="134"/>
      </rPr>
      <t xml:space="preserve">   </t>
    </r>
    <r>
      <rPr>
        <sz val="10"/>
        <color theme="1"/>
        <rFont val="宋体"/>
        <charset val="134"/>
      </rPr>
      <t xml:space="preserve">菌株数量
</t>
    </r>
    <r>
      <rPr>
        <sz val="10"/>
        <color theme="1"/>
        <rFont val="Times New Roman"/>
        <charset val="134"/>
      </rPr>
      <t>3</t>
    </r>
    <r>
      <rPr>
        <sz val="10"/>
        <color theme="1"/>
        <rFont val="宋体"/>
        <charset val="134"/>
      </rPr>
      <t>级</t>
    </r>
    <r>
      <rPr>
        <sz val="10"/>
        <color theme="1"/>
        <rFont val="Times New Roman"/>
        <charset val="134"/>
      </rPr>
      <t xml:space="preserve">            2
9</t>
    </r>
    <r>
      <rPr>
        <sz val="10"/>
        <color theme="1"/>
        <rFont val="宋体"/>
        <charset val="134"/>
      </rPr>
      <t>级</t>
    </r>
    <r>
      <rPr>
        <sz val="10"/>
        <color theme="1"/>
        <rFont val="Times New Roman"/>
        <charset val="134"/>
      </rPr>
      <t xml:space="preserve">            3
15</t>
    </r>
    <r>
      <rPr>
        <sz val="10"/>
        <color theme="1"/>
        <rFont val="宋体"/>
        <charset val="134"/>
      </rPr>
      <t>级</t>
    </r>
    <r>
      <rPr>
        <sz val="10"/>
        <color theme="1"/>
        <rFont val="Times New Roman"/>
        <charset val="134"/>
      </rPr>
      <t xml:space="preserve">          4
</t>
    </r>
    <r>
      <rPr>
        <sz val="10"/>
        <color theme="1"/>
        <rFont val="宋体"/>
        <charset val="134"/>
      </rPr>
      <t>当你施展一个会造成疾病的法术时（例如感染术</t>
    </r>
    <r>
      <rPr>
        <sz val="10"/>
        <color theme="1"/>
        <rFont val="Times New Roman"/>
        <charset val="134"/>
      </rPr>
      <t>Infect*</t>
    </r>
    <r>
      <rPr>
        <sz val="10"/>
        <color theme="1"/>
        <rFont val="宋体"/>
        <charset val="134"/>
      </rPr>
      <t>或疫病术</t>
    </r>
    <r>
      <rPr>
        <sz val="10"/>
        <color theme="1"/>
        <rFont val="Times New Roman"/>
        <charset val="134"/>
      </rPr>
      <t>Contagion</t>
    </r>
    <r>
      <rPr>
        <sz val="10"/>
        <color theme="1"/>
        <rFont val="宋体"/>
        <charset val="134"/>
      </rPr>
      <t>），你可以对法术的其中一个目标造成你突变菌株中的一种额外效果，其效果将在法术持续时间内持续。当你习得一种突变菌株时，以下突变菌株可供你选择。如果一种菌株有等级要求，那么你必须至少达到该职业等级才能习得该菌株。
头晕</t>
    </r>
    <r>
      <rPr>
        <sz val="10"/>
        <color theme="1"/>
        <rFont val="Times New Roman"/>
        <charset val="134"/>
      </rPr>
      <t>Dizziness</t>
    </r>
    <r>
      <rPr>
        <sz val="10"/>
        <color theme="1"/>
        <rFont val="宋体"/>
        <charset val="134"/>
      </rPr>
      <t>。目标不能使用反应。
疲劳</t>
    </r>
    <r>
      <rPr>
        <sz val="10"/>
        <color theme="1"/>
        <rFont val="Times New Roman"/>
        <charset val="134"/>
      </rPr>
      <t>Fatigue</t>
    </r>
    <r>
      <rPr>
        <sz val="10"/>
        <color theme="1"/>
        <rFont val="宋体"/>
        <charset val="134"/>
      </rPr>
      <t>。每当该目标在对抗你疾病的法术豁免中失败，它的移动速度就降低</t>
    </r>
    <r>
      <rPr>
        <sz val="10"/>
        <color theme="1"/>
        <rFont val="Times New Roman"/>
        <charset val="134"/>
      </rPr>
      <t>5</t>
    </r>
    <r>
      <rPr>
        <sz val="10"/>
        <color theme="1"/>
        <rFont val="宋体"/>
        <charset val="134"/>
      </rPr>
      <t>尺，直到它的下个回合开始。
咳嗽</t>
    </r>
    <r>
      <rPr>
        <sz val="10"/>
        <color theme="1"/>
        <rFont val="Times New Roman"/>
        <charset val="134"/>
      </rPr>
      <t>Coughing Fits</t>
    </r>
    <r>
      <rPr>
        <sz val="10"/>
        <color theme="1"/>
        <rFont val="宋体"/>
        <charset val="134"/>
      </rPr>
      <t>。在目标的每个回合开始，它必须进行一次体质豁免以对抗你的法术豁免</t>
    </r>
    <r>
      <rPr>
        <sz val="10"/>
        <color theme="1"/>
        <rFont val="Times New Roman"/>
        <charset val="134"/>
      </rPr>
      <t>DC</t>
    </r>
    <r>
      <rPr>
        <sz val="10"/>
        <color theme="1"/>
        <rFont val="宋体"/>
        <charset val="134"/>
      </rPr>
      <t>。若豁免检定失败，它将不能说话，直到它的下个回合开始。
寒颤</t>
    </r>
    <r>
      <rPr>
        <sz val="10"/>
        <color theme="1"/>
        <rFont val="Times New Roman"/>
        <charset val="134"/>
      </rPr>
      <t>Shivers</t>
    </r>
    <r>
      <rPr>
        <sz val="10"/>
        <color theme="1"/>
        <rFont val="宋体"/>
        <charset val="134"/>
      </rPr>
      <t>。目标开始无法自控地哆嗦。在目标的每个回合开始，它手中持握的任何东西将会掉落在地。
虚弱</t>
    </r>
    <r>
      <rPr>
        <sz val="10"/>
        <color theme="1"/>
        <rFont val="Times New Roman"/>
        <charset val="134"/>
      </rPr>
      <t>Weakness</t>
    </r>
    <r>
      <rPr>
        <sz val="10"/>
        <color theme="1"/>
        <rFont val="宋体"/>
        <charset val="134"/>
      </rPr>
      <t>（</t>
    </r>
    <r>
      <rPr>
        <sz val="10"/>
        <color theme="1"/>
        <rFont val="Times New Roman"/>
        <charset val="134"/>
      </rPr>
      <t>9</t>
    </r>
    <r>
      <rPr>
        <sz val="10"/>
        <color theme="1"/>
        <rFont val="宋体"/>
        <charset val="134"/>
      </rPr>
      <t>级）。目标的近战武器攻击只能造成一半伤害。
干眼症</t>
    </r>
    <r>
      <rPr>
        <sz val="10"/>
        <color theme="1"/>
        <rFont val="Times New Roman"/>
        <charset val="134"/>
      </rPr>
      <t>Dry Eyes</t>
    </r>
    <r>
      <rPr>
        <sz val="10"/>
        <color theme="1"/>
        <rFont val="宋体"/>
        <charset val="134"/>
      </rPr>
      <t>（</t>
    </r>
    <r>
      <rPr>
        <sz val="10"/>
        <color theme="1"/>
        <rFont val="Times New Roman"/>
        <charset val="134"/>
      </rPr>
      <t>9</t>
    </r>
    <r>
      <rPr>
        <sz val="10"/>
        <color theme="1"/>
        <rFont val="宋体"/>
        <charset val="134"/>
      </rPr>
      <t>级）。每当目标在对抗你疾病的豁免检定中失败，它将陷入目盲状态，直到它的下个回合开始。
高烧</t>
    </r>
    <r>
      <rPr>
        <sz val="10"/>
        <color theme="1"/>
        <rFont val="Times New Roman"/>
        <charset val="134"/>
      </rPr>
      <t>Intense Fever (</t>
    </r>
    <r>
      <rPr>
        <sz val="10"/>
        <color theme="1"/>
        <rFont val="宋体"/>
        <charset val="134"/>
      </rPr>
      <t>（</t>
    </r>
    <r>
      <rPr>
        <sz val="10"/>
        <color theme="1"/>
        <rFont val="Times New Roman"/>
        <charset val="134"/>
      </rPr>
      <t>9</t>
    </r>
    <r>
      <rPr>
        <sz val="10"/>
        <color theme="1"/>
        <rFont val="宋体"/>
        <charset val="134"/>
      </rPr>
      <t>级）。目标无法恢复生命值。
皮肤损伤</t>
    </r>
    <r>
      <rPr>
        <sz val="10"/>
        <color theme="1"/>
        <rFont val="Times New Roman"/>
        <charset val="134"/>
      </rPr>
      <t xml:space="preserve">Lesions </t>
    </r>
    <r>
      <rPr>
        <sz val="10"/>
        <color theme="1"/>
        <rFont val="宋体"/>
        <charset val="134"/>
      </rPr>
      <t>（</t>
    </r>
    <r>
      <rPr>
        <sz val="10"/>
        <color theme="1"/>
        <rFont val="Times New Roman"/>
        <charset val="134"/>
      </rPr>
      <t>9</t>
    </r>
    <r>
      <rPr>
        <sz val="10"/>
        <color theme="1"/>
        <rFont val="宋体"/>
        <charset val="134"/>
      </rPr>
      <t>级）。目标失去任何伤害抗性。
作呕</t>
    </r>
    <r>
      <rPr>
        <sz val="10"/>
        <color theme="1"/>
        <rFont val="Times New Roman"/>
        <charset val="134"/>
      </rPr>
      <t>Nausea</t>
    </r>
    <r>
      <rPr>
        <sz val="10"/>
        <color theme="1"/>
        <rFont val="宋体"/>
        <charset val="134"/>
      </rPr>
      <t>（</t>
    </r>
    <r>
      <rPr>
        <sz val="10"/>
        <color theme="1"/>
        <rFont val="Times New Roman"/>
        <charset val="134"/>
      </rPr>
      <t>15</t>
    </r>
    <r>
      <rPr>
        <sz val="10"/>
        <color theme="1"/>
        <rFont val="宋体"/>
        <charset val="134"/>
      </rPr>
      <t>级）。每当目标在对抗你疾病的豁免检定中失败，它陷入失能状态直到它的下个回合开始。
萎缩</t>
    </r>
    <r>
      <rPr>
        <sz val="10"/>
        <color theme="1"/>
        <rFont val="Times New Roman"/>
        <charset val="134"/>
      </rPr>
      <t xml:space="preserve">Dystrophy </t>
    </r>
    <r>
      <rPr>
        <sz val="10"/>
        <color theme="1"/>
        <rFont val="宋体"/>
        <charset val="134"/>
      </rPr>
      <t>（</t>
    </r>
    <r>
      <rPr>
        <sz val="10"/>
        <color theme="1"/>
        <rFont val="Times New Roman"/>
        <charset val="134"/>
      </rPr>
      <t>15</t>
    </r>
    <r>
      <rPr>
        <sz val="10"/>
        <color theme="1"/>
        <rFont val="宋体"/>
        <charset val="134"/>
      </rPr>
      <t>级）。目标获得钝击、穿刺、挥砍伤害的易伤。</t>
    </r>
  </si>
  <si>
    <t>幽影杀手</t>
  </si>
  <si>
    <r>
      <rPr>
        <sz val="10"/>
        <color theme="1"/>
        <rFont val="宋体"/>
        <charset val="134"/>
      </rPr>
      <t>阴影是你的伙伴，帮助你完成伟业。你获得以下增益：
你获得</t>
    </r>
    <r>
      <rPr>
        <sz val="10"/>
        <color theme="1"/>
        <rFont val="Times New Roman"/>
        <charset val="134"/>
      </rPr>
      <t>60</t>
    </r>
    <r>
      <rPr>
        <sz val="10"/>
        <color theme="1"/>
        <rFont val="宋体"/>
        <charset val="134"/>
      </rPr>
      <t>尺黑暗视觉，如果你已经具有黑暗视觉，你的黑暗视觉范围增加</t>
    </r>
    <r>
      <rPr>
        <sz val="10"/>
        <color theme="1"/>
        <rFont val="Times New Roman"/>
        <charset val="134"/>
      </rPr>
      <t>60</t>
    </r>
    <r>
      <rPr>
        <sz val="10"/>
        <color theme="1"/>
        <rFont val="宋体"/>
        <charset val="134"/>
      </rPr>
      <t>尺。
你的移动速度提升</t>
    </r>
    <r>
      <rPr>
        <sz val="10"/>
        <color theme="1"/>
        <rFont val="Times New Roman"/>
        <charset val="134"/>
      </rPr>
      <t>10</t>
    </r>
    <r>
      <rPr>
        <sz val="10"/>
        <color theme="1"/>
        <rFont val="宋体"/>
        <charset val="134"/>
      </rPr>
      <t>尺。</t>
    </r>
    <r>
      <rPr>
        <sz val="10"/>
        <color theme="1"/>
        <rFont val="Times New Roman"/>
        <charset val="134"/>
      </rPr>
      <t xml:space="preserve"> 
</t>
    </r>
    <r>
      <rPr>
        <sz val="10"/>
        <color theme="1"/>
        <rFont val="宋体"/>
        <charset val="134"/>
      </rPr>
      <t>你为躲藏进行的敏捷（隐匿）检定具有优势。每当你受到一个允许你进行敏捷豁免来只承受一半伤害的效应影响时，你在豁免成功时不受伤害，豁免失败时只承受一半伤害。</t>
    </r>
  </si>
  <si>
    <r>
      <rPr>
        <sz val="10"/>
        <color theme="1"/>
        <rFont val="宋体"/>
        <charset val="134"/>
      </rPr>
      <t>暗影武者</t>
    </r>
  </si>
  <si>
    <t>"法术"</t>
  </si>
  <si>
    <t>你的"魔法"已强大到能施展任何存在的"法术"（没人敢也没人能在不断几根肋骨的情况下证明并非如此）。不过，你今天只准备了以下"法术"。
当你处于狂暴时，你可以使用以下每个'法术'一次。当你使用后，需要完成一次长休才能再次使用该'法术'。
燃烧之手Burning Hands。 你的反手抽击堪称传奇。以一个动作，你可以对你触及范围内的每名生物发动一次徒手打击。若命中，此次攻击造成1d8加你的力量调整值的钝击伤害，且目标在你下个回合开始前进行的下次攻击检定具有劣势。
魔法飞弹Magic Missile。 以一个动作，你可以使用飞镖、匕首或其他具有投掷词条且使用力量属性进行攻击和伤害检定的武器进发动三次远程攻击。因为魔法飞弹从不落空，所以你进行这三次攻击检定时具有优势。
护盾术Shield。当你被一次攻击检定命中时，你能够以反应迅速穿戴一面盾牌进行防御。你对抗触发攻击获得该盾牌的AC加值，可能令那次攻击改为失手。 若该攻击仍然命中，对你造成的伤害减少等于你野蛮人等级的值。</t>
  </si>
  <si>
    <t>漫游吹哨人</t>
  </si>
  <si>
    <r>
      <rPr>
        <sz val="10"/>
        <color theme="1"/>
        <rFont val="宋体"/>
        <charset val="134"/>
      </rPr>
      <t>你将向逝者吹哨的迷信塑造为强大的工具。你获得以下增益。</t>
    </r>
    <r>
      <rPr>
        <sz val="10"/>
        <color theme="1"/>
        <rFont val="Times New Roman"/>
        <charset val="134"/>
      </rPr>
      <t xml:space="preserve">
</t>
    </r>
    <r>
      <rPr>
        <sz val="10"/>
        <color theme="1"/>
        <rFont val="宋体"/>
        <charset val="134"/>
      </rPr>
      <t>旅者行囊</t>
    </r>
    <r>
      <rPr>
        <sz val="10"/>
        <color theme="1"/>
        <rFont val="Times New Roman"/>
        <charset val="134"/>
      </rPr>
      <t>Wanderer's Bindle</t>
    </r>
    <r>
      <rPr>
        <sz val="10"/>
        <color theme="1"/>
        <rFont val="宋体"/>
        <charset val="134"/>
      </rPr>
      <t>。当你完成一次长休时，你可以触碰一个非魔法背包、麻袋或类似容器，将其变为一件名为行囊</t>
    </r>
    <r>
      <rPr>
        <sz val="10"/>
        <color theme="1"/>
        <rFont val="Times New Roman"/>
        <charset val="134"/>
      </rPr>
      <t>Bindle</t>
    </r>
    <r>
      <rPr>
        <sz val="10"/>
        <color theme="1"/>
        <rFont val="宋体"/>
        <charset val="134"/>
      </rPr>
      <t>的魔法容器。该容器的作用与霍华德便利袋</t>
    </r>
    <r>
      <rPr>
        <sz val="10"/>
        <color theme="1"/>
        <rFont val="Times New Roman"/>
        <charset val="134"/>
      </rPr>
      <t xml:space="preserve">Heward's Handy Haversack </t>
    </r>
    <r>
      <rPr>
        <sz val="10"/>
        <color theme="1"/>
        <rFont val="宋体"/>
        <charset val="134"/>
      </rPr>
      <t>相同。如果你创造第二个行囊、或当你的行囊距离你超过</t>
    </r>
    <r>
      <rPr>
        <sz val="10"/>
        <color theme="1"/>
        <rFont val="Times New Roman"/>
        <charset val="134"/>
      </rPr>
      <t>1</t>
    </r>
    <r>
      <rPr>
        <sz val="10"/>
        <color theme="1"/>
        <rFont val="宋体"/>
        <charset val="134"/>
      </rPr>
      <t>里，或你死亡时，行囊将失去魔法，里面的任何东西都出现在距离容器最近的未占据空间内。</t>
    </r>
    <r>
      <rPr>
        <sz val="10"/>
        <color theme="1"/>
        <rFont val="Times New Roman"/>
        <charset val="134"/>
      </rPr>
      <t xml:space="preserve">
</t>
    </r>
    <r>
      <rPr>
        <sz val="10"/>
        <color theme="1"/>
        <rFont val="宋体"/>
        <charset val="134"/>
      </rPr>
      <t>灵哨法术</t>
    </r>
    <r>
      <rPr>
        <sz val="10"/>
        <color theme="1"/>
        <rFont val="Times New Roman"/>
        <charset val="134"/>
      </rPr>
      <t>Whistled Spells</t>
    </r>
    <r>
      <rPr>
        <sz val="10"/>
        <color theme="1"/>
        <rFont val="宋体"/>
        <charset val="134"/>
      </rPr>
      <t>。</t>
    </r>
    <r>
      <rPr>
        <sz val="10"/>
        <color theme="1"/>
        <rFont val="Times New Roman"/>
        <charset val="134"/>
      </rPr>
      <t xml:space="preserve"> </t>
    </r>
    <r>
      <rPr>
        <sz val="10"/>
        <color theme="1"/>
        <rFont val="宋体"/>
        <charset val="134"/>
      </rPr>
      <t>你可以使用口哨来代替你吟游诗人法术的言语成分。不熟悉这种传统的观察者必须成功进行一次</t>
    </r>
    <r>
      <rPr>
        <sz val="10"/>
        <color theme="1"/>
        <rFont val="Times New Roman"/>
        <charset val="134"/>
      </rPr>
      <t>DC15</t>
    </r>
    <r>
      <rPr>
        <sz val="10"/>
        <color theme="1"/>
        <rFont val="宋体"/>
        <charset val="134"/>
      </rPr>
      <t>的智力（奥秘）检定才能仅凭口哨的言语成分识别出你的施法行为。</t>
    </r>
  </si>
  <si>
    <t>失血凝集</t>
  </si>
  <si>
    <r>
      <rPr>
        <sz val="10"/>
        <color theme="1"/>
        <rFont val="宋体"/>
        <charset val="134"/>
      </rPr>
      <t>你的神圣魔法能让你从魔法造成的伤口中汲取血液，使你的敌人更加痛苦。当你施展一个持续时间为立即的</t>
    </r>
    <r>
      <rPr>
        <sz val="10"/>
        <color theme="1"/>
        <rFont val="Times New Roman"/>
        <charset val="134"/>
      </rPr>
      <t>1</t>
    </r>
    <r>
      <rPr>
        <sz val="10"/>
        <color theme="1"/>
        <rFont val="宋体"/>
        <charset val="134"/>
      </rPr>
      <t>环或更高环阶法术时，任何受到该法术伤害的有血液的生物会额外受到</t>
    </r>
    <r>
      <rPr>
        <sz val="10"/>
        <color theme="1"/>
        <rFont val="Times New Roman"/>
        <charset val="134"/>
      </rPr>
      <t xml:space="preserve"> 2</t>
    </r>
    <r>
      <rPr>
        <sz val="10"/>
        <color theme="1"/>
        <rFont val="宋体"/>
        <charset val="134"/>
      </rPr>
      <t>＋法术环阶</t>
    </r>
    <r>
      <rPr>
        <sz val="10"/>
        <color theme="1"/>
        <rFont val="Times New Roman"/>
        <charset val="134"/>
      </rPr>
      <t xml:space="preserve"> </t>
    </r>
    <r>
      <rPr>
        <sz val="10"/>
        <color theme="1"/>
        <rFont val="宋体"/>
        <charset val="134"/>
      </rPr>
      <t>点暗蚀伤害。</t>
    </r>
  </si>
  <si>
    <t>深林长者</t>
  </si>
  <si>
    <r>
      <rPr>
        <sz val="10"/>
        <color theme="1"/>
        <rFont val="宋体"/>
        <charset val="134"/>
      </rPr>
      <t>你与长老木的联系愈发紧密。当你激活树灵化身特性时，你在持续时间内获得以下额外增益。</t>
    </r>
    <r>
      <rPr>
        <sz val="10"/>
        <color theme="1"/>
        <rFont val="Times New Roman"/>
        <charset val="134"/>
      </rPr>
      <t xml:space="preserve">
</t>
    </r>
    <r>
      <rPr>
        <sz val="10"/>
        <color theme="1"/>
        <rFont val="宋体"/>
        <charset val="134"/>
      </rPr>
      <t>原始怒火</t>
    </r>
    <r>
      <rPr>
        <sz val="10"/>
        <color theme="1"/>
        <rFont val="Times New Roman"/>
        <charset val="134"/>
      </rPr>
      <t>Primeval Wrath</t>
    </r>
    <r>
      <rPr>
        <sz val="10"/>
        <color theme="1"/>
        <rFont val="宋体"/>
        <charset val="134"/>
      </rPr>
      <t>。</t>
    </r>
    <r>
      <rPr>
        <sz val="10"/>
        <color theme="1"/>
        <rFont val="Times New Roman"/>
        <charset val="134"/>
      </rPr>
      <t xml:space="preserve"> </t>
    </r>
    <r>
      <rPr>
        <sz val="10"/>
        <color theme="1"/>
        <rFont val="宋体"/>
        <charset val="134"/>
      </rPr>
      <t>每回合一次，当你以近战攻击命中一个生物时，你可以迫使目标进行一次对抗你的法术豁免</t>
    </r>
    <r>
      <rPr>
        <sz val="10"/>
        <color theme="1"/>
        <rFont val="Times New Roman"/>
        <charset val="134"/>
      </rPr>
      <t>DC</t>
    </r>
    <r>
      <rPr>
        <sz val="10"/>
        <color theme="1"/>
        <rFont val="宋体"/>
        <charset val="134"/>
      </rPr>
      <t>的力量豁免，豁免失败时目标陷入倒地状态。</t>
    </r>
    <r>
      <rPr>
        <sz val="10"/>
        <color theme="1"/>
        <rFont val="Times New Roman"/>
        <charset val="134"/>
      </rPr>
      <t xml:space="preserve">
</t>
    </r>
    <r>
      <rPr>
        <sz val="10"/>
        <color theme="1"/>
        <rFont val="宋体"/>
        <charset val="134"/>
      </rPr>
      <t>荆棘树皮</t>
    </r>
    <r>
      <rPr>
        <sz val="10"/>
        <color theme="1"/>
        <rFont val="Times New Roman"/>
        <charset val="134"/>
      </rPr>
      <t>Bramblebark</t>
    </r>
    <r>
      <rPr>
        <sz val="10"/>
        <color theme="1"/>
        <rFont val="宋体"/>
        <charset val="134"/>
      </rPr>
      <t>。</t>
    </r>
    <r>
      <rPr>
        <sz val="10"/>
        <color theme="1"/>
        <rFont val="Times New Roman"/>
        <charset val="134"/>
      </rPr>
      <t xml:space="preserve"> </t>
    </r>
    <r>
      <rPr>
        <sz val="10"/>
        <color theme="1"/>
        <rFont val="宋体"/>
        <charset val="134"/>
      </rPr>
      <t>当你周边</t>
    </r>
    <r>
      <rPr>
        <sz val="10"/>
        <color theme="1"/>
        <rFont val="Times New Roman"/>
        <charset val="134"/>
      </rPr>
      <t>5</t>
    </r>
    <r>
      <rPr>
        <sz val="10"/>
        <color theme="1"/>
        <rFont val="宋体"/>
        <charset val="134"/>
      </rPr>
      <t>尺范围内的一个生物以近战攻击命中你时，攻击者会受到</t>
    </r>
    <r>
      <rPr>
        <sz val="10"/>
        <color theme="1"/>
        <rFont val="Times New Roman"/>
        <charset val="134"/>
      </rPr>
      <t>1d8</t>
    </r>
    <r>
      <rPr>
        <sz val="10"/>
        <color theme="1"/>
        <rFont val="宋体"/>
        <charset val="134"/>
      </rPr>
      <t>穿刺伤害。一个生物每回合至多受到一次该伤害。</t>
    </r>
    <r>
      <rPr>
        <sz val="10"/>
        <color theme="1"/>
        <rFont val="Times New Roman"/>
        <charset val="134"/>
      </rPr>
      <t xml:space="preserve">
</t>
    </r>
    <r>
      <rPr>
        <sz val="10"/>
        <color theme="1"/>
        <rFont val="宋体"/>
        <charset val="134"/>
      </rPr>
      <t>狂茂生长</t>
    </r>
    <r>
      <rPr>
        <sz val="10"/>
        <color theme="1"/>
        <rFont val="Times New Roman"/>
        <charset val="134"/>
      </rPr>
      <t>Rampant Growth</t>
    </r>
    <r>
      <rPr>
        <sz val="10"/>
        <color theme="1"/>
        <rFont val="宋体"/>
        <charset val="134"/>
      </rPr>
      <t>。</t>
    </r>
    <r>
      <rPr>
        <sz val="10"/>
        <color theme="1"/>
        <rFont val="Times New Roman"/>
        <charset val="134"/>
      </rPr>
      <t xml:space="preserve"> </t>
    </r>
    <r>
      <rPr>
        <sz val="10"/>
        <color theme="1"/>
        <rFont val="宋体"/>
        <charset val="134"/>
      </rPr>
      <t>当你激活树灵化身特性时，以及后续你的每个回合开始时，你获得等同于你熟练加值加上你感知调整值的临时生命值。</t>
    </r>
  </si>
  <si>
    <r>
      <rPr>
        <sz val="10"/>
        <color theme="1"/>
        <rFont val="宋体"/>
        <charset val="134"/>
      </rPr>
      <t>燕返</t>
    </r>
  </si>
  <si>
    <r>
      <rPr>
        <sz val="10"/>
        <color theme="1"/>
        <rFont val="宋体"/>
        <charset val="134"/>
      </rPr>
      <t>你学会如何将精准转化为迅捷。
如果你在这回合进行攻击动作且对目标的一个攻击骰有优势，你可以放弃那个优势骰转而对目标进行一次额外的武器攻击，作为同一个动作的一部分。
每个回合你都只能使用一次该特性。</t>
    </r>
  </si>
  <si>
    <t>勒问真相</t>
  </si>
  <si>
    <r>
      <rPr>
        <sz val="10"/>
        <color theme="1"/>
        <rFont val="宋体"/>
        <charset val="134"/>
      </rPr>
      <t>你能精确击打一个生物一系列隐藏的神经，来让它暂时无法隐藏其真实想法和意图。当你以一次徒手打击命中一个生物时，你能消耗</t>
    </r>
    <r>
      <rPr>
        <sz val="10"/>
        <color theme="1"/>
        <rFont val="Times New Roman"/>
        <charset val="134"/>
      </rPr>
      <t>1</t>
    </r>
    <r>
      <rPr>
        <sz val="10"/>
        <color theme="1"/>
        <rFont val="宋体"/>
        <charset val="134"/>
      </rPr>
      <t>点气来强制它进行一次魅力豁免。一旦豁免失败，该生物将在接下来的</t>
    </r>
    <r>
      <rPr>
        <sz val="10"/>
        <color theme="1"/>
        <rFont val="Times New Roman"/>
        <charset val="134"/>
      </rPr>
      <t>10</t>
    </r>
    <r>
      <rPr>
        <sz val="10"/>
        <color theme="1"/>
        <rFont val="宋体"/>
        <charset val="134"/>
      </rPr>
      <t>分钟内无法有意地说谎，且任何对该生物进行的魅力检定具有优势。你能知道生物的豁免检定是成功了还是失败了。
一个被影响的生物能意识到这一效果，并能通过回避回答对其提出的通常需要谎言回答的问题。在效果持续期间，该生物可以在回答中闪烁其词。
如果你希望对该生物产生这种效果但不想伤害它，你可以在攻击时仅是触碰它，令这次攻击不造成任何伤害。</t>
    </r>
  </si>
  <si>
    <t>惩戒之誓法术</t>
  </si>
  <si>
    <r>
      <rPr>
        <sz val="10"/>
        <color theme="1"/>
        <rFont val="宋体"/>
        <charset val="134"/>
      </rPr>
      <t>你誓言具有的魔法让你获得了下列特定法术。当你达到惩戒之誓法术表格所示的特定圣武士等级，你就视为总是准备了所列法术。</t>
    </r>
    <r>
      <rPr>
        <sz val="10"/>
        <color theme="1"/>
        <rFont val="Times New Roman"/>
        <charset val="134"/>
      </rPr>
      <t xml:space="preserve">
</t>
    </r>
    <r>
      <rPr>
        <sz val="10"/>
        <color theme="1"/>
        <rFont val="宋体"/>
        <charset val="134"/>
      </rPr>
      <t>惩戒之誓法术</t>
    </r>
    <r>
      <rPr>
        <sz val="10"/>
        <color theme="1"/>
        <rFont val="Times New Roman"/>
        <charset val="134"/>
      </rPr>
      <t xml:space="preserve">Oath of Castigation Spells
</t>
    </r>
    <r>
      <rPr>
        <sz val="10"/>
        <color theme="1"/>
        <rFont val="宋体"/>
        <charset val="134"/>
      </rPr>
      <t>圣武士等级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神恩</t>
    </r>
    <r>
      <rPr>
        <sz val="10"/>
        <color theme="1"/>
        <rFont val="Times New Roman"/>
        <charset val="134"/>
      </rPr>
      <t>Divine Favor</t>
    </r>
    <r>
      <rPr>
        <sz val="10"/>
        <color theme="1"/>
        <rFont val="宋体"/>
        <charset val="134"/>
      </rPr>
      <t>，致伤术</t>
    </r>
    <r>
      <rPr>
        <sz val="10"/>
        <color theme="1"/>
        <rFont val="Times New Roman"/>
        <charset val="134"/>
      </rPr>
      <t xml:space="preserve">Inflict Wounds	
5 </t>
    </r>
    <r>
      <rPr>
        <sz val="10"/>
        <color theme="1"/>
        <rFont val="宋体"/>
        <charset val="134"/>
      </rPr>
      <t>判罪锁链</t>
    </r>
    <r>
      <rPr>
        <sz val="10"/>
        <color theme="1"/>
        <rFont val="Times New Roman"/>
        <charset val="134"/>
      </rPr>
      <t>Chain of Conviction</t>
    </r>
    <r>
      <rPr>
        <sz val="10"/>
        <color theme="1"/>
        <rFont val="宋体"/>
        <charset val="134"/>
      </rPr>
      <t>，定身类人</t>
    </r>
    <r>
      <rPr>
        <sz val="10"/>
        <color theme="1"/>
        <rFont val="Times New Roman"/>
        <charset val="134"/>
      </rPr>
      <t xml:space="preserve">Hold Person	
9 </t>
    </r>
    <r>
      <rPr>
        <sz val="10"/>
        <color theme="1"/>
        <rFont val="宋体"/>
        <charset val="134"/>
      </rPr>
      <t>法术反制</t>
    </r>
    <r>
      <rPr>
        <sz val="10"/>
        <color theme="1"/>
        <rFont val="Times New Roman"/>
        <charset val="134"/>
      </rPr>
      <t>Counterspell</t>
    </r>
    <r>
      <rPr>
        <sz val="10"/>
        <color theme="1"/>
        <rFont val="宋体"/>
        <charset val="134"/>
      </rPr>
      <t>，死者交谈</t>
    </r>
    <r>
      <rPr>
        <sz val="10"/>
        <color theme="1"/>
        <rFont val="Times New Roman"/>
        <charset val="134"/>
      </rPr>
      <t xml:space="preserve">Speak with Dead	
13 </t>
    </r>
    <r>
      <rPr>
        <sz val="10"/>
        <color theme="1"/>
        <rFont val="宋体"/>
        <charset val="134"/>
      </rPr>
      <t>薪火焚身</t>
    </r>
    <r>
      <rPr>
        <sz val="10"/>
        <color theme="1"/>
        <rFont val="Times New Roman"/>
        <charset val="134"/>
      </rPr>
      <t>Consuming Pyre</t>
    </r>
    <r>
      <rPr>
        <sz val="10"/>
        <color theme="1"/>
        <rFont val="宋体"/>
        <charset val="134"/>
      </rPr>
      <t>，生物定位术</t>
    </r>
    <r>
      <rPr>
        <sz val="10"/>
        <color theme="1"/>
        <rFont val="Times New Roman"/>
        <charset val="134"/>
      </rPr>
      <t xml:space="preserve">Locate Creature	
17 </t>
    </r>
    <r>
      <rPr>
        <sz val="10"/>
        <color theme="1"/>
        <rFont val="宋体"/>
        <charset val="134"/>
      </rPr>
      <t>焰击术</t>
    </r>
    <r>
      <rPr>
        <sz val="10"/>
        <color theme="1"/>
        <rFont val="Times New Roman"/>
        <charset val="134"/>
      </rPr>
      <t>Flame Strike</t>
    </r>
    <r>
      <rPr>
        <sz val="10"/>
        <color theme="1"/>
        <rFont val="宋体"/>
        <charset val="134"/>
      </rPr>
      <t>，定身怪物</t>
    </r>
    <r>
      <rPr>
        <sz val="10"/>
        <color theme="1"/>
        <rFont val="Times New Roman"/>
        <charset val="134"/>
      </rPr>
      <t>Hold Monster</t>
    </r>
  </si>
  <si>
    <t>天鹏旅人魔法</t>
  </si>
  <si>
    <r>
      <rPr>
        <sz val="10"/>
        <color theme="1"/>
        <rFont val="宋体"/>
        <charset val="134"/>
      </rPr>
      <t>当你在此职业上达到特定等级时你将习得一项额外的法术，如天鹏旅人法术列表所示的那般。该法术对你而言视为游侠法术，但不会占用你可已知的游侠法术数量。</t>
    </r>
    <r>
      <rPr>
        <sz val="10"/>
        <color theme="1"/>
        <rFont val="Times New Roman"/>
        <charset val="134"/>
      </rPr>
      <t xml:space="preserve">
</t>
    </r>
    <r>
      <rPr>
        <sz val="10"/>
        <color theme="1"/>
        <rFont val="宋体"/>
        <charset val="134"/>
      </rPr>
      <t>游侠等级</t>
    </r>
    <r>
      <rPr>
        <sz val="10"/>
        <color theme="1"/>
        <rFont val="Times New Roman"/>
        <charset val="134"/>
      </rPr>
      <t xml:space="preserve"> </t>
    </r>
    <r>
      <rPr>
        <sz val="10"/>
        <color theme="1"/>
        <rFont val="宋体"/>
        <charset val="134"/>
      </rPr>
      <t>法术</t>
    </r>
    <r>
      <rPr>
        <sz val="10"/>
        <color theme="1"/>
        <rFont val="Times New Roman"/>
        <charset val="134"/>
      </rPr>
      <t xml:space="preserve"> 
3</t>
    </r>
    <r>
      <rPr>
        <sz val="10"/>
        <color theme="1"/>
        <rFont val="宋体"/>
        <charset val="134"/>
      </rPr>
      <t>级</t>
    </r>
    <r>
      <rPr>
        <sz val="10"/>
        <color theme="1"/>
        <rFont val="Times New Roman"/>
        <charset val="134"/>
      </rPr>
      <t xml:space="preserve"> </t>
    </r>
    <r>
      <rPr>
        <sz val="10"/>
        <color theme="1"/>
        <rFont val="宋体"/>
        <charset val="134"/>
      </rPr>
      <t>羽落术</t>
    </r>
    <r>
      <rPr>
        <sz val="10"/>
        <color theme="1"/>
        <rFont val="Times New Roman"/>
        <charset val="134"/>
      </rPr>
      <t>Feather Fall  
5</t>
    </r>
    <r>
      <rPr>
        <sz val="10"/>
        <color theme="1"/>
        <rFont val="宋体"/>
        <charset val="134"/>
      </rPr>
      <t>级</t>
    </r>
    <r>
      <rPr>
        <sz val="10"/>
        <color theme="1"/>
        <rFont val="Times New Roman"/>
        <charset val="134"/>
      </rPr>
      <t xml:space="preserve"> </t>
    </r>
    <r>
      <rPr>
        <sz val="10"/>
        <color theme="1"/>
        <rFont val="宋体"/>
        <charset val="134"/>
      </rPr>
      <t>造风术</t>
    </r>
    <r>
      <rPr>
        <sz val="10"/>
        <color theme="1"/>
        <rFont val="Times New Roman"/>
        <charset val="134"/>
      </rPr>
      <t>Gust of Wind  
9</t>
    </r>
    <r>
      <rPr>
        <sz val="10"/>
        <color theme="1"/>
        <rFont val="宋体"/>
        <charset val="134"/>
      </rPr>
      <t>级</t>
    </r>
    <r>
      <rPr>
        <sz val="10"/>
        <color theme="1"/>
        <rFont val="Times New Roman"/>
        <charset val="134"/>
      </rPr>
      <t xml:space="preserve"> </t>
    </r>
    <r>
      <rPr>
        <sz val="10"/>
        <color theme="1"/>
        <rFont val="宋体"/>
        <charset val="134"/>
      </rPr>
      <t>闪电束</t>
    </r>
    <r>
      <rPr>
        <sz val="10"/>
        <color theme="1"/>
        <rFont val="Times New Roman"/>
        <charset val="134"/>
      </rPr>
      <t>Lightning Bolt  
13</t>
    </r>
    <r>
      <rPr>
        <sz val="10"/>
        <color theme="1"/>
        <rFont val="宋体"/>
        <charset val="134"/>
      </rPr>
      <t>级</t>
    </r>
    <r>
      <rPr>
        <sz val="10"/>
        <color theme="1"/>
        <rFont val="Times New Roman"/>
        <charset val="134"/>
      </rPr>
      <t xml:space="preserve"> </t>
    </r>
    <r>
      <rPr>
        <sz val="10"/>
        <color theme="1"/>
        <rFont val="宋体"/>
        <charset val="134"/>
      </rPr>
      <t>冰风暴</t>
    </r>
    <r>
      <rPr>
        <sz val="10"/>
        <color theme="1"/>
        <rFont val="Times New Roman"/>
        <charset val="134"/>
      </rPr>
      <t>Ice Storm  
17</t>
    </r>
    <r>
      <rPr>
        <sz val="10"/>
        <color theme="1"/>
        <rFont val="宋体"/>
        <charset val="134"/>
      </rPr>
      <t>级</t>
    </r>
    <r>
      <rPr>
        <sz val="10"/>
        <color theme="1"/>
        <rFont val="Times New Roman"/>
        <charset val="134"/>
      </rPr>
      <t xml:space="preserve"> </t>
    </r>
    <r>
      <rPr>
        <sz val="10"/>
        <color theme="1"/>
        <rFont val="宋体"/>
        <charset val="134"/>
      </rPr>
      <t>通晓传奇</t>
    </r>
    <r>
      <rPr>
        <sz val="10"/>
        <color theme="1"/>
        <rFont val="Times New Roman"/>
        <charset val="134"/>
      </rPr>
      <t xml:space="preserve">Legend Lore  </t>
    </r>
  </si>
  <si>
    <t>绽光明烛</t>
  </si>
  <si>
    <t>以一个动作，你可以花费1点烛心点来点燃一支暗绿色的蜡烛，烛火会以相同的色调燃烧，并散发出半径10尺的微光光照。位于烛光范围内的生物可以躲开来自预言魔法的侦测，且不能成为此类法术的目标，也不能通过魔法探知传感器被感测到。此效应持续1小时。</t>
  </si>
  <si>
    <t>变身</t>
  </si>
  <si>
    <r>
      <rPr>
        <sz val="10"/>
        <color theme="1"/>
        <rFont val="宋体"/>
        <charset val="134"/>
      </rPr>
      <t>你可以完全展现你那传说中的恶魔先祖的形态，而无需消耗你的术法之力。以一个动作，你可以立即激活你所有的鬼之力，无论你消耗了多少术法点。在你以此法显现你的鬼之力期间，你获得对非魔法攻击的钝击、穿刺、挥砍伤害抗性，并且你不能被魅惑或恐惧。该效应持续</t>
    </r>
    <r>
      <rPr>
        <sz val="10"/>
        <color theme="1"/>
        <rFont val="Times New Roman"/>
        <charset val="134"/>
      </rPr>
      <t>1</t>
    </r>
    <r>
      <rPr>
        <sz val="10"/>
        <color theme="1"/>
        <rFont val="宋体"/>
        <charset val="134"/>
      </rPr>
      <t>分钟，在此之后，你失去任何你未通过正常方式获得的鬼之力。</t>
    </r>
    <r>
      <rPr>
        <sz val="10"/>
        <color theme="1"/>
        <rFont val="Times New Roman"/>
        <charset val="134"/>
      </rPr>
      <t xml:space="preserve">
</t>
    </r>
    <r>
      <rPr>
        <sz val="10"/>
        <color theme="1"/>
        <rFont val="宋体"/>
        <charset val="134"/>
      </rPr>
      <t>此特性一经使用，直至完成长休你都无法再次使用。你也可以消耗</t>
    </r>
    <r>
      <rPr>
        <sz val="10"/>
        <color theme="1"/>
        <rFont val="Times New Roman"/>
        <charset val="134"/>
      </rPr>
      <t>5</t>
    </r>
    <r>
      <rPr>
        <sz val="10"/>
        <color theme="1"/>
        <rFont val="宋体"/>
        <charset val="134"/>
      </rPr>
      <t>点术法点来再次使用。</t>
    </r>
  </si>
  <si>
    <r>
      <rPr>
        <sz val="10"/>
        <color theme="1"/>
        <rFont val="宋体"/>
        <charset val="134"/>
      </rPr>
      <t>咒剑士扩展法术</t>
    </r>
  </si>
  <si>
    <r>
      <rPr>
        <sz val="10"/>
        <color theme="1"/>
        <rFont val="宋体"/>
        <charset val="134"/>
      </rPr>
      <t>法术等级</t>
    </r>
    <r>
      <rPr>
        <sz val="10"/>
        <color theme="1"/>
        <rFont val="Times New Roman"/>
        <charset val="134"/>
      </rPr>
      <t>——</t>
    </r>
    <r>
      <rPr>
        <sz val="10"/>
        <color theme="1"/>
        <rFont val="宋体"/>
        <charset val="134"/>
      </rPr>
      <t xml:space="preserve">法术
</t>
    </r>
    <r>
      <rPr>
        <sz val="10"/>
        <color theme="1"/>
        <rFont val="Times New Roman"/>
        <charset val="134"/>
      </rPr>
      <t>1st——</t>
    </r>
    <r>
      <rPr>
        <sz val="10"/>
        <color theme="1"/>
        <rFont val="宋体"/>
        <charset val="134"/>
      </rPr>
      <t xml:space="preserve">护盾术，怒火斩
</t>
    </r>
    <r>
      <rPr>
        <sz val="10"/>
        <color theme="1"/>
        <rFont val="Times New Roman"/>
        <charset val="134"/>
      </rPr>
      <t>2nd——</t>
    </r>
    <r>
      <rPr>
        <sz val="10"/>
        <color theme="1"/>
        <rFont val="宋体"/>
        <charset val="134"/>
      </rPr>
      <t xml:space="preserve">朦胧术，印记斩
</t>
    </r>
    <r>
      <rPr>
        <sz val="10"/>
        <color theme="1"/>
        <rFont val="Times New Roman"/>
        <charset val="134"/>
      </rPr>
      <t>3rd——</t>
    </r>
    <r>
      <rPr>
        <sz val="10"/>
        <color theme="1"/>
        <rFont val="宋体"/>
        <charset val="134"/>
      </rPr>
      <t xml:space="preserve">闪现术，元素武器
</t>
    </r>
    <r>
      <rPr>
        <sz val="10"/>
        <color theme="1"/>
        <rFont val="Times New Roman"/>
        <charset val="134"/>
      </rPr>
      <t>4th——</t>
    </r>
    <r>
      <rPr>
        <sz val="10"/>
        <color theme="1"/>
        <rFont val="宋体"/>
        <charset val="134"/>
      </rPr>
      <t xml:space="preserve">幻影杀手，惊惧斩
</t>
    </r>
    <r>
      <rPr>
        <sz val="10"/>
        <color theme="1"/>
        <rFont val="Times New Roman"/>
        <charset val="134"/>
      </rPr>
      <t>5th——</t>
    </r>
    <r>
      <rPr>
        <sz val="10"/>
        <color theme="1"/>
        <rFont val="宋体"/>
        <charset val="134"/>
      </rPr>
      <t>放逐斩，寒冰锥</t>
    </r>
  </si>
  <si>
    <t>禁忌学识</t>
  </si>
  <si>
    <t xml:space="preserve">在你探索禁忌力量的过程中，你掌握了深渊语，或一门由你选择的其他语言。
此外，你可以从魔契师法术列表中选择一道1环法术。你始终准备了该法术。当你完成一次长休时，你可以更改你所选择的法术。 </t>
  </si>
  <si>
    <r>
      <rPr>
        <sz val="10"/>
        <color theme="1"/>
        <rFont val="宋体"/>
        <charset val="134"/>
      </rPr>
      <t>突破感染</t>
    </r>
  </si>
  <si>
    <r>
      <rPr>
        <sz val="10"/>
        <color theme="1"/>
        <rFont val="宋体"/>
        <charset val="134"/>
      </rPr>
      <t>当你消耗一个法术位或使用大公式特性施展一个法术来制造疾病时，该法术无视生物对疾病的任何免疫。作为替代，这些生物在对抗你疾病的豁免检定中获得优势。</t>
    </r>
  </si>
  <si>
    <t>狱影刺客（被动）</t>
  </si>
  <si>
    <r>
      <rPr>
        <sz val="10"/>
        <color theme="1"/>
        <rFont val="宋体"/>
        <charset val="134"/>
      </rPr>
      <t>先决：邪狱使等级</t>
    </r>
    <r>
      <rPr>
        <sz val="10"/>
        <color theme="1"/>
        <rFont val="Times New Roman"/>
        <charset val="134"/>
      </rPr>
      <t>13+</t>
    </r>
    <r>
      <rPr>
        <sz val="10"/>
        <color theme="1"/>
        <rFont val="宋体"/>
        <charset val="134"/>
      </rPr>
      <t>（影宗）</t>
    </r>
    <r>
      <rPr>
        <sz val="10"/>
        <color theme="1"/>
        <rFont val="Times New Roman"/>
        <charset val="134"/>
      </rPr>
      <t xml:space="preserve"> 
</t>
    </r>
    <r>
      <rPr>
        <sz val="10"/>
        <color theme="1"/>
        <rFont val="宋体"/>
        <charset val="134"/>
      </rPr>
      <t>每当你的缄印或武器攻击对受禁生物的伤害掷骰投出</t>
    </r>
    <r>
      <rPr>
        <sz val="10"/>
        <color theme="1"/>
        <rFont val="Times New Roman"/>
        <charset val="134"/>
      </rPr>
      <t>1</t>
    </r>
    <r>
      <rPr>
        <sz val="10"/>
        <color theme="1"/>
        <rFont val="宋体"/>
        <charset val="134"/>
      </rPr>
      <t>或</t>
    </r>
    <r>
      <rPr>
        <sz val="10"/>
        <color theme="1"/>
        <rFont val="Times New Roman"/>
        <charset val="134"/>
      </rPr>
      <t>2</t>
    </r>
    <r>
      <rPr>
        <sz val="10"/>
        <color theme="1"/>
        <rFont val="宋体"/>
        <charset val="134"/>
      </rPr>
      <t>时，你可以重骰，但你必须使用新的结果。</t>
    </r>
  </si>
  <si>
    <r>
      <rPr>
        <sz val="10"/>
        <color theme="1"/>
        <rFont val="宋体"/>
        <charset val="134"/>
      </rPr>
      <t>四象武者</t>
    </r>
  </si>
  <si>
    <t>魔法抗性</t>
  </si>
  <si>
    <t>你已是如此厉害的法师，以至于其他法师都无法撼动你分毫。你的狂暴激活期间，你对抗法术和其他魔法效应时进行的豁免检定具有优势。</t>
  </si>
  <si>
    <t>陌路归途</t>
  </si>
  <si>
    <r>
      <rPr>
        <sz val="10"/>
        <color theme="1"/>
        <rFont val="宋体"/>
        <charset val="134"/>
      </rPr>
      <t>你可以吹响口哨，召唤一列幽灵列车，将你与你的伙伴们送回一处已知的目的地。当你完成一次长休时，你可以使用颜料、粉笔、雕刻或某种其他介质在该地点留下一个标记（该标记可以被正常擦除、损坏或摧毁）。</t>
    </r>
    <r>
      <rPr>
        <sz val="10"/>
        <color theme="1"/>
        <rFont val="Times New Roman"/>
        <charset val="134"/>
      </rPr>
      <t xml:space="preserve">
</t>
    </r>
    <r>
      <rPr>
        <sz val="10"/>
        <color theme="1"/>
        <rFont val="宋体"/>
        <charset val="134"/>
      </rPr>
      <t>随后，你可以使用此特性施展传送法阵</t>
    </r>
    <r>
      <rPr>
        <sz val="10"/>
        <color theme="1"/>
        <rFont val="Times New Roman"/>
        <charset val="134"/>
      </rPr>
      <t xml:space="preserve">Teleportation Circle </t>
    </r>
    <r>
      <rPr>
        <sz val="10"/>
        <color theme="1"/>
        <rFont val="宋体"/>
        <charset val="134"/>
      </rPr>
      <t>，将该标记作为目的地。当你以此方式施展该法术时，一辆幽灵列车会载走踏入法阵的生物，并且直至你完成一次长休前，你都无法再次使用该特性。你能同时拥有的已标记地点数量至多等于你的魅力调整值（最少</t>
    </r>
    <r>
      <rPr>
        <sz val="10"/>
        <color theme="1"/>
        <rFont val="Times New Roman"/>
        <charset val="134"/>
      </rPr>
      <t>1</t>
    </r>
    <r>
      <rPr>
        <sz val="10"/>
        <color theme="1"/>
        <rFont val="宋体"/>
        <charset val="134"/>
      </rPr>
      <t>个地点）。如果你标记的地点超出你的上限，则一个你选择的先前标记会消失。</t>
    </r>
    <r>
      <rPr>
        <sz val="10"/>
        <color theme="1"/>
        <rFont val="Times New Roman"/>
        <charset val="134"/>
      </rPr>
      <t xml:space="preserve">
</t>
    </r>
    <r>
      <rPr>
        <sz val="10"/>
        <color theme="1"/>
        <rFont val="宋体"/>
        <charset val="134"/>
      </rPr>
      <t>当你到达</t>
    </r>
    <r>
      <rPr>
        <sz val="10"/>
        <color theme="1"/>
        <rFont val="Times New Roman"/>
        <charset val="134"/>
      </rPr>
      <t>9</t>
    </r>
    <r>
      <rPr>
        <sz val="10"/>
        <color theme="1"/>
        <rFont val="宋体"/>
        <charset val="134"/>
      </rPr>
      <t>级时，你始终准备着传送法阵</t>
    </r>
    <r>
      <rPr>
        <sz val="10"/>
        <color theme="1"/>
        <rFont val="Times New Roman"/>
        <charset val="134"/>
      </rPr>
      <t xml:space="preserve">Teleportation Circle </t>
    </r>
    <r>
      <rPr>
        <sz val="10"/>
        <color theme="1"/>
        <rFont val="宋体"/>
        <charset val="134"/>
      </rPr>
      <t>，并且当你施展该法术时，可以使用你任何已标记的地点作为目的地。</t>
    </r>
  </si>
  <si>
    <t>引导神力：猩红连结</t>
  </si>
  <si>
    <r>
      <rPr>
        <sz val="10"/>
        <color theme="1"/>
        <rFont val="宋体"/>
        <charset val="134"/>
      </rPr>
      <t>你可以用引导神力特性与一名你能看见的生物（或者你拥有的某一血液样本的原主生物）建立一种超自然连结。这种连结最多存在一小时或者你失去对该特性的专注（如同专注一个法术）。
连结生效期间，只要目标在你</t>
    </r>
    <r>
      <rPr>
        <sz val="10"/>
        <color theme="1"/>
        <rFont val="Times New Roman"/>
        <charset val="134"/>
      </rPr>
      <t>10</t>
    </r>
    <r>
      <rPr>
        <sz val="10"/>
        <color theme="1"/>
        <rFont val="宋体"/>
        <charset val="134"/>
      </rPr>
      <t>英里之内，你就可以使用一个动作来了解目标与你之间的大致距离和方向，以及它当前的生命值和他陷入的状态。或者你可以使用一个动作来尝试与目标的感官调谐。你受到</t>
    </r>
    <r>
      <rPr>
        <sz val="10"/>
        <color theme="1"/>
        <rFont val="Times New Roman"/>
        <charset val="134"/>
      </rPr>
      <t>2d6</t>
    </r>
    <r>
      <rPr>
        <sz val="10"/>
        <color theme="1"/>
        <rFont val="宋体"/>
        <charset val="134"/>
      </rPr>
      <t>的暗蚀伤害，同时，目标需要一次进行体质豁免（</t>
    </r>
    <r>
      <rPr>
        <sz val="10"/>
        <color theme="1"/>
        <rFont val="Times New Roman"/>
        <charset val="134"/>
      </rPr>
      <t>DC</t>
    </r>
    <r>
      <rPr>
        <sz val="10"/>
        <color theme="1"/>
        <rFont val="宋体"/>
        <charset val="134"/>
      </rPr>
      <t>等同于你的法术豁免</t>
    </r>
    <r>
      <rPr>
        <sz val="10"/>
        <color theme="1"/>
        <rFont val="Times New Roman"/>
        <charset val="134"/>
      </rPr>
      <t>DC</t>
    </r>
    <r>
      <rPr>
        <sz val="10"/>
        <color theme="1"/>
        <rFont val="宋体"/>
        <charset val="134"/>
      </rPr>
      <t>）。若豁免成功，连结将结束。若失败，在接下来的你感知调整值分钟内（最少</t>
    </r>
    <r>
      <rPr>
        <sz val="10"/>
        <color theme="1"/>
        <rFont val="Times New Roman"/>
        <charset val="134"/>
      </rPr>
      <t>1</t>
    </r>
    <r>
      <rPr>
        <sz val="10"/>
        <color theme="1"/>
        <rFont val="宋体"/>
        <charset val="134"/>
      </rPr>
      <t>分钟），你可以选择使用目标的感官视物，或使用目标的感官听物。这段时间内，你会陷入目盲或者耳聋（根据你选择的感官）。当调谐结束时，连结就会消失。
无论豁免结果如何，目标豁免时都会有一阵不舒服的感觉。</t>
    </r>
  </si>
  <si>
    <t>远古守卫</t>
  </si>
  <si>
    <r>
      <rPr>
        <sz val="10"/>
        <color theme="1"/>
        <rFont val="宋体"/>
        <charset val="134"/>
      </rPr>
      <t>当你唤醒自己与长老木之间的联结时，你将成为其远古威能的化身。当你激活树灵化身特性时，你在持续时间内获得以下额外增益。</t>
    </r>
    <r>
      <rPr>
        <sz val="10"/>
        <color theme="1"/>
        <rFont val="Times New Roman"/>
        <charset val="134"/>
      </rPr>
      <t xml:space="preserve">
</t>
    </r>
    <r>
      <rPr>
        <sz val="10"/>
        <color theme="1"/>
        <rFont val="宋体"/>
        <charset val="134"/>
      </rPr>
      <t>古木丛生</t>
    </r>
    <r>
      <rPr>
        <sz val="10"/>
        <color theme="1"/>
        <rFont val="Times New Roman"/>
        <charset val="134"/>
      </rPr>
      <t>Old Growth</t>
    </r>
    <r>
      <rPr>
        <sz val="10"/>
        <color theme="1"/>
        <rFont val="宋体"/>
        <charset val="134"/>
      </rPr>
      <t>。</t>
    </r>
    <r>
      <rPr>
        <sz val="10"/>
        <color theme="1"/>
        <rFont val="Times New Roman"/>
        <charset val="134"/>
      </rPr>
      <t xml:space="preserve"> </t>
    </r>
    <r>
      <rPr>
        <sz val="10"/>
        <color theme="1"/>
        <rFont val="宋体"/>
        <charset val="134"/>
      </rPr>
      <t>如果有足够的空间容纳你的生长，则你的体型变为大型（连同你穿着或携带的任何东西），且你的触及范围增加</t>
    </r>
    <r>
      <rPr>
        <sz val="10"/>
        <color theme="1"/>
        <rFont val="Times New Roman"/>
        <charset val="134"/>
      </rPr>
      <t>5</t>
    </r>
    <r>
      <rPr>
        <sz val="10"/>
        <color theme="1"/>
        <rFont val="宋体"/>
        <charset val="134"/>
      </rPr>
      <t>尺。</t>
    </r>
    <r>
      <rPr>
        <sz val="10"/>
        <color theme="1"/>
        <rFont val="Times New Roman"/>
        <charset val="134"/>
      </rPr>
      <t xml:space="preserve">
</t>
    </r>
    <r>
      <rPr>
        <sz val="10"/>
        <color theme="1"/>
        <rFont val="宋体"/>
        <charset val="134"/>
      </rPr>
      <t>壮硕主干</t>
    </r>
    <r>
      <rPr>
        <sz val="10"/>
        <color theme="1"/>
        <rFont val="Times New Roman"/>
        <charset val="134"/>
      </rPr>
      <t>Mighty Trunk</t>
    </r>
    <r>
      <rPr>
        <sz val="10"/>
        <color theme="1"/>
        <rFont val="宋体"/>
        <charset val="134"/>
      </rPr>
      <t>。</t>
    </r>
    <r>
      <rPr>
        <sz val="10"/>
        <color theme="1"/>
        <rFont val="Times New Roman"/>
        <charset val="134"/>
      </rPr>
      <t xml:space="preserve"> </t>
    </r>
    <r>
      <rPr>
        <sz val="10"/>
        <color theme="1"/>
        <rFont val="宋体"/>
        <charset val="134"/>
      </rPr>
      <t>你对钝击和穿刺伤害具有抗性。</t>
    </r>
    <r>
      <rPr>
        <sz val="10"/>
        <color theme="1"/>
        <rFont val="Times New Roman"/>
        <charset val="134"/>
      </rPr>
      <t xml:space="preserve">
</t>
    </r>
    <r>
      <rPr>
        <sz val="10"/>
        <color theme="1"/>
        <rFont val="宋体"/>
        <charset val="134"/>
      </rPr>
      <t>长者复仇</t>
    </r>
    <r>
      <rPr>
        <sz val="10"/>
        <color theme="1"/>
        <rFont val="Times New Roman"/>
        <charset val="134"/>
      </rPr>
      <t>Vengeance of the Elders</t>
    </r>
    <r>
      <rPr>
        <sz val="10"/>
        <color theme="1"/>
        <rFont val="宋体"/>
        <charset val="134"/>
      </rPr>
      <t>。</t>
    </r>
    <r>
      <rPr>
        <sz val="10"/>
        <color theme="1"/>
        <rFont val="Times New Roman"/>
        <charset val="134"/>
      </rPr>
      <t xml:space="preserve"> </t>
    </r>
    <r>
      <rPr>
        <sz val="10"/>
        <color theme="1"/>
        <rFont val="宋体"/>
        <charset val="134"/>
      </rPr>
      <t>当你触及范围内的一个被长老木汁覆盖的生物进行攻击检定时，你可以使用反应对该生物进行一次近战攻击。</t>
    </r>
  </si>
  <si>
    <r>
      <rPr>
        <sz val="10"/>
        <color theme="1"/>
        <rFont val="宋体"/>
        <charset val="134"/>
      </rPr>
      <t>生死流转</t>
    </r>
  </si>
  <si>
    <r>
      <rPr>
        <sz val="10"/>
        <color theme="1"/>
        <rFont val="宋体"/>
        <charset val="134"/>
      </rPr>
      <t>你的战意能延缓死亡的到来。
如果你受到会将你的生命值降到</t>
    </r>
    <r>
      <rPr>
        <sz val="10"/>
        <color theme="1"/>
        <rFont val="Times New Roman"/>
        <charset val="134"/>
      </rPr>
      <t>0</t>
    </r>
    <r>
      <rPr>
        <sz val="10"/>
        <color theme="1"/>
        <rFont val="宋体"/>
        <charset val="134"/>
      </rPr>
      <t>且不会完全杀死你的伤害，你可以使用你的反应来延缓倒地昏迷，而且你立刻获得一个额外的回合并打断当前回合。
当你在这个额外回合为</t>
    </r>
    <r>
      <rPr>
        <sz val="10"/>
        <color theme="1"/>
        <rFont val="Times New Roman"/>
        <charset val="134"/>
      </rPr>
      <t>0</t>
    </r>
    <r>
      <rPr>
        <sz val="10"/>
        <color theme="1"/>
        <rFont val="宋体"/>
        <charset val="134"/>
      </rPr>
      <t>生命值时，承受伤害仍旧如往常一样造成死亡豁免失败，而且失败</t>
    </r>
    <r>
      <rPr>
        <sz val="10"/>
        <color theme="1"/>
        <rFont val="Times New Roman"/>
        <charset val="134"/>
      </rPr>
      <t>3</t>
    </r>
    <r>
      <rPr>
        <sz val="10"/>
        <color theme="1"/>
        <rFont val="宋体"/>
        <charset val="134"/>
      </rPr>
      <t>个死亡豁免仍旧会杀死你。
当这个额外回合结束时，如果你还是</t>
    </r>
    <r>
      <rPr>
        <sz val="10"/>
        <color theme="1"/>
        <rFont val="Times New Roman"/>
        <charset val="134"/>
      </rPr>
      <t>0</t>
    </r>
    <r>
      <rPr>
        <sz val="10"/>
        <color theme="1"/>
        <rFont val="宋体"/>
        <charset val="134"/>
      </rPr>
      <t>生命值，你倒下并昏迷。
你使用这个特性后，你在完成一次长休前不能再次使用。</t>
    </r>
  </si>
  <si>
    <t>神秘博学</t>
  </si>
  <si>
    <r>
      <rPr>
        <sz val="10"/>
        <color theme="1"/>
        <rFont val="宋体"/>
        <charset val="134"/>
      </rPr>
      <t>你已经接受了钴魂的通识训练，从修道院收集的卷宗中广泛地教授你历史或传说。你学会一门由你自选的语言，且你获得下列技能之一的熟练项：奥秘、历史、调查、自然、或宗教。如果你已经熟练你选择的那项技能，你可以改为在那项技能相关的属性检定中加入双倍的熟练加值。
你在第</t>
    </r>
    <r>
      <rPr>
        <sz val="10"/>
        <color theme="1"/>
        <rFont val="Times New Roman"/>
        <charset val="134"/>
      </rPr>
      <t>11</t>
    </r>
    <r>
      <rPr>
        <sz val="10"/>
        <color theme="1"/>
        <rFont val="宋体"/>
        <charset val="134"/>
      </rPr>
      <t>级和第</t>
    </r>
    <r>
      <rPr>
        <sz val="10"/>
        <color theme="1"/>
        <rFont val="Times New Roman"/>
        <charset val="134"/>
      </rPr>
      <t>17</t>
    </r>
    <r>
      <rPr>
        <sz val="10"/>
        <color theme="1"/>
        <rFont val="宋体"/>
        <charset val="134"/>
      </rPr>
      <t>级时将会获得一门额外语言与另一种在上述列表中的额外技能熟练项（或同上述的那样将已有熟练的技能改为使用双倍熟练加值）。</t>
    </r>
  </si>
  <si>
    <t>火种灵光</t>
  </si>
  <si>
    <r>
      <rPr>
        <sz val="10"/>
        <color theme="1"/>
        <rFont val="宋体"/>
        <charset val="134"/>
      </rPr>
      <t>你和你的守护灵光内的盟友无视生物的火焰和光耀伤害抗性，并且当一个受影响的生物使用武器攻击命中时，它可以选择造成火焰伤害而非该武器的通常伤害类型。</t>
    </r>
    <r>
      <rPr>
        <sz val="10"/>
        <color theme="1"/>
        <rFont val="Times New Roman"/>
        <charset val="134"/>
      </rPr>
      <t xml:space="preserve">
</t>
    </r>
    <r>
      <rPr>
        <sz val="10"/>
        <color theme="1"/>
        <rFont val="宋体"/>
        <charset val="134"/>
      </rPr>
      <t>此外，你和灵光内受影响生物可以将你的魅力调整值（至少为</t>
    </r>
    <r>
      <rPr>
        <sz val="10"/>
        <color theme="1"/>
        <rFont val="Times New Roman"/>
        <charset val="134"/>
      </rPr>
      <t>+1</t>
    </r>
    <r>
      <rPr>
        <sz val="10"/>
        <color theme="1"/>
        <rFont val="宋体"/>
        <charset val="134"/>
      </rPr>
      <t>）加入感知（洞悉）和智力（调查）检定中。</t>
    </r>
  </si>
  <si>
    <t>指引之风</t>
  </si>
  <si>
    <r>
      <rPr>
        <sz val="10"/>
        <color theme="1"/>
        <rFont val="宋体"/>
        <charset val="134"/>
      </rPr>
      <t>当你发动攻击时，你可以轻声低语，让风指引你攻击的方向。你可以在每个你的回合之中，从以下两道增益中选择一次并获得它：
当你的武器攻击命中时，目标将受到额外</t>
    </r>
    <r>
      <rPr>
        <sz val="10"/>
        <color theme="1"/>
        <rFont val="Times New Roman"/>
        <charset val="134"/>
      </rPr>
      <t>1d4</t>
    </r>
    <r>
      <rPr>
        <sz val="10"/>
        <color theme="1"/>
        <rFont val="宋体"/>
        <charset val="134"/>
      </rPr>
      <t>点与武器同类型的伤害。当你在此职业上达到</t>
    </r>
    <r>
      <rPr>
        <sz val="10"/>
        <color theme="1"/>
        <rFont val="Times New Roman"/>
        <charset val="134"/>
      </rPr>
      <t>11</t>
    </r>
    <r>
      <rPr>
        <sz val="10"/>
        <color theme="1"/>
        <rFont val="宋体"/>
        <charset val="134"/>
      </rPr>
      <t>级时，此额外伤害增加至</t>
    </r>
    <r>
      <rPr>
        <sz val="10"/>
        <color theme="1"/>
        <rFont val="Times New Roman"/>
        <charset val="134"/>
      </rPr>
      <t>1d10</t>
    </r>
    <r>
      <rPr>
        <sz val="10"/>
        <color theme="1"/>
        <rFont val="宋体"/>
        <charset val="134"/>
      </rPr>
      <t>点。
当你的武器攻击失手时，你可以改变它的轨迹去攻击另一个敌人，新的目标必须位于此武器的攻击范围内，且必须位于原先敌人周围</t>
    </r>
    <r>
      <rPr>
        <sz val="10"/>
        <color theme="1"/>
        <rFont val="Times New Roman"/>
        <charset val="134"/>
      </rPr>
      <t>5</t>
    </r>
    <r>
      <rPr>
        <sz val="10"/>
        <color theme="1"/>
        <rFont val="宋体"/>
        <charset val="134"/>
      </rPr>
      <t>尺内。此时，你对新的目标的攻击检定直接采用你原先这次攻击检定的结果，外加上你的感知调整值（至少</t>
    </r>
    <r>
      <rPr>
        <sz val="10"/>
        <color theme="1"/>
        <rFont val="Times New Roman"/>
        <charset val="134"/>
      </rPr>
      <t>+0</t>
    </r>
    <r>
      <rPr>
        <sz val="10"/>
        <color theme="1"/>
        <rFont val="宋体"/>
        <charset val="134"/>
      </rPr>
      <t>）点加值。当你在此职业上达到</t>
    </r>
    <r>
      <rPr>
        <sz val="10"/>
        <color theme="1"/>
        <rFont val="Times New Roman"/>
        <charset val="134"/>
      </rPr>
      <t>11</t>
    </r>
    <r>
      <rPr>
        <sz val="10"/>
        <color theme="1"/>
        <rFont val="宋体"/>
        <charset val="134"/>
      </rPr>
      <t>级后，新的目标可以是原目标周围</t>
    </r>
    <r>
      <rPr>
        <sz val="10"/>
        <color theme="1"/>
        <rFont val="Times New Roman"/>
        <charset val="134"/>
      </rPr>
      <t>15</t>
    </r>
    <r>
      <rPr>
        <sz val="10"/>
        <color theme="1"/>
        <rFont val="宋体"/>
        <charset val="134"/>
      </rPr>
      <t>尺内的目标（但其仍需位于武器攻击范围内）。</t>
    </r>
  </si>
  <si>
    <t>博查粘合蜡</t>
  </si>
  <si>
    <t>博查粘合蜡是一种由顶级蜡和仅有蜡艺师知晓的一系列素材混合而成的产物。在魔艺生效后，博查粘合蜡可以暂时将任意两个物件粘在一起。以一个动作，你可以花费1点烛心点并使用少量的博查粘合蜡在两个物件之间建立魔法粘性。这两个物件将被粘合持续24小时，直到时间结束时魔艺效果消退，然后两个物件分离。可触及被粘合物件的生物可以用一个动作进行一次力量（运动）检定对抗你的魔艺豁免DC，在对抗成功时终止粘合。</t>
  </si>
  <si>
    <t>血源</t>
  </si>
  <si>
    <r>
      <rPr>
        <sz val="10"/>
        <color theme="1"/>
        <rFont val="宋体"/>
        <charset val="134"/>
      </rPr>
      <t>你具有一份名为血源的生命能量储备，可以用来增强你的魔法，并驱动该子职的其他能力。当你对一个生物造成伤害或恢复其生命值时，你可以消耗你的血源，为其中一个目标的结果总值加上</t>
    </r>
    <r>
      <rPr>
        <sz val="10"/>
        <color theme="1"/>
        <rFont val="Times New Roman"/>
        <charset val="134"/>
      </rPr>
      <t>1d8</t>
    </r>
    <r>
      <rPr>
        <sz val="10"/>
        <color theme="1"/>
        <rFont val="宋体"/>
        <charset val="134"/>
      </rPr>
      <t>。</t>
    </r>
    <r>
      <rPr>
        <sz val="10"/>
        <color theme="1"/>
        <rFont val="Times New Roman"/>
        <charset val="134"/>
      </rPr>
      <t xml:space="preserve">
</t>
    </r>
    <r>
      <rPr>
        <sz val="10"/>
        <color theme="1"/>
        <rFont val="宋体"/>
        <charset val="134"/>
      </rPr>
      <t>当你完成长休或当你一次性对一名生物造成</t>
    </r>
    <r>
      <rPr>
        <sz val="10"/>
        <color theme="1"/>
        <rFont val="Times New Roman"/>
        <charset val="134"/>
      </rPr>
      <t>10</t>
    </r>
    <r>
      <rPr>
        <sz val="10"/>
        <color theme="1"/>
        <rFont val="宋体"/>
        <charset val="134"/>
      </rPr>
      <t>或更多的暗蚀伤害时，你重置已消耗的血源。</t>
    </r>
    <r>
      <rPr>
        <sz val="10"/>
        <color theme="1"/>
        <rFont val="Times New Roman"/>
        <charset val="134"/>
      </rPr>
      <t xml:space="preserve"> </t>
    </r>
  </si>
  <si>
    <r>
      <rPr>
        <sz val="10"/>
        <color theme="1"/>
        <rFont val="宋体"/>
        <charset val="134"/>
      </rPr>
      <t>巫咒战士</t>
    </r>
  </si>
  <si>
    <r>
      <rPr>
        <sz val="10"/>
        <color theme="1"/>
        <rFont val="宋体"/>
        <charset val="134"/>
      </rPr>
      <t>你获得了有效的战斗训练。
你得到对于中甲，盾牌，和军用武器的熟练。
此外，你宗主的影响也让你得以通过一把特殊武器来魔法的引导你的意志。
当你结束一次长休息，你都能够触摸一把你已经熟练的、非双手武器，你可以在攻击和伤害检定中，使用你的魅力调整值，以代替力量或敏捷。
这个好处保留到你再次完成长休息。
如果你在后续获得锋刃契约，此好处将扩展到你用这个魔契召唤的每一把契约武器上，没有武器类型的限制。</t>
    </r>
  </si>
  <si>
    <t>侵扰</t>
  </si>
  <si>
    <t xml:space="preserve">你对宇宙之外禁忌领域的探索带来了强大的力量，但也伴随着某种来自彼方的存在侵入你现实的风险。
你拥有一枚侵扰骰Intrusion Die ，初始为d6，其大小会随着你使用特性而变化。该骰子的大小可在以下尺寸序列中递增或递减：d2、d3、d4、d6、d8、d10、d12。
你侵扰骰的最大尺寸即为它的初始尺寸，当你的法师等级达到5级（d8）、11级（d10）和17级（d12）时，该最大尺寸会各自提升一级。
当你使用一个具有侵扰风险的特性时，投掷你的侵扰骰。若掷出2或更高，则不会发生侵扰，并且侵扰骰的尺寸会在序列中减小一级。
若掷出1，侵扰骰的尺寸会增大一级，并且你需要查阅侵扰表，以确定当现实破裂时会发生什么。侵扰效应使用你的法术豁免DC。
当你完成一次短休时，侵扰骰的尺寸会增大一级（最高不超过其初始尺寸）；而当你完成一次长休时，它会重置为初始尺寸。
此外，你可以将异星潜能汇聚到你的法术中。当你使用法术位施展一道法术时，你可以冒着侵扰风险选择以下其中一项：
压制心智Overwhelming Mind。 该法术的一个目标为对抗该法术而进行的第一次豁免检定具有劣势。
追踪之眼Seeking Eye。 你为该法术进行的第一次攻击检定具有优势。
侵扰Intrusion 1d12 效应 
1 你感到身后有某种存在，在你灵魂深处低语着晦涩难懂之物。直至你的下一回合结束，你在一回合内只能进行以下一项：一个动作、一个附赠动作，或移动。 
2 空间在源自你的30尺光环区域内扭曲溶解。区域内的每个生物（包括你）都在现实的扭曲中挣扎。受影响生物的速度减半，直至你的下一回合结束。 
3 你周边60尺范围内最近的另一生物必须进行一次体质豁免，豁免失败则受到等于你侵扰骰（以其初始尺寸计算）掷两次结果的暗蚀伤害，而你恢复等于所造成伤害量的生命值。 
4 现实在你所在空间撕裂，直至你的下一回合结束。你和所有能看见这道裂隙的生物都必须进行一次感知豁免，豁免失败则在裂隙存在期间陷入恐慌状态。 
5 你的一只手臂扭曲异化成异星附肢，例如一只畸形的手臂，或一条扭动的触须，持续1分钟。你可以使用该附肢以你的法术攻击调整值进行徒手打击。伤害不再是常规类型，而是投掷数量等于你熟练加值的侵扰骰（以其初始尺寸计算）。目标受到等于结果总值的强酸伤害。 
6 异星风景覆盖你的视线，使你陷入目盲状态，直至你的下一回合结束。 
7 反常的念头扰乱你的心智，使你陷入失能状态，直至你的下一回合结束。 
8 你经历了一瞬间的恐怖明晰，受到等于你侵扰骰（以其初始尺寸计算）掷两次结果的心灵伤害，并且你的法术豁免DC提升2，持续1分钟。 
9 你恢复一枚5环或更低环阶（由你选择）的已消耗法术位，并受到等于该法术位环阶两倍的暗蚀伤害。此伤害无法以任何方式被减免或阻止。 
10 当你引发此侵扰时，以及在接下来的1分钟内，你的每个回合结束时，空间结构中的脉冲会充满源自你的15尺光环区域，使你和区域内的每个生物陷入倒地状态。 
11 在1小时内，你耳边回荡着对你充满憎恨与蔑视的低语，以及无形无质的思绪。在你能听到这些低语期间，你在所有依赖感知的属性检定和豁免检定中具有劣势。 
12 一个CR等于或低于你法师等级（由DM选择）的异怪或邪魔，出现在你周边30尺范围内的一处未占据空间内。DM决定该生物的态度（敌对/冷漠/友好）及动作。 
</t>
  </si>
  <si>
    <r>
      <rPr>
        <sz val="10"/>
        <color theme="1"/>
        <rFont val="宋体"/>
        <charset val="134"/>
      </rPr>
      <t>传染爆发</t>
    </r>
  </si>
  <si>
    <r>
      <rPr>
        <sz val="10"/>
        <color theme="1"/>
        <rFont val="宋体"/>
        <charset val="134"/>
      </rPr>
      <t>当感染着你的一种疾病的生物死亡时，你可以使用一个反应，将疾病传播到该生物身边</t>
    </r>
    <r>
      <rPr>
        <sz val="10"/>
        <color theme="1"/>
        <rFont val="Times New Roman"/>
        <charset val="134"/>
      </rPr>
      <t>30</t>
    </r>
    <r>
      <rPr>
        <sz val="10"/>
        <color theme="1"/>
        <rFont val="宋体"/>
        <charset val="134"/>
      </rPr>
      <t>尺范围内，你能看到的另一个生物身上。</t>
    </r>
  </si>
  <si>
    <t>影定之亡</t>
  </si>
  <si>
    <r>
      <rPr>
        <sz val="10"/>
        <color theme="1"/>
        <rFont val="宋体"/>
        <charset val="134"/>
      </rPr>
      <t>你完善了你的刺客技法。你的暗袭造成的额外伤害提升至你熟练加值枚</t>
    </r>
    <r>
      <rPr>
        <sz val="10"/>
        <color theme="1"/>
        <rFont val="Times New Roman"/>
        <charset val="134"/>
      </rPr>
      <t>d8</t>
    </r>
    <r>
      <rPr>
        <sz val="10"/>
        <color theme="1"/>
        <rFont val="宋体"/>
        <charset val="134"/>
      </rPr>
      <t>（而不是</t>
    </r>
    <r>
      <rPr>
        <sz val="10"/>
        <color theme="1"/>
        <rFont val="Times New Roman"/>
        <charset val="134"/>
      </rPr>
      <t>d4</t>
    </r>
    <r>
      <rPr>
        <sz val="10"/>
        <color theme="1"/>
        <rFont val="宋体"/>
        <charset val="134"/>
      </rPr>
      <t>），且若目标身处微光光照或黑暗中，你额外造成</t>
    </r>
    <r>
      <rPr>
        <sz val="10"/>
        <color theme="1"/>
        <rFont val="Times New Roman"/>
        <charset val="134"/>
      </rPr>
      <t>2d8</t>
    </r>
    <r>
      <rPr>
        <sz val="10"/>
        <color theme="1"/>
        <rFont val="宋体"/>
        <charset val="134"/>
      </rPr>
      <t>伤害（而非</t>
    </r>
    <r>
      <rPr>
        <sz val="10"/>
        <color theme="1"/>
        <rFont val="Times New Roman"/>
        <charset val="134"/>
      </rPr>
      <t>1d4</t>
    </r>
    <r>
      <rPr>
        <sz val="10"/>
        <color theme="1"/>
        <rFont val="宋体"/>
        <charset val="134"/>
      </rPr>
      <t>）。
此外，当你使用暗袭造成伤害时，你能够以反应在该生物身上焚灭一枚缄印，不造成伤害而是令其陷入目盲，持续一分钟。</t>
    </r>
  </si>
  <si>
    <r>
      <rPr>
        <sz val="10"/>
        <color theme="1"/>
        <rFont val="宋体"/>
        <charset val="134"/>
      </rPr>
      <t>散打武者</t>
    </r>
  </si>
  <si>
    <t>大施拳法</t>
  </si>
  <si>
    <t>你可以用你的终极"法术"来碾碎敌人。
“拳法Fist”。你的狂暴激活期间，当你执行攻击动作时，你可以用一记实打实的重拳替换你其中一次攻击。你发动一次具有优势的徒手打击。若命中，目标受到等于6d6加你的力量调整值的钝击伤害，且若目标不超过巨型，则其陷入倒地状态。每次激活狂暴，你可以使用此特性一次。</t>
  </si>
  <si>
    <t>幽轨急行</t>
  </si>
  <si>
    <r>
      <rPr>
        <sz val="10"/>
        <color theme="1"/>
        <rFont val="宋体"/>
        <charset val="134"/>
      </rPr>
      <t>你可以使用魔法动作吹响口哨，召唤出一辆幽灵火车头。其会从你的位置沿着</t>
    </r>
    <r>
      <rPr>
        <sz val="10"/>
        <color theme="1"/>
        <rFont val="Times New Roman"/>
        <charset val="134"/>
      </rPr>
      <t>120</t>
    </r>
    <r>
      <rPr>
        <sz val="10"/>
        <color theme="1"/>
        <rFont val="宋体"/>
        <charset val="134"/>
      </rPr>
      <t>尺长，</t>
    </r>
    <r>
      <rPr>
        <sz val="10"/>
        <color theme="1"/>
        <rFont val="Times New Roman"/>
        <charset val="134"/>
      </rPr>
      <t>5</t>
    </r>
    <r>
      <rPr>
        <sz val="10"/>
        <color theme="1"/>
        <rFont val="宋体"/>
        <charset val="134"/>
      </rPr>
      <t>尺宽的线状区域呼啸着向前疾驰，并穿过任何物件和生物。</t>
    </r>
    <r>
      <rPr>
        <sz val="10"/>
        <color theme="1"/>
        <rFont val="Times New Roman"/>
        <charset val="134"/>
      </rPr>
      <t xml:space="preserve">
</t>
    </r>
    <r>
      <rPr>
        <sz val="10"/>
        <color theme="1"/>
        <rFont val="宋体"/>
        <charset val="134"/>
      </rPr>
      <t>你和你</t>
    </r>
    <r>
      <rPr>
        <sz val="10"/>
        <color theme="1"/>
        <rFont val="Times New Roman"/>
        <charset val="134"/>
      </rPr>
      <t>30</t>
    </r>
    <r>
      <rPr>
        <sz val="10"/>
        <color theme="1"/>
        <rFont val="宋体"/>
        <charset val="134"/>
      </rPr>
      <t>尺内至多</t>
    </r>
    <r>
      <rPr>
        <sz val="10"/>
        <color theme="1"/>
        <rFont val="Times New Roman"/>
        <charset val="134"/>
      </rPr>
      <t>6</t>
    </r>
    <r>
      <rPr>
        <sz val="10"/>
        <color theme="1"/>
        <rFont val="宋体"/>
        <charset val="134"/>
      </rPr>
      <t>个你选择的自愿生物可以登上这趟列车。你传送至该线状区域内一处你选择的未占据空间，任何随你同行的生物则出现在距离你最近的未占据空间。</t>
    </r>
    <r>
      <rPr>
        <sz val="10"/>
        <color theme="1"/>
        <rFont val="Times New Roman"/>
        <charset val="134"/>
      </rPr>
      <t xml:space="preserve">
</t>
    </r>
    <r>
      <rPr>
        <sz val="10"/>
        <color theme="1"/>
        <rFont val="宋体"/>
        <charset val="134"/>
      </rPr>
      <t>该线状区域内所有其他生物都必须进行一次对抗你法术豁免</t>
    </r>
    <r>
      <rPr>
        <sz val="10"/>
        <color theme="1"/>
        <rFont val="Times New Roman"/>
        <charset val="134"/>
      </rPr>
      <t>DC</t>
    </r>
    <r>
      <rPr>
        <sz val="10"/>
        <color theme="1"/>
        <rFont val="宋体"/>
        <charset val="134"/>
      </rPr>
      <t>的感知豁免，豁免失败则陷入耳聋状态直至你的下一回合开始，其也会沿直线被推离该线状区域的源点至多</t>
    </r>
    <r>
      <rPr>
        <sz val="10"/>
        <color theme="1"/>
        <rFont val="Times New Roman"/>
        <charset val="134"/>
      </rPr>
      <t>10</t>
    </r>
    <r>
      <rPr>
        <sz val="10"/>
        <color theme="1"/>
        <rFont val="宋体"/>
        <charset val="134"/>
      </rPr>
      <t>尺，并受到等于你诗人激励骰掷三次结果总值的心灵伤害。</t>
    </r>
    <r>
      <rPr>
        <sz val="10"/>
        <color theme="1"/>
        <rFont val="Times New Roman"/>
        <charset val="134"/>
      </rPr>
      <t xml:space="preserve">
</t>
    </r>
    <r>
      <rPr>
        <sz val="10"/>
        <color theme="1"/>
        <rFont val="宋体"/>
        <charset val="134"/>
      </rPr>
      <t>一旦你使用了此特性，则直至你完成一次长休前，都无法再次使用。你也可以消耗一枚三环或更高环阶的法术位（无需动作）来恢复该特性的使用次数。</t>
    </r>
  </si>
  <si>
    <t>引导神力：缚血傀戏</t>
  </si>
  <si>
    <r>
      <rPr>
        <sz val="10"/>
        <color theme="1"/>
        <rFont val="宋体"/>
        <charset val="134"/>
      </rPr>
      <t>你可以用你的引导神力短暂的操纵一个生物的行动</t>
    </r>
    <r>
      <rPr>
        <sz val="10"/>
        <color theme="1"/>
        <rFont val="宋体"/>
        <charset val="134"/>
      </rPr>
      <t>——</t>
    </r>
    <r>
      <rPr>
        <sz val="10"/>
        <color theme="1"/>
        <rFont val="宋体"/>
        <charset val="134"/>
      </rPr>
      <t>且不论这个生物是生是死。以一个动作，你选择周围</t>
    </r>
    <r>
      <rPr>
        <sz val="10"/>
        <color theme="1"/>
        <rFont val="Times New Roman"/>
        <charset val="134"/>
      </rPr>
      <t>60</t>
    </r>
    <r>
      <rPr>
        <sz val="10"/>
        <color theme="1"/>
        <rFont val="宋体"/>
        <charset val="134"/>
      </rPr>
      <t>尺内的一个拥有血液的大型或更小体型的生物或者尸体。若你的目标是一个是生物，其必须通过一次感知豁免（</t>
    </r>
    <r>
      <rPr>
        <sz val="10"/>
        <color theme="1"/>
        <rFont val="Times New Roman"/>
        <charset val="134"/>
      </rPr>
      <t>DC</t>
    </r>
    <r>
      <rPr>
        <sz val="10"/>
        <color theme="1"/>
        <rFont val="宋体"/>
        <charset val="134"/>
      </rPr>
      <t>等同于你的法术豁免</t>
    </r>
    <r>
      <rPr>
        <sz val="10"/>
        <color theme="1"/>
        <rFont val="Times New Roman"/>
        <charset val="134"/>
      </rPr>
      <t>DC</t>
    </r>
    <r>
      <rPr>
        <sz val="10"/>
        <color theme="1"/>
        <rFont val="宋体"/>
        <charset val="134"/>
      </rPr>
      <t>），若失败则被你</t>
    </r>
    <r>
      <rPr>
        <sz val="10"/>
        <color theme="1"/>
        <rFont val="Times New Roman"/>
        <charset val="134"/>
      </rPr>
      <t xml:space="preserve"> </t>
    </r>
    <r>
      <rPr>
        <sz val="10"/>
        <color theme="1"/>
        <rFont val="宋体"/>
        <charset val="134"/>
      </rPr>
      <t>魅惑</t>
    </r>
    <r>
      <rPr>
        <sz val="10"/>
        <color theme="1"/>
        <rFont val="Times New Roman"/>
        <charset val="134"/>
      </rPr>
      <t xml:space="preserve">Charmed </t>
    </r>
    <r>
      <rPr>
        <sz val="10"/>
        <color theme="1"/>
        <rFont val="宋体"/>
        <charset val="134"/>
      </rPr>
      <t>。昏迷</t>
    </r>
    <r>
      <rPr>
        <sz val="10"/>
        <color theme="1"/>
        <rFont val="Times New Roman"/>
        <charset val="134"/>
      </rPr>
      <t xml:space="preserve">Unconscious </t>
    </r>
    <r>
      <rPr>
        <sz val="10"/>
        <color theme="1"/>
        <rFont val="宋体"/>
        <charset val="134"/>
      </rPr>
      <t>状态的生物自动失败于本次豁免，并在被你控制时不再</t>
    </r>
    <r>
      <rPr>
        <sz val="10"/>
        <color theme="1"/>
        <rFont val="Times New Roman"/>
        <charset val="134"/>
      </rPr>
      <t xml:space="preserve"> </t>
    </r>
    <r>
      <rPr>
        <sz val="10"/>
        <color theme="1"/>
        <rFont val="宋体"/>
        <charset val="134"/>
      </rPr>
      <t>失能</t>
    </r>
    <r>
      <rPr>
        <sz val="10"/>
        <color theme="1"/>
        <rFont val="Times New Roman"/>
        <charset val="134"/>
      </rPr>
      <t xml:space="preserve">Incapacitated </t>
    </r>
    <r>
      <rPr>
        <sz val="10"/>
        <color theme="1"/>
        <rFont val="宋体"/>
        <charset val="134"/>
      </rPr>
      <t>。若你的目标是一具尸体，在被你控制时它会获得一种生命的假象。
在被你影响的生物或者活化尸体的回合中，你可以命令他（无需动作）移动他一半速度的距离，并使用他自己的动作执行以下行动之一：
与一个物件交互
发动仅一次的攻击
什么都不做
一个被活化的尸体或一个</t>
    </r>
    <r>
      <rPr>
        <sz val="10"/>
        <color theme="1"/>
        <rFont val="Times New Roman"/>
        <charset val="134"/>
      </rPr>
      <t xml:space="preserve"> </t>
    </r>
    <r>
      <rPr>
        <sz val="10"/>
        <color theme="1"/>
        <rFont val="宋体"/>
        <charset val="134"/>
      </rPr>
      <t>昏迷</t>
    </r>
    <r>
      <rPr>
        <sz val="10"/>
        <color theme="1"/>
        <rFont val="Times New Roman"/>
        <charset val="134"/>
      </rPr>
      <t xml:space="preserve">Unconscious </t>
    </r>
    <r>
      <rPr>
        <sz val="10"/>
        <color theme="1"/>
        <rFont val="宋体"/>
        <charset val="134"/>
      </rPr>
      <t>的生物会在你的回合之后立即行动自己的回合。但你必须命令它，它才能移动与使用动作。它的数据与它活着时或有意识时一样。
受影响的生物在其每个回合结束时重新进行一次豁免，如果成功则结束对自身的影响。对于任何目标而言，你的控制都只能持续</t>
    </r>
    <r>
      <rPr>
        <sz val="10"/>
        <color theme="1"/>
        <rFont val="Times New Roman"/>
        <charset val="134"/>
      </rPr>
      <t>1</t>
    </r>
    <r>
      <rPr>
        <sz val="10"/>
        <color theme="1"/>
        <rFont val="宋体"/>
        <charset val="134"/>
      </rPr>
      <t>分钟。如果你失去对该特性的专注（如同专注一个法术），它也会提前结束。在</t>
    </r>
    <r>
      <rPr>
        <sz val="10"/>
        <color theme="1"/>
        <rFont val="Times New Roman"/>
        <charset val="134"/>
      </rPr>
      <t>17</t>
    </r>
    <r>
      <rPr>
        <sz val="10"/>
        <color theme="1"/>
        <rFont val="宋体"/>
        <charset val="134"/>
      </rPr>
      <t>级时，你可以对一个巨型或更小体型的生物或尸体使用本特性。</t>
    </r>
  </si>
  <si>
    <t>巫咒塑像</t>
  </si>
  <si>
    <r>
      <rPr>
        <sz val="10"/>
        <color theme="1"/>
        <rFont val="宋体"/>
        <charset val="134"/>
      </rPr>
      <t>你的原始魔法能以柳条塑像的形式显化并以其为核心向外辐射。你可以使用附赠动作消耗一次荒野形态特性的使用次数，在你周边</t>
    </r>
    <r>
      <rPr>
        <sz val="10"/>
        <color theme="1"/>
        <rFont val="Times New Roman"/>
        <charset val="134"/>
      </rPr>
      <t>30</t>
    </r>
    <r>
      <rPr>
        <sz val="10"/>
        <color theme="1"/>
        <rFont val="宋体"/>
        <charset val="134"/>
      </rPr>
      <t>尺范围内一处你可见的未占据空间内创造一个柳条塑像。</t>
    </r>
    <r>
      <rPr>
        <sz val="10"/>
        <color theme="1"/>
        <rFont val="Times New Roman"/>
        <charset val="134"/>
      </rPr>
      <t xml:space="preserve">
</t>
    </r>
    <r>
      <rPr>
        <sz val="10"/>
        <color theme="1"/>
        <rFont val="宋体"/>
        <charset val="134"/>
      </rPr>
      <t>塑像是一个小型物件（</t>
    </r>
    <r>
      <rPr>
        <sz val="10"/>
        <color theme="1"/>
        <rFont val="Times New Roman"/>
        <charset val="134"/>
      </rPr>
      <t>AC15</t>
    </r>
    <r>
      <rPr>
        <sz val="10"/>
        <color theme="1"/>
        <rFont val="宋体"/>
        <charset val="134"/>
      </rPr>
      <t>；</t>
    </r>
    <r>
      <rPr>
        <sz val="10"/>
        <color theme="1"/>
        <rFont val="Times New Roman"/>
        <charset val="134"/>
      </rPr>
      <t>HP</t>
    </r>
    <r>
      <rPr>
        <sz val="10"/>
        <color theme="1"/>
        <rFont val="宋体"/>
        <charset val="134"/>
      </rPr>
      <t>等于你德鲁伊等级的五倍；具有火焰伤害易伤；免疫毒素和心灵伤害）。塑像在</t>
    </r>
    <r>
      <rPr>
        <sz val="10"/>
        <color theme="1"/>
        <rFont val="Times New Roman"/>
        <charset val="134"/>
      </rPr>
      <t>1</t>
    </r>
    <r>
      <rPr>
        <sz val="10"/>
        <color theme="1"/>
        <rFont val="宋体"/>
        <charset val="134"/>
      </rPr>
      <t>分钟后、当其生命值减少至</t>
    </r>
    <r>
      <rPr>
        <sz val="10"/>
        <color theme="1"/>
        <rFont val="Times New Roman"/>
        <charset val="134"/>
      </rPr>
      <t>0</t>
    </r>
    <r>
      <rPr>
        <sz val="10"/>
        <color theme="1"/>
        <rFont val="宋体"/>
        <charset val="134"/>
      </rPr>
      <t>时或当你再次使用该特性时消失。它在源自自身的</t>
    </r>
    <r>
      <rPr>
        <sz val="10"/>
        <color theme="1"/>
        <rFont val="Times New Roman"/>
        <charset val="134"/>
      </rPr>
      <t>30</t>
    </r>
    <r>
      <rPr>
        <sz val="10"/>
        <color theme="1"/>
        <rFont val="宋体"/>
        <charset val="134"/>
      </rPr>
      <t>尺光环区域内发出微光光照和以下灵光之一（由你在创造塑像时选择）。</t>
    </r>
    <r>
      <rPr>
        <sz val="10"/>
        <color theme="1"/>
        <rFont val="Times New Roman"/>
        <charset val="134"/>
      </rPr>
      <t xml:space="preserve">
</t>
    </r>
    <r>
      <rPr>
        <sz val="10"/>
        <color theme="1"/>
        <rFont val="宋体"/>
        <charset val="134"/>
      </rPr>
      <t>祭焰</t>
    </r>
    <r>
      <rPr>
        <sz val="10"/>
        <color theme="1"/>
        <rFont val="Times New Roman"/>
        <charset val="134"/>
      </rPr>
      <t>Sacrifice</t>
    </r>
    <r>
      <rPr>
        <sz val="10"/>
        <color theme="1"/>
        <rFont val="宋体"/>
        <charset val="134"/>
      </rPr>
      <t>。当灵光内的一个生物受到伤害时，你可以使用反应对该生物造成</t>
    </r>
    <r>
      <rPr>
        <sz val="10"/>
        <color theme="1"/>
        <rFont val="Times New Roman"/>
        <charset val="134"/>
      </rPr>
      <t>1d8+</t>
    </r>
    <r>
      <rPr>
        <sz val="10"/>
        <color theme="1"/>
        <rFont val="宋体"/>
        <charset val="134"/>
      </rPr>
      <t>你感知调整值的火焰伤害。</t>
    </r>
    <r>
      <rPr>
        <sz val="10"/>
        <color theme="1"/>
        <rFont val="Times New Roman"/>
        <charset val="134"/>
      </rPr>
      <t xml:space="preserve">
</t>
    </r>
    <r>
      <rPr>
        <sz val="10"/>
        <color theme="1"/>
        <rFont val="宋体"/>
        <charset val="134"/>
      </rPr>
      <t>慰灵</t>
    </r>
    <r>
      <rPr>
        <sz val="10"/>
        <color theme="1"/>
        <rFont val="Times New Roman"/>
        <charset val="134"/>
      </rPr>
      <t>Sooth</t>
    </r>
    <r>
      <rPr>
        <sz val="10"/>
        <color theme="1"/>
        <rFont val="宋体"/>
        <charset val="134"/>
      </rPr>
      <t>。当你创造塑像时，以及在后续回合内使用附赠动作，使灵光内一个你可见的生物恢复</t>
    </r>
    <r>
      <rPr>
        <sz val="10"/>
        <color theme="1"/>
        <rFont val="Times New Roman"/>
        <charset val="134"/>
      </rPr>
      <t>1d6</t>
    </r>
    <r>
      <rPr>
        <sz val="10"/>
        <color theme="1"/>
        <rFont val="宋体"/>
        <charset val="134"/>
      </rPr>
      <t>生命值。你能够使用该塑像来恢复生命值的次数等于你施法属性调整值的两倍。</t>
    </r>
    <r>
      <rPr>
        <sz val="10"/>
        <color theme="1"/>
        <rFont val="Times New Roman"/>
        <charset val="134"/>
      </rPr>
      <t xml:space="preserve">
</t>
    </r>
    <r>
      <rPr>
        <sz val="10"/>
        <color theme="1"/>
        <rFont val="宋体"/>
        <charset val="134"/>
      </rPr>
      <t>结界</t>
    </r>
    <r>
      <rPr>
        <sz val="10"/>
        <color theme="1"/>
        <rFont val="Times New Roman"/>
        <charset val="134"/>
      </rPr>
      <t>Ward</t>
    </r>
    <r>
      <rPr>
        <sz val="10"/>
        <color theme="1"/>
        <rFont val="宋体"/>
        <charset val="134"/>
      </rPr>
      <t>。若身处灵光内，你和你的盟友的</t>
    </r>
    <r>
      <rPr>
        <sz val="10"/>
        <color theme="1"/>
        <rFont val="Times New Roman"/>
        <charset val="134"/>
      </rPr>
      <t>AC</t>
    </r>
    <r>
      <rPr>
        <sz val="10"/>
        <color theme="1"/>
        <rFont val="宋体"/>
        <charset val="134"/>
      </rPr>
      <t>获得</t>
    </r>
    <r>
      <rPr>
        <sz val="10"/>
        <color theme="1"/>
        <rFont val="Times New Roman"/>
        <charset val="134"/>
      </rPr>
      <t>+1</t>
    </r>
    <r>
      <rPr>
        <sz val="10"/>
        <color theme="1"/>
        <rFont val="宋体"/>
        <charset val="134"/>
      </rPr>
      <t>加值。</t>
    </r>
  </si>
  <si>
    <r>
      <rPr>
        <sz val="10"/>
        <color theme="1"/>
        <rFont val="宋体"/>
        <charset val="134"/>
      </rPr>
      <t>额外熟练项</t>
    </r>
  </si>
  <si>
    <r>
      <rPr>
        <sz val="10"/>
        <color theme="1"/>
        <rFont val="宋体"/>
        <charset val="134"/>
      </rPr>
      <t>你获得对于铁匠工具的熟练项，并且你学会了说、读和写巨人语。</t>
    </r>
  </si>
  <si>
    <t>水银之心</t>
  </si>
  <si>
    <r>
      <rPr>
        <sz val="10"/>
        <color theme="1"/>
        <rFont val="宋体"/>
        <charset val="134"/>
      </rPr>
      <t>你已通过精神适性和模式识别磨练了你的意识和反射。一回合一次，如果你已经使用了你的反应，当你想要执行额外反应时，你可以耗费</t>
    </r>
    <r>
      <rPr>
        <sz val="10"/>
        <color theme="1"/>
        <rFont val="Times New Roman"/>
        <charset val="134"/>
      </rPr>
      <t>1</t>
    </r>
    <r>
      <rPr>
        <sz val="10"/>
        <color theme="1"/>
        <rFont val="宋体"/>
        <charset val="134"/>
      </rPr>
      <t>点气以进行之。你只能对每次触发效应进行一次反应。</t>
    </r>
  </si>
  <si>
    <t>炽诚审判</t>
  </si>
  <si>
    <r>
      <rPr>
        <sz val="10"/>
        <color theme="1"/>
        <rFont val="宋体"/>
        <charset val="134"/>
      </rPr>
      <t>当一个生物对你或你周边</t>
    </r>
    <r>
      <rPr>
        <sz val="10"/>
        <color theme="1"/>
        <rFont val="Times New Roman"/>
        <charset val="134"/>
      </rPr>
      <t>30</t>
    </r>
    <r>
      <rPr>
        <sz val="10"/>
        <color theme="1"/>
        <rFont val="宋体"/>
        <charset val="134"/>
      </rPr>
      <t>尺范围内一个你可见的盟友造成伤害时，你可以使用反应使你对该生物的下一次攻击检定具有优势。</t>
    </r>
    <r>
      <rPr>
        <sz val="10"/>
        <color theme="1"/>
        <rFont val="Times New Roman"/>
        <charset val="134"/>
      </rPr>
      <t xml:space="preserve">
</t>
    </r>
    <r>
      <rPr>
        <sz val="10"/>
        <color theme="1"/>
        <rFont val="宋体"/>
        <charset val="134"/>
      </rPr>
      <t>此外，当你对一个处于浴血的生物造成火焰或光耀伤害时，你会察觉到该生物在过去</t>
    </r>
    <r>
      <rPr>
        <sz val="10"/>
        <color theme="1"/>
        <rFont val="Times New Roman"/>
        <charset val="134"/>
      </rPr>
      <t>24</t>
    </r>
    <r>
      <rPr>
        <sz val="10"/>
        <color theme="1"/>
        <rFont val="宋体"/>
        <charset val="134"/>
      </rPr>
      <t>小时内曾自愿且故意对你说过的任何谎言。</t>
    </r>
  </si>
  <si>
    <t>知识之语</t>
  </si>
  <si>
    <r>
      <rPr>
        <sz val="10"/>
        <color theme="1"/>
        <rFont val="宋体"/>
        <charset val="134"/>
      </rPr>
      <t>你可以询问随风飘摇的精魂，以寻得你需要的知识。你可以用</t>
    </r>
    <r>
      <rPr>
        <sz val="10"/>
        <color theme="1"/>
        <rFont val="Times New Roman"/>
        <charset val="134"/>
      </rPr>
      <t>10</t>
    </r>
    <r>
      <rPr>
        <sz val="10"/>
        <color theme="1"/>
        <rFont val="宋体"/>
        <charset val="134"/>
      </rPr>
      <t>分钟时间与行过的精魂交谈，让它们为你提供它的所见所闻：选择一项你还未具备其熟练的技能或工具，你获得其熟练。在下一次你完成短休或你完成长休后，这项熟练会消失。
你可以使用此特性的次数等同于你的感知调整值次（至少可以用一次）。你完成一次长休时可以重获全部已消耗的使用。</t>
    </r>
  </si>
  <si>
    <t>噼啪蜜蜡</t>
  </si>
  <si>
    <t>以一个附赠动作，你可以花费2点烛心点来点燃一支畸形的黄色蜡烛，并向你可见的一个60尺内的生物掷出它。目标必须进行一次敏捷豁免以避开爆炸产生的烛蜡束缚。当豁免失败时，目标受蜡的影响而陷入束缚状态。在受束缚生物的每个自己的回合结束时，他可以重复此豁免，在豁免成功时结束此效应的影响。</t>
  </si>
  <si>
    <t>猩红法术</t>
  </si>
  <si>
    <r>
      <rPr>
        <sz val="10"/>
        <color theme="1"/>
        <rFont val="宋体"/>
        <charset val="134"/>
      </rPr>
      <t>当你达到猩红法术表中所述的相应术士等级时，你视为总是准备了列出的对应法术。</t>
    </r>
    <r>
      <rPr>
        <sz val="10"/>
        <color theme="1"/>
        <rFont val="Times New Roman"/>
        <charset val="134"/>
      </rPr>
      <t xml:space="preserve"> 
</t>
    </r>
    <r>
      <rPr>
        <sz val="10"/>
        <color theme="1"/>
        <rFont val="宋体"/>
        <charset val="134"/>
      </rPr>
      <t>猩红法术</t>
    </r>
    <r>
      <rPr>
        <sz val="10"/>
        <color theme="1"/>
        <rFont val="Times New Roman"/>
        <charset val="134"/>
      </rPr>
      <t xml:space="preserve">Crimson Spells 
</t>
    </r>
    <r>
      <rPr>
        <sz val="10"/>
        <color theme="1"/>
        <rFont val="宋体"/>
        <charset val="134"/>
      </rPr>
      <t>术士等级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血蚀箭</t>
    </r>
    <r>
      <rPr>
        <sz val="10"/>
        <color theme="1"/>
        <rFont val="Times New Roman"/>
        <charset val="134"/>
      </rPr>
      <t>Blood Bolt</t>
    </r>
    <r>
      <rPr>
        <sz val="10"/>
        <color theme="1"/>
        <rFont val="宋体"/>
        <charset val="134"/>
      </rPr>
      <t>，疗伤术</t>
    </r>
    <r>
      <rPr>
        <sz val="10"/>
        <color theme="1"/>
        <rFont val="Times New Roman"/>
        <charset val="134"/>
      </rPr>
      <t>Cure Wounds</t>
    </r>
    <r>
      <rPr>
        <sz val="10"/>
        <color theme="1"/>
        <rFont val="宋体"/>
        <charset val="134"/>
      </rPr>
      <t>，致伤术</t>
    </r>
    <r>
      <rPr>
        <sz val="10"/>
        <color theme="1"/>
        <rFont val="Times New Roman"/>
        <charset val="134"/>
      </rPr>
      <t>Inflict Wounds</t>
    </r>
    <r>
      <rPr>
        <sz val="10"/>
        <color theme="1"/>
        <rFont val="宋体"/>
        <charset val="134"/>
      </rPr>
      <t>，援助术</t>
    </r>
    <r>
      <rPr>
        <sz val="10"/>
        <color theme="1"/>
        <rFont val="Times New Roman"/>
        <charset val="134"/>
      </rPr>
      <t>Aid</t>
    </r>
    <r>
      <rPr>
        <sz val="10"/>
        <color theme="1"/>
        <rFont val="宋体"/>
        <charset val="134"/>
      </rPr>
      <t>，血祭</t>
    </r>
    <r>
      <rPr>
        <sz val="10"/>
        <color theme="1"/>
        <rFont val="Times New Roman"/>
        <charset val="134"/>
      </rPr>
      <t xml:space="preserve">Blood Sacrifice
5 </t>
    </r>
    <r>
      <rPr>
        <sz val="10"/>
        <color theme="1"/>
        <rFont val="宋体"/>
        <charset val="134"/>
      </rPr>
      <t>血腥丰获</t>
    </r>
    <r>
      <rPr>
        <sz val="10"/>
        <color theme="1"/>
        <rFont val="Times New Roman"/>
        <charset val="134"/>
      </rPr>
      <t>Crimson Harvest</t>
    </r>
    <r>
      <rPr>
        <sz val="10"/>
        <color theme="1"/>
        <rFont val="宋体"/>
        <charset val="134"/>
      </rPr>
      <t>，吸血鬼之触</t>
    </r>
    <r>
      <rPr>
        <sz val="10"/>
        <color theme="1"/>
        <rFont val="Times New Roman"/>
        <charset val="134"/>
      </rPr>
      <t xml:space="preserve">Vampiric Touch  
7 </t>
    </r>
    <r>
      <rPr>
        <sz val="10"/>
        <color theme="1"/>
        <rFont val="宋体"/>
        <charset val="134"/>
      </rPr>
      <t>防死结界</t>
    </r>
    <r>
      <rPr>
        <sz val="10"/>
        <color theme="1"/>
        <rFont val="Times New Roman"/>
        <charset val="134"/>
      </rPr>
      <t>Death Ward</t>
    </r>
    <r>
      <rPr>
        <sz val="10"/>
        <color theme="1"/>
        <rFont val="宋体"/>
        <charset val="134"/>
      </rPr>
      <t>，牺牲虹吸</t>
    </r>
    <r>
      <rPr>
        <sz val="10"/>
        <color theme="1"/>
        <rFont val="Times New Roman"/>
        <charset val="134"/>
      </rPr>
      <t xml:space="preserve">Sacrificial Siphon
9 </t>
    </r>
    <r>
      <rPr>
        <sz val="10"/>
        <color theme="1"/>
        <rFont val="宋体"/>
        <charset val="134"/>
      </rPr>
      <t>收割场</t>
    </r>
    <r>
      <rPr>
        <sz val="10"/>
        <color theme="1"/>
        <rFont val="Times New Roman"/>
        <charset val="134"/>
      </rPr>
      <t>Field of Reaping</t>
    </r>
    <r>
      <rPr>
        <sz val="10"/>
        <color theme="1"/>
        <rFont val="宋体"/>
        <charset val="134"/>
      </rPr>
      <t>，群体疗伤术</t>
    </r>
    <r>
      <rPr>
        <sz val="10"/>
        <color theme="1"/>
        <rFont val="Times New Roman"/>
        <charset val="134"/>
      </rPr>
      <t xml:space="preserve">Mass Cure Wounds  </t>
    </r>
  </si>
  <si>
    <r>
      <rPr>
        <sz val="10"/>
        <color theme="1"/>
        <rFont val="宋体"/>
        <charset val="134"/>
      </rPr>
      <t>咒剑诅咒</t>
    </r>
  </si>
  <si>
    <r>
      <rPr>
        <sz val="10"/>
        <color theme="1"/>
        <rFont val="宋体"/>
        <charset val="134"/>
      </rPr>
      <t>你得到了向一个敌人施加恶毒诅咒的能力。
以一个附赠动作，选择一个处于你周围</t>
    </r>
    <r>
      <rPr>
        <sz val="10"/>
        <color theme="1"/>
        <rFont val="Times New Roman"/>
        <charset val="134"/>
      </rPr>
      <t>30</t>
    </r>
    <r>
      <rPr>
        <sz val="10"/>
        <color theme="1"/>
        <rFont val="宋体"/>
        <charset val="134"/>
      </rPr>
      <t>英尺内，你能看见的生物。
该目标被诅咒</t>
    </r>
    <r>
      <rPr>
        <sz val="10"/>
        <color theme="1"/>
        <rFont val="Times New Roman"/>
        <charset val="134"/>
      </rPr>
      <t>1</t>
    </r>
    <r>
      <rPr>
        <sz val="10"/>
        <color theme="1"/>
        <rFont val="宋体"/>
        <charset val="134"/>
      </rPr>
      <t>分钟。
该诅咒将会在目标死亡、你死亡、你陷入失能时提前结束。
直到诅咒结束，你得到下述的好处：
你对被诅咒目标的伤害检定中得到加值。加值等于你的熟练加值。
你对被诅咒目标的任何攻击检定，若在</t>
    </r>
    <r>
      <rPr>
        <sz val="10"/>
        <color theme="1"/>
        <rFont val="Times New Roman"/>
        <charset val="134"/>
      </rPr>
      <t>d20</t>
    </r>
    <r>
      <rPr>
        <sz val="10"/>
        <color theme="1"/>
        <rFont val="宋体"/>
        <charset val="134"/>
      </rPr>
      <t>中投出</t>
    </r>
    <r>
      <rPr>
        <sz val="10"/>
        <color theme="1"/>
        <rFont val="Times New Roman"/>
        <charset val="134"/>
      </rPr>
      <t>19</t>
    </r>
    <r>
      <rPr>
        <sz val="10"/>
        <color theme="1"/>
        <rFont val="宋体"/>
        <charset val="134"/>
      </rPr>
      <t>或</t>
    </r>
    <r>
      <rPr>
        <sz val="10"/>
        <color theme="1"/>
        <rFont val="Times New Roman"/>
        <charset val="134"/>
      </rPr>
      <t>20</t>
    </r>
    <r>
      <rPr>
        <sz val="10"/>
        <color theme="1"/>
        <rFont val="宋体"/>
        <charset val="134"/>
      </rPr>
      <t>，则形成一次重击。
若被诅咒的目标死亡，你恢复等于你邪术师等级</t>
    </r>
    <r>
      <rPr>
        <sz val="10"/>
        <color theme="1"/>
        <rFont val="Times New Roman"/>
        <charset val="134"/>
      </rPr>
      <t>+</t>
    </r>
    <r>
      <rPr>
        <sz val="10"/>
        <color theme="1"/>
        <rFont val="宋体"/>
        <charset val="134"/>
      </rPr>
      <t>你的魅力调整值（至少为</t>
    </r>
    <r>
      <rPr>
        <sz val="10"/>
        <color theme="1"/>
        <rFont val="Times New Roman"/>
        <charset val="134"/>
      </rPr>
      <t>1</t>
    </r>
    <r>
      <rPr>
        <sz val="10"/>
        <color theme="1"/>
        <rFont val="宋体"/>
        <charset val="134"/>
      </rPr>
      <t>）的生命值。
你不能再次使用此特性，直到你完成了一次短休息或长休息。</t>
    </r>
  </si>
  <si>
    <t>现实撕裂</t>
  </si>
  <si>
    <t xml:space="preserve">从魔契师法术列表中选择一道3环或更低环阶的法术。你始终准备了该法术。当你完成一次长休时，你可以更改你所选择的法术。当你施展该法术时，你可以冒着侵扰风险，移除对该法术的专注需求，该法术会在1分钟或者其正常持续时间（以较短者为准）结束后终止。
此外，你可以引发一次自动侵扰（并使侵扰骰的尺寸增大一级，最高不超过其初始尺寸），从而不消耗法术位地施展该法术一次，并在完成一次长休后重获以此方式施展该法术的能力。 </t>
  </si>
  <si>
    <r>
      <rPr>
        <sz val="10"/>
        <color theme="1"/>
        <rFont val="宋体"/>
        <charset val="134"/>
      </rPr>
      <t>阴恶潜伏期</t>
    </r>
  </si>
  <si>
    <r>
      <rPr>
        <sz val="10"/>
        <color theme="1"/>
        <rFont val="宋体"/>
        <charset val="134"/>
      </rPr>
      <t>当你开始施展法术感染术</t>
    </r>
    <r>
      <rPr>
        <sz val="10"/>
        <color theme="1"/>
        <rFont val="Times New Roman"/>
        <charset val="134"/>
      </rPr>
      <t>infect*</t>
    </r>
    <r>
      <rPr>
        <sz val="10"/>
        <color theme="1"/>
        <rFont val="宋体"/>
        <charset val="134"/>
      </rPr>
      <t>时，你可以修改它，来使你无需为其维持专注。如果你这样做，你所施展的这个法术的持续时间变为</t>
    </r>
    <r>
      <rPr>
        <sz val="10"/>
        <color theme="1"/>
        <rFont val="Times New Roman"/>
        <charset val="134"/>
      </rPr>
      <t>1</t>
    </r>
    <r>
      <rPr>
        <sz val="10"/>
        <color theme="1"/>
        <rFont val="宋体"/>
        <charset val="134"/>
      </rPr>
      <t>分钟。你必须完成一次短休或长休才能再次使用此特性。</t>
    </r>
  </si>
  <si>
    <t>深黯诅咒（被动）</t>
  </si>
  <si>
    <r>
      <rPr>
        <sz val="10"/>
        <color theme="1"/>
        <rFont val="宋体"/>
        <charset val="134"/>
      </rPr>
      <t>先决：邪狱使等级</t>
    </r>
    <r>
      <rPr>
        <sz val="10"/>
        <color theme="1"/>
        <rFont val="Times New Roman"/>
        <charset val="134"/>
      </rPr>
      <t>18+</t>
    </r>
    <r>
      <rPr>
        <sz val="10"/>
        <color theme="1"/>
        <rFont val="宋体"/>
        <charset val="134"/>
      </rPr>
      <t>（影宗）</t>
    </r>
    <r>
      <rPr>
        <sz val="10"/>
        <color theme="1"/>
        <rFont val="Times New Roman"/>
        <charset val="134"/>
      </rPr>
      <t xml:space="preserve"> 
</t>
    </r>
    <r>
      <rPr>
        <sz val="10"/>
        <color theme="1"/>
        <rFont val="宋体"/>
        <charset val="134"/>
      </rPr>
      <t>受禁生物将发出半径</t>
    </r>
    <r>
      <rPr>
        <sz val="10"/>
        <color theme="1"/>
        <rFont val="Times New Roman"/>
        <charset val="134"/>
      </rPr>
      <t>10</t>
    </r>
    <r>
      <rPr>
        <sz val="10"/>
        <color theme="1"/>
        <rFont val="宋体"/>
        <charset val="134"/>
      </rPr>
      <t>尺的黑暗。普通</t>
    </r>
    <r>
      <rPr>
        <sz val="10"/>
        <color theme="1"/>
        <rFont val="Times New Roman"/>
        <charset val="134"/>
      </rPr>
      <t>*</t>
    </r>
    <r>
      <rPr>
        <sz val="10"/>
        <color theme="1"/>
        <rFont val="宋体"/>
        <charset val="134"/>
      </rPr>
      <t>光照无法在此黑暗内提供照明，但拥有黑暗视觉的生物可以看穿这种黑暗。如果黑暗区域与任何魔法或灵能创造的光亮区域重叠，则此黑暗区域将被照亮。</t>
    </r>
  </si>
  <si>
    <r>
      <rPr>
        <sz val="10"/>
        <color theme="1"/>
        <rFont val="宋体"/>
        <charset val="134"/>
      </rPr>
      <t>醉拳宗</t>
    </r>
  </si>
  <si>
    <t>腹中精酿</t>
  </si>
  <si>
    <t>你学会了一门来之不易的腹酿之术，这是一种奥术技巧：通过吞咽、混合并在体内酿造魔法药剂，从而创造出多种多样的特殊效果。
当你进入狂暴时，你将精力集中，催动腹中精酿的魔力。选择“战斗”、“实用”或“妙想”之一，并获得对应精酿的效果（见下文）。你在每次进入狂暴都可重新选择腹中精酿的效果。
战斗 Combat
你的身体产生了独特的变化，它魔法性地改变了你的肉体，使其具有类似橡胶的特性。在这种弹性状态下，当你被远程攻击命中时，你可以花费你的反应用肚子将其弹开。当你这样做时，该次攻击对你造成的伤害减少1d12+你的体质调整值+你的野蛮人等级。
此外，当你在你的回合内执行一次近战武器攻击前，你可以使用一个附赠动作拉伸手臂，使你的触及距离增加5尺，直到本回合结束。当你以此方式第一次命中一个目标时，该次攻击额外造成1d6点该武器同类型的伤害。
实用 Utility
你胃中正在反应冒泡的魔药被完美混合，能够溶解并吸收任何你能吞下的东西。以一个附赠动作，你可以吞下任何能被塞进你嘴里的物件。当你这样做时，作为该附赠动作的一部分，你可以消耗一枚生命骰治疗自己。掷骰，然后加入你的体质调整值，并回复等同于骰值总和（至少为1）的生命值。以这种方式被吞下的物件将被摧毁，前提是该物件不是魔法物品。你可以使用此特性次数等于你的熟练加值，并在完成一次长休后恢复所有已消耗的次数。
妙想 Whimsy
你专注于体内的魔法精酿，却产生了一系列稀奇古怪、难以控制的效果。在此状态下，每当你的回合开始时，你获得以下效果之一：
你瞬移至距离你10尺范围之内的一个无人占据的可见空间。
你受到1d4暗蚀伤害；在本回合结束前，你进行的下一次属性检定获得等同于掷骰点数的加值。
你可以立即花费一个附赠动作来执行协助动作。
此外，伴随妙想特性，你会获得一个随机的视觉效果，例如你的头发变成一团苔藓、一只幽灵鸟在你头顶盘旋，或一个跳舞男人的纹身出现在你身上并在体表四处游走。</t>
  </si>
  <si>
    <t>终点站</t>
  </si>
  <si>
    <r>
      <rPr>
        <sz val="10"/>
        <color theme="1"/>
        <rFont val="宋体"/>
        <charset val="134"/>
      </rPr>
      <t>你口哨幽灵般的尖锐声响如今能将生者拉近至亡者世界。你可以使用魔法动作吹响口哨，其声音在</t>
    </r>
    <r>
      <rPr>
        <sz val="10"/>
        <color theme="1"/>
        <rFont val="Times New Roman"/>
        <charset val="134"/>
      </rPr>
      <t>300</t>
    </r>
    <r>
      <rPr>
        <sz val="10"/>
        <color theme="1"/>
        <rFont val="宋体"/>
        <charset val="134"/>
      </rPr>
      <t>尺内都能听见。该距离内至多</t>
    </r>
    <r>
      <rPr>
        <sz val="10"/>
        <color theme="1"/>
        <rFont val="Times New Roman"/>
        <charset val="134"/>
      </rPr>
      <t>6</t>
    </r>
    <r>
      <rPr>
        <sz val="10"/>
        <color theme="1"/>
        <rFont val="宋体"/>
        <charset val="134"/>
      </rPr>
      <t>个你选择的可见生物必须进行一次一次对抗你法术豁免</t>
    </r>
    <r>
      <rPr>
        <sz val="10"/>
        <color theme="1"/>
        <rFont val="Times New Roman"/>
        <charset val="134"/>
      </rPr>
      <t>DC</t>
    </r>
    <r>
      <rPr>
        <sz val="10"/>
        <color theme="1"/>
        <rFont val="宋体"/>
        <charset val="134"/>
      </rPr>
      <t>的魅力豁免，豁免失败则被诅咒。当一个被诅咒的目标受到心灵伤害时，其会对伤害来源陷入恐慌状态，直至其下一回合结束。当一个被诅咒的目标第一次受到心灵伤害时，其会对心灵伤害具有易伤。目标可以在其每个回合结束时重复该豁免，豁免成功则终止其身上该效应。</t>
    </r>
    <r>
      <rPr>
        <sz val="10"/>
        <color theme="1"/>
        <rFont val="Times New Roman"/>
        <charset val="134"/>
      </rPr>
      <t>1</t>
    </r>
    <r>
      <rPr>
        <sz val="10"/>
        <color theme="1"/>
        <rFont val="宋体"/>
        <charset val="134"/>
      </rPr>
      <t>分钟后，其豁免自动成功。</t>
    </r>
    <r>
      <rPr>
        <sz val="10"/>
        <color theme="1"/>
        <rFont val="Times New Roman"/>
        <charset val="134"/>
      </rPr>
      <t xml:space="preserve">
</t>
    </r>
    <r>
      <rPr>
        <sz val="10"/>
        <color theme="1"/>
        <rFont val="宋体"/>
        <charset val="134"/>
      </rPr>
      <t>一旦你使用了此特性，则直至你完成一次长休前，都无法再次使用。你也可以消耗一枚七环或更高环阶的法术位（无需动作）来恢复该特性的使用次数。</t>
    </r>
  </si>
  <si>
    <t>殷红回想</t>
  </si>
  <si>
    <r>
      <rPr>
        <sz val="10"/>
        <color theme="1"/>
        <rFont val="宋体"/>
        <charset val="134"/>
      </rPr>
      <t>你可以用一个动作牺牲自己一部分生命力用以恢复已消耗的法术位。所恢复的法术位环阶总和不得大于你牧师等级的一半（向上取整），且任何一枚法术位的环阶都必须小于</t>
    </r>
    <r>
      <rPr>
        <sz val="10"/>
        <color theme="1"/>
        <rFont val="Times New Roman"/>
        <charset val="134"/>
      </rPr>
      <t>6</t>
    </r>
    <r>
      <rPr>
        <sz val="10"/>
        <color theme="1"/>
        <rFont val="宋体"/>
        <charset val="134"/>
      </rPr>
      <t>环。每一环你回复的法术位都会让你承受</t>
    </r>
    <r>
      <rPr>
        <sz val="10"/>
        <color theme="1"/>
        <rFont val="Times New Roman"/>
        <charset val="134"/>
      </rPr>
      <t>1d8</t>
    </r>
    <r>
      <rPr>
        <sz val="10"/>
        <color theme="1"/>
        <rFont val="宋体"/>
        <charset val="134"/>
      </rPr>
      <t>点无法用任何手段减免的暗蚀伤害。一旦你使用了这一特性，直到完成一次长休前你都不能再次使用它。
例如，作为一名</t>
    </r>
    <r>
      <rPr>
        <sz val="10"/>
        <color theme="1"/>
        <rFont val="Times New Roman"/>
        <charset val="134"/>
      </rPr>
      <t>8</t>
    </r>
    <r>
      <rPr>
        <sz val="10"/>
        <color theme="1"/>
        <rFont val="宋体"/>
        <charset val="134"/>
      </rPr>
      <t>级牧师时，你可恢复环阶总数最多为</t>
    </r>
    <r>
      <rPr>
        <sz val="10"/>
        <color theme="1"/>
        <rFont val="Times New Roman"/>
        <charset val="134"/>
      </rPr>
      <t>4</t>
    </r>
    <r>
      <rPr>
        <sz val="10"/>
        <color theme="1"/>
        <rFont val="宋体"/>
        <charset val="134"/>
      </rPr>
      <t>的法术位。你可以选择恢复一枚</t>
    </r>
    <r>
      <rPr>
        <sz val="10"/>
        <color theme="1"/>
        <rFont val="Times New Roman"/>
        <charset val="134"/>
      </rPr>
      <t>4</t>
    </r>
    <r>
      <rPr>
        <sz val="10"/>
        <color theme="1"/>
        <rFont val="宋体"/>
        <charset val="134"/>
      </rPr>
      <t>环法术位、两枚</t>
    </r>
    <r>
      <rPr>
        <sz val="10"/>
        <color theme="1"/>
        <rFont val="Times New Roman"/>
        <charset val="134"/>
      </rPr>
      <t>2</t>
    </r>
    <r>
      <rPr>
        <sz val="10"/>
        <color theme="1"/>
        <rFont val="宋体"/>
        <charset val="134"/>
      </rPr>
      <t>环法术位、一枚</t>
    </r>
    <r>
      <rPr>
        <sz val="10"/>
        <color theme="1"/>
        <rFont val="Times New Roman"/>
        <charset val="134"/>
      </rPr>
      <t>3</t>
    </r>
    <r>
      <rPr>
        <sz val="10"/>
        <color theme="1"/>
        <rFont val="宋体"/>
        <charset val="134"/>
      </rPr>
      <t>环法术位和一枚</t>
    </r>
    <r>
      <rPr>
        <sz val="10"/>
        <color theme="1"/>
        <rFont val="Times New Roman"/>
        <charset val="134"/>
      </rPr>
      <t>1</t>
    </r>
    <r>
      <rPr>
        <sz val="10"/>
        <color theme="1"/>
        <rFont val="宋体"/>
        <charset val="134"/>
      </rPr>
      <t>环法术位、或四枚</t>
    </r>
    <r>
      <rPr>
        <sz val="10"/>
        <color theme="1"/>
        <rFont val="Times New Roman"/>
        <charset val="134"/>
      </rPr>
      <t>1</t>
    </r>
    <r>
      <rPr>
        <sz val="10"/>
        <color theme="1"/>
        <rFont val="宋体"/>
        <charset val="134"/>
      </rPr>
      <t>环法术位。之后你将受到</t>
    </r>
    <r>
      <rPr>
        <sz val="10"/>
        <color theme="1"/>
        <rFont val="Times New Roman"/>
        <charset val="134"/>
      </rPr>
      <t>4d8</t>
    </r>
    <r>
      <rPr>
        <sz val="10"/>
        <color theme="1"/>
        <rFont val="宋体"/>
        <charset val="134"/>
      </rPr>
      <t>点暗蚀伤害。</t>
    </r>
  </si>
  <si>
    <t>柳艺结社法术</t>
  </si>
  <si>
    <r>
      <rPr>
        <sz val="10"/>
        <color theme="1"/>
        <rFont val="宋体"/>
        <charset val="134"/>
      </rPr>
      <t>当你达到柳艺结社法术列表中提及的德鲁伊等级时，你便始终准备着列出的法术：</t>
    </r>
    <r>
      <rPr>
        <sz val="10"/>
        <color theme="1"/>
        <rFont val="Times New Roman"/>
        <charset val="134"/>
      </rPr>
      <t xml:space="preserve">
</t>
    </r>
    <r>
      <rPr>
        <sz val="10"/>
        <color theme="1"/>
        <rFont val="宋体"/>
        <charset val="134"/>
      </rPr>
      <t>柳艺结社法术</t>
    </r>
    <r>
      <rPr>
        <sz val="10"/>
        <color theme="1"/>
        <rFont val="Times New Roman"/>
        <charset val="134"/>
      </rPr>
      <t xml:space="preserve">Circle of Wicker Spells
</t>
    </r>
    <r>
      <rPr>
        <sz val="10"/>
        <color theme="1"/>
        <rFont val="宋体"/>
        <charset val="134"/>
      </rPr>
      <t>德鲁伊等级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灾祸术</t>
    </r>
    <r>
      <rPr>
        <sz val="10"/>
        <color theme="1"/>
        <rFont val="Times New Roman"/>
        <charset val="134"/>
      </rPr>
      <t>Bane</t>
    </r>
    <r>
      <rPr>
        <sz val="10"/>
        <color theme="1"/>
        <rFont val="宋体"/>
        <charset val="134"/>
      </rPr>
      <t>，祝福术</t>
    </r>
    <r>
      <rPr>
        <sz val="10"/>
        <color theme="1"/>
        <rFont val="Times New Roman"/>
        <charset val="134"/>
      </rPr>
      <t>Bless</t>
    </r>
    <r>
      <rPr>
        <sz val="10"/>
        <color theme="1"/>
        <rFont val="宋体"/>
        <charset val="134"/>
      </rPr>
      <t>，夏日之风</t>
    </r>
    <r>
      <rPr>
        <sz val="10"/>
        <color theme="1"/>
        <rFont val="Times New Roman"/>
        <charset val="134"/>
      </rPr>
      <t>Summer Winds</t>
    </r>
    <r>
      <rPr>
        <sz val="10"/>
        <color theme="1"/>
        <rFont val="宋体"/>
        <charset val="134"/>
      </rPr>
      <t>，诚实之域</t>
    </r>
    <r>
      <rPr>
        <sz val="10"/>
        <color theme="1"/>
        <rFont val="Times New Roman"/>
        <charset val="134"/>
      </rPr>
      <t xml:space="preserve">Zone of Truth
5 </t>
    </r>
    <r>
      <rPr>
        <sz val="10"/>
        <color theme="1"/>
        <rFont val="宋体"/>
        <charset val="134"/>
      </rPr>
      <t>降咒</t>
    </r>
    <r>
      <rPr>
        <sz val="10"/>
        <color theme="1"/>
        <rFont val="Times New Roman"/>
        <charset val="134"/>
      </rPr>
      <t>Bestow Curse</t>
    </r>
    <r>
      <rPr>
        <sz val="10"/>
        <color theme="1"/>
        <rFont val="宋体"/>
        <charset val="134"/>
      </rPr>
      <t>，李欧蒙小屋</t>
    </r>
    <r>
      <rPr>
        <sz val="10"/>
        <color theme="1"/>
        <rFont val="Times New Roman"/>
        <charset val="134"/>
      </rPr>
      <t xml:space="preserve">Leomund's Tiny Hut
7 </t>
    </r>
    <r>
      <rPr>
        <sz val="10"/>
        <color theme="1"/>
        <rFont val="宋体"/>
        <charset val="134"/>
      </rPr>
      <t>防死结界</t>
    </r>
    <r>
      <rPr>
        <sz val="10"/>
        <color theme="1"/>
        <rFont val="Times New Roman"/>
        <charset val="134"/>
      </rPr>
      <t>Death Ward</t>
    </r>
    <r>
      <rPr>
        <sz val="10"/>
        <color theme="1"/>
        <rFont val="宋体"/>
        <charset val="134"/>
      </rPr>
      <t>，牧人圣所</t>
    </r>
    <r>
      <rPr>
        <sz val="10"/>
        <color theme="1"/>
        <rFont val="Times New Roman"/>
        <charset val="134"/>
      </rPr>
      <t xml:space="preserve">Sanctum of the Shepherd
9 </t>
    </r>
    <r>
      <rPr>
        <sz val="10"/>
        <color theme="1"/>
        <rFont val="宋体"/>
        <charset val="134"/>
      </rPr>
      <t>定身怪物</t>
    </r>
    <r>
      <rPr>
        <sz val="10"/>
        <color theme="1"/>
        <rFont val="Times New Roman"/>
        <charset val="134"/>
      </rPr>
      <t>Hold Monster</t>
    </r>
    <r>
      <rPr>
        <sz val="10"/>
        <color theme="1"/>
        <rFont val="宋体"/>
        <charset val="134"/>
      </rPr>
      <t>，幸运符</t>
    </r>
    <r>
      <rPr>
        <sz val="10"/>
        <color theme="1"/>
        <rFont val="Times New Roman"/>
        <charset val="134"/>
      </rPr>
      <t>Lucky Charm</t>
    </r>
  </si>
  <si>
    <r>
      <rPr>
        <sz val="10"/>
        <color theme="1"/>
        <rFont val="宋体"/>
        <charset val="134"/>
      </rPr>
      <t>符文雕刻者</t>
    </r>
  </si>
  <si>
    <r>
      <rPr>
        <sz val="10"/>
        <color theme="1"/>
        <rFont val="宋体"/>
        <charset val="134"/>
      </rPr>
      <t>你可以使用魔法符文来增强你的装备。
你可以从下列的被描述的符文当中，选择并学会两个符文，且每当你在此职业中升一级，你可以从此特性中选择一个不同的符文来替换一个你已知的符文。
当你达到特定的职业等级，你可以学会更多的符文，具体数量如下表所示：
已知符文数量
战士等级：已知符文数</t>
    </r>
    <r>
      <rPr>
        <sz val="10"/>
        <color theme="1"/>
        <rFont val="Times New Roman"/>
        <charset val="134"/>
      </rPr>
      <t xml:space="preserve"> 
</t>
    </r>
    <r>
      <rPr>
        <sz val="10"/>
        <color theme="1"/>
        <rFont val="宋体"/>
        <charset val="134"/>
      </rPr>
      <t>第</t>
    </r>
    <r>
      <rPr>
        <sz val="10"/>
        <color theme="1"/>
        <rFont val="Times New Roman"/>
        <charset val="134"/>
      </rPr>
      <t>3</t>
    </r>
    <r>
      <rPr>
        <sz val="10"/>
        <color theme="1"/>
        <rFont val="宋体"/>
        <charset val="134"/>
      </rPr>
      <t>级：</t>
    </r>
    <r>
      <rPr>
        <sz val="10"/>
        <color theme="1"/>
        <rFont val="Times New Roman"/>
        <charset val="134"/>
      </rPr>
      <t xml:space="preserve">2
</t>
    </r>
    <r>
      <rPr>
        <sz val="10"/>
        <color theme="1"/>
        <rFont val="宋体"/>
        <charset val="134"/>
      </rPr>
      <t>第</t>
    </r>
    <r>
      <rPr>
        <sz val="10"/>
        <color theme="1"/>
        <rFont val="Times New Roman"/>
        <charset val="134"/>
      </rPr>
      <t>7</t>
    </r>
    <r>
      <rPr>
        <sz val="10"/>
        <color theme="1"/>
        <rFont val="宋体"/>
        <charset val="134"/>
      </rPr>
      <t>级：</t>
    </r>
    <r>
      <rPr>
        <sz val="10"/>
        <color theme="1"/>
        <rFont val="Times New Roman"/>
        <charset val="134"/>
      </rPr>
      <t xml:space="preserve">3
</t>
    </r>
    <r>
      <rPr>
        <sz val="10"/>
        <color theme="1"/>
        <rFont val="宋体"/>
        <charset val="134"/>
      </rPr>
      <t>第</t>
    </r>
    <r>
      <rPr>
        <sz val="10"/>
        <color theme="1"/>
        <rFont val="Times New Roman"/>
        <charset val="134"/>
      </rPr>
      <t>10</t>
    </r>
    <r>
      <rPr>
        <sz val="10"/>
        <color theme="1"/>
        <rFont val="宋体"/>
        <charset val="134"/>
      </rPr>
      <t>级：</t>
    </r>
    <r>
      <rPr>
        <sz val="10"/>
        <color theme="1"/>
        <rFont val="Times New Roman"/>
        <charset val="134"/>
      </rPr>
      <t xml:space="preserve">4
</t>
    </r>
    <r>
      <rPr>
        <sz val="10"/>
        <color theme="1"/>
        <rFont val="宋体"/>
        <charset val="134"/>
      </rPr>
      <t>第</t>
    </r>
    <r>
      <rPr>
        <sz val="10"/>
        <color theme="1"/>
        <rFont val="Times New Roman"/>
        <charset val="134"/>
      </rPr>
      <t>15</t>
    </r>
    <r>
      <rPr>
        <sz val="10"/>
        <color theme="1"/>
        <rFont val="宋体"/>
        <charset val="134"/>
      </rPr>
      <t>级：</t>
    </r>
    <r>
      <rPr>
        <sz val="10"/>
        <color theme="1"/>
        <rFont val="Times New Roman"/>
        <charset val="134"/>
      </rPr>
      <t xml:space="preserve">5
</t>
    </r>
    <r>
      <rPr>
        <sz val="10"/>
        <color theme="1"/>
        <rFont val="宋体"/>
        <charset val="134"/>
      </rPr>
      <t>每当你完成了一次长休，你可以接触数量等于你已知符文数物品，并在每个物品上铭刻不同的符文。
符合条件的物品必须为一把武器、一套盔甲、一面盾牌、一件首饰或者任何其他你可以穿着或手持的物品。
你的符文会保留在物品上直到你完成一次长休，且一件物品同时只能承载你的一个符文。
当你研习符文时，下列的符文成为了你的可选项。
如果一个符文具有等级需求，你的战士等级必须达到相应等级才能研习该符文。
如果一个符文需要通过豁免检定，你的符文魔法豁免</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你的熟练加值</t>
    </r>
    <r>
      <rPr>
        <sz val="10"/>
        <color theme="1"/>
        <rFont val="Times New Roman"/>
        <charset val="134"/>
      </rPr>
      <t>+</t>
    </r>
    <r>
      <rPr>
        <sz val="10"/>
        <color theme="1"/>
        <rFont val="宋体"/>
        <charset val="134"/>
      </rPr>
      <t>你的体质调整值。</t>
    </r>
  </si>
  <si>
    <t>衰弱连击</t>
  </si>
  <si>
    <r>
      <rPr>
        <sz val="10"/>
        <color theme="1"/>
        <rFont val="宋体"/>
        <charset val="134"/>
      </rPr>
      <t>你获得了操作生物的气来削弱其肉体韧性的知识。当你以一次徒手打击命中一个生物时，你能消耗</t>
    </r>
    <r>
      <rPr>
        <sz val="10"/>
        <color theme="1"/>
        <rFont val="Times New Roman"/>
        <charset val="134"/>
      </rPr>
      <t>3</t>
    </r>
    <r>
      <rPr>
        <sz val="10"/>
        <color theme="1"/>
        <rFont val="宋体"/>
        <charset val="134"/>
      </rPr>
      <t>点气来让该生物获得由你选择的一种伤害类型的易伤。易伤将持续</t>
    </r>
    <r>
      <rPr>
        <sz val="10"/>
        <color theme="1"/>
        <rFont val="Times New Roman"/>
        <charset val="134"/>
      </rPr>
      <t>1</t>
    </r>
    <r>
      <rPr>
        <sz val="10"/>
        <color theme="1"/>
        <rFont val="宋体"/>
        <charset val="134"/>
      </rPr>
      <t>分钟，如果其受到了所选类型的伤害，则这一易伤也会在那一回合结束时提前结束。
如果该生物对所选的伤害类型具有抗性，则该生物不会获得上述的易伤，改为所选伤害类型的抗性被压制一分钟。免疫所选类型伤害的生物不受这一效果影响，且一个受到过该效果影响的生物在接下来的</t>
    </r>
    <r>
      <rPr>
        <sz val="10"/>
        <color theme="1"/>
        <rFont val="Times New Roman"/>
        <charset val="134"/>
      </rPr>
      <t>24</t>
    </r>
    <r>
      <rPr>
        <sz val="10"/>
        <color theme="1"/>
        <rFont val="宋体"/>
        <charset val="134"/>
      </rPr>
      <t>小时内无法再度受其影响。</t>
    </r>
  </si>
  <si>
    <t>硫磺烈火</t>
  </si>
  <si>
    <r>
      <rPr>
        <sz val="10"/>
        <color theme="1"/>
        <rFont val="宋体"/>
        <charset val="134"/>
      </rPr>
      <t>你可以使用附赠动作来化身涤罪之焰并获得以下增益，持续</t>
    </r>
    <r>
      <rPr>
        <sz val="10"/>
        <color theme="1"/>
        <rFont val="Times New Roman"/>
        <charset val="134"/>
      </rPr>
      <t>10</t>
    </r>
    <r>
      <rPr>
        <sz val="10"/>
        <color theme="1"/>
        <rFont val="宋体"/>
        <charset val="134"/>
      </rPr>
      <t>分钟或直到你结束它（无需动作）。你必须完成一次长休才能再次使用该特性。你可以消耗一个五环法术位（无需动作）来重置该特性的使用权。</t>
    </r>
    <r>
      <rPr>
        <sz val="10"/>
        <color theme="1"/>
        <rFont val="Times New Roman"/>
        <charset val="134"/>
      </rPr>
      <t xml:space="preserve">
</t>
    </r>
    <r>
      <rPr>
        <sz val="10"/>
        <color theme="1"/>
        <rFont val="宋体"/>
        <charset val="134"/>
      </rPr>
      <t>炽焰意志</t>
    </r>
    <r>
      <rPr>
        <sz val="10"/>
        <color theme="1"/>
        <rFont val="Times New Roman"/>
        <charset val="134"/>
      </rPr>
      <t>Blazing Ardor</t>
    </r>
    <r>
      <rPr>
        <sz val="10"/>
        <color theme="1"/>
        <rFont val="宋体"/>
        <charset val="134"/>
      </rPr>
      <t>。</t>
    </r>
    <r>
      <rPr>
        <sz val="10"/>
        <color theme="1"/>
        <rFont val="Times New Roman"/>
        <charset val="134"/>
      </rPr>
      <t xml:space="preserve"> </t>
    </r>
    <r>
      <rPr>
        <sz val="10"/>
        <color theme="1"/>
        <rFont val="宋体"/>
        <charset val="134"/>
      </rPr>
      <t>你免疫火焰伤害。</t>
    </r>
    <r>
      <rPr>
        <sz val="10"/>
        <color theme="1"/>
        <rFont val="Times New Roman"/>
        <charset val="134"/>
      </rPr>
      <t xml:space="preserve">
</t>
    </r>
    <r>
      <rPr>
        <sz val="10"/>
        <color theme="1"/>
        <rFont val="宋体"/>
        <charset val="134"/>
      </rPr>
      <t>无情审判</t>
    </r>
    <r>
      <rPr>
        <sz val="10"/>
        <color theme="1"/>
        <rFont val="Times New Roman"/>
        <charset val="134"/>
      </rPr>
      <t>Relentless Judgment</t>
    </r>
    <r>
      <rPr>
        <sz val="10"/>
        <color theme="1"/>
        <rFont val="宋体"/>
        <charset val="134"/>
      </rPr>
      <t>。</t>
    </r>
    <r>
      <rPr>
        <sz val="10"/>
        <color theme="1"/>
        <rFont val="Times New Roman"/>
        <charset val="134"/>
      </rPr>
      <t xml:space="preserve"> </t>
    </r>
    <r>
      <rPr>
        <sz val="10"/>
        <color theme="1"/>
        <rFont val="宋体"/>
        <charset val="134"/>
      </rPr>
      <t>你的触及范围增加</t>
    </r>
    <r>
      <rPr>
        <sz val="10"/>
        <color theme="1"/>
        <rFont val="Times New Roman"/>
        <charset val="134"/>
      </rPr>
      <t>10</t>
    </r>
    <r>
      <rPr>
        <sz val="10"/>
        <color theme="1"/>
        <rFont val="宋体"/>
        <charset val="134"/>
      </rPr>
      <t>尺，且你的近战攻击无视半身掩护和四分之三掩护。</t>
    </r>
    <r>
      <rPr>
        <sz val="10"/>
        <color theme="1"/>
        <rFont val="Times New Roman"/>
        <charset val="134"/>
      </rPr>
      <t xml:space="preserve">
</t>
    </r>
    <r>
      <rPr>
        <sz val="10"/>
        <color theme="1"/>
        <rFont val="宋体"/>
        <charset val="134"/>
      </rPr>
      <t>罪无可赦</t>
    </r>
    <r>
      <rPr>
        <sz val="10"/>
        <color theme="1"/>
        <rFont val="Times New Roman"/>
        <charset val="134"/>
      </rPr>
      <t>Punish the Wicked</t>
    </r>
    <r>
      <rPr>
        <sz val="10"/>
        <color theme="1"/>
        <rFont val="宋体"/>
        <charset val="134"/>
      </rPr>
      <t>。</t>
    </r>
    <r>
      <rPr>
        <sz val="10"/>
        <color theme="1"/>
        <rFont val="Times New Roman"/>
        <charset val="134"/>
      </rPr>
      <t xml:space="preserve"> </t>
    </r>
    <r>
      <rPr>
        <sz val="10"/>
        <color theme="1"/>
        <rFont val="宋体"/>
        <charset val="134"/>
      </rPr>
      <t>当你以借机攻击命中一个生物，或当一个敌对生物在你的触及范围内结束自己回合时，其必须进行一次魅力豁免，豁免失败则陷入倒地状态且速度减少至</t>
    </r>
    <r>
      <rPr>
        <sz val="10"/>
        <color theme="1"/>
        <rFont val="Times New Roman"/>
        <charset val="134"/>
      </rPr>
      <t>0</t>
    </r>
    <r>
      <rPr>
        <sz val="10"/>
        <color theme="1"/>
        <rFont val="宋体"/>
        <charset val="134"/>
      </rPr>
      <t>，直至其下一回合开始。</t>
    </r>
  </si>
  <si>
    <t>行云之风</t>
  </si>
  <si>
    <r>
      <rPr>
        <sz val="10"/>
        <color theme="1"/>
        <rFont val="宋体"/>
        <charset val="134"/>
      </rPr>
      <t>风将为你开辟前路，引领你前行。你的步行速度</t>
    </r>
    <r>
      <rPr>
        <sz val="10"/>
        <color theme="1"/>
        <rFont val="Times New Roman"/>
        <charset val="134"/>
      </rPr>
      <t>+5</t>
    </r>
    <r>
      <rPr>
        <sz val="10"/>
        <color theme="1"/>
        <rFont val="宋体"/>
        <charset val="134"/>
      </rPr>
      <t>尺，并且可以无视强风为你带来的所有移动惩罚（</t>
    </r>
    <r>
      <rPr>
        <sz val="10"/>
        <color theme="1"/>
        <rFont val="Times New Roman"/>
        <charset val="134"/>
      </rPr>
      <t>movement penalty</t>
    </r>
    <r>
      <rPr>
        <sz val="10"/>
        <color theme="1"/>
        <rFont val="宋体"/>
        <charset val="134"/>
      </rPr>
      <t>）</t>
    </r>
    <r>
      <rPr>
        <sz val="10"/>
        <color theme="1"/>
        <rFont val="Times New Roman"/>
        <charset val="134"/>
      </rPr>
      <t xml:space="preserve"> </t>
    </r>
    <r>
      <rPr>
        <sz val="10"/>
        <color theme="1"/>
        <rFont val="宋体"/>
        <charset val="134"/>
      </rPr>
      <t>，且若非你自愿，你将无法被强风推动</t>
    </r>
    <r>
      <rPr>
        <sz val="10"/>
        <color theme="1"/>
        <rFont val="Times New Roman"/>
        <charset val="134"/>
      </rPr>
      <t xml:space="preserve"> </t>
    </r>
    <r>
      <rPr>
        <sz val="10"/>
        <color theme="1"/>
        <rFont val="宋体"/>
        <charset val="134"/>
      </rPr>
      <t>。
此外，你具有寒冷伤害的抗性，并且能够适应高原环境（</t>
    </r>
    <r>
      <rPr>
        <sz val="10"/>
        <color theme="1"/>
        <rFont val="Times New Roman"/>
        <charset val="134"/>
      </rPr>
      <t>high altitudes</t>
    </r>
    <r>
      <rPr>
        <sz val="10"/>
        <color theme="1"/>
        <rFont val="宋体"/>
        <charset val="134"/>
      </rPr>
      <t>）</t>
    </r>
    <r>
      <rPr>
        <sz val="10"/>
        <color theme="1"/>
        <rFont val="Times New Roman"/>
        <charset val="134"/>
      </rPr>
      <t xml:space="preserve"> </t>
    </r>
    <r>
      <rPr>
        <sz val="10"/>
        <color theme="1"/>
        <rFont val="宋体"/>
        <charset val="134"/>
      </rPr>
      <t>（包括海拔</t>
    </r>
    <r>
      <rPr>
        <sz val="10"/>
        <color theme="1"/>
        <rFont val="Times New Roman"/>
        <charset val="134"/>
      </rPr>
      <t>20,000</t>
    </r>
    <r>
      <rPr>
        <sz val="10"/>
        <color theme="1"/>
        <rFont val="宋体"/>
        <charset val="134"/>
      </rPr>
      <t>尺的地方）。</t>
    </r>
  </si>
  <si>
    <t>美味佳烛</t>
  </si>
  <si>
    <t>以一个动作，你可以花费1点烛心点将金字塔甜瓜的酸甜风味和来自溪流灵界生物的治愈之力注入你的蜡烛。一个生物可以花费一个附赠动作吃掉蜡烛，他回复1d6生命值并获得足以维持一日所需的营养供给。蜡烛的魔艺效果持续24小时，在那之后，美味佳烛的效果结束。你同时最多持有2支具有此魔艺的蜡烛。</t>
  </si>
  <si>
    <t>身化血池</t>
  </si>
  <si>
    <r>
      <rPr>
        <sz val="10"/>
        <color theme="1"/>
        <rFont val="宋体"/>
        <charset val="134"/>
      </rPr>
      <t>你可以使用附赠动作消耗你的血源，将你与你穿戴或携带的一切魔法性地溶解为一滩血池，持续</t>
    </r>
    <r>
      <rPr>
        <sz val="10"/>
        <color theme="1"/>
        <rFont val="Times New Roman"/>
        <charset val="134"/>
      </rPr>
      <t>1</t>
    </r>
    <r>
      <rPr>
        <sz val="10"/>
        <color theme="1"/>
        <rFont val="宋体"/>
        <charset val="134"/>
      </rPr>
      <t>小时。若你生命值降至</t>
    </r>
    <r>
      <rPr>
        <sz val="10"/>
        <color theme="1"/>
        <rFont val="Times New Roman"/>
        <charset val="134"/>
      </rPr>
      <t>0</t>
    </r>
    <r>
      <rPr>
        <sz val="10"/>
        <color theme="1"/>
        <rFont val="宋体"/>
        <charset val="134"/>
      </rPr>
      <t>或你选择结束（无需动作），则变形提前结束。</t>
    </r>
    <r>
      <rPr>
        <sz val="10"/>
        <color theme="1"/>
        <rFont val="Times New Roman"/>
        <charset val="134"/>
      </rPr>
      <t xml:space="preserve">
</t>
    </r>
    <r>
      <rPr>
        <sz val="10"/>
        <color theme="1"/>
        <rFont val="宋体"/>
        <charset val="134"/>
      </rPr>
      <t>在你身化血池期间，你使用你的游戏数据，但具有如下变化：</t>
    </r>
    <r>
      <rPr>
        <sz val="10"/>
        <color theme="1"/>
        <rFont val="Times New Roman"/>
        <charset val="134"/>
      </rPr>
      <t xml:space="preserve"> 
</t>
    </r>
    <r>
      <rPr>
        <sz val="10"/>
        <color theme="1"/>
        <rFont val="宋体"/>
        <charset val="134"/>
      </rPr>
      <t>你的速度变为</t>
    </r>
    <r>
      <rPr>
        <sz val="10"/>
        <color theme="1"/>
        <rFont val="Times New Roman"/>
        <charset val="134"/>
      </rPr>
      <t>10</t>
    </r>
    <r>
      <rPr>
        <sz val="10"/>
        <color theme="1"/>
        <rFont val="宋体"/>
        <charset val="134"/>
      </rPr>
      <t>尺。</t>
    </r>
    <r>
      <rPr>
        <sz val="10"/>
        <color theme="1"/>
        <rFont val="Times New Roman"/>
        <charset val="134"/>
      </rPr>
      <t xml:space="preserve"> 
</t>
    </r>
    <r>
      <rPr>
        <sz val="10"/>
        <color theme="1"/>
        <rFont val="宋体"/>
        <charset val="134"/>
      </rPr>
      <t>你获得等于你速度的攀爬速度和游泳速度，并且你可以在难以攀爬的表面上攀爬，包括沿着天花板移动，且无需为此进行属性检定。</t>
    </r>
    <r>
      <rPr>
        <sz val="10"/>
        <color theme="1"/>
        <rFont val="Times New Roman"/>
        <charset val="134"/>
      </rPr>
      <t xml:space="preserve"> 
</t>
    </r>
    <r>
      <rPr>
        <sz val="10"/>
        <color theme="1"/>
        <rFont val="宋体"/>
        <charset val="134"/>
      </rPr>
      <t>你具有钝击、穿刺和挥砍伤害抗性。</t>
    </r>
    <r>
      <rPr>
        <sz val="10"/>
        <color theme="1"/>
        <rFont val="Times New Roman"/>
        <charset val="134"/>
      </rPr>
      <t xml:space="preserve"> 
</t>
    </r>
    <r>
      <rPr>
        <sz val="10"/>
        <color theme="1"/>
        <rFont val="宋体"/>
        <charset val="134"/>
      </rPr>
      <t>你免疫倒地状态。</t>
    </r>
    <r>
      <rPr>
        <sz val="10"/>
        <color theme="1"/>
        <rFont val="Times New Roman"/>
        <charset val="134"/>
      </rPr>
      <t xml:space="preserve"> 
</t>
    </r>
    <r>
      <rPr>
        <sz val="10"/>
        <color theme="1"/>
        <rFont val="宋体"/>
        <charset val="134"/>
      </rPr>
      <t>你在力量、敏捷和体质豁免中具有优势。</t>
    </r>
    <r>
      <rPr>
        <sz val="10"/>
        <color theme="1"/>
        <rFont val="Times New Roman"/>
        <charset val="134"/>
      </rPr>
      <t xml:space="preserve"> 
</t>
    </r>
    <r>
      <rPr>
        <sz val="10"/>
        <color theme="1"/>
        <rFont val="宋体"/>
        <charset val="134"/>
      </rPr>
      <t>你可以穿过小洞、窄缝、乃至裂隙。</t>
    </r>
    <r>
      <rPr>
        <sz val="10"/>
        <color theme="1"/>
        <rFont val="Times New Roman"/>
        <charset val="134"/>
      </rPr>
      <t xml:space="preserve"> 
</t>
    </r>
    <r>
      <rPr>
        <sz val="10"/>
        <color theme="1"/>
        <rFont val="宋体"/>
        <charset val="134"/>
      </rPr>
      <t>你可以进入并占据其他生物的空间。</t>
    </r>
    <r>
      <rPr>
        <sz val="10"/>
        <color theme="1"/>
        <rFont val="Times New Roman"/>
        <charset val="134"/>
      </rPr>
      <t xml:space="preserve"> 
</t>
    </r>
    <r>
      <rPr>
        <sz val="10"/>
        <color theme="1"/>
        <rFont val="宋体"/>
        <charset val="134"/>
      </rPr>
      <t>你不能放下、使用或以其他方式与你正在携带或持握的任何东西互动。</t>
    </r>
    <r>
      <rPr>
        <sz val="10"/>
        <color theme="1"/>
        <rFont val="Times New Roman"/>
        <charset val="134"/>
      </rPr>
      <t xml:space="preserve"> 
</t>
    </r>
    <r>
      <rPr>
        <sz val="10"/>
        <color theme="1"/>
        <rFont val="宋体"/>
        <charset val="134"/>
      </rPr>
      <t>你不能说话、操作物件、攻击或施展法术。</t>
    </r>
    <r>
      <rPr>
        <sz val="10"/>
        <color theme="1"/>
        <rFont val="Times New Roman"/>
        <charset val="134"/>
      </rPr>
      <t xml:space="preserve"> </t>
    </r>
  </si>
  <si>
    <r>
      <rPr>
        <sz val="10"/>
        <color theme="1"/>
        <rFont val="宋体"/>
        <charset val="134"/>
      </rPr>
      <t>咒缚幽灵</t>
    </r>
  </si>
  <si>
    <r>
      <rPr>
        <sz val="10"/>
        <color theme="1"/>
        <rFont val="宋体"/>
        <charset val="134"/>
      </rPr>
      <t>你可以诅咒一个命丧你手者的灵魂，暂时束缚它为你服务。
当你杀死一个类人生物，你可以让它的灵魂从尸体出现，成为一个缚灵，其数据见怪物手册。
当缚灵出现时，它获得等同于你邪术师等级一半的临时生命。
为缚灵的投掷先攻，它有自己的回合、服从你的口头命令，并获得特殊的命中加值，加值等于你的魅力调整值（最少</t>
    </r>
    <r>
      <rPr>
        <sz val="10"/>
        <color theme="1"/>
        <rFont val="Times New Roman"/>
        <charset val="134"/>
      </rPr>
      <t>0</t>
    </r>
    <r>
      <rPr>
        <sz val="10"/>
        <color theme="1"/>
        <rFont val="宋体"/>
        <charset val="134"/>
      </rPr>
      <t xml:space="preserve">）。
缚灵一直为你服务中直到你的下一个长休息结束，然后它消失进入来世。
一旦你用这个特性唤起了一个缚灵，你就不能再次使用该能力直到你完成一次长休息。
缚灵：中等亡灵，混乱邪恶
</t>
    </r>
    <r>
      <rPr>
        <sz val="10"/>
        <color theme="1"/>
        <rFont val="Times New Roman"/>
        <charset val="134"/>
      </rPr>
      <t>AC</t>
    </r>
    <r>
      <rPr>
        <sz val="10"/>
        <color theme="1"/>
        <rFont val="宋体"/>
        <charset val="134"/>
      </rPr>
      <t>：</t>
    </r>
    <r>
      <rPr>
        <sz val="10"/>
        <color theme="1"/>
        <rFont val="Times New Roman"/>
        <charset val="134"/>
      </rPr>
      <t>12</t>
    </r>
    <r>
      <rPr>
        <sz val="10"/>
        <color theme="1"/>
        <rFont val="宋体"/>
        <charset val="134"/>
      </rPr>
      <t xml:space="preserve">（天生护甲）
</t>
    </r>
    <r>
      <rPr>
        <sz val="10"/>
        <color theme="1"/>
        <rFont val="Times New Roman"/>
        <charset val="134"/>
      </rPr>
      <t>HP</t>
    </r>
    <r>
      <rPr>
        <sz val="10"/>
        <color theme="1"/>
        <rFont val="宋体"/>
        <charset val="134"/>
      </rPr>
      <t>：</t>
    </r>
    <r>
      <rPr>
        <sz val="10"/>
        <color theme="1"/>
        <rFont val="Times New Roman"/>
        <charset val="134"/>
      </rPr>
      <t>22</t>
    </r>
    <r>
      <rPr>
        <sz val="10"/>
        <color theme="1"/>
        <rFont val="宋体"/>
        <charset val="134"/>
      </rPr>
      <t>（</t>
    </r>
    <r>
      <rPr>
        <sz val="10"/>
        <color theme="1"/>
        <rFont val="Times New Roman"/>
        <charset val="134"/>
      </rPr>
      <t>5d8</t>
    </r>
    <r>
      <rPr>
        <sz val="10"/>
        <color theme="1"/>
        <rFont val="宋体"/>
        <charset val="134"/>
      </rPr>
      <t>）
速度：</t>
    </r>
    <r>
      <rPr>
        <sz val="10"/>
        <color theme="1"/>
        <rFont val="Times New Roman"/>
        <charset val="134"/>
      </rPr>
      <t>0</t>
    </r>
    <r>
      <rPr>
        <sz val="10"/>
        <color theme="1"/>
        <rFont val="宋体"/>
        <charset val="134"/>
      </rPr>
      <t>尺，飞行</t>
    </r>
    <r>
      <rPr>
        <sz val="10"/>
        <color theme="1"/>
        <rFont val="Times New Roman"/>
        <charset val="134"/>
      </rPr>
      <t>50</t>
    </r>
    <r>
      <rPr>
        <sz val="10"/>
        <color theme="1"/>
        <rFont val="宋体"/>
        <charset val="134"/>
      </rPr>
      <t>尺（盘旋）
力</t>
    </r>
    <r>
      <rPr>
        <sz val="10"/>
        <color theme="1"/>
        <rFont val="Times New Roman"/>
        <charset val="134"/>
      </rPr>
      <t>1</t>
    </r>
    <r>
      <rPr>
        <sz val="10"/>
        <color theme="1"/>
        <rFont val="宋体"/>
        <charset val="134"/>
      </rPr>
      <t>（</t>
    </r>
    <r>
      <rPr>
        <sz val="10"/>
        <color theme="1"/>
        <rFont val="Times New Roman"/>
        <charset val="134"/>
      </rPr>
      <t>-5</t>
    </r>
    <r>
      <rPr>
        <sz val="10"/>
        <color theme="1"/>
        <rFont val="宋体"/>
        <charset val="134"/>
      </rPr>
      <t>）</t>
    </r>
    <r>
      <rPr>
        <sz val="10"/>
        <color theme="1"/>
        <rFont val="Times New Roman"/>
        <charset val="134"/>
      </rPr>
      <t xml:space="preserve"> </t>
    </r>
    <r>
      <rPr>
        <sz val="10"/>
        <color theme="1"/>
        <rFont val="宋体"/>
        <charset val="134"/>
      </rPr>
      <t>敏</t>
    </r>
    <r>
      <rPr>
        <sz val="10"/>
        <color theme="1"/>
        <rFont val="Times New Roman"/>
        <charset val="134"/>
      </rPr>
      <t>14</t>
    </r>
    <r>
      <rPr>
        <sz val="10"/>
        <color theme="1"/>
        <rFont val="宋体"/>
        <charset val="134"/>
      </rPr>
      <t>（</t>
    </r>
    <r>
      <rPr>
        <sz val="10"/>
        <color theme="1"/>
        <rFont val="Times New Roman"/>
        <charset val="134"/>
      </rPr>
      <t>+2</t>
    </r>
    <r>
      <rPr>
        <sz val="10"/>
        <color theme="1"/>
        <rFont val="宋体"/>
        <charset val="134"/>
      </rPr>
      <t>）体</t>
    </r>
    <r>
      <rPr>
        <sz val="10"/>
        <color theme="1"/>
        <rFont val="Times New Roman"/>
        <charset val="134"/>
      </rPr>
      <t>11</t>
    </r>
    <r>
      <rPr>
        <sz val="10"/>
        <color theme="1"/>
        <rFont val="宋体"/>
        <charset val="134"/>
      </rPr>
      <t>（</t>
    </r>
    <r>
      <rPr>
        <sz val="10"/>
        <color theme="1"/>
        <rFont val="Times New Roman"/>
        <charset val="134"/>
      </rPr>
      <t>+0</t>
    </r>
    <r>
      <rPr>
        <sz val="10"/>
        <color theme="1"/>
        <rFont val="宋体"/>
        <charset val="134"/>
      </rPr>
      <t>）智</t>
    </r>
    <r>
      <rPr>
        <sz val="10"/>
        <color theme="1"/>
        <rFont val="Times New Roman"/>
        <charset val="134"/>
      </rPr>
      <t>10</t>
    </r>
    <r>
      <rPr>
        <sz val="10"/>
        <color theme="1"/>
        <rFont val="宋体"/>
        <charset val="134"/>
      </rPr>
      <t>（</t>
    </r>
    <r>
      <rPr>
        <sz val="10"/>
        <color theme="1"/>
        <rFont val="Times New Roman"/>
        <charset val="134"/>
      </rPr>
      <t>+0</t>
    </r>
    <r>
      <rPr>
        <sz val="10"/>
        <color theme="1"/>
        <rFont val="宋体"/>
        <charset val="134"/>
      </rPr>
      <t>）感</t>
    </r>
    <r>
      <rPr>
        <sz val="10"/>
        <color theme="1"/>
        <rFont val="Times New Roman"/>
        <charset val="134"/>
      </rPr>
      <t>10</t>
    </r>
    <r>
      <rPr>
        <sz val="10"/>
        <color theme="1"/>
        <rFont val="宋体"/>
        <charset val="134"/>
      </rPr>
      <t>（</t>
    </r>
    <r>
      <rPr>
        <sz val="10"/>
        <color theme="1"/>
        <rFont val="Times New Roman"/>
        <charset val="134"/>
      </rPr>
      <t>+0</t>
    </r>
    <r>
      <rPr>
        <sz val="10"/>
        <color theme="1"/>
        <rFont val="宋体"/>
        <charset val="134"/>
      </rPr>
      <t>）魅</t>
    </r>
    <r>
      <rPr>
        <sz val="10"/>
        <color theme="1"/>
        <rFont val="Times New Roman"/>
        <charset val="134"/>
      </rPr>
      <t>11</t>
    </r>
    <r>
      <rPr>
        <sz val="10"/>
        <color theme="1"/>
        <rFont val="宋体"/>
        <charset val="134"/>
      </rPr>
      <t>（</t>
    </r>
    <r>
      <rPr>
        <sz val="10"/>
        <color theme="1"/>
        <rFont val="Times New Roman"/>
        <charset val="134"/>
      </rPr>
      <t>+0</t>
    </r>
    <r>
      <rPr>
        <sz val="10"/>
        <color theme="1"/>
        <rFont val="宋体"/>
        <charset val="134"/>
      </rPr>
      <t>）
伤害抗性：酸液，冰霜，火焰，闪电，音波；非魔法武器造成的挥砍、钝击和穿刺
伤害免疫：暗蚀，毒素
状态免疫：魅惑，力竭，束缚，麻痹，石化，中毒，倒地，被擒和昏迷
视野：黑暗视觉</t>
    </r>
    <r>
      <rPr>
        <sz val="10"/>
        <color theme="1"/>
        <rFont val="Times New Roman"/>
        <charset val="134"/>
      </rPr>
      <t>60</t>
    </r>
    <r>
      <rPr>
        <sz val="10"/>
        <color theme="1"/>
        <rFont val="宋体"/>
        <charset val="134"/>
      </rPr>
      <t>尺，被动侦查</t>
    </r>
    <r>
      <rPr>
        <sz val="10"/>
        <color theme="1"/>
        <rFont val="Times New Roman"/>
        <charset val="134"/>
      </rPr>
      <t xml:space="preserve">10
</t>
    </r>
    <r>
      <rPr>
        <sz val="10"/>
        <color theme="1"/>
        <rFont val="宋体"/>
        <charset val="134"/>
      </rPr>
      <t>语言：理解所有身前知道的语言但不会说
挑战等级：</t>
    </r>
    <r>
      <rPr>
        <sz val="10"/>
        <color theme="1"/>
        <rFont val="Times New Roman"/>
        <charset val="134"/>
      </rPr>
      <t>1</t>
    </r>
    <r>
      <rPr>
        <sz val="10"/>
        <color theme="1"/>
        <rFont val="宋体"/>
        <charset val="134"/>
      </rPr>
      <t>（</t>
    </r>
    <r>
      <rPr>
        <sz val="10"/>
        <color theme="1"/>
        <rFont val="Times New Roman"/>
        <charset val="134"/>
      </rPr>
      <t>200XP</t>
    </r>
    <r>
      <rPr>
        <sz val="10"/>
        <color theme="1"/>
        <rFont val="宋体"/>
        <charset val="134"/>
      </rPr>
      <t>）
无障碍移动：缚灵可以穿过其他生物移动就仿佛那是困难地形而已，如果回合结束它停在一个其他物体占据的格子里时受到</t>
    </r>
    <r>
      <rPr>
        <sz val="10"/>
        <color theme="1"/>
        <rFont val="Times New Roman"/>
        <charset val="134"/>
      </rPr>
      <t>5</t>
    </r>
    <r>
      <rPr>
        <sz val="10"/>
        <color theme="1"/>
        <rFont val="宋体"/>
        <charset val="134"/>
      </rPr>
      <t>（</t>
    </r>
    <r>
      <rPr>
        <sz val="10"/>
        <color theme="1"/>
        <rFont val="Times New Roman"/>
        <charset val="134"/>
      </rPr>
      <t>1d10</t>
    </r>
    <r>
      <rPr>
        <sz val="10"/>
        <color theme="1"/>
        <rFont val="宋体"/>
        <charset val="134"/>
      </rPr>
      <t>）点力场伤害。
阳光过敏：在阳光下，缚灵的攻击骰和基于视觉的感知检定处于劣势
行动
生命吸取：近战法术攻击：</t>
    </r>
    <r>
      <rPr>
        <sz val="10"/>
        <color theme="1"/>
        <rFont val="Times New Roman"/>
        <charset val="134"/>
      </rPr>
      <t>+4</t>
    </r>
    <r>
      <rPr>
        <sz val="10"/>
        <color theme="1"/>
        <rFont val="宋体"/>
        <charset val="134"/>
      </rPr>
      <t>命中，</t>
    </r>
    <r>
      <rPr>
        <sz val="10"/>
        <color theme="1"/>
        <rFont val="Times New Roman"/>
        <charset val="134"/>
      </rPr>
      <t>5</t>
    </r>
    <r>
      <rPr>
        <sz val="10"/>
        <color theme="1"/>
        <rFont val="宋体"/>
        <charset val="134"/>
      </rPr>
      <t>尺触及，单一生物。命中：</t>
    </r>
    <r>
      <rPr>
        <sz val="10"/>
        <color theme="1"/>
        <rFont val="Times New Roman"/>
        <charset val="134"/>
      </rPr>
      <t>10</t>
    </r>
    <r>
      <rPr>
        <sz val="10"/>
        <color theme="1"/>
        <rFont val="宋体"/>
        <charset val="134"/>
      </rPr>
      <t>（</t>
    </r>
    <r>
      <rPr>
        <sz val="10"/>
        <color theme="1"/>
        <rFont val="Times New Roman"/>
        <charset val="134"/>
      </rPr>
      <t>3d6</t>
    </r>
    <r>
      <rPr>
        <sz val="10"/>
        <color theme="1"/>
        <rFont val="宋体"/>
        <charset val="134"/>
      </rPr>
      <t>）暗蚀伤害。目标必须通过一个</t>
    </r>
    <r>
      <rPr>
        <sz val="10"/>
        <color theme="1"/>
        <rFont val="Times New Roman"/>
        <charset val="134"/>
      </rPr>
      <t>DC10</t>
    </r>
    <r>
      <rPr>
        <sz val="10"/>
        <color theme="1"/>
        <rFont val="宋体"/>
        <charset val="134"/>
      </rPr>
      <t>的体质豁免或者最大生命下降等同于所受伤害的数值。这个效果持续到一个长休结束。若目标最大生命降为</t>
    </r>
    <r>
      <rPr>
        <sz val="10"/>
        <color theme="1"/>
        <rFont val="Times New Roman"/>
        <charset val="134"/>
      </rPr>
      <t>0</t>
    </r>
    <r>
      <rPr>
        <sz val="10"/>
        <color theme="1"/>
        <rFont val="宋体"/>
        <charset val="134"/>
      </rPr>
      <t>或更低，则目标死亡。</t>
    </r>
  </si>
  <si>
    <t>玄秘显现</t>
  </si>
  <si>
    <r>
      <rPr>
        <sz val="10"/>
        <color theme="1"/>
        <rFont val="宋体"/>
        <charset val="134"/>
      </rPr>
      <t>当你引发一次侵扰时，你可以在侵扰表上投掷两次，并选择使用其中一个结果，并且你可以通过获得</t>
    </r>
    <r>
      <rPr>
        <sz val="10"/>
        <color theme="1"/>
        <rFont val="Times New Roman"/>
        <charset val="134"/>
      </rPr>
      <t>1</t>
    </r>
    <r>
      <rPr>
        <sz val="10"/>
        <color theme="1"/>
        <rFont val="宋体"/>
        <charset val="134"/>
      </rPr>
      <t>级力竭来抵消此次侵扰。</t>
    </r>
    <r>
      <rPr>
        <sz val="10"/>
        <color theme="1"/>
        <rFont val="Times New Roman"/>
        <charset val="134"/>
      </rPr>
      <t xml:space="preserve">
</t>
    </r>
    <r>
      <rPr>
        <sz val="10"/>
        <color theme="1"/>
        <rFont val="宋体"/>
        <charset val="134"/>
      </rPr>
      <t>此外，你获得以下一项增益，当你完成一次长休时，你可以更改你所选择的增益。你可以使用附赠动作引发一次自动侵扰（并使侵扰骰的尺寸增大一级，最高不超过其初始尺寸），从而更改你所选择的增益。</t>
    </r>
    <r>
      <rPr>
        <sz val="10"/>
        <color theme="1"/>
        <rFont val="Times New Roman"/>
        <charset val="134"/>
      </rPr>
      <t xml:space="preserve">
</t>
    </r>
    <r>
      <rPr>
        <sz val="10"/>
        <color theme="1"/>
        <rFont val="宋体"/>
        <charset val="134"/>
      </rPr>
      <t>异星神智</t>
    </r>
    <r>
      <rPr>
        <sz val="10"/>
        <color theme="1"/>
        <rFont val="Times New Roman"/>
        <charset val="134"/>
      </rPr>
      <t>Alien Consciousness</t>
    </r>
    <r>
      <rPr>
        <sz val="10"/>
        <color theme="1"/>
        <rFont val="宋体"/>
        <charset val="134"/>
      </rPr>
      <t>。</t>
    </r>
    <r>
      <rPr>
        <sz val="10"/>
        <color theme="1"/>
        <rFont val="Times New Roman"/>
        <charset val="134"/>
      </rPr>
      <t xml:space="preserve"> </t>
    </r>
    <r>
      <rPr>
        <sz val="10"/>
        <color theme="1"/>
        <rFont val="宋体"/>
        <charset val="134"/>
      </rPr>
      <t>你获得对魅惑和恐慌状态的免疫，并且无法被附身。</t>
    </r>
    <r>
      <rPr>
        <sz val="10"/>
        <color theme="1"/>
        <rFont val="Times New Roman"/>
        <charset val="134"/>
      </rPr>
      <t xml:space="preserve">
</t>
    </r>
    <r>
      <rPr>
        <sz val="10"/>
        <color theme="1"/>
        <rFont val="宋体"/>
        <charset val="134"/>
      </rPr>
      <t>宇宙抗性</t>
    </r>
    <r>
      <rPr>
        <sz val="10"/>
        <color theme="1"/>
        <rFont val="Times New Roman"/>
        <charset val="134"/>
      </rPr>
      <t>Cosmic Resistance</t>
    </r>
    <r>
      <rPr>
        <sz val="10"/>
        <color theme="1"/>
        <rFont val="宋体"/>
        <charset val="134"/>
      </rPr>
      <t>。</t>
    </r>
    <r>
      <rPr>
        <sz val="10"/>
        <color theme="1"/>
        <rFont val="Times New Roman"/>
        <charset val="134"/>
      </rPr>
      <t xml:space="preserve"> </t>
    </r>
    <r>
      <rPr>
        <sz val="10"/>
        <color theme="1"/>
        <rFont val="宋体"/>
        <charset val="134"/>
      </rPr>
      <t>你获得对暗蚀和心灵伤害的抗性。</t>
    </r>
    <r>
      <rPr>
        <sz val="10"/>
        <color theme="1"/>
        <rFont val="Times New Roman"/>
        <charset val="134"/>
      </rPr>
      <t xml:space="preserve">
</t>
    </r>
    <r>
      <rPr>
        <sz val="10"/>
        <color theme="1"/>
        <rFont val="宋体"/>
        <charset val="134"/>
      </rPr>
      <t>空间支配</t>
    </r>
    <r>
      <rPr>
        <sz val="10"/>
        <color theme="1"/>
        <rFont val="Times New Roman"/>
        <charset val="134"/>
      </rPr>
      <t>Spatial Domination</t>
    </r>
    <r>
      <rPr>
        <sz val="10"/>
        <color theme="1"/>
        <rFont val="宋体"/>
        <charset val="134"/>
      </rPr>
      <t>。</t>
    </r>
    <r>
      <rPr>
        <sz val="10"/>
        <color theme="1"/>
        <rFont val="Times New Roman"/>
        <charset val="134"/>
      </rPr>
      <t xml:space="preserve"> </t>
    </r>
    <r>
      <rPr>
        <sz val="10"/>
        <color theme="1"/>
        <rFont val="宋体"/>
        <charset val="134"/>
      </rPr>
      <t>你获得等于你速度的飞行速度，并能悬浮。</t>
    </r>
    <r>
      <rPr>
        <sz val="10"/>
        <color theme="1"/>
        <rFont val="Times New Roman"/>
        <charset val="134"/>
      </rPr>
      <t xml:space="preserve"> </t>
    </r>
  </si>
  <si>
    <r>
      <rPr>
        <sz val="10"/>
        <color theme="1"/>
        <rFont val="宋体"/>
        <charset val="134"/>
      </rPr>
      <t>免疫低下</t>
    </r>
  </si>
  <si>
    <r>
      <rPr>
        <sz val="10"/>
        <color theme="1"/>
        <rFont val="宋体"/>
        <charset val="134"/>
      </rPr>
      <t>一个被你的一种疾病（例如感染术</t>
    </r>
    <r>
      <rPr>
        <sz val="10"/>
        <color theme="1"/>
        <rFont val="Times New Roman"/>
        <charset val="134"/>
      </rPr>
      <t>Infect*</t>
    </r>
    <r>
      <rPr>
        <sz val="10"/>
        <color theme="1"/>
        <rFont val="宋体"/>
        <charset val="134"/>
      </rPr>
      <t>或疫病术</t>
    </r>
    <r>
      <rPr>
        <sz val="10"/>
        <color theme="1"/>
        <rFont val="Times New Roman"/>
        <charset val="134"/>
      </rPr>
      <t>Contagion</t>
    </r>
    <r>
      <rPr>
        <sz val="10"/>
        <color theme="1"/>
        <rFont val="宋体"/>
        <charset val="134"/>
      </rPr>
      <t>）感染的生物在对抗你的药剂师法术所进行的豁免检定中具有劣势。</t>
    </r>
  </si>
  <si>
    <r>
      <rPr>
        <sz val="10"/>
        <color theme="1"/>
        <rFont val="宋体"/>
        <charset val="134"/>
      </rPr>
      <t>剑圣宗</t>
    </r>
  </si>
  <si>
    <t>副作用</t>
  </si>
  <si>
    <t>由于你已经摄入了不计其数的魔法原料，你因而受到了一些魔法副作用的影响。你习得戏法魔法伎俩Prestidigitation和奇术Thaumaturgy。</t>
  </si>
  <si>
    <t>寒颤旋律</t>
  </si>
  <si>
    <t>你从任意法术列表中习得两个死灵学派的戏法。这些戏法对你来说视为吟游诗人戏法，但不计入以你已知的戏法总数。</t>
  </si>
  <si>
    <t>血裂灵光</t>
  </si>
  <si>
    <r>
      <rPr>
        <sz val="10"/>
        <color theme="1"/>
        <rFont val="宋体"/>
        <charset val="134"/>
      </rPr>
      <t>你可以用你的动作散发出一阵能令周遭敌人的血管破裂和流血的致命负能量灵光。接下来的一分钟内，任何拥有血液的敌对生物在一个回合内第一次进入到你周围</t>
    </r>
    <r>
      <rPr>
        <sz val="10"/>
        <color theme="1"/>
        <rFont val="Times New Roman"/>
        <charset val="134"/>
      </rPr>
      <t>30</t>
    </r>
    <r>
      <rPr>
        <sz val="10"/>
        <color theme="1"/>
        <rFont val="宋体"/>
        <charset val="134"/>
      </rPr>
      <t>尺范围内，或在该区域内开始其回合时，它将受到</t>
    </r>
    <r>
      <rPr>
        <sz val="10"/>
        <color theme="1"/>
        <rFont val="Times New Roman"/>
        <charset val="134"/>
      </rPr>
      <t>3d6</t>
    </r>
    <r>
      <rPr>
        <sz val="10"/>
        <color theme="1"/>
        <rFont val="宋体"/>
        <charset val="134"/>
      </rPr>
      <t>点暗蚀伤害。如果一个拥有血液的敌对生物在灵光范围内恢复生命值，它只能回复那个恢复量一半的生命值。
一旦你使用了这一特性，直到完成一次长休前你都不能再次使用它。</t>
    </r>
  </si>
  <si>
    <t>柳编符咒</t>
  </si>
  <si>
    <r>
      <rPr>
        <sz val="10"/>
        <color theme="1"/>
        <rFont val="宋体"/>
        <charset val="134"/>
      </rPr>
      <t>你可以编织带有自身魔法的柳编符咒。当你完成一次长休时，你可以创造数量等于你熟练加值的符咒。符咒是一个微型物件（</t>
    </r>
    <r>
      <rPr>
        <sz val="10"/>
        <color theme="1"/>
        <rFont val="Times New Roman"/>
        <charset val="134"/>
      </rPr>
      <t>AC5</t>
    </r>
    <r>
      <rPr>
        <sz val="10"/>
        <color theme="1"/>
        <rFont val="宋体"/>
        <charset val="134"/>
      </rPr>
      <t>；</t>
    </r>
    <r>
      <rPr>
        <sz val="10"/>
        <color theme="1"/>
        <rFont val="Times New Roman"/>
        <charset val="134"/>
      </rPr>
      <t>HP1</t>
    </r>
    <r>
      <rPr>
        <sz val="10"/>
        <color theme="1"/>
        <rFont val="宋体"/>
        <charset val="134"/>
      </rPr>
      <t>；免疫毒素和心灵伤害）。符咒会在你完成下一次长休时消失。</t>
    </r>
    <r>
      <rPr>
        <sz val="10"/>
        <color theme="1"/>
        <rFont val="Times New Roman"/>
        <charset val="134"/>
      </rPr>
      <t xml:space="preserve">
</t>
    </r>
    <r>
      <rPr>
        <sz val="10"/>
        <color theme="1"/>
        <rFont val="宋体"/>
        <charset val="134"/>
      </rPr>
      <t>当你和携带你符咒的生物位于同一存在位面时，你可以对它施展施法距离为触碰的法术。</t>
    </r>
  </si>
  <si>
    <r>
      <rPr>
        <sz val="10"/>
        <color theme="1"/>
        <rFont val="宋体"/>
        <charset val="134"/>
      </rPr>
      <t>云之符文</t>
    </r>
  </si>
  <si>
    <r>
      <rPr>
        <sz val="10"/>
        <color theme="1"/>
        <rFont val="宋体"/>
        <charset val="134"/>
      </rPr>
      <t>该符文模拟了一些云巨人使用的欺骗性法术。
当你穿着或持有一个铭刻此符文的物品，你在敏捷（巧手）检定和魅力（欺瞒）检定上获得优势。
此外，当你或一个对你</t>
    </r>
    <r>
      <rPr>
        <sz val="10"/>
        <color theme="1"/>
        <rFont val="Times New Roman"/>
        <charset val="134"/>
      </rPr>
      <t>30</t>
    </r>
    <r>
      <rPr>
        <sz val="10"/>
        <color theme="1"/>
        <rFont val="宋体"/>
        <charset val="134"/>
      </rPr>
      <t>尺内可视的生物经过攻击检定被击中，你可以使用一个反应动作对此符文激活并选中一个除攻击者以外的其他生物。
被选中的生物变成该攻击的目标，并适用同样的攻击检定。
该异能可转换的攻击效应与攻击距离无关。
每当你激活该符文，你无法再次使用该异能直到你完成一次短休或长休。</t>
    </r>
  </si>
  <si>
    <t>连招</t>
  </si>
  <si>
    <t>当你使用徒手打击命中一名生物并造成伤害时，你可以消耗1点功力以开始一次连招。直至当前回合结束，你徒手打击的攻击检定获得+2加值。在当前回合中，每次连续命中，此加值增加2，最高可达+6。如果你受到伤害或攻击检定失手，此加值会重置为+2。</t>
  </si>
  <si>
    <t>狂热之誓法术</t>
  </si>
  <si>
    <r>
      <rPr>
        <sz val="10"/>
        <color theme="1"/>
        <rFont val="宋体"/>
        <charset val="134"/>
      </rPr>
      <t>你获得以下圣誓法术。</t>
    </r>
    <r>
      <rPr>
        <sz val="10"/>
        <color theme="1"/>
        <rFont val="Times New Roman"/>
        <charset val="134"/>
      </rPr>
      <t xml:space="preserve">
</t>
    </r>
    <r>
      <rPr>
        <sz val="10"/>
        <color theme="1"/>
        <rFont val="宋体"/>
        <charset val="134"/>
      </rPr>
      <t>狂热圣誓法术</t>
    </r>
    <r>
      <rPr>
        <sz val="10"/>
        <color theme="1"/>
        <rFont val="Times New Roman"/>
        <charset val="134"/>
      </rPr>
      <t xml:space="preserve">Oath of Zeal Spells </t>
    </r>
    <r>
      <rPr>
        <sz val="10"/>
        <color theme="1"/>
        <rFont val="宋体"/>
        <charset val="134"/>
      </rPr>
      <t>圣武士等级</t>
    </r>
    <r>
      <rPr>
        <sz val="10"/>
        <color theme="1"/>
        <rFont val="Times New Roman"/>
        <charset val="134"/>
      </rPr>
      <t xml:space="preserve"> </t>
    </r>
    <r>
      <rPr>
        <sz val="10"/>
        <color theme="1"/>
        <rFont val="宋体"/>
        <charset val="134"/>
      </rPr>
      <t>法术</t>
    </r>
    <r>
      <rPr>
        <sz val="10"/>
        <color theme="1"/>
        <rFont val="Times New Roman"/>
        <charset val="134"/>
      </rPr>
      <t xml:space="preserve"> 
3rd </t>
    </r>
    <r>
      <rPr>
        <sz val="10"/>
        <color theme="1"/>
        <rFont val="宋体"/>
        <charset val="134"/>
      </rPr>
      <t>侦测善恶</t>
    </r>
    <r>
      <rPr>
        <sz val="10"/>
        <color theme="1"/>
        <rFont val="Times New Roman"/>
        <charset val="134"/>
      </rPr>
      <t>detect evil and good</t>
    </r>
    <r>
      <rPr>
        <sz val="10"/>
        <color theme="1"/>
        <rFont val="宋体"/>
        <charset val="134"/>
      </rPr>
      <t>，猎人印记</t>
    </r>
    <r>
      <rPr>
        <sz val="10"/>
        <color theme="1"/>
        <rFont val="Times New Roman"/>
        <charset val="134"/>
      </rPr>
      <t xml:space="preserve">hunter’s mark  
5th </t>
    </r>
    <r>
      <rPr>
        <sz val="10"/>
        <color theme="1"/>
        <rFont val="宋体"/>
        <charset val="134"/>
      </rPr>
      <t>侦测思想</t>
    </r>
    <r>
      <rPr>
        <sz val="10"/>
        <color theme="1"/>
        <rFont val="Times New Roman"/>
        <charset val="134"/>
      </rPr>
      <t>detect thoughts</t>
    </r>
    <r>
      <rPr>
        <sz val="10"/>
        <color theme="1"/>
        <rFont val="宋体"/>
        <charset val="134"/>
      </rPr>
      <t>，敲击术</t>
    </r>
    <r>
      <rPr>
        <sz val="10"/>
        <color theme="1"/>
        <rFont val="Times New Roman"/>
        <charset val="134"/>
      </rPr>
      <t xml:space="preserve">knock  
9th </t>
    </r>
    <r>
      <rPr>
        <sz val="10"/>
        <color theme="1"/>
        <rFont val="宋体"/>
        <charset val="134"/>
      </rPr>
      <t>恐惧术</t>
    </r>
    <r>
      <rPr>
        <sz val="10"/>
        <color theme="1"/>
        <rFont val="Times New Roman"/>
        <charset val="134"/>
      </rPr>
      <t>fear</t>
    </r>
    <r>
      <rPr>
        <sz val="10"/>
        <color theme="1"/>
        <rFont val="宋体"/>
        <charset val="134"/>
      </rPr>
      <t>，巧言术</t>
    </r>
    <r>
      <rPr>
        <sz val="10"/>
        <color theme="1"/>
        <rFont val="Times New Roman"/>
        <charset val="134"/>
      </rPr>
      <t xml:space="preserve">tongues 
13th </t>
    </r>
    <r>
      <rPr>
        <sz val="10"/>
        <color theme="1"/>
        <rFont val="宋体"/>
        <charset val="134"/>
      </rPr>
      <t>预言术</t>
    </r>
    <r>
      <rPr>
        <sz val="10"/>
        <color theme="1"/>
        <rFont val="Times New Roman"/>
        <charset val="134"/>
      </rPr>
      <t>divination</t>
    </r>
    <r>
      <rPr>
        <sz val="10"/>
        <color theme="1"/>
        <rFont val="宋体"/>
        <charset val="134"/>
      </rPr>
      <t>，生物定位术</t>
    </r>
    <r>
      <rPr>
        <sz val="10"/>
        <color theme="1"/>
        <rFont val="Times New Roman"/>
        <charset val="134"/>
      </rPr>
      <t xml:space="preserve">locate creature  
17th </t>
    </r>
    <r>
      <rPr>
        <sz val="10"/>
        <color theme="1"/>
        <rFont val="宋体"/>
        <charset val="134"/>
      </rPr>
      <t>疫病虫群</t>
    </r>
    <r>
      <rPr>
        <sz val="10"/>
        <color theme="1"/>
        <rFont val="Times New Roman"/>
        <charset val="134"/>
      </rPr>
      <t>insect plague</t>
    </r>
    <r>
      <rPr>
        <sz val="10"/>
        <color theme="1"/>
        <rFont val="宋体"/>
        <charset val="134"/>
      </rPr>
      <t>，探知</t>
    </r>
    <r>
      <rPr>
        <sz val="10"/>
        <color theme="1"/>
        <rFont val="Times New Roman"/>
        <charset val="134"/>
      </rPr>
      <t xml:space="preserve">Scrying  </t>
    </r>
  </si>
  <si>
    <t>天鹏之翼</t>
  </si>
  <si>
    <t>在你助跑起跳后，你可以立刻以附赠动作展开双翼，一对如鹏鸟般的灵体翅膀显现在你的身后并持续存在至你的下个回合结束，或至你重新落回地上为止。在双翼存在期间，你拥有等同于你步行速度的飞行速度。</t>
  </si>
  <si>
    <t>鱼脂彩烟烛</t>
  </si>
  <si>
    <t>以一个动作，你可以花费1点烛心点来引燃并向60尺内一处可见且未被占据的位置掷出一块油腻的鲸脂烛蜡。在蜡块落地的一回合之后，它将喷出一团彩色的烟雾，并将以其为中心的半径20尺球型范围变为重度遮蔽环境。蜡烛会在1分钟内持续喷洒烟雾，并在空中形成10里外都可见的彩色轨迹。</t>
  </si>
  <si>
    <t>殷红生机</t>
  </si>
  <si>
    <r>
      <rPr>
        <sz val="10"/>
        <color theme="1"/>
        <rFont val="宋体"/>
        <charset val="134"/>
      </rPr>
      <t>你对暗蚀伤害具有抗性。此外，当你完成一次短休时，你可以消耗你的血源，使你的力竭等级降低</t>
    </r>
    <r>
      <rPr>
        <sz val="10"/>
        <color theme="1"/>
        <rFont val="Times New Roman"/>
        <charset val="134"/>
      </rPr>
      <t>1</t>
    </r>
    <r>
      <rPr>
        <sz val="10"/>
        <color theme="1"/>
        <rFont val="宋体"/>
        <charset val="134"/>
      </rPr>
      <t>级（如果有）。</t>
    </r>
    <r>
      <rPr>
        <sz val="10"/>
        <color theme="1"/>
        <rFont val="Times New Roman"/>
        <charset val="134"/>
      </rPr>
      <t xml:space="preserve"> </t>
    </r>
  </si>
  <si>
    <r>
      <rPr>
        <sz val="10"/>
        <color theme="1"/>
        <rFont val="宋体"/>
        <charset val="134"/>
      </rPr>
      <t>巫咒盔甲</t>
    </r>
  </si>
  <si>
    <r>
      <rPr>
        <sz val="10"/>
        <color theme="1"/>
        <rFont val="宋体"/>
        <charset val="134"/>
      </rPr>
      <t>你的巫咒变得更加强大。
若你以咒剑诅咒所指定的目标以一次攻击检定击中你，你可以用你的反应投一次</t>
    </r>
    <r>
      <rPr>
        <sz val="10"/>
        <color theme="1"/>
        <rFont val="Times New Roman"/>
        <charset val="134"/>
      </rPr>
      <t>d6</t>
    </r>
    <r>
      <rPr>
        <sz val="10"/>
        <color theme="1"/>
        <rFont val="宋体"/>
        <charset val="134"/>
      </rPr>
      <t>。
在</t>
    </r>
    <r>
      <rPr>
        <sz val="10"/>
        <color theme="1"/>
        <rFont val="Times New Roman"/>
        <charset val="134"/>
      </rPr>
      <t>4</t>
    </r>
    <r>
      <rPr>
        <sz val="10"/>
        <color theme="1"/>
        <rFont val="宋体"/>
        <charset val="134"/>
      </rPr>
      <t>或更高的结果下，这次攻击改为对你失手，不论骰值是多少。</t>
    </r>
  </si>
  <si>
    <t>超越空间</t>
  </si>
  <si>
    <r>
      <rPr>
        <sz val="10"/>
        <color theme="1"/>
        <rFont val="宋体"/>
        <charset val="134"/>
      </rPr>
      <t>距离与位置的本质被揭露为虚幻的谎言。你始终准备着法术探知</t>
    </r>
    <r>
      <rPr>
        <sz val="10"/>
        <color theme="1"/>
        <rFont val="Times New Roman"/>
        <charset val="134"/>
      </rPr>
      <t>Scrying</t>
    </r>
    <r>
      <rPr>
        <sz val="10"/>
        <color theme="1"/>
        <rFont val="宋体"/>
        <charset val="134"/>
      </rPr>
      <t>。</t>
    </r>
    <r>
      <rPr>
        <sz val="10"/>
        <color theme="1"/>
        <rFont val="Times New Roman"/>
        <charset val="134"/>
      </rPr>
      <t xml:space="preserve">
</t>
    </r>
    <r>
      <rPr>
        <sz val="10"/>
        <color theme="1"/>
        <rFont val="宋体"/>
        <charset val="134"/>
      </rPr>
      <t>当你施展探知</t>
    </r>
    <r>
      <rPr>
        <sz val="10"/>
        <color theme="1"/>
        <rFont val="Times New Roman"/>
        <charset val="134"/>
      </rPr>
      <t>Scrying</t>
    </r>
    <r>
      <rPr>
        <sz val="10"/>
        <color theme="1"/>
        <rFont val="宋体"/>
        <charset val="134"/>
      </rPr>
      <t>时，你可以冒着侵扰风险选择选择以下一项：</t>
    </r>
    <r>
      <rPr>
        <sz val="10"/>
        <color theme="1"/>
        <rFont val="Times New Roman"/>
        <charset val="134"/>
      </rPr>
      <t xml:space="preserve">
</t>
    </r>
    <r>
      <rPr>
        <sz val="10"/>
        <color theme="1"/>
        <rFont val="宋体"/>
        <charset val="134"/>
      </rPr>
      <t>全知</t>
    </r>
    <r>
      <rPr>
        <sz val="10"/>
        <color theme="1"/>
        <rFont val="Times New Roman"/>
        <charset val="134"/>
      </rPr>
      <t>All Knowing</t>
    </r>
    <r>
      <rPr>
        <sz val="10"/>
        <color theme="1"/>
        <rFont val="宋体"/>
        <charset val="134"/>
      </rPr>
      <t>。</t>
    </r>
    <r>
      <rPr>
        <sz val="10"/>
        <color theme="1"/>
        <rFont val="Times New Roman"/>
        <charset val="134"/>
      </rPr>
      <t xml:space="preserve"> </t>
    </r>
    <r>
      <rPr>
        <sz val="10"/>
        <color theme="1"/>
        <rFont val="宋体"/>
        <charset val="134"/>
      </rPr>
      <t>你与目标的联系程度视为你具有目标的身体部分。</t>
    </r>
    <r>
      <rPr>
        <sz val="10"/>
        <color theme="1"/>
        <rFont val="Times New Roman"/>
        <charset val="134"/>
      </rPr>
      <t xml:space="preserve">
</t>
    </r>
    <r>
      <rPr>
        <sz val="10"/>
        <color theme="1"/>
        <rFont val="宋体"/>
        <charset val="134"/>
      </rPr>
      <t>全视</t>
    </r>
    <r>
      <rPr>
        <sz val="10"/>
        <color theme="1"/>
        <rFont val="Times New Roman"/>
        <charset val="134"/>
      </rPr>
      <t>All Seeing</t>
    </r>
    <r>
      <rPr>
        <sz val="10"/>
        <color theme="1"/>
        <rFont val="宋体"/>
        <charset val="134"/>
      </rPr>
      <t>。</t>
    </r>
    <r>
      <rPr>
        <sz val="10"/>
        <color theme="1"/>
        <rFont val="Times New Roman"/>
        <charset val="134"/>
      </rPr>
      <t xml:space="preserve"> </t>
    </r>
    <r>
      <rPr>
        <sz val="10"/>
        <color theme="1"/>
        <rFont val="宋体"/>
        <charset val="134"/>
      </rPr>
      <t>你可以使用一个动作施展该法术，而非其正常的施法时间。</t>
    </r>
    <r>
      <rPr>
        <sz val="10"/>
        <color theme="1"/>
        <rFont val="Times New Roman"/>
        <charset val="134"/>
      </rPr>
      <t xml:space="preserve">
</t>
    </r>
    <r>
      <rPr>
        <sz val="10"/>
        <color theme="1"/>
        <rFont val="宋体"/>
        <charset val="134"/>
      </rPr>
      <t>当你施展探知</t>
    </r>
    <r>
      <rPr>
        <sz val="10"/>
        <color theme="1"/>
        <rFont val="Times New Roman"/>
        <charset val="134"/>
      </rPr>
      <t>Scrying</t>
    </r>
    <r>
      <rPr>
        <sz val="10"/>
        <color theme="1"/>
        <rFont val="宋体"/>
        <charset val="134"/>
      </rPr>
      <t>时，在该法术的持续时间内，你可以引发一次自动侵扰（并使侵扰骰的尺寸增大一级，最高不超过其初始尺寸），将你以及你周边</t>
    </r>
    <r>
      <rPr>
        <sz val="10"/>
        <color theme="1"/>
        <rFont val="Times New Roman"/>
        <charset val="134"/>
      </rPr>
      <t>10</t>
    </r>
    <r>
      <rPr>
        <sz val="10"/>
        <color theme="1"/>
        <rFont val="宋体"/>
        <charset val="134"/>
      </rPr>
      <t>尺范围内的任何自愿生物传送至你能通过探知传感器看到的未占据空间内。一旦你以此方式传送，则直至完成一次长休前，你无法再这么做。</t>
    </r>
    <r>
      <rPr>
        <sz val="10"/>
        <color theme="1"/>
        <rFont val="Times New Roman"/>
        <charset val="134"/>
      </rPr>
      <t xml:space="preserve"> </t>
    </r>
  </si>
  <si>
    <r>
      <rPr>
        <sz val="10"/>
        <color theme="1"/>
        <rFont val="宋体"/>
        <charset val="134"/>
      </rPr>
      <t>疾速恶化</t>
    </r>
  </si>
  <si>
    <r>
      <rPr>
        <sz val="10"/>
        <color theme="1"/>
        <rFont val="宋体"/>
        <charset val="134"/>
      </rPr>
      <t>当你施展一个感染疾病的法术时，你可以对法术的其中一个目标造成你突变菌株中的两种额外效果，而不是一个。</t>
    </r>
  </si>
  <si>
    <r>
      <rPr>
        <sz val="10"/>
        <color theme="1"/>
        <rFont val="宋体"/>
        <charset val="134"/>
      </rPr>
      <t>日魂宗</t>
    </r>
  </si>
  <si>
    <t>快速酿造</t>
  </si>
  <si>
    <t>你学会更好地控制腹中精酿的效果。
选择一种你通常会饮用的普通品质魔药。你可以用一个附赠动作启动你所选魔药的效应。一旦你启动了其效应，你不能再次这么做直到你完成一次长休。如果魔药的效应要求执行豁免，豁免DC等于8+你的熟练加值+你的体质调整值。
每当你在此职业提升一级，你可以将你所选的魔药更换为另一种。</t>
  </si>
  <si>
    <t>拨动心弦</t>
  </si>
  <si>
    <r>
      <rPr>
        <sz val="10"/>
        <color theme="1"/>
        <rFont val="宋体"/>
        <charset val="134"/>
      </rPr>
      <t>你获得用你的诗人激励去拨动它人</t>
    </r>
    <r>
      <rPr>
        <sz val="10"/>
        <color theme="1"/>
        <rFont val="宋体"/>
        <charset val="134"/>
      </rPr>
      <t>“</t>
    </r>
    <r>
      <rPr>
        <sz val="10"/>
        <color theme="1"/>
        <rFont val="宋体"/>
        <charset val="134"/>
      </rPr>
      <t>生命之弦</t>
    </r>
    <r>
      <rPr>
        <sz val="10"/>
        <color theme="1"/>
        <rFont val="宋体"/>
        <charset val="134"/>
      </rPr>
      <t>”</t>
    </r>
    <r>
      <rPr>
        <sz val="10"/>
        <color theme="1"/>
        <rFont val="宋体"/>
        <charset val="134"/>
      </rPr>
      <t>的能力。持有你的诗人激励骰的生物的武器攻击造成伤害时，它可以选择消耗并投掷这枚激励骰，并对攻击目标造成等同于投值的暗蚀伤害。
此外，当一名持有你的诗人激励骰的、活的生物的生命值被降至</t>
    </r>
    <r>
      <rPr>
        <sz val="10"/>
        <color theme="1"/>
        <rFont val="Times New Roman"/>
        <charset val="134"/>
      </rPr>
      <t>0</t>
    </r>
    <r>
      <rPr>
        <sz val="10"/>
        <color theme="1"/>
        <rFont val="宋体"/>
        <charset val="134"/>
      </rPr>
      <t>时，它可以用反应消耗这颗激励骰，改为降至</t>
    </r>
    <r>
      <rPr>
        <sz val="10"/>
        <color theme="1"/>
        <rFont val="Times New Roman"/>
        <charset val="134"/>
      </rPr>
      <t>1</t>
    </r>
    <r>
      <rPr>
        <sz val="10"/>
        <color theme="1"/>
        <rFont val="宋体"/>
        <charset val="134"/>
      </rPr>
      <t>生命值。</t>
    </r>
  </si>
  <si>
    <t>地方历法</t>
  </si>
  <si>
    <t>你获得一套草药工具，并拥有草药工具的熟练。你也会获得自然或求生技能的熟练。</t>
  </si>
  <si>
    <t>精进柳艺</t>
  </si>
  <si>
    <r>
      <rPr>
        <sz val="10"/>
        <color theme="1"/>
        <rFont val="宋体"/>
        <charset val="134"/>
      </rPr>
      <t>你通过柳条塑像引导的能量变得更为强大，从而使其赋予的增益得到强化。</t>
    </r>
    <r>
      <rPr>
        <sz val="10"/>
        <color theme="1"/>
        <rFont val="Times New Roman"/>
        <charset val="134"/>
      </rPr>
      <t xml:space="preserve">
</t>
    </r>
    <r>
      <rPr>
        <sz val="10"/>
        <color theme="1"/>
        <rFont val="宋体"/>
        <charset val="134"/>
      </rPr>
      <t>祭焰</t>
    </r>
    <r>
      <rPr>
        <sz val="10"/>
        <color theme="1"/>
        <rFont val="Times New Roman"/>
        <charset val="134"/>
      </rPr>
      <t>Sacrifice</t>
    </r>
    <r>
      <rPr>
        <sz val="10"/>
        <color theme="1"/>
        <rFont val="宋体"/>
        <charset val="134"/>
      </rPr>
      <t>。火焰伤害增加至</t>
    </r>
    <r>
      <rPr>
        <sz val="10"/>
        <color theme="1"/>
        <rFont val="Times New Roman"/>
        <charset val="134"/>
      </rPr>
      <t>2d8+</t>
    </r>
    <r>
      <rPr>
        <sz val="10"/>
        <color theme="1"/>
        <rFont val="宋体"/>
        <charset val="134"/>
      </rPr>
      <t>你的感知调整值。</t>
    </r>
    <r>
      <rPr>
        <sz val="10"/>
        <color theme="1"/>
        <rFont val="Times New Roman"/>
        <charset val="134"/>
      </rPr>
      <t xml:space="preserve">
</t>
    </r>
    <r>
      <rPr>
        <sz val="10"/>
        <color theme="1"/>
        <rFont val="宋体"/>
        <charset val="134"/>
      </rPr>
      <t>慰灵</t>
    </r>
    <r>
      <rPr>
        <sz val="10"/>
        <color theme="1"/>
        <rFont val="Times New Roman"/>
        <charset val="134"/>
      </rPr>
      <t>Sooth</t>
    </r>
    <r>
      <rPr>
        <sz val="10"/>
        <color theme="1"/>
        <rFont val="宋体"/>
        <charset val="134"/>
      </rPr>
      <t>。塑像提供的治疗增加至</t>
    </r>
    <r>
      <rPr>
        <sz val="10"/>
        <color theme="1"/>
        <rFont val="Times New Roman"/>
        <charset val="134"/>
      </rPr>
      <t>1d8</t>
    </r>
    <r>
      <rPr>
        <sz val="10"/>
        <color theme="1"/>
        <rFont val="宋体"/>
        <charset val="134"/>
      </rPr>
      <t>，并且当你通过人偶指定一个生物时，你可以消耗</t>
    </r>
    <r>
      <rPr>
        <sz val="10"/>
        <color theme="1"/>
        <rFont val="Times New Roman"/>
        <charset val="134"/>
      </rPr>
      <t>5</t>
    </r>
    <r>
      <rPr>
        <sz val="10"/>
        <color theme="1"/>
        <rFont val="宋体"/>
        <charset val="134"/>
      </rPr>
      <t>点塑像的生命值，移除目标身上的以下状态之一：魅惑、恐慌、麻痹、中毒、震慑。</t>
    </r>
    <r>
      <rPr>
        <sz val="10"/>
        <color theme="1"/>
        <rFont val="Times New Roman"/>
        <charset val="134"/>
      </rPr>
      <t xml:space="preserve">
</t>
    </r>
    <r>
      <rPr>
        <sz val="10"/>
        <color theme="1"/>
        <rFont val="宋体"/>
        <charset val="134"/>
      </rPr>
      <t>结界</t>
    </r>
    <r>
      <rPr>
        <sz val="10"/>
        <color theme="1"/>
        <rFont val="Times New Roman"/>
        <charset val="134"/>
      </rPr>
      <t>Ward</t>
    </r>
    <r>
      <rPr>
        <sz val="10"/>
        <color theme="1"/>
        <rFont val="宋体"/>
        <charset val="134"/>
      </rPr>
      <t>。选择一种除力场外的伤害类型。位于灵光内时，你和你的盟友对所选类型伤害具有抗性。</t>
    </r>
  </si>
  <si>
    <r>
      <rPr>
        <sz val="10"/>
        <color theme="1"/>
        <rFont val="宋体"/>
        <charset val="134"/>
      </rPr>
      <t>火之符文</t>
    </r>
  </si>
  <si>
    <r>
      <rPr>
        <sz val="10"/>
        <color theme="1"/>
        <rFont val="宋体"/>
        <charset val="134"/>
      </rPr>
      <t>该符文的异能可以引导伟大铁匠的高超技艺。
当你穿着或持有一个铭刻此符文的物品，你在进行使用工具的熟练项进行技能检定时，你的熟练加值翻倍。
此外，当你使用一次武器攻击击中了一个生物，你可以激活此符文来召唤炽热镣铐：目标受到额外</t>
    </r>
    <r>
      <rPr>
        <sz val="10"/>
        <color theme="1"/>
        <rFont val="Times New Roman"/>
        <charset val="134"/>
      </rPr>
      <t>2d6</t>
    </r>
    <r>
      <rPr>
        <sz val="10"/>
        <color theme="1"/>
        <rFont val="宋体"/>
        <charset val="134"/>
      </rPr>
      <t>的火焰伤害，且目标必须通过一次力量豁免检定，如果失败则被束缚</t>
    </r>
    <r>
      <rPr>
        <sz val="10"/>
        <color theme="1"/>
        <rFont val="Times New Roman"/>
        <charset val="134"/>
      </rPr>
      <t>1</t>
    </r>
    <r>
      <rPr>
        <sz val="10"/>
        <color theme="1"/>
        <rFont val="宋体"/>
        <charset val="134"/>
      </rPr>
      <t>分钟。
当目标被炽热镣铐束缚时，目标在它的每回合开始时受到</t>
    </r>
    <r>
      <rPr>
        <sz val="10"/>
        <color theme="1"/>
        <rFont val="Times New Roman"/>
        <charset val="134"/>
      </rPr>
      <t>2d6</t>
    </r>
    <r>
      <rPr>
        <sz val="10"/>
        <color theme="1"/>
        <rFont val="宋体"/>
        <charset val="134"/>
      </rPr>
      <t>的火焰伤害。
目标可以在每个自己回合结束时重复进行此豁免检定，直到成功解除束缚。
每当你激活该符文，你无法再次使用该异能直到你完成一次短休或长休。</t>
    </r>
  </si>
  <si>
    <t>铁拳</t>
  </si>
  <si>
    <t xml:space="preserve">每当你使用徒手打击命中一个物件时，该次命中即为重击命中。  </t>
  </si>
  <si>
    <r>
      <rPr>
        <sz val="10"/>
        <color theme="1"/>
        <rFont val="宋体"/>
        <charset val="134"/>
      </rPr>
      <t>在选择本誓言时，你获得以下两种引导神力选项。
异端标记</t>
    </r>
    <r>
      <rPr>
        <sz val="10"/>
        <color theme="1"/>
        <rFont val="Times New Roman"/>
        <charset val="134"/>
      </rPr>
      <t>Mark of the Heretic</t>
    </r>
    <r>
      <rPr>
        <sz val="10"/>
        <color theme="1"/>
        <rFont val="宋体"/>
        <charset val="134"/>
      </rPr>
      <t>。</t>
    </r>
    <r>
      <rPr>
        <sz val="10"/>
        <color theme="1"/>
        <rFont val="Times New Roman"/>
        <charset val="134"/>
      </rPr>
      <t xml:space="preserve"> </t>
    </r>
    <r>
      <rPr>
        <sz val="10"/>
        <color theme="1"/>
        <rFont val="宋体"/>
        <charset val="134"/>
      </rPr>
      <t>你可以用引导神力将一名生物标记为异端。以一个附赠动作，你可以选择一个你可以看到，且距离你</t>
    </r>
    <r>
      <rPr>
        <sz val="10"/>
        <color theme="1"/>
        <rFont val="Times New Roman"/>
        <charset val="134"/>
      </rPr>
      <t>30</t>
    </r>
    <r>
      <rPr>
        <sz val="10"/>
        <color theme="1"/>
        <rFont val="宋体"/>
        <charset val="134"/>
      </rPr>
      <t>尺以内的生物，令其身上显现垂枝般的圣痕。随后</t>
    </r>
    <r>
      <rPr>
        <sz val="10"/>
        <color theme="1"/>
        <rFont val="Times New Roman"/>
        <charset val="134"/>
      </rPr>
      <t>1</t>
    </r>
    <r>
      <rPr>
        <sz val="10"/>
        <color theme="1"/>
        <rFont val="宋体"/>
        <charset val="134"/>
      </rPr>
      <t>分钟内，你对该生物发动武器攻击时进行的攻击检定在掷出</t>
    </r>
    <r>
      <rPr>
        <sz val="10"/>
        <color theme="1"/>
        <rFont val="Times New Roman"/>
        <charset val="134"/>
      </rPr>
      <t>19</t>
    </r>
    <r>
      <rPr>
        <sz val="10"/>
        <color theme="1"/>
        <rFont val="宋体"/>
        <charset val="134"/>
      </rPr>
      <t>或</t>
    </r>
    <r>
      <rPr>
        <sz val="10"/>
        <color theme="1"/>
        <rFont val="Times New Roman"/>
        <charset val="134"/>
      </rPr>
      <t>20</t>
    </r>
    <r>
      <rPr>
        <sz val="10"/>
        <color theme="1"/>
        <rFont val="宋体"/>
        <charset val="134"/>
      </rPr>
      <t>时即可造成重击，并且该生物的回合开始时，你可以用你的反应对其发动一次武器攻击。
判罪之瞳</t>
    </r>
    <r>
      <rPr>
        <sz val="10"/>
        <color theme="1"/>
        <rFont val="Times New Roman"/>
        <charset val="134"/>
      </rPr>
      <t>Inquisitor</t>
    </r>
    <r>
      <rPr>
        <sz val="10"/>
        <color theme="1"/>
        <rFont val="宋体"/>
        <charset val="134"/>
      </rPr>
      <t>’</t>
    </r>
    <r>
      <rPr>
        <sz val="10"/>
        <color theme="1"/>
        <rFont val="Times New Roman"/>
        <charset val="134"/>
      </rPr>
      <t>s Eye</t>
    </r>
    <r>
      <rPr>
        <sz val="10"/>
        <color theme="1"/>
        <rFont val="宋体"/>
        <charset val="134"/>
      </rPr>
      <t>。</t>
    </r>
    <r>
      <rPr>
        <sz val="10"/>
        <color theme="1"/>
        <rFont val="Times New Roman"/>
        <charset val="134"/>
      </rPr>
      <t xml:space="preserve"> </t>
    </r>
    <r>
      <rPr>
        <sz val="10"/>
        <color theme="1"/>
        <rFont val="宋体"/>
        <charset val="134"/>
      </rPr>
      <t>你可以用引导神力提升你的感知，发现隐藏的堕落与渎职行为。以一个附赠动作，在随后的</t>
    </r>
    <r>
      <rPr>
        <sz val="10"/>
        <color theme="1"/>
        <rFont val="Times New Roman"/>
        <charset val="134"/>
      </rPr>
      <t>10</t>
    </r>
    <r>
      <rPr>
        <sz val="10"/>
        <color theme="1"/>
        <rFont val="宋体"/>
        <charset val="134"/>
      </rPr>
      <t>分钟内，你在智力（调查），感知（洞悉）和感知（察觉）检定上获得优势，且你无法被突袭。</t>
    </r>
  </si>
  <si>
    <t>飓风之护</t>
  </si>
  <si>
    <r>
      <rPr>
        <sz val="10"/>
        <color theme="1"/>
        <rFont val="宋体"/>
        <charset val="134"/>
      </rPr>
      <t>风与你之间的联系变得无比紧密，风中的精魂甚至能化为一场魔法的狂风来守护你。当你受到伤害时，你可以用你的反应为你自己提供该次伤害的抗性（如果这次伤害是坠落伤害，那么效果将改为免受此次伤害）。此时，你可以选择</t>
    </r>
    <r>
      <rPr>
        <sz val="10"/>
        <color theme="1"/>
        <rFont val="Times New Roman"/>
        <charset val="134"/>
      </rPr>
      <t>15</t>
    </r>
    <r>
      <rPr>
        <sz val="10"/>
        <color theme="1"/>
        <rFont val="宋体"/>
        <charset val="134"/>
      </rPr>
      <t>尺内任意数量的生物，每个所选生物都必须进行一次力量豁免（</t>
    </r>
    <r>
      <rPr>
        <sz val="10"/>
        <color theme="1"/>
        <rFont val="Times New Roman"/>
        <charset val="134"/>
      </rPr>
      <t>DC</t>
    </r>
    <r>
      <rPr>
        <sz val="10"/>
        <color theme="1"/>
        <rFont val="宋体"/>
        <charset val="134"/>
      </rPr>
      <t>使用你的游侠法术</t>
    </r>
    <r>
      <rPr>
        <sz val="10"/>
        <color theme="1"/>
        <rFont val="Times New Roman"/>
        <charset val="134"/>
      </rPr>
      <t>DC</t>
    </r>
    <r>
      <rPr>
        <sz val="10"/>
        <color theme="1"/>
        <rFont val="宋体"/>
        <charset val="134"/>
      </rPr>
      <t>）。豁免失败的生物将受到等同于你游侠等级点的钝击伤害并受击倒地。豁免成功时，生物将受到豁免失败时伤害的一半，且不会被击倒。
使用此特性时，你还能让风之精魂立刻带你飞到</t>
    </r>
    <r>
      <rPr>
        <sz val="10"/>
        <color theme="1"/>
        <rFont val="Times New Roman"/>
        <charset val="134"/>
      </rPr>
      <t>30</t>
    </r>
    <r>
      <rPr>
        <sz val="10"/>
        <color theme="1"/>
        <rFont val="宋体"/>
        <charset val="134"/>
      </rPr>
      <t>尺内的一处可见的未被占据的空间中（不会引发借机攻击）。
此特性一经使用，直至完成短休或长休你都无法再次使用。</t>
    </r>
  </si>
  <si>
    <t>泉涌茶蜡</t>
  </si>
  <si>
    <t>以一个动作，你可以花费2点烛心点来引燃一支小型茶蜡，并向你周围60尺内的一个可见且未被占据的位置将其掷出。落地后，蜡烛会快速融化，然后开始冒泡并涌出大量的蜡油，蜡油将占据以蜡烛为中心、边长15尺的方形区域。蜡油会残留1分钟。它是可燃的，当边长为5尺的蜡油区域接触火焰后，它将在3轮内燃尽，期间身处火焰区域内的生物在其回合开始时会受到2d6火焰伤害。蜡油在持续时间内覆盖的区域全部视为困难地形。</t>
  </si>
  <si>
    <t>汲命</t>
  </si>
  <si>
    <r>
      <rPr>
        <sz val="10"/>
        <color theme="1"/>
        <rFont val="宋体"/>
        <charset val="134"/>
      </rPr>
      <t>你可以汲取自身的生命精粹来为你的魔法提供能量。你可以使用附赠动作消耗一枚生命骰，并选择以下增益之一。</t>
    </r>
    <r>
      <rPr>
        <sz val="10"/>
        <color theme="1"/>
        <rFont val="Times New Roman"/>
        <charset val="134"/>
      </rPr>
      <t xml:space="preserve">
</t>
    </r>
    <r>
      <rPr>
        <sz val="10"/>
        <color theme="1"/>
        <rFont val="宋体"/>
        <charset val="134"/>
      </rPr>
      <t>沸血</t>
    </r>
    <r>
      <rPr>
        <sz val="10"/>
        <color theme="1"/>
        <rFont val="Times New Roman"/>
        <charset val="134"/>
      </rPr>
      <t>Blood Boil</t>
    </r>
    <r>
      <rPr>
        <sz val="10"/>
        <color theme="1"/>
        <rFont val="宋体"/>
        <charset val="134"/>
      </rPr>
      <t>。</t>
    </r>
    <r>
      <rPr>
        <sz val="10"/>
        <color theme="1"/>
        <rFont val="Times New Roman"/>
        <charset val="134"/>
      </rPr>
      <t xml:space="preserve"> </t>
    </r>
    <r>
      <rPr>
        <sz val="10"/>
        <color theme="1"/>
        <rFont val="宋体"/>
        <charset val="134"/>
      </rPr>
      <t>你重置血源的使用权。</t>
    </r>
    <r>
      <rPr>
        <sz val="10"/>
        <color theme="1"/>
        <rFont val="Times New Roman"/>
        <charset val="134"/>
      </rPr>
      <t xml:space="preserve">
</t>
    </r>
    <r>
      <rPr>
        <sz val="10"/>
        <color theme="1"/>
        <rFont val="宋体"/>
        <charset val="134"/>
      </rPr>
      <t>猩红脉动</t>
    </r>
    <r>
      <rPr>
        <sz val="10"/>
        <color theme="1"/>
        <rFont val="Times New Roman"/>
        <charset val="134"/>
      </rPr>
      <t>Crimson Pulse</t>
    </r>
    <r>
      <rPr>
        <sz val="10"/>
        <color theme="1"/>
        <rFont val="宋体"/>
        <charset val="134"/>
      </rPr>
      <t>。</t>
    </r>
    <r>
      <rPr>
        <sz val="10"/>
        <color theme="1"/>
        <rFont val="Times New Roman"/>
        <charset val="134"/>
      </rPr>
      <t xml:space="preserve"> </t>
    </r>
    <r>
      <rPr>
        <sz val="10"/>
        <color theme="1"/>
        <rFont val="宋体"/>
        <charset val="134"/>
      </rPr>
      <t>你消耗你的血源，使你在本回合不消耗术法点地应用的下一次超魔法选项。</t>
    </r>
    <r>
      <rPr>
        <sz val="10"/>
        <color theme="1"/>
        <rFont val="Times New Roman"/>
        <charset val="134"/>
      </rPr>
      <t xml:space="preserve"> </t>
    </r>
  </si>
  <si>
    <r>
      <rPr>
        <sz val="10"/>
        <color theme="1"/>
        <rFont val="宋体"/>
        <charset val="134"/>
      </rPr>
      <t>巫咒大师</t>
    </r>
  </si>
  <si>
    <r>
      <rPr>
        <sz val="10"/>
        <color theme="1"/>
        <rFont val="宋体"/>
        <charset val="134"/>
      </rPr>
      <t>你可以转移你的咒剑诅咒，从一个被杀的生物转移到另一个生物。
当被你的咒剑诅咒所指定的生物死亡时，假如你并未失能，你可以将诅咒转移到一个距离你</t>
    </r>
    <r>
      <rPr>
        <sz val="10"/>
        <color theme="1"/>
        <rFont val="Times New Roman"/>
        <charset val="134"/>
      </rPr>
      <t>30</t>
    </r>
    <r>
      <rPr>
        <sz val="10"/>
        <color theme="1"/>
        <rFont val="宋体"/>
        <charset val="134"/>
      </rPr>
      <t>尺内你能看到的其他生物身上。
当你以此法转移诅咒，你不再从先前目标的死亡中获得生命值回复。</t>
    </r>
  </si>
  <si>
    <t>炼金学识</t>
  </si>
  <si>
    <r>
      <rPr>
        <sz val="10"/>
        <color theme="1"/>
        <rFont val="宋体"/>
        <charset val="134"/>
      </rPr>
      <t>你获得一套炼金工具。你获得炼金工具熟练项</t>
    </r>
    <r>
      <rPr>
        <sz val="10"/>
        <color theme="1"/>
        <rFont val="Times New Roman"/>
        <charset val="134"/>
      </rPr>
      <t>,</t>
    </r>
    <r>
      <rPr>
        <sz val="10"/>
        <color theme="1"/>
        <rFont val="宋体"/>
        <charset val="134"/>
      </rPr>
      <t>并且你可以将其用作奥术法器。此外，你可以使用炼金工具代替常规工具来制作魔法物品。</t>
    </r>
  </si>
  <si>
    <r>
      <rPr>
        <sz val="10"/>
        <color theme="1"/>
        <rFont val="宋体"/>
        <charset val="134"/>
      </rPr>
      <t>生命火花</t>
    </r>
  </si>
  <si>
    <r>
      <rPr>
        <sz val="10"/>
        <color theme="1"/>
        <rFont val="宋体"/>
        <charset val="134"/>
      </rPr>
      <t>你习得戏法电爪</t>
    </r>
    <r>
      <rPr>
        <sz val="10"/>
        <color theme="1"/>
        <rFont val="Times New Roman"/>
        <charset val="134"/>
      </rPr>
      <t>Shocking Grasp</t>
    </r>
    <r>
      <rPr>
        <sz val="10"/>
        <color theme="1"/>
        <rFont val="宋体"/>
        <charset val="134"/>
      </rPr>
      <t>和维生术</t>
    </r>
    <r>
      <rPr>
        <sz val="10"/>
        <color theme="1"/>
        <rFont val="Times New Roman"/>
        <charset val="134"/>
      </rPr>
      <t>Spare the Dying</t>
    </r>
    <r>
      <rPr>
        <sz val="10"/>
        <color theme="1"/>
        <rFont val="宋体"/>
        <charset val="134"/>
      </rPr>
      <t>。这些法术被视为你的药剂师法术，且不计入你的药剂师已知戏法中。</t>
    </r>
  </si>
  <si>
    <r>
      <rPr>
        <sz val="10"/>
        <color theme="1"/>
        <rFont val="宋体"/>
        <charset val="134"/>
      </rPr>
      <t>星我宗</t>
    </r>
  </si>
  <si>
    <t>长时药效</t>
  </si>
  <si>
    <t>你腹中恒久存在的秘酿效力将强大到即使在你不处于狂暴状态时也会为你带来好处。
当你完成一次长休后，选择以下状态之一：目盲、魅惑、力竭、恐慌、麻痹、石化、中毒、倒地、束缚或震慑。在你以此特性选择一种其他状态之前，你在对抗该状态的豁免中具有优势。</t>
  </si>
  <si>
    <t>唤醒骸骨</t>
  </si>
  <si>
    <r>
      <rPr>
        <sz val="10"/>
        <color theme="1"/>
        <rFont val="宋体"/>
        <charset val="134"/>
      </rPr>
      <t>你习得法术活化死尸</t>
    </r>
    <r>
      <rPr>
        <sz val="10"/>
        <color theme="1"/>
        <rFont val="Times New Roman"/>
        <charset val="134"/>
      </rPr>
      <t>Animate Dead</t>
    </r>
    <r>
      <rPr>
        <sz val="10"/>
        <color theme="1"/>
        <rFont val="宋体"/>
        <charset val="134"/>
      </rPr>
      <t>，其对你来说视为吟游诗人法术，且不计入你的吟游诗人已知法术数量。当你给予某名生物一枚诗人激励骰时，选择等同于你熟练加值个身处你周围</t>
    </r>
    <r>
      <rPr>
        <sz val="10"/>
        <color theme="1"/>
        <rFont val="Times New Roman"/>
        <charset val="134"/>
      </rPr>
      <t>60</t>
    </r>
    <r>
      <rPr>
        <sz val="10"/>
        <color theme="1"/>
        <rFont val="宋体"/>
        <charset val="134"/>
      </rPr>
      <t>尺范围内的、受你操控的亡灵。每名所选生物都将获得一枚挽歌骰</t>
    </r>
    <r>
      <rPr>
        <sz val="10"/>
        <color theme="1"/>
        <rFont val="Times New Roman"/>
        <charset val="134"/>
      </rPr>
      <t>Dirge die</t>
    </r>
    <r>
      <rPr>
        <sz val="10"/>
        <color theme="1"/>
        <rFont val="宋体"/>
        <charset val="134"/>
      </rPr>
      <t>，如果生物的挽歌骰在</t>
    </r>
    <r>
      <rPr>
        <sz val="10"/>
        <color theme="1"/>
        <rFont val="Times New Roman"/>
        <charset val="134"/>
      </rPr>
      <t>10</t>
    </r>
    <r>
      <rPr>
        <sz val="10"/>
        <color theme="1"/>
        <rFont val="宋体"/>
        <charset val="134"/>
      </rPr>
      <t>分钟内未被消耗掉，该挽歌骰会自动消失。挽歌骰的使用时机方式方法均与你的诗人激励骰相同。此外，你还可以作为给予激励骰同一个附赠动作的一部分，对所有受你操控的亡灵下达精神指令。
如果一名受你操控的亡灵将挽歌骰用在了一次攻击检定上，那么若它此次攻击检定命中，它还能将骰值加入到此次攻击的伤害掷骰中。</t>
    </r>
  </si>
  <si>
    <t>丰收领域法术</t>
  </si>
  <si>
    <r>
      <rPr>
        <sz val="10"/>
        <color theme="1"/>
        <rFont val="宋体"/>
        <charset val="134"/>
      </rPr>
      <t>当你完成一次短休或长休时，选择丰收循环的一个阶段：播种</t>
    </r>
    <r>
      <rPr>
        <sz val="10"/>
        <color theme="1"/>
        <rFont val="Times New Roman"/>
        <charset val="134"/>
      </rPr>
      <t>Sowing</t>
    </r>
    <r>
      <rPr>
        <sz val="10"/>
        <color theme="1"/>
        <rFont val="宋体"/>
        <charset val="134"/>
      </rPr>
      <t>、生长</t>
    </r>
    <r>
      <rPr>
        <sz val="10"/>
        <color theme="1"/>
        <rFont val="Times New Roman"/>
        <charset val="134"/>
      </rPr>
      <t>Growing</t>
    </r>
    <r>
      <rPr>
        <sz val="10"/>
        <color theme="1"/>
        <rFont val="宋体"/>
        <charset val="134"/>
      </rPr>
      <t>或收割</t>
    </r>
    <r>
      <rPr>
        <sz val="10"/>
        <color theme="1"/>
        <rFont val="Times New Roman"/>
        <charset val="134"/>
      </rPr>
      <t>Reaping</t>
    </r>
    <r>
      <rPr>
        <sz val="10"/>
        <color theme="1"/>
        <rFont val="宋体"/>
        <charset val="134"/>
      </rPr>
      <t>。见丰收领域法术表；当你达到特定的牧师等级时，你就始终准备着表中所选阶段对应的法术。</t>
    </r>
    <r>
      <rPr>
        <sz val="10"/>
        <color theme="1"/>
        <rFont val="Times New Roman"/>
        <charset val="134"/>
      </rPr>
      <t xml:space="preserve">
</t>
    </r>
    <r>
      <rPr>
        <sz val="10"/>
        <color theme="1"/>
        <rFont val="宋体"/>
        <charset val="134"/>
      </rPr>
      <t>丰收领域法术</t>
    </r>
    <r>
      <rPr>
        <sz val="10"/>
        <color theme="1"/>
        <rFont val="Times New Roman"/>
        <charset val="134"/>
      </rPr>
      <t xml:space="preserve">Harvest Domain Spells
</t>
    </r>
    <r>
      <rPr>
        <sz val="10"/>
        <color theme="1"/>
        <rFont val="宋体"/>
        <charset val="134"/>
      </rPr>
      <t>牧师等级</t>
    </r>
    <r>
      <rPr>
        <sz val="10"/>
        <color theme="1"/>
        <rFont val="Times New Roman"/>
        <charset val="134"/>
      </rPr>
      <t xml:space="preserve">	</t>
    </r>
    <r>
      <rPr>
        <sz val="10"/>
        <color theme="1"/>
        <rFont val="宋体"/>
        <charset val="134"/>
      </rPr>
      <t>播种</t>
    </r>
    <r>
      <rPr>
        <sz val="10"/>
        <color theme="1"/>
        <rFont val="Times New Roman"/>
        <charset val="134"/>
      </rPr>
      <t xml:space="preserve">	</t>
    </r>
    <r>
      <rPr>
        <sz val="10"/>
        <color theme="1"/>
        <rFont val="宋体"/>
        <charset val="134"/>
      </rPr>
      <t>生长</t>
    </r>
    <r>
      <rPr>
        <sz val="10"/>
        <color theme="1"/>
        <rFont val="Times New Roman"/>
        <charset val="134"/>
      </rPr>
      <t xml:space="preserve">	</t>
    </r>
    <r>
      <rPr>
        <sz val="10"/>
        <color theme="1"/>
        <rFont val="宋体"/>
        <charset val="134"/>
      </rPr>
      <t>收割</t>
    </r>
    <r>
      <rPr>
        <sz val="10"/>
        <color theme="1"/>
        <rFont val="Times New Roman"/>
        <charset val="134"/>
      </rPr>
      <t xml:space="preserve">
3 </t>
    </r>
    <r>
      <rPr>
        <sz val="10"/>
        <color theme="1"/>
        <rFont val="宋体"/>
        <charset val="134"/>
      </rPr>
      <t>德鲁伊伎俩</t>
    </r>
    <r>
      <rPr>
        <sz val="10"/>
        <color theme="1"/>
        <rFont val="Times New Roman"/>
        <charset val="134"/>
      </rPr>
      <t xml:space="preserve">Druidcraft </t>
    </r>
    <r>
      <rPr>
        <sz val="10"/>
        <color theme="1"/>
        <rFont val="宋体"/>
        <charset val="134"/>
      </rPr>
      <t>神导术</t>
    </r>
    <r>
      <rPr>
        <sz val="10"/>
        <color theme="1"/>
        <rFont val="Times New Roman"/>
        <charset val="134"/>
      </rPr>
      <t xml:space="preserve">Guidance </t>
    </r>
    <r>
      <rPr>
        <sz val="10"/>
        <color theme="1"/>
        <rFont val="宋体"/>
        <charset val="134"/>
      </rPr>
      <t>颤栗之触</t>
    </r>
    <r>
      <rPr>
        <sz val="10"/>
        <color theme="1"/>
        <rFont val="Times New Roman"/>
        <charset val="134"/>
      </rPr>
      <t xml:space="preserve">Chill Touch
   </t>
    </r>
    <r>
      <rPr>
        <sz val="10"/>
        <color theme="1"/>
        <rFont val="宋体"/>
        <charset val="134"/>
      </rPr>
      <t>神莓术</t>
    </r>
    <r>
      <rPr>
        <sz val="10"/>
        <color theme="1"/>
        <rFont val="Times New Roman"/>
        <charset val="134"/>
      </rPr>
      <t xml:space="preserve">Goodberry </t>
    </r>
    <r>
      <rPr>
        <sz val="10"/>
        <color theme="1"/>
        <rFont val="宋体"/>
        <charset val="134"/>
      </rPr>
      <t>纠缠术</t>
    </r>
    <r>
      <rPr>
        <sz val="10"/>
        <color theme="1"/>
        <rFont val="Times New Roman"/>
        <charset val="134"/>
      </rPr>
      <t xml:space="preserve">Entangle </t>
    </r>
    <r>
      <rPr>
        <sz val="10"/>
        <color theme="1"/>
        <rFont val="宋体"/>
        <charset val="134"/>
      </rPr>
      <t>致伤术</t>
    </r>
    <r>
      <rPr>
        <sz val="10"/>
        <color theme="1"/>
        <rFont val="Times New Roman"/>
        <charset val="134"/>
      </rPr>
      <t xml:space="preserve">Inflict Wounds
   </t>
    </r>
    <r>
      <rPr>
        <sz val="10"/>
        <color theme="1"/>
        <rFont val="宋体"/>
        <charset val="134"/>
      </rPr>
      <t>次级复原术</t>
    </r>
    <r>
      <rPr>
        <sz val="10"/>
        <color theme="1"/>
        <rFont val="Times New Roman"/>
        <charset val="134"/>
      </rPr>
      <t xml:space="preserve">Lesser Restoration </t>
    </r>
    <r>
      <rPr>
        <sz val="10"/>
        <color theme="1"/>
        <rFont val="宋体"/>
        <charset val="134"/>
      </rPr>
      <t>夏日清风</t>
    </r>
    <r>
      <rPr>
        <sz val="10"/>
        <color theme="1"/>
        <rFont val="Times New Roman"/>
        <charset val="134"/>
      </rPr>
      <t xml:space="preserve">Summer Winds </t>
    </r>
    <r>
      <rPr>
        <sz val="10"/>
        <color theme="1"/>
        <rFont val="宋体"/>
        <charset val="134"/>
      </rPr>
      <t>定身类人</t>
    </r>
    <r>
      <rPr>
        <sz val="10"/>
        <color theme="1"/>
        <rFont val="Times New Roman"/>
        <charset val="134"/>
      </rPr>
      <t xml:space="preserve">Hold Person
5 </t>
    </r>
    <r>
      <rPr>
        <sz val="10"/>
        <color theme="1"/>
        <rFont val="宋体"/>
        <charset val="134"/>
      </rPr>
      <t>丰收月辉</t>
    </r>
    <r>
      <rPr>
        <sz val="10"/>
        <color theme="1"/>
        <rFont val="Times New Roman"/>
        <charset val="134"/>
      </rPr>
      <t xml:space="preserve">Harvest Moonglow </t>
    </r>
    <r>
      <rPr>
        <sz val="10"/>
        <color theme="1"/>
        <rFont val="宋体"/>
        <charset val="134"/>
      </rPr>
      <t>植物滋长</t>
    </r>
    <r>
      <rPr>
        <sz val="10"/>
        <color theme="1"/>
        <rFont val="Times New Roman"/>
        <charset val="134"/>
      </rPr>
      <t xml:space="preserve">Plant Growth </t>
    </r>
    <r>
      <rPr>
        <sz val="10"/>
        <color theme="1"/>
        <rFont val="宋体"/>
        <charset val="134"/>
      </rPr>
      <t>剔肉镰刀</t>
    </r>
    <r>
      <rPr>
        <sz val="10"/>
        <color theme="1"/>
        <rFont val="Times New Roman"/>
        <charset val="134"/>
      </rPr>
      <t xml:space="preserve">Culling Sickle
7 </t>
    </r>
    <r>
      <rPr>
        <sz val="10"/>
        <color theme="1"/>
        <rFont val="宋体"/>
        <charset val="134"/>
      </rPr>
      <t>防死结界</t>
    </r>
    <r>
      <rPr>
        <sz val="10"/>
        <color theme="1"/>
        <rFont val="Times New Roman"/>
        <charset val="134"/>
      </rPr>
      <t xml:space="preserve">Death Ward </t>
    </r>
    <r>
      <rPr>
        <sz val="10"/>
        <color theme="1"/>
        <rFont val="宋体"/>
        <charset val="134"/>
      </rPr>
      <t>牧人圣所</t>
    </r>
    <r>
      <rPr>
        <sz val="10"/>
        <color theme="1"/>
        <rFont val="Times New Roman"/>
        <charset val="134"/>
      </rPr>
      <t xml:space="preserve">Sanctum of the Shepherd </t>
    </r>
    <r>
      <rPr>
        <sz val="10"/>
        <color theme="1"/>
        <rFont val="宋体"/>
        <charset val="134"/>
      </rPr>
      <t>薪火焚身</t>
    </r>
    <r>
      <rPr>
        <sz val="10"/>
        <color theme="1"/>
        <rFont val="Times New Roman"/>
        <charset val="134"/>
      </rPr>
      <t xml:space="preserve">Consuming Pyre
9 </t>
    </r>
    <r>
      <rPr>
        <sz val="10"/>
        <color theme="1"/>
        <rFont val="宋体"/>
        <charset val="134"/>
      </rPr>
      <t>启蒙术</t>
    </r>
    <r>
      <rPr>
        <sz val="10"/>
        <color theme="1"/>
        <rFont val="Times New Roman"/>
        <charset val="134"/>
      </rPr>
      <t xml:space="preserve">Awaken </t>
    </r>
    <r>
      <rPr>
        <sz val="10"/>
        <color theme="1"/>
        <rFont val="宋体"/>
        <charset val="134"/>
      </rPr>
      <t>群体疗伤术</t>
    </r>
    <r>
      <rPr>
        <sz val="10"/>
        <color theme="1"/>
        <rFont val="Times New Roman"/>
        <charset val="134"/>
      </rPr>
      <t xml:space="preserve">Mass Cure Wounds </t>
    </r>
    <r>
      <rPr>
        <sz val="10"/>
        <color theme="1"/>
        <rFont val="宋体"/>
        <charset val="134"/>
      </rPr>
      <t>收割场</t>
    </r>
    <r>
      <rPr>
        <sz val="10"/>
        <color theme="1"/>
        <rFont val="Times New Roman"/>
        <charset val="134"/>
      </rPr>
      <t>Field of Reaping</t>
    </r>
  </si>
  <si>
    <t>缚魂娃娃</t>
  </si>
  <si>
    <r>
      <rPr>
        <sz val="10"/>
        <color theme="1"/>
        <rFont val="宋体"/>
        <charset val="134"/>
      </rPr>
      <t>你可以使用魔法动作消耗一次荒野形态</t>
    </r>
    <r>
      <rPr>
        <sz val="10"/>
        <color theme="1"/>
        <rFont val="Times New Roman"/>
        <charset val="134"/>
      </rPr>
      <t>Wild Shape</t>
    </r>
    <r>
      <rPr>
        <sz val="10"/>
        <color theme="1"/>
        <rFont val="宋体"/>
        <charset val="134"/>
      </rPr>
      <t>特性的使用次数，选择你周边</t>
    </r>
    <r>
      <rPr>
        <sz val="10"/>
        <color theme="1"/>
        <rFont val="Times New Roman"/>
        <charset val="134"/>
      </rPr>
      <t>60</t>
    </r>
    <r>
      <rPr>
        <sz val="10"/>
        <color theme="1"/>
        <rFont val="宋体"/>
        <charset val="134"/>
      </rPr>
      <t>尺范围内一个你可见的生物，创造出一个与目标外观相似的柳条娃娃。娃娃是一个微型物件（</t>
    </r>
    <r>
      <rPr>
        <sz val="10"/>
        <color theme="1"/>
        <rFont val="Times New Roman"/>
        <charset val="134"/>
      </rPr>
      <t>AC10</t>
    </r>
    <r>
      <rPr>
        <sz val="10"/>
        <color theme="1"/>
        <rFont val="宋体"/>
        <charset val="134"/>
      </rPr>
      <t>；</t>
    </r>
    <r>
      <rPr>
        <sz val="10"/>
        <color theme="1"/>
        <rFont val="Times New Roman"/>
        <charset val="134"/>
      </rPr>
      <t>HP10</t>
    </r>
    <r>
      <rPr>
        <sz val="10"/>
        <color theme="1"/>
        <rFont val="宋体"/>
        <charset val="134"/>
      </rPr>
      <t>；具有火焰伤害易伤；免疫毒素和心灵伤害）。娃娃会在</t>
    </r>
    <r>
      <rPr>
        <sz val="10"/>
        <color theme="1"/>
        <rFont val="Times New Roman"/>
        <charset val="134"/>
      </rPr>
      <t>1</t>
    </r>
    <r>
      <rPr>
        <sz val="10"/>
        <color theme="1"/>
        <rFont val="宋体"/>
        <charset val="134"/>
      </rPr>
      <t>分钟后或当其生命值减少至</t>
    </r>
    <r>
      <rPr>
        <sz val="10"/>
        <color theme="1"/>
        <rFont val="Times New Roman"/>
        <charset val="134"/>
      </rPr>
      <t>0</t>
    </r>
    <r>
      <rPr>
        <sz val="10"/>
        <color theme="1"/>
        <rFont val="宋体"/>
        <charset val="134"/>
      </rPr>
      <t>时消失。娃娃存在期间，目标对携带娃娃的生物进行的攻击检定具有劣势，当一个携带娃娃的生物在一回合中首次对目标造成伤害时，目标会额外受到</t>
    </r>
    <r>
      <rPr>
        <sz val="10"/>
        <color theme="1"/>
        <rFont val="Times New Roman"/>
        <charset val="134"/>
      </rPr>
      <t>2d10</t>
    </r>
    <r>
      <rPr>
        <sz val="10"/>
        <color theme="1"/>
        <rFont val="宋体"/>
        <charset val="134"/>
      </rPr>
      <t>暗蚀伤害。</t>
    </r>
  </si>
  <si>
    <r>
      <rPr>
        <sz val="10"/>
        <color theme="1"/>
        <rFont val="宋体"/>
        <charset val="134"/>
      </rPr>
      <t>霜之符文</t>
    </r>
  </si>
  <si>
    <r>
      <rPr>
        <sz val="10"/>
        <color theme="1"/>
        <rFont val="宋体"/>
        <charset val="134"/>
      </rPr>
      <t>该符文的魔力唤起了那些在寒冷荒野中生存下来的存在的力量，比如霜巨人。
当你穿着或持有一个铭刻此符文的物品，你在感知（驯兽）检定和魅力（威吓）检定上获得优势。
此外，你可以用一个附赠动作对该符文激活来提高你的体能。
十分钟内，你的所有使用力量、体质的能力和相关豁免检定获得</t>
    </r>
    <r>
      <rPr>
        <sz val="10"/>
        <color theme="1"/>
        <rFont val="Times New Roman"/>
        <charset val="134"/>
      </rPr>
      <t>+2</t>
    </r>
    <r>
      <rPr>
        <sz val="10"/>
        <color theme="1"/>
        <rFont val="宋体"/>
        <charset val="134"/>
      </rPr>
      <t>的加值。
每当你激活该符文，你无法再次使用该异能直到你完成一次短休或长休。</t>
    </r>
  </si>
  <si>
    <t>必杀技</t>
  </si>
  <si>
    <t xml:space="preserve">你已经熟记并掌握了一系列独特动作模式，使得你能使用如下必杀技：
波动拳Energy Blast。 当你在自己回合内执行攻击动作时，你可以消耗1点功力，将一次攻击替换为波动拳。60尺内你选择的一名你可见的生物进行一次敏捷豁免，豁免失败则受到等于掷两次你的武艺骰总值的力场伤害，豁免成功则伤害减半。
破防击Guard Breaker。 如果你使用你的徒手打击进行攻击检定但失手于目标，你可以消耗1点功力以执行一次破防击。这次徒手打击对目标造成等于你敏捷调整值的伤害。这次失手不会重置你的连招加值。
升龙霸Uppercut。 当你使用徒手打击命中一名生物并造成伤害时，你可以消耗1点功力以进行一次升龙霸。你可以将不超过大型的目标推离至多5尺，并使其陷入倒地状态。  </t>
  </si>
  <si>
    <t>明晰灵光</t>
  </si>
  <si>
    <r>
      <rPr>
        <sz val="10"/>
        <color theme="1"/>
        <rFont val="宋体"/>
        <charset val="134"/>
      </rPr>
      <t>你与友方生物在你身边</t>
    </r>
    <r>
      <rPr>
        <sz val="10"/>
        <color theme="1"/>
        <rFont val="Times New Roman"/>
        <charset val="134"/>
      </rPr>
      <t>10</t>
    </r>
    <r>
      <rPr>
        <sz val="10"/>
        <color theme="1"/>
        <rFont val="宋体"/>
        <charset val="134"/>
      </rPr>
      <t>尺内不会被目盲。提供该增益时你必须保持意识清醒。另外，你选择的生物和物件处于灵光范围内时无法受益于隐形。</t>
    </r>
    <r>
      <rPr>
        <sz val="10"/>
        <color theme="1"/>
        <rFont val="Times New Roman"/>
        <charset val="134"/>
      </rPr>
      <t xml:space="preserve"> 
</t>
    </r>
    <r>
      <rPr>
        <sz val="10"/>
        <color theme="1"/>
        <rFont val="宋体"/>
        <charset val="134"/>
      </rPr>
      <t>第</t>
    </r>
    <r>
      <rPr>
        <sz val="10"/>
        <color theme="1"/>
        <rFont val="Times New Roman"/>
        <charset val="134"/>
      </rPr>
      <t>18</t>
    </r>
    <r>
      <rPr>
        <sz val="10"/>
        <color theme="1"/>
        <rFont val="宋体"/>
        <charset val="134"/>
      </rPr>
      <t>级起，灵光的作用范围扩展至</t>
    </r>
    <r>
      <rPr>
        <sz val="10"/>
        <color theme="1"/>
        <rFont val="Times New Roman"/>
        <charset val="134"/>
      </rPr>
      <t>30</t>
    </r>
    <r>
      <rPr>
        <sz val="10"/>
        <color theme="1"/>
        <rFont val="宋体"/>
        <charset val="134"/>
      </rPr>
      <t>尺。</t>
    </r>
  </si>
  <si>
    <t>冻原探索者</t>
  </si>
  <si>
    <r>
      <rPr>
        <sz val="10"/>
        <color theme="1"/>
        <rFont val="宋体"/>
        <charset val="134"/>
      </rPr>
      <t>你获得了以下增益。</t>
    </r>
    <r>
      <rPr>
        <sz val="10"/>
        <color theme="1"/>
        <rFont val="Times New Roman"/>
        <charset val="134"/>
      </rPr>
      <t xml:space="preserve">
</t>
    </r>
    <r>
      <rPr>
        <sz val="10"/>
        <color theme="1"/>
        <rFont val="宋体"/>
        <charset val="134"/>
      </rPr>
      <t>刺骨严寒</t>
    </r>
    <r>
      <rPr>
        <sz val="10"/>
        <color theme="1"/>
        <rFont val="Times New Roman"/>
        <charset val="134"/>
      </rPr>
      <t>Biting Cold.</t>
    </r>
    <r>
      <rPr>
        <sz val="10"/>
        <color theme="1"/>
        <rFont val="宋体"/>
        <charset val="134"/>
      </rPr>
      <t>你的武器攻击、游侠法术以及游侠特性所造成的伤害无视寒冷抗性。</t>
    </r>
    <r>
      <rPr>
        <sz val="10"/>
        <color theme="1"/>
        <rFont val="Times New Roman"/>
        <charset val="134"/>
      </rPr>
      <t xml:space="preserve">
</t>
    </r>
    <r>
      <rPr>
        <sz val="10"/>
        <color theme="1"/>
        <rFont val="宋体"/>
        <charset val="134"/>
      </rPr>
      <t>冰霜抵抗</t>
    </r>
    <r>
      <rPr>
        <sz val="10"/>
        <color theme="1"/>
        <rFont val="Times New Roman"/>
        <charset val="134"/>
      </rPr>
      <t>Frost Resistance</t>
    </r>
    <r>
      <rPr>
        <sz val="10"/>
        <color theme="1"/>
        <rFont val="宋体"/>
        <charset val="134"/>
      </rPr>
      <t>。你获得寒冷伤害的抗性。</t>
    </r>
    <r>
      <rPr>
        <sz val="10"/>
        <color theme="1"/>
        <rFont val="Times New Roman"/>
        <charset val="134"/>
      </rPr>
      <t xml:space="preserve">
</t>
    </r>
    <r>
      <rPr>
        <sz val="10"/>
        <color theme="1"/>
        <rFont val="宋体"/>
        <charset val="134"/>
      </rPr>
      <t>极地打击</t>
    </r>
    <r>
      <rPr>
        <sz val="10"/>
        <color theme="1"/>
        <rFont val="Times New Roman"/>
        <charset val="134"/>
      </rPr>
      <t>Polar Strikes</t>
    </r>
    <r>
      <rPr>
        <sz val="10"/>
        <color theme="1"/>
        <rFont val="宋体"/>
        <charset val="134"/>
      </rPr>
      <t>。当你用武器对生物进行一次攻击检定并命中时，你可以额外对目标造成</t>
    </r>
    <r>
      <rPr>
        <sz val="10"/>
        <color theme="1"/>
        <rFont val="Times New Roman"/>
        <charset val="134"/>
      </rPr>
      <t>1d4</t>
    </r>
    <r>
      <rPr>
        <sz val="10"/>
        <color theme="1"/>
        <rFont val="宋体"/>
        <charset val="134"/>
      </rPr>
      <t>点寒冷伤害。每名目标每回合仅会受到一次该额外伤害。你的游侠等级达到</t>
    </r>
    <r>
      <rPr>
        <sz val="10"/>
        <color theme="1"/>
        <rFont val="Times New Roman"/>
        <charset val="134"/>
      </rPr>
      <t>11</t>
    </r>
    <r>
      <rPr>
        <sz val="10"/>
        <color theme="1"/>
        <rFont val="宋体"/>
        <charset val="134"/>
      </rPr>
      <t>级时，这一额外伤害变为</t>
    </r>
    <r>
      <rPr>
        <sz val="10"/>
        <color theme="1"/>
        <rFont val="Times New Roman"/>
        <charset val="134"/>
      </rPr>
      <t>1d6</t>
    </r>
    <r>
      <rPr>
        <sz val="10"/>
        <color theme="1"/>
        <rFont val="宋体"/>
        <charset val="134"/>
      </rPr>
      <t>。</t>
    </r>
  </si>
  <si>
    <t>铁蜡封缄</t>
  </si>
  <si>
    <t>以一个动作，你可以花费1点烛心点熔化铁制的蜡封，并将其按压于任何门或带盖的物体表面。在施加蜡封后，目标物体将被魔法封印且无法被开启，除非一个生物成功通过一个力量（运动）检定对抗你的施法DC，成功则蜡封被破除。铁蜡封缄会持续至它被破坏，或被解除魔法（它视作一个1环法术）。你可以花费一个动作触碰一个你创造的铁蜡封缄，并提前结束其效应。</t>
  </si>
  <si>
    <t>血宴</t>
  </si>
  <si>
    <r>
      <rPr>
        <sz val="10"/>
        <color theme="1"/>
        <rFont val="宋体"/>
        <charset val="134"/>
      </rPr>
      <t>你对生命精华的渴求已无法满足。你可以使用魔法动作释放出鲜血触须，鞭打你周边</t>
    </r>
    <r>
      <rPr>
        <sz val="10"/>
        <color theme="1"/>
        <rFont val="Times New Roman"/>
        <charset val="134"/>
      </rPr>
      <t>30</t>
    </r>
    <r>
      <rPr>
        <sz val="10"/>
        <color theme="1"/>
        <rFont val="宋体"/>
        <charset val="134"/>
      </rPr>
      <t>尺范围内你选择的任何生物。目标必须进行一次体质豁免，豁免失败则受到</t>
    </r>
    <r>
      <rPr>
        <sz val="10"/>
        <color theme="1"/>
        <rFont val="Times New Roman"/>
        <charset val="134"/>
      </rPr>
      <t>5d8</t>
    </r>
    <r>
      <rPr>
        <sz val="10"/>
        <color theme="1"/>
        <rFont val="宋体"/>
        <charset val="134"/>
      </rPr>
      <t>暗蚀伤害，豁免成功则仅受一半伤害。当你使用该动作时，如果你的血源已被消耗，则目标在该豁免检定中具有劣势。如果至少一个生物受到血宴的伤害，则你恢复等同于伤害掷骰结果的生命值。</t>
    </r>
    <r>
      <rPr>
        <sz val="10"/>
        <color theme="1"/>
        <rFont val="Times New Roman"/>
        <charset val="134"/>
      </rPr>
      <t xml:space="preserve">
</t>
    </r>
    <r>
      <rPr>
        <sz val="10"/>
        <color theme="1"/>
        <rFont val="宋体"/>
        <charset val="134"/>
      </rPr>
      <t>一旦你使用了此特性，则直至你完成一次长休前，都无法再次使用。你也可以消耗</t>
    </r>
    <r>
      <rPr>
        <sz val="10"/>
        <color theme="1"/>
        <rFont val="Times New Roman"/>
        <charset val="134"/>
      </rPr>
      <t>5</t>
    </r>
    <r>
      <rPr>
        <sz val="10"/>
        <color theme="1"/>
        <rFont val="宋体"/>
        <charset val="134"/>
      </rPr>
      <t>术法点来重置该特性的使用权。</t>
    </r>
  </si>
  <si>
    <r>
      <rPr>
        <sz val="10"/>
        <color theme="1"/>
        <rFont val="宋体"/>
        <charset val="134"/>
      </rPr>
      <t>巨灵宗主</t>
    </r>
  </si>
  <si>
    <r>
      <rPr>
        <sz val="10"/>
        <color theme="1"/>
        <rFont val="宋体"/>
        <charset val="134"/>
      </rPr>
      <t xml:space="preserve">你与巨灵中的稀有群体，巨灵贵族缔结了契约。巨灵贵族乃是广阔的元素位面的统治者，并对其他次等巨灵与次等元素生物具有莫大的影响力。
巨灵贵族们的动机各不相同，但都傲慢自大且有着匹敌次等神明的强大伟力。
他们喜好让热衷于缚誓巨灵的凡人们反过来服侍他们，并对于缔结能扩张他们在多元宇宙中势力的契约有着巨大的热情。
你可以选择你宗主是哪种巨灵也可以通过巨灵种类表让骰子决定。如表所示，每种巨灵都与一种元素相对应。
【巨灵种类】：
</t>
    </r>
    <r>
      <rPr>
        <sz val="10"/>
        <color theme="1"/>
        <rFont val="Times New Roman"/>
        <charset val="134"/>
      </rPr>
      <t xml:space="preserve">d4 </t>
    </r>
    <r>
      <rPr>
        <sz val="10"/>
        <color theme="1"/>
        <rFont val="宋体"/>
        <charset val="134"/>
      </rPr>
      <t>种类</t>
    </r>
    <r>
      <rPr>
        <sz val="10"/>
        <color theme="1"/>
        <rFont val="Times New Roman"/>
        <charset val="134"/>
      </rPr>
      <t xml:space="preserve">  </t>
    </r>
    <r>
      <rPr>
        <sz val="10"/>
        <color theme="1"/>
        <rFont val="宋体"/>
        <charset val="134"/>
      </rPr>
      <t xml:space="preserve">对应元素
</t>
    </r>
    <r>
      <rPr>
        <sz val="10"/>
        <color theme="1"/>
        <rFont val="Times New Roman"/>
        <charset val="134"/>
      </rPr>
      <t xml:space="preserve">1 </t>
    </r>
    <r>
      <rPr>
        <sz val="10"/>
        <color theme="1"/>
        <rFont val="宋体"/>
        <charset val="134"/>
      </rPr>
      <t>土巨灵</t>
    </r>
    <r>
      <rPr>
        <sz val="10"/>
        <color theme="1"/>
        <rFont val="Times New Roman"/>
        <charset val="134"/>
      </rPr>
      <t xml:space="preserve"> </t>
    </r>
    <r>
      <rPr>
        <sz val="10"/>
        <color theme="1"/>
        <rFont val="宋体"/>
        <charset val="134"/>
      </rPr>
      <t xml:space="preserve">土
</t>
    </r>
    <r>
      <rPr>
        <sz val="10"/>
        <color theme="1"/>
        <rFont val="Times New Roman"/>
        <charset val="134"/>
      </rPr>
      <t xml:space="preserve">2 </t>
    </r>
    <r>
      <rPr>
        <sz val="10"/>
        <color theme="1"/>
        <rFont val="宋体"/>
        <charset val="134"/>
      </rPr>
      <t>气巨灵</t>
    </r>
    <r>
      <rPr>
        <sz val="10"/>
        <color theme="1"/>
        <rFont val="Times New Roman"/>
        <charset val="134"/>
      </rPr>
      <t xml:space="preserve"> </t>
    </r>
    <r>
      <rPr>
        <sz val="10"/>
        <color theme="1"/>
        <rFont val="宋体"/>
        <charset val="134"/>
      </rPr>
      <t xml:space="preserve">气
</t>
    </r>
    <r>
      <rPr>
        <sz val="10"/>
        <color theme="1"/>
        <rFont val="Times New Roman"/>
        <charset val="134"/>
      </rPr>
      <t xml:space="preserve">3 </t>
    </r>
    <r>
      <rPr>
        <sz val="10"/>
        <color theme="1"/>
        <rFont val="宋体"/>
        <charset val="134"/>
      </rPr>
      <t>火巨灵</t>
    </r>
    <r>
      <rPr>
        <sz val="10"/>
        <color theme="1"/>
        <rFont val="Times New Roman"/>
        <charset val="134"/>
      </rPr>
      <t xml:space="preserve"> </t>
    </r>
    <r>
      <rPr>
        <sz val="10"/>
        <color theme="1"/>
        <rFont val="宋体"/>
        <charset val="134"/>
      </rPr>
      <t xml:space="preserve">火
</t>
    </r>
    <r>
      <rPr>
        <sz val="10"/>
        <color theme="1"/>
        <rFont val="Times New Roman"/>
        <charset val="134"/>
      </rPr>
      <t xml:space="preserve">4 </t>
    </r>
    <r>
      <rPr>
        <sz val="10"/>
        <color theme="1"/>
        <rFont val="宋体"/>
        <charset val="134"/>
      </rPr>
      <t>水巨灵</t>
    </r>
    <r>
      <rPr>
        <sz val="10"/>
        <color theme="1"/>
        <rFont val="Times New Roman"/>
        <charset val="134"/>
      </rPr>
      <t xml:space="preserve"> </t>
    </r>
    <r>
      <rPr>
        <sz val="10"/>
        <color theme="1"/>
        <rFont val="宋体"/>
        <charset val="134"/>
      </rPr>
      <t>水</t>
    </r>
  </si>
  <si>
    <t>精粹结晶</t>
  </si>
  <si>
    <r>
      <rPr>
        <sz val="10"/>
        <color theme="1"/>
        <rFont val="宋体"/>
        <charset val="134"/>
      </rPr>
      <t>你已掌握“分解”的基本原理。你知晓戏法瓦解术</t>
    </r>
    <r>
      <rPr>
        <sz val="10"/>
        <color theme="1"/>
        <rFont val="Times New Roman"/>
        <charset val="134"/>
      </rPr>
      <t>Dissolution*</t>
    </r>
    <r>
      <rPr>
        <sz val="10"/>
        <color theme="1"/>
        <rFont val="宋体"/>
        <charset val="134"/>
      </rPr>
      <t>。当你以该戏法将一个生物或物件的生命值降至</t>
    </r>
    <r>
      <rPr>
        <sz val="10"/>
        <color theme="1"/>
        <rFont val="Times New Roman"/>
        <charset val="134"/>
      </rPr>
      <t>0</t>
    </r>
    <r>
      <rPr>
        <sz val="10"/>
        <color theme="1"/>
        <rFont val="宋体"/>
        <charset val="134"/>
      </rPr>
      <t>时，目标被摧毁。如果目标为小型或更大，则其会被分解为</t>
    </r>
    <r>
      <rPr>
        <sz val="10"/>
        <color theme="1"/>
        <rFont val="Times New Roman"/>
        <charset val="134"/>
      </rPr>
      <t>1</t>
    </r>
    <r>
      <rPr>
        <sz val="10"/>
        <color theme="1"/>
        <rFont val="宋体"/>
        <charset val="134"/>
      </rPr>
      <t>份（约</t>
    </r>
    <r>
      <rPr>
        <sz val="10"/>
        <color theme="1"/>
        <rFont val="Times New Roman"/>
        <charset val="134"/>
      </rPr>
      <t>1</t>
    </r>
    <r>
      <rPr>
        <sz val="10"/>
        <color theme="1"/>
        <rFont val="宋体"/>
        <charset val="134"/>
      </rPr>
      <t>盎司）名为精粹结晶</t>
    </r>
    <r>
      <rPr>
        <sz val="10"/>
        <color theme="1"/>
        <rFont val="Times New Roman"/>
        <charset val="134"/>
      </rPr>
      <t>Quintessence</t>
    </r>
    <r>
      <rPr>
        <sz val="10"/>
        <color theme="1"/>
        <rFont val="宋体"/>
        <charset val="134"/>
      </rPr>
      <t>的晶尘。你最多可以同时持有等于你两倍智力调整值的精粹结晶（至少</t>
    </r>
    <r>
      <rPr>
        <sz val="10"/>
        <color theme="1"/>
        <rFont val="Times New Roman"/>
        <charset val="134"/>
      </rPr>
      <t>2</t>
    </r>
    <r>
      <rPr>
        <sz val="10"/>
        <color theme="1"/>
        <rFont val="宋体"/>
        <charset val="134"/>
      </rPr>
      <t>份）。如果你制造更多，则最早的那份会消失。你可以通过以下方式使用你正在触碰的精粹结晶。</t>
    </r>
    <r>
      <rPr>
        <sz val="10"/>
        <color theme="1"/>
        <rFont val="Times New Roman"/>
        <charset val="134"/>
      </rPr>
      <t xml:space="preserve">
</t>
    </r>
    <r>
      <rPr>
        <sz val="10"/>
        <color theme="1"/>
        <rFont val="宋体"/>
        <charset val="134"/>
      </rPr>
      <t>材料成分</t>
    </r>
    <r>
      <rPr>
        <sz val="10"/>
        <color theme="1"/>
        <rFont val="Times New Roman"/>
        <charset val="134"/>
      </rPr>
      <t>Material Component</t>
    </r>
    <r>
      <rPr>
        <sz val="10"/>
        <color theme="1"/>
        <rFont val="宋体"/>
        <charset val="134"/>
      </rPr>
      <t>。</t>
    </r>
    <r>
      <rPr>
        <sz val="10"/>
        <color theme="1"/>
        <rFont val="Times New Roman"/>
        <charset val="134"/>
      </rPr>
      <t xml:space="preserve"> </t>
    </r>
    <r>
      <rPr>
        <sz val="10"/>
        <color theme="1"/>
        <rFont val="宋体"/>
        <charset val="134"/>
      </rPr>
      <t>当你施展一道法术时，你可以消耗精粹结晶来代替该法术的材料成分，每份精粹结晶可代替价值</t>
    </r>
    <r>
      <rPr>
        <sz val="10"/>
        <color theme="1"/>
        <rFont val="Times New Roman"/>
        <charset val="134"/>
      </rPr>
      <t>100GP</t>
    </r>
    <r>
      <rPr>
        <sz val="10"/>
        <color theme="1"/>
        <rFont val="宋体"/>
        <charset val="134"/>
      </rPr>
      <t>的材料。</t>
    </r>
    <r>
      <rPr>
        <sz val="10"/>
        <color theme="1"/>
        <rFont val="Times New Roman"/>
        <charset val="134"/>
      </rPr>
      <t xml:space="preserve">
</t>
    </r>
    <r>
      <rPr>
        <sz val="10"/>
        <color theme="1"/>
        <rFont val="宋体"/>
        <charset val="134"/>
      </rPr>
      <t>化学试剂</t>
    </r>
    <r>
      <rPr>
        <sz val="10"/>
        <color theme="1"/>
        <rFont val="Times New Roman"/>
        <charset val="134"/>
      </rPr>
      <t>Reagent</t>
    </r>
    <r>
      <rPr>
        <sz val="10"/>
        <color theme="1"/>
        <rFont val="宋体"/>
        <charset val="134"/>
      </rPr>
      <t>。</t>
    </r>
    <r>
      <rPr>
        <sz val="10"/>
        <color theme="1"/>
        <rFont val="Times New Roman"/>
        <charset val="134"/>
      </rPr>
      <t xml:space="preserve"> </t>
    </r>
    <r>
      <rPr>
        <sz val="10"/>
        <color theme="1"/>
        <rFont val="宋体"/>
        <charset val="134"/>
      </rPr>
      <t>当你将一道法术抄录至你的法术书中，或当你使用炼金工具制作一件魔法物品时，你可以消耗精粹结晶，每份精粹结晶可代替价值</t>
    </r>
    <r>
      <rPr>
        <sz val="10"/>
        <color theme="1"/>
        <rFont val="Times New Roman"/>
        <charset val="134"/>
      </rPr>
      <t>50GP</t>
    </r>
    <r>
      <rPr>
        <sz val="10"/>
        <color theme="1"/>
        <rFont val="宋体"/>
        <charset val="134"/>
      </rPr>
      <t>的材料，用于完成这些任务。</t>
    </r>
    <r>
      <rPr>
        <sz val="10"/>
        <color theme="1"/>
        <rFont val="Times New Roman"/>
        <charset val="134"/>
      </rPr>
      <t xml:space="preserve">
</t>
    </r>
    <r>
      <rPr>
        <sz val="10"/>
        <color theme="1"/>
        <rFont val="宋体"/>
        <charset val="134"/>
      </rPr>
      <t>烈性强化</t>
    </r>
    <r>
      <rPr>
        <sz val="10"/>
        <color theme="1"/>
        <rFont val="Times New Roman"/>
        <charset val="134"/>
      </rPr>
      <t>Vitriolic Enhancement</t>
    </r>
    <r>
      <rPr>
        <sz val="10"/>
        <color theme="1"/>
        <rFont val="宋体"/>
        <charset val="134"/>
      </rPr>
      <t>。当你施展一道造成伤害的法术时，你可以消耗</t>
    </r>
    <r>
      <rPr>
        <sz val="10"/>
        <color theme="1"/>
        <rFont val="Times New Roman"/>
        <charset val="134"/>
      </rPr>
      <t>1</t>
    </r>
    <r>
      <rPr>
        <sz val="10"/>
        <color theme="1"/>
        <rFont val="宋体"/>
        <charset val="134"/>
      </rPr>
      <t>份精粹结晶作为额外的材料成分，将该法术所造成的一种伤害类型变为力场伤害。</t>
    </r>
  </si>
  <si>
    <r>
      <rPr>
        <sz val="10"/>
        <color theme="1"/>
        <rFont val="宋体"/>
        <charset val="134"/>
      </rPr>
      <t>掘坟人法术</t>
    </r>
  </si>
  <si>
    <r>
      <rPr>
        <sz val="10"/>
        <color theme="1"/>
        <rFont val="宋体"/>
        <charset val="134"/>
      </rPr>
      <t>当你达到此职业特定等级时，你视为已经准备了特定的法术，如掘坟人法术表所示。这些法术计入你的药剂师法术，且不计入你的药剂师准备法术。
掘坟人等级</t>
    </r>
    <r>
      <rPr>
        <sz val="10"/>
        <color theme="1"/>
        <rFont val="Times New Roman"/>
        <charset val="134"/>
      </rPr>
      <t xml:space="preserve">   </t>
    </r>
    <r>
      <rPr>
        <sz val="10"/>
        <color theme="1"/>
        <rFont val="宋体"/>
        <charset val="134"/>
      </rPr>
      <t xml:space="preserve">法术
</t>
    </r>
    <r>
      <rPr>
        <sz val="10"/>
        <color theme="1"/>
        <rFont val="Times New Roman"/>
        <charset val="134"/>
      </rPr>
      <t>1</t>
    </r>
    <r>
      <rPr>
        <sz val="10"/>
        <color theme="1"/>
        <rFont val="宋体"/>
        <charset val="134"/>
      </rPr>
      <t>级</t>
    </r>
    <r>
      <rPr>
        <sz val="10"/>
        <color theme="1"/>
        <rFont val="Times New Roman"/>
        <charset val="134"/>
      </rPr>
      <t xml:space="preserve">   </t>
    </r>
    <r>
      <rPr>
        <sz val="10"/>
        <color theme="1"/>
        <rFont val="宋体"/>
        <charset val="134"/>
      </rPr>
      <t>虚假生命</t>
    </r>
    <r>
      <rPr>
        <sz val="10"/>
        <color theme="1"/>
        <rFont val="Times New Roman"/>
        <charset val="134"/>
      </rPr>
      <t xml:space="preserve"> False Life </t>
    </r>
    <r>
      <rPr>
        <sz val="10"/>
        <color theme="1"/>
        <rFont val="宋体"/>
        <charset val="134"/>
      </rPr>
      <t>致伤术</t>
    </r>
    <r>
      <rPr>
        <sz val="10"/>
        <color theme="1"/>
        <rFont val="Times New Roman"/>
        <charset val="134"/>
      </rPr>
      <t xml:space="preserve"> Inflict Wounds
3</t>
    </r>
    <r>
      <rPr>
        <sz val="10"/>
        <color theme="1"/>
        <rFont val="宋体"/>
        <charset val="134"/>
      </rPr>
      <t>级</t>
    </r>
    <r>
      <rPr>
        <sz val="10"/>
        <color theme="1"/>
        <rFont val="Times New Roman"/>
        <charset val="134"/>
      </rPr>
      <t xml:space="preserve">   </t>
    </r>
    <r>
      <rPr>
        <sz val="10"/>
        <color theme="1"/>
        <rFont val="宋体"/>
        <charset val="134"/>
      </rPr>
      <t>遗体防腐</t>
    </r>
    <r>
      <rPr>
        <sz val="10"/>
        <color theme="1"/>
        <rFont val="Times New Roman"/>
        <charset val="134"/>
      </rPr>
      <t xml:space="preserve"> Gentle Repose </t>
    </r>
    <r>
      <rPr>
        <sz val="10"/>
        <color theme="1"/>
        <rFont val="宋体"/>
        <charset val="134"/>
      </rPr>
      <t>精神焕发</t>
    </r>
    <r>
      <rPr>
        <sz val="10"/>
        <color theme="1"/>
        <rFont val="Times New Roman"/>
        <charset val="134"/>
      </rPr>
      <t>Invigorate*
5</t>
    </r>
    <r>
      <rPr>
        <sz val="10"/>
        <color theme="1"/>
        <rFont val="宋体"/>
        <charset val="134"/>
      </rPr>
      <t>级</t>
    </r>
    <r>
      <rPr>
        <sz val="10"/>
        <color theme="1"/>
        <rFont val="Times New Roman"/>
        <charset val="134"/>
      </rPr>
      <t xml:space="preserve">   </t>
    </r>
    <r>
      <rPr>
        <sz val="10"/>
        <color theme="1"/>
        <rFont val="宋体"/>
        <charset val="134"/>
      </rPr>
      <t>闪电束</t>
    </r>
    <r>
      <rPr>
        <sz val="10"/>
        <color theme="1"/>
        <rFont val="Times New Roman"/>
        <charset val="134"/>
      </rPr>
      <t xml:space="preserve"> Lightning Bolt </t>
    </r>
    <r>
      <rPr>
        <sz val="10"/>
        <color theme="1"/>
        <rFont val="宋体"/>
        <charset val="134"/>
      </rPr>
      <t>回生术</t>
    </r>
    <r>
      <rPr>
        <sz val="10"/>
        <color theme="1"/>
        <rFont val="Times New Roman"/>
        <charset val="134"/>
      </rPr>
      <t xml:space="preserve"> Revivify
7</t>
    </r>
    <r>
      <rPr>
        <sz val="10"/>
        <color theme="1"/>
        <rFont val="宋体"/>
        <charset val="134"/>
      </rPr>
      <t>级</t>
    </r>
    <r>
      <rPr>
        <sz val="10"/>
        <color theme="1"/>
        <rFont val="Times New Roman"/>
        <charset val="134"/>
      </rPr>
      <t xml:space="preserve">   </t>
    </r>
    <r>
      <rPr>
        <sz val="10"/>
        <color theme="1"/>
        <rFont val="宋体"/>
        <charset val="134"/>
      </rPr>
      <t>防死结界</t>
    </r>
    <r>
      <rPr>
        <sz val="10"/>
        <color theme="1"/>
        <rFont val="Times New Roman"/>
        <charset val="134"/>
      </rPr>
      <t xml:space="preserve"> Death Ward </t>
    </r>
    <r>
      <rPr>
        <sz val="10"/>
        <color theme="1"/>
        <rFont val="宋体"/>
        <charset val="134"/>
      </rPr>
      <t>尸爆</t>
    </r>
    <r>
      <rPr>
        <sz val="10"/>
        <color theme="1"/>
        <rFont val="Times New Roman"/>
        <charset val="134"/>
      </rPr>
      <t>Corpse Explosion*
9</t>
    </r>
    <r>
      <rPr>
        <sz val="10"/>
        <color theme="1"/>
        <rFont val="宋体"/>
        <charset val="134"/>
      </rPr>
      <t>级</t>
    </r>
    <r>
      <rPr>
        <sz val="10"/>
        <color theme="1"/>
        <rFont val="Times New Roman"/>
        <charset val="134"/>
      </rPr>
      <t xml:space="preserve">   </t>
    </r>
    <r>
      <rPr>
        <sz val="10"/>
        <color theme="1"/>
        <rFont val="宋体"/>
        <charset val="134"/>
      </rPr>
      <t>死者复活</t>
    </r>
    <r>
      <rPr>
        <sz val="10"/>
        <color theme="1"/>
        <rFont val="Times New Roman"/>
        <charset val="134"/>
      </rPr>
      <t xml:space="preserve"> Raise Dead </t>
    </r>
    <r>
      <rPr>
        <sz val="10"/>
        <color theme="1"/>
        <rFont val="宋体"/>
        <charset val="134"/>
      </rPr>
      <t>神经毒气</t>
    </r>
    <r>
      <rPr>
        <sz val="10"/>
        <color theme="1"/>
        <rFont val="Times New Roman"/>
        <charset val="134"/>
      </rPr>
      <t>Nerve Gas*</t>
    </r>
  </si>
  <si>
    <r>
      <rPr>
        <sz val="10"/>
        <color theme="1"/>
        <rFont val="宋体"/>
        <charset val="134"/>
      </rPr>
      <t>神龙宗</t>
    </r>
  </si>
  <si>
    <t>强力快速酿造</t>
  </si>
  <si>
    <t>你在使用快速酿造特性时习得一种额外的普通魔药和一种非普通魔药。
每当你在此职业提升一级，你可以将你所选的魔药更换为另一种。</t>
  </si>
  <si>
    <t>灭亡之舞</t>
  </si>
  <si>
    <r>
      <rPr>
        <sz val="10"/>
        <color theme="1"/>
        <rFont val="宋体"/>
        <charset val="134"/>
      </rPr>
      <t>当你施展一个选择且仅选择单一生物为目标的死灵学派法术时，你可以为其额外在施法距离内选择一个生物为目标。此效果不会消耗额外的法术成分。（译注：原文如此）</t>
    </r>
    <r>
      <rPr>
        <sz val="10"/>
        <color theme="1"/>
        <rFont val="Times New Roman"/>
        <charset val="134"/>
      </rPr>
      <t xml:space="preserve"> 
</t>
    </r>
    <r>
      <rPr>
        <sz val="10"/>
        <color theme="1"/>
        <rFont val="宋体"/>
        <charset val="134"/>
      </rPr>
      <t>此特性一经使用，直至完成短休或长休你都无法再次使用。</t>
    </r>
  </si>
  <si>
    <t>丰饶之角</t>
  </si>
  <si>
    <r>
      <rPr>
        <sz val="10"/>
        <color theme="1"/>
        <rFont val="宋体"/>
        <charset val="134"/>
      </rPr>
      <t>当你开始一次短休时，如果你没有陷入失能状态，你可以魔法般地创造一个丰饶之角，里面装满足以供给数量等同于你熟练加值两倍的生物食用的食物。当食用这些食物的生物完成短休时，你可以将数量等于你的牧师等级的</t>
    </r>
    <r>
      <rPr>
        <sz val="10"/>
        <color theme="1"/>
        <rFont val="Times New Roman"/>
        <charset val="134"/>
      </rPr>
      <t>d4</t>
    </r>
    <r>
      <rPr>
        <sz val="10"/>
        <color theme="1"/>
        <rFont val="宋体"/>
        <charset val="134"/>
      </rPr>
      <t>骰分配给这些生物。所有生物立刻掷出分配给它们的</t>
    </r>
    <r>
      <rPr>
        <sz val="10"/>
        <color theme="1"/>
        <rFont val="Times New Roman"/>
        <charset val="134"/>
      </rPr>
      <t>d4</t>
    </r>
    <r>
      <rPr>
        <sz val="10"/>
        <color theme="1"/>
        <rFont val="宋体"/>
        <charset val="134"/>
      </rPr>
      <t>骰并恢复等于结果总值的生命值。当短休结束时，丰饶之角以及任何未被食用的食物都会消失。</t>
    </r>
    <r>
      <rPr>
        <sz val="10"/>
        <color theme="1"/>
        <rFont val="Times New Roman"/>
        <charset val="134"/>
      </rPr>
      <t xml:space="preserve">
</t>
    </r>
    <r>
      <rPr>
        <sz val="10"/>
        <color theme="1"/>
        <rFont val="宋体"/>
        <charset val="134"/>
      </rPr>
      <t>一旦你使用了此特性，则直至你完成一次长休前，都无法再次使用。</t>
    </r>
  </si>
  <si>
    <t>极境柳艺</t>
  </si>
  <si>
    <r>
      <rPr>
        <sz val="10"/>
        <color theme="1"/>
        <rFont val="宋体"/>
        <charset val="134"/>
      </rPr>
      <t>你的柳条塑像已达到其力量的极致之境。在你的回合开始时，你可以将人偶的灵光更改为另一种。此外，所有灵光都会按如下方式变得更强。</t>
    </r>
    <r>
      <rPr>
        <sz val="10"/>
        <color theme="1"/>
        <rFont val="Times New Roman"/>
        <charset val="134"/>
      </rPr>
      <t xml:space="preserve">
</t>
    </r>
    <r>
      <rPr>
        <sz val="10"/>
        <color theme="1"/>
        <rFont val="宋体"/>
        <charset val="134"/>
      </rPr>
      <t>祭焰</t>
    </r>
    <r>
      <rPr>
        <sz val="10"/>
        <color theme="1"/>
        <rFont val="Times New Roman"/>
        <charset val="134"/>
      </rPr>
      <t>Sacrifice</t>
    </r>
    <r>
      <rPr>
        <sz val="10"/>
        <color theme="1"/>
        <rFont val="宋体"/>
        <charset val="134"/>
      </rPr>
      <t>。</t>
    </r>
    <r>
      <rPr>
        <sz val="10"/>
        <color theme="1"/>
        <rFont val="Times New Roman"/>
        <charset val="134"/>
      </rPr>
      <t xml:space="preserve"> </t>
    </r>
    <r>
      <rPr>
        <sz val="10"/>
        <color theme="1"/>
        <rFont val="宋体"/>
        <charset val="134"/>
      </rPr>
      <t>火焰伤害增加至</t>
    </r>
    <r>
      <rPr>
        <sz val="10"/>
        <color theme="1"/>
        <rFont val="Times New Roman"/>
        <charset val="134"/>
      </rPr>
      <t>3d8+</t>
    </r>
    <r>
      <rPr>
        <sz val="10"/>
        <color theme="1"/>
        <rFont val="宋体"/>
        <charset val="134"/>
      </rPr>
      <t>你的感知调整值。</t>
    </r>
    <r>
      <rPr>
        <sz val="10"/>
        <color theme="1"/>
        <rFont val="Times New Roman"/>
        <charset val="134"/>
      </rPr>
      <t xml:space="preserve">
</t>
    </r>
    <r>
      <rPr>
        <sz val="10"/>
        <color theme="1"/>
        <rFont val="宋体"/>
        <charset val="134"/>
      </rPr>
      <t>慰灵</t>
    </r>
    <r>
      <rPr>
        <sz val="10"/>
        <color theme="1"/>
        <rFont val="Times New Roman"/>
        <charset val="134"/>
      </rPr>
      <t>Sooth</t>
    </r>
    <r>
      <rPr>
        <sz val="10"/>
        <color theme="1"/>
        <rFont val="宋体"/>
        <charset val="134"/>
      </rPr>
      <t>。</t>
    </r>
    <r>
      <rPr>
        <sz val="10"/>
        <color theme="1"/>
        <rFont val="Times New Roman"/>
        <charset val="134"/>
      </rPr>
      <t xml:space="preserve"> </t>
    </r>
    <r>
      <rPr>
        <sz val="10"/>
        <color theme="1"/>
        <rFont val="宋体"/>
        <charset val="134"/>
      </rPr>
      <t>当你或你的盟友在灵光内开始自己回合时，其魅惑或恐慌状态（由目标选择）会终止。</t>
    </r>
    <r>
      <rPr>
        <sz val="10"/>
        <color theme="1"/>
        <rFont val="Times New Roman"/>
        <charset val="134"/>
      </rPr>
      <t xml:space="preserve">
</t>
    </r>
    <r>
      <rPr>
        <sz val="10"/>
        <color theme="1"/>
        <rFont val="宋体"/>
        <charset val="134"/>
      </rPr>
      <t>结界</t>
    </r>
    <r>
      <rPr>
        <sz val="10"/>
        <color theme="1"/>
        <rFont val="Times New Roman"/>
        <charset val="134"/>
      </rPr>
      <t>Ward</t>
    </r>
    <r>
      <rPr>
        <sz val="10"/>
        <color theme="1"/>
        <rFont val="宋体"/>
        <charset val="134"/>
      </rPr>
      <t>。</t>
    </r>
    <r>
      <rPr>
        <sz val="10"/>
        <color theme="1"/>
        <rFont val="Times New Roman"/>
        <charset val="134"/>
      </rPr>
      <t xml:space="preserve"> </t>
    </r>
    <r>
      <rPr>
        <sz val="10"/>
        <color theme="1"/>
        <rFont val="宋体"/>
        <charset val="134"/>
      </rPr>
      <t>选择一项属性。位于灵光内时，你和你的盟友以所选属性进行的豁免检定具有优势。</t>
    </r>
  </si>
  <si>
    <r>
      <rPr>
        <sz val="10"/>
        <color theme="1"/>
        <rFont val="宋体"/>
        <charset val="134"/>
      </rPr>
      <t>石之符文</t>
    </r>
  </si>
  <si>
    <r>
      <rPr>
        <sz val="10"/>
        <color theme="1"/>
        <rFont val="宋体"/>
        <charset val="134"/>
      </rPr>
      <t>该符文的魔力可以引导和石巨人相关的智慧（</t>
    </r>
    <r>
      <rPr>
        <sz val="10"/>
        <color theme="1"/>
        <rFont val="Times New Roman"/>
        <charset val="134"/>
      </rPr>
      <t>judiciousness</t>
    </r>
    <r>
      <rPr>
        <sz val="10"/>
        <color theme="1"/>
        <rFont val="宋体"/>
        <charset val="134"/>
      </rPr>
      <t>）。
当你穿着或持有一个铭刻此符文的物品，你在感知（洞悉）的检定上获得优势，且你获得</t>
    </r>
    <r>
      <rPr>
        <sz val="10"/>
        <color theme="1"/>
        <rFont val="Times New Roman"/>
        <charset val="134"/>
      </rPr>
      <t>120</t>
    </r>
    <r>
      <rPr>
        <sz val="10"/>
        <color theme="1"/>
        <rFont val="宋体"/>
        <charset val="134"/>
      </rPr>
      <t>尺的黑暗视觉。
此外，当一个</t>
    </r>
    <r>
      <rPr>
        <sz val="10"/>
        <color theme="1"/>
        <rFont val="Times New Roman"/>
        <charset val="134"/>
      </rPr>
      <t>30</t>
    </r>
    <r>
      <rPr>
        <sz val="10"/>
        <color theme="1"/>
        <rFont val="宋体"/>
        <charset val="134"/>
      </rPr>
      <t>尺内对你可见的生物结束它的回合，你可以使用一个反应动作来对该符文激活，并强迫该生物进行一次感知豁免检定。
如果检定失败，该生物被你魅惑一分钟。
如果以该形式被魅惑，此生物移动速度降为</t>
    </r>
    <r>
      <rPr>
        <sz val="10"/>
        <color theme="1"/>
        <rFont val="Times New Roman"/>
        <charset val="134"/>
      </rPr>
      <t>0</t>
    </r>
    <r>
      <rPr>
        <sz val="10"/>
        <color theme="1"/>
        <rFont val="宋体"/>
        <charset val="134"/>
      </rPr>
      <t>且进入失能状态，陷入梦幻般的麻木状态。
目标可以在每个自己回合结束时重复进行此豁免检定，直到成功解除该状态。
每当你激活该符文，你无法再次使用该异能直到你完成一次短休或长休。</t>
    </r>
  </si>
  <si>
    <t>凌空袭</t>
  </si>
  <si>
    <t>在你的回合中，你可以消耗1点功力以获得等于你速度的飞行速度，持续至你的下个回合结束（无需动作）。你在当前回合结束前进行的下次近战攻击具有优势。</t>
  </si>
  <si>
    <t>强制告罪</t>
  </si>
  <si>
    <r>
      <rPr>
        <sz val="10"/>
        <color theme="1"/>
        <rFont val="Times New Roman"/>
        <charset val="134"/>
      </rPr>
      <t xml:space="preserve"> </t>
    </r>
    <r>
      <rPr>
        <sz val="10"/>
        <color theme="1"/>
        <rFont val="宋体"/>
        <charset val="134"/>
      </rPr>
      <t>你可以无需消耗法术位地施展诚实之域</t>
    </r>
    <r>
      <rPr>
        <sz val="10"/>
        <color theme="1"/>
        <rFont val="Times New Roman"/>
        <charset val="134"/>
      </rPr>
      <t>zone of truth</t>
    </r>
    <r>
      <rPr>
        <sz val="10"/>
        <color theme="1"/>
        <rFont val="宋体"/>
        <charset val="134"/>
      </rPr>
      <t>。你以此特性施展法术时，豁免成功的生物在受影响区域内开始其回合时将受到</t>
    </r>
    <r>
      <rPr>
        <sz val="10"/>
        <color theme="1"/>
        <rFont val="Times New Roman"/>
        <charset val="134"/>
      </rPr>
      <t>1d4</t>
    </r>
    <r>
      <rPr>
        <sz val="10"/>
        <color theme="1"/>
        <rFont val="宋体"/>
        <charset val="134"/>
      </rPr>
      <t>心灵伤害。</t>
    </r>
  </si>
  <si>
    <t>冬猎霜寒</t>
  </si>
  <si>
    <r>
      <rPr>
        <sz val="10"/>
        <color theme="1"/>
        <rFont val="宋体"/>
        <charset val="134"/>
      </rPr>
      <t>冰霜会复盖你和你的猎物，保护你并让你的猎物变得迟缓。当你施展猎人印记法术时，你获得等同于</t>
    </r>
    <r>
      <rPr>
        <sz val="10"/>
        <color theme="1"/>
        <rFont val="Times New Roman"/>
        <charset val="134"/>
      </rPr>
      <t>1d10+</t>
    </r>
    <r>
      <rPr>
        <sz val="10"/>
        <color theme="1"/>
        <rFont val="宋体"/>
        <charset val="134"/>
      </rPr>
      <t>你游侠等级的临时生命。</t>
    </r>
    <r>
      <rPr>
        <sz val="10"/>
        <color theme="1"/>
        <rFont val="Times New Roman"/>
        <charset val="134"/>
      </rPr>
      <t xml:space="preserve">
</t>
    </r>
    <r>
      <rPr>
        <sz val="10"/>
        <color theme="1"/>
        <rFont val="宋体"/>
        <charset val="134"/>
      </rPr>
      <t>此外，当一个生物被你的猎人印记法术所标记时，其不可执行撤离动作。</t>
    </r>
  </si>
  <si>
    <t>失蜡复刻</t>
  </si>
  <si>
    <t>你可以通过已经失传的蜡雕技术来制作物体的精密复制品。当你使用这项蜡雕技艺时，你可花费10分钟并消耗2点烛芯点以创造复制术Duplicate 的法术效应。你所复制的物体体积不得超过1立方英尺。</t>
  </si>
  <si>
    <t>踏沙者</t>
  </si>
  <si>
    <r>
      <rPr>
        <sz val="10"/>
        <color theme="1"/>
        <rFont val="宋体"/>
        <charset val="134"/>
      </rPr>
      <t>在你选择该起源开始，你可以无视由沙子造成的困难地形，且无需任何防护就能承受高达</t>
    </r>
    <r>
      <rPr>
        <sz val="10"/>
        <color theme="1"/>
        <rFont val="Times New Roman"/>
        <charset val="134"/>
      </rPr>
      <t>150</t>
    </r>
    <r>
      <rPr>
        <sz val="10"/>
        <color theme="1"/>
        <rFont val="宋体"/>
        <charset val="134"/>
      </rPr>
      <t>华氏度的高温。</t>
    </r>
  </si>
  <si>
    <r>
      <rPr>
        <sz val="10"/>
        <color theme="1"/>
        <rFont val="宋体"/>
        <charset val="134"/>
      </rPr>
      <t>巨灵扩展法术列表</t>
    </r>
  </si>
  <si>
    <r>
      <rPr>
        <sz val="10"/>
        <color theme="1"/>
        <rFont val="宋体"/>
        <charset val="134"/>
      </rPr>
      <t>当你学习一个邪术师法术时，你的巨灵宗主扩宽了你的可学习法术范围。
巨灵扩展法术表包含加入到了邪术师法术列表中的巨灵法术和与你的巨灵宗主类型相关的法术。
全巨灵</t>
    </r>
    <r>
      <rPr>
        <sz val="10"/>
        <color theme="1"/>
        <rFont val="Times New Roman"/>
        <charset val="134"/>
      </rPr>
      <t>—</t>
    </r>
    <r>
      <rPr>
        <sz val="10"/>
        <color theme="1"/>
        <rFont val="宋体"/>
        <charset val="134"/>
      </rPr>
      <t>土巨灵</t>
    </r>
    <r>
      <rPr>
        <sz val="10"/>
        <color theme="1"/>
        <rFont val="Times New Roman"/>
        <charset val="134"/>
      </rPr>
      <t>—</t>
    </r>
    <r>
      <rPr>
        <sz val="10"/>
        <color theme="1"/>
        <rFont val="宋体"/>
        <charset val="134"/>
      </rPr>
      <t>气巨灵</t>
    </r>
    <r>
      <rPr>
        <sz val="10"/>
        <color theme="1"/>
        <rFont val="Times New Roman"/>
        <charset val="134"/>
      </rPr>
      <t>—</t>
    </r>
    <r>
      <rPr>
        <sz val="10"/>
        <color theme="1"/>
        <rFont val="宋体"/>
        <charset val="134"/>
      </rPr>
      <t>火巨灵</t>
    </r>
    <r>
      <rPr>
        <sz val="10"/>
        <color theme="1"/>
        <rFont val="Times New Roman"/>
        <charset val="134"/>
      </rPr>
      <t>—</t>
    </r>
    <r>
      <rPr>
        <sz val="10"/>
        <color theme="1"/>
        <rFont val="宋体"/>
        <charset val="134"/>
      </rPr>
      <t>水巨灵
一环</t>
    </r>
    <r>
      <rPr>
        <sz val="10"/>
        <color theme="1"/>
        <rFont val="Times New Roman"/>
        <charset val="134"/>
      </rPr>
      <t>—</t>
    </r>
    <r>
      <rPr>
        <sz val="10"/>
        <color theme="1"/>
        <rFont val="宋体"/>
        <charset val="134"/>
      </rPr>
      <t>侦测善恶</t>
    </r>
    <r>
      <rPr>
        <sz val="10"/>
        <color theme="1"/>
        <rFont val="Times New Roman"/>
        <charset val="134"/>
      </rPr>
      <t>—</t>
    </r>
    <r>
      <rPr>
        <sz val="10"/>
        <color theme="1"/>
        <rFont val="宋体"/>
        <charset val="134"/>
      </rPr>
      <t>庇护术</t>
    </r>
    <r>
      <rPr>
        <sz val="10"/>
        <color theme="1"/>
        <rFont val="Times New Roman"/>
        <charset val="134"/>
      </rPr>
      <t>—</t>
    </r>
    <r>
      <rPr>
        <sz val="10"/>
        <color theme="1"/>
        <rFont val="宋体"/>
        <charset val="134"/>
      </rPr>
      <t>雷鸣波</t>
    </r>
    <r>
      <rPr>
        <sz val="10"/>
        <color theme="1"/>
        <rFont val="Times New Roman"/>
        <charset val="134"/>
      </rPr>
      <t>—</t>
    </r>
    <r>
      <rPr>
        <sz val="10"/>
        <color theme="1"/>
        <rFont val="宋体"/>
        <charset val="134"/>
      </rPr>
      <t>燃烧之手</t>
    </r>
    <r>
      <rPr>
        <sz val="10"/>
        <color theme="1"/>
        <rFont val="Times New Roman"/>
        <charset val="134"/>
      </rPr>
      <t>—</t>
    </r>
    <r>
      <rPr>
        <sz val="10"/>
        <color theme="1"/>
        <rFont val="宋体"/>
        <charset val="134"/>
      </rPr>
      <t>云雾术
二环</t>
    </r>
    <r>
      <rPr>
        <sz val="10"/>
        <color theme="1"/>
        <rFont val="Times New Roman"/>
        <charset val="134"/>
      </rPr>
      <t>—</t>
    </r>
    <r>
      <rPr>
        <sz val="10"/>
        <color theme="1"/>
        <rFont val="宋体"/>
        <charset val="134"/>
      </rPr>
      <t>魅影之力</t>
    </r>
    <r>
      <rPr>
        <sz val="10"/>
        <color theme="1"/>
        <rFont val="Times New Roman"/>
        <charset val="134"/>
      </rPr>
      <t>—</t>
    </r>
    <r>
      <rPr>
        <sz val="10"/>
        <color theme="1"/>
        <rFont val="宋体"/>
        <charset val="134"/>
      </rPr>
      <t>荆棘丛生</t>
    </r>
    <r>
      <rPr>
        <sz val="10"/>
        <color theme="1"/>
        <rFont val="Times New Roman"/>
        <charset val="134"/>
      </rPr>
      <t>—</t>
    </r>
    <r>
      <rPr>
        <sz val="10"/>
        <color theme="1"/>
        <rFont val="宋体"/>
        <charset val="134"/>
      </rPr>
      <t>造风术</t>
    </r>
    <r>
      <rPr>
        <sz val="10"/>
        <color theme="1"/>
        <rFont val="Times New Roman"/>
        <charset val="134"/>
      </rPr>
      <t>—</t>
    </r>
    <r>
      <rPr>
        <sz val="10"/>
        <color theme="1"/>
        <rFont val="宋体"/>
        <charset val="134"/>
      </rPr>
      <t>灼热射线</t>
    </r>
    <r>
      <rPr>
        <sz val="10"/>
        <color theme="1"/>
        <rFont val="Times New Roman"/>
        <charset val="134"/>
      </rPr>
      <t>—</t>
    </r>
    <r>
      <rPr>
        <sz val="10"/>
        <color theme="1"/>
        <rFont val="宋体"/>
        <charset val="134"/>
      </rPr>
      <t>朦胧术
三环</t>
    </r>
    <r>
      <rPr>
        <sz val="10"/>
        <color theme="1"/>
        <rFont val="Times New Roman"/>
        <charset val="134"/>
      </rPr>
      <t>—</t>
    </r>
    <r>
      <rPr>
        <sz val="10"/>
        <color theme="1"/>
        <rFont val="宋体"/>
        <charset val="134"/>
      </rPr>
      <t>创造食粮</t>
    </r>
    <r>
      <rPr>
        <sz val="10"/>
        <color theme="1"/>
        <rFont val="Times New Roman"/>
        <charset val="134"/>
      </rPr>
      <t>—</t>
    </r>
    <r>
      <rPr>
        <sz val="10"/>
        <color theme="1"/>
        <rFont val="宋体"/>
        <charset val="134"/>
      </rPr>
      <t>融身入石</t>
    </r>
    <r>
      <rPr>
        <sz val="10"/>
        <color theme="1"/>
        <rFont val="Times New Roman"/>
        <charset val="134"/>
      </rPr>
      <t>—</t>
    </r>
    <r>
      <rPr>
        <sz val="10"/>
        <color theme="1"/>
        <rFont val="宋体"/>
        <charset val="134"/>
      </rPr>
      <t>风墙术</t>
    </r>
    <r>
      <rPr>
        <sz val="10"/>
        <color theme="1"/>
        <rFont val="Times New Roman"/>
        <charset val="134"/>
      </rPr>
      <t>—</t>
    </r>
    <r>
      <rPr>
        <sz val="10"/>
        <color theme="1"/>
        <rFont val="宋体"/>
        <charset val="134"/>
      </rPr>
      <t>火球术</t>
    </r>
    <r>
      <rPr>
        <sz val="10"/>
        <color theme="1"/>
        <rFont val="Times New Roman"/>
        <charset val="134"/>
      </rPr>
      <t>—</t>
    </r>
    <r>
      <rPr>
        <sz val="10"/>
        <color theme="1"/>
        <rFont val="宋体"/>
        <charset val="134"/>
      </rPr>
      <t>雪雨暴
四环</t>
    </r>
    <r>
      <rPr>
        <sz val="10"/>
        <color theme="1"/>
        <rFont val="Times New Roman"/>
        <charset val="134"/>
      </rPr>
      <t>—</t>
    </r>
    <r>
      <rPr>
        <sz val="10"/>
        <color theme="1"/>
        <rFont val="宋体"/>
        <charset val="134"/>
      </rPr>
      <t>魅影杀手</t>
    </r>
    <r>
      <rPr>
        <sz val="10"/>
        <color theme="1"/>
        <rFont val="Times New Roman"/>
        <charset val="134"/>
      </rPr>
      <t>—</t>
    </r>
    <r>
      <rPr>
        <sz val="10"/>
        <color theme="1"/>
        <rFont val="宋体"/>
        <charset val="134"/>
      </rPr>
      <t>塑石术</t>
    </r>
    <r>
      <rPr>
        <sz val="10"/>
        <color theme="1"/>
        <rFont val="Times New Roman"/>
        <charset val="134"/>
      </rPr>
      <t>—</t>
    </r>
    <r>
      <rPr>
        <sz val="10"/>
        <color theme="1"/>
        <rFont val="宋体"/>
        <charset val="134"/>
      </rPr>
      <t>高等隐身术</t>
    </r>
    <r>
      <rPr>
        <sz val="10"/>
        <color theme="1"/>
        <rFont val="Times New Roman"/>
        <charset val="134"/>
      </rPr>
      <t>—</t>
    </r>
    <r>
      <rPr>
        <sz val="10"/>
        <color theme="1"/>
        <rFont val="宋体"/>
        <charset val="134"/>
      </rPr>
      <t>火焰护盾</t>
    </r>
    <r>
      <rPr>
        <sz val="10"/>
        <color theme="1"/>
        <rFont val="Times New Roman"/>
        <charset val="134"/>
      </rPr>
      <t>—</t>
    </r>
    <r>
      <rPr>
        <sz val="10"/>
        <color theme="1"/>
        <rFont val="宋体"/>
        <charset val="134"/>
      </rPr>
      <t>操控水体
五环</t>
    </r>
    <r>
      <rPr>
        <sz val="10"/>
        <color theme="1"/>
        <rFont val="Times New Roman"/>
        <charset val="134"/>
      </rPr>
      <t>—</t>
    </r>
    <r>
      <rPr>
        <sz val="10"/>
        <color theme="1"/>
        <rFont val="宋体"/>
        <charset val="134"/>
      </rPr>
      <t>造物术</t>
    </r>
    <r>
      <rPr>
        <sz val="10"/>
        <color theme="1"/>
        <rFont val="Times New Roman"/>
        <charset val="134"/>
      </rPr>
      <t>—</t>
    </r>
    <r>
      <rPr>
        <sz val="10"/>
        <color theme="1"/>
        <rFont val="宋体"/>
        <charset val="134"/>
      </rPr>
      <t>石墙术</t>
    </r>
    <r>
      <rPr>
        <sz val="10"/>
        <color theme="1"/>
        <rFont val="Times New Roman"/>
        <charset val="134"/>
      </rPr>
      <t>—</t>
    </r>
    <r>
      <rPr>
        <sz val="10"/>
        <color theme="1"/>
        <rFont val="宋体"/>
        <charset val="134"/>
      </rPr>
      <t>伪装术</t>
    </r>
    <r>
      <rPr>
        <sz val="10"/>
        <color theme="1"/>
        <rFont val="Times New Roman"/>
        <charset val="134"/>
      </rPr>
      <t>—</t>
    </r>
    <r>
      <rPr>
        <sz val="10"/>
        <color theme="1"/>
        <rFont val="宋体"/>
        <charset val="134"/>
      </rPr>
      <t>焰击术</t>
    </r>
    <r>
      <rPr>
        <sz val="10"/>
        <color theme="1"/>
        <rFont val="Times New Roman"/>
        <charset val="134"/>
      </rPr>
      <t>—</t>
    </r>
    <r>
      <rPr>
        <sz val="10"/>
        <color theme="1"/>
        <rFont val="宋体"/>
        <charset val="134"/>
      </rPr>
      <t>寒冰锥
九环</t>
    </r>
    <r>
      <rPr>
        <sz val="10"/>
        <color theme="1"/>
        <rFont val="Times New Roman"/>
        <charset val="134"/>
      </rPr>
      <t>—</t>
    </r>
    <r>
      <rPr>
        <sz val="10"/>
        <color theme="1"/>
        <rFont val="宋体"/>
        <charset val="134"/>
      </rPr>
      <t>许愿术</t>
    </r>
    <r>
      <rPr>
        <sz val="10"/>
        <color theme="1"/>
        <rFont val="Times New Roman"/>
        <charset val="134"/>
      </rPr>
      <t>—</t>
    </r>
    <r>
      <rPr>
        <sz val="10"/>
        <color theme="1"/>
        <rFont val="宋体"/>
        <charset val="134"/>
      </rPr>
      <t>无</t>
    </r>
    <r>
      <rPr>
        <sz val="10"/>
        <color theme="1"/>
        <rFont val="Times New Roman"/>
        <charset val="134"/>
      </rPr>
      <t>—</t>
    </r>
    <r>
      <rPr>
        <sz val="10"/>
        <color theme="1"/>
        <rFont val="宋体"/>
        <charset val="134"/>
      </rPr>
      <t>无</t>
    </r>
    <r>
      <rPr>
        <sz val="10"/>
        <color theme="1"/>
        <rFont val="Times New Roman"/>
        <charset val="134"/>
      </rPr>
      <t>—</t>
    </r>
    <r>
      <rPr>
        <sz val="10"/>
        <color theme="1"/>
        <rFont val="宋体"/>
        <charset val="134"/>
      </rPr>
      <t>无</t>
    </r>
    <r>
      <rPr>
        <sz val="10"/>
        <color theme="1"/>
        <rFont val="Times New Roman"/>
        <charset val="134"/>
      </rPr>
      <t>—</t>
    </r>
    <r>
      <rPr>
        <sz val="10"/>
        <color theme="1"/>
        <rFont val="宋体"/>
        <charset val="134"/>
      </rPr>
      <t>无</t>
    </r>
  </si>
  <si>
    <t>白化之炼</t>
  </si>
  <si>
    <r>
      <rPr>
        <sz val="10"/>
        <color theme="1"/>
        <rFont val="宋体"/>
        <charset val="134"/>
      </rPr>
      <t>你可以纯化你的精粹结晶，以增幅你的法术。当你使用法术位施展一道法术时，你可以消耗</t>
    </r>
    <r>
      <rPr>
        <sz val="10"/>
        <color theme="1"/>
        <rFont val="Times New Roman"/>
        <charset val="134"/>
      </rPr>
      <t>1</t>
    </r>
    <r>
      <rPr>
        <sz val="10"/>
        <color theme="1"/>
        <rFont val="宋体"/>
        <charset val="134"/>
      </rPr>
      <t>份精粹结晶作为材料成分，来使该法术位的环阶提升一环，最高不超过九环。你以此方式消耗在任意一道法术上的精粹结晶上限是你熟练加值的一半（向上取整）。</t>
    </r>
  </si>
  <si>
    <r>
      <rPr>
        <sz val="10"/>
        <color theme="1"/>
        <rFont val="宋体"/>
        <charset val="134"/>
      </rPr>
      <t>尸锻生物</t>
    </r>
  </si>
  <si>
    <r>
      <rPr>
        <sz val="10"/>
        <color theme="1"/>
        <rFont val="宋体"/>
        <charset val="134"/>
      </rPr>
      <t>你用捡来的尸体部位做成了一个同伴，并且用你神秘的魔法给予了它生命：一个尸锻生物。这个生物对你和你的同伴们友好，并且它遵循你的指令。它的游戏数据详见附带的统计表尸锻生物</t>
    </r>
    <r>
      <rPr>
        <sz val="10"/>
        <color theme="1"/>
        <rFont val="Times New Roman"/>
        <charset val="134"/>
      </rPr>
      <t>Corpsewrought Creature</t>
    </r>
    <r>
      <rPr>
        <sz val="10"/>
        <color theme="1"/>
        <rFont val="宋体"/>
        <charset val="134"/>
      </rPr>
      <t xml:space="preserve">中。它在一部分数据上使用你的熟练加值。你可以决定这个生物的外貌特征，你的选择不会影响它的游戏数据。
</t>
    </r>
    <r>
      <rPr>
        <sz val="10"/>
        <color theme="1"/>
        <rFont val="Times New Roman"/>
        <charset val="134"/>
      </rPr>
      <t xml:space="preserve">    </t>
    </r>
    <r>
      <rPr>
        <sz val="10"/>
        <color theme="1"/>
        <rFont val="宋体"/>
        <charset val="134"/>
      </rPr>
      <t xml:space="preserve">在战斗中，它共享你的先攻，但它在你之后立即开始其回合。他可以在自己的回合内移动并且使用反应，但它在自己的回合内只会使用动作来进行回避动作，除非你在你的回合内使用一个附赠动作来指挥它采取另一种动作。这个动作可以是数据表中的一个动作，或任何其他的动作。如果你陷入失能，这个生物能够进行任何它所选的动作，而不仅是回避。
</t>
    </r>
    <r>
      <rPr>
        <sz val="10"/>
        <color theme="1"/>
        <rFont val="Times New Roman"/>
        <charset val="134"/>
      </rPr>
      <t xml:space="preserve">    </t>
    </r>
    <r>
      <rPr>
        <sz val="10"/>
        <color theme="1"/>
        <rFont val="宋体"/>
        <charset val="134"/>
      </rPr>
      <t>如果你的尸锻生物死亡不超过一个小时，在你处于它身边</t>
    </r>
    <r>
      <rPr>
        <sz val="10"/>
        <color theme="1"/>
        <rFont val="Times New Roman"/>
        <charset val="134"/>
      </rPr>
      <t>5</t>
    </r>
    <r>
      <rPr>
        <sz val="10"/>
        <color theme="1"/>
        <rFont val="宋体"/>
        <charset val="134"/>
      </rPr>
      <t>尺范围内并消耗一个药剂师法术位的情况下，你可以用一个动作来使用你的医疗包复活它。尸锻伙伴将会在</t>
    </r>
    <r>
      <rPr>
        <sz val="10"/>
        <color theme="1"/>
        <rFont val="Times New Roman"/>
        <charset val="134"/>
      </rPr>
      <t>1</t>
    </r>
    <r>
      <rPr>
        <sz val="10"/>
        <color theme="1"/>
        <rFont val="宋体"/>
        <charset val="134"/>
      </rPr>
      <t xml:space="preserve">分钟后复活并恢复它的全部生命值。
</t>
    </r>
    <r>
      <rPr>
        <sz val="10"/>
        <color theme="1"/>
        <rFont val="Times New Roman"/>
        <charset val="134"/>
      </rPr>
      <t xml:space="preserve">    </t>
    </r>
    <r>
      <rPr>
        <sz val="10"/>
        <color theme="1"/>
        <rFont val="宋体"/>
        <charset val="134"/>
      </rPr>
      <t>在长休结束时，如果你有一个医疗包，并且能使用合适的</t>
    </r>
    <r>
      <rPr>
        <sz val="10"/>
        <color theme="1"/>
        <rFont val="Times New Roman"/>
        <charset val="134"/>
      </rPr>
      <t>“</t>
    </r>
    <r>
      <rPr>
        <sz val="10"/>
        <color theme="1"/>
        <rFont val="宋体"/>
        <charset val="134"/>
      </rPr>
      <t>材料</t>
    </r>
    <r>
      <rPr>
        <sz val="10"/>
        <color theme="1"/>
        <rFont val="Times New Roman"/>
        <charset val="134"/>
      </rPr>
      <t>”</t>
    </r>
    <r>
      <rPr>
        <sz val="10"/>
        <color theme="1"/>
        <rFont val="宋体"/>
        <charset val="134"/>
      </rPr>
      <t>的话，你可以创造一个新的尸锻生物。如果你已经通过此特性获得一个尸锻生物了，那么前一个生物将立即死亡。如果你死亡了，该生物同样会死亡。</t>
    </r>
  </si>
  <si>
    <r>
      <rPr>
        <sz val="10"/>
        <color theme="1"/>
        <rFont val="宋体"/>
        <charset val="134"/>
      </rPr>
      <t>天衡武者</t>
    </r>
  </si>
  <si>
    <t>炼金实验</t>
  </si>
  <si>
    <r>
      <rPr>
        <sz val="10"/>
        <color theme="1"/>
        <rFont val="宋体"/>
        <charset val="134"/>
      </rPr>
      <t>你获得一套炼金工具，并拥有炼金工具的熟练。此外，你可以使用炼金工具来替代草药工具来制作治疗药水</t>
    </r>
    <r>
      <rPr>
        <sz val="10"/>
        <color theme="1"/>
        <rFont val="Times New Roman"/>
        <charset val="134"/>
      </rPr>
      <t xml:space="preserve">Potions of Healing </t>
    </r>
    <r>
      <rPr>
        <sz val="10"/>
        <color theme="1"/>
        <rFont val="宋体"/>
        <charset val="134"/>
      </rPr>
      <t>。</t>
    </r>
  </si>
  <si>
    <r>
      <rPr>
        <sz val="10"/>
        <color theme="1"/>
        <rFont val="微软雅黑"/>
        <charset val="134"/>
      </rPr>
      <t>当你选择加入旅路学院时，你也许能从你历来的行过之路中，收获到一些有用的熟练项。此时，从以下选项中选择三项（每个选项只能选择一次）：</t>
    </r>
    <r>
      <rPr>
        <sz val="10"/>
        <color theme="1"/>
        <rFont val="Times New Roman"/>
        <charset val="134"/>
      </rPr>
      <t xml:space="preserve">
· </t>
    </r>
    <r>
      <rPr>
        <sz val="10"/>
        <color theme="1"/>
        <rFont val="微软雅黑"/>
        <charset val="134"/>
      </rPr>
      <t>你获得任意一套赌具（由你选择）的熟练项</t>
    </r>
    <r>
      <rPr>
        <sz val="10"/>
        <color theme="1"/>
        <rFont val="Times New Roman"/>
        <charset val="134"/>
      </rPr>
      <t xml:space="preserve">
· </t>
    </r>
    <r>
      <rPr>
        <sz val="10"/>
        <color theme="1"/>
        <rFont val="微软雅黑"/>
        <charset val="134"/>
      </rPr>
      <t>你获得任意一把军用武器（由你选择）的熟练项</t>
    </r>
    <r>
      <rPr>
        <sz val="10"/>
        <color theme="1"/>
        <rFont val="Times New Roman"/>
        <charset val="134"/>
      </rPr>
      <t xml:space="preserve">
· </t>
    </r>
    <r>
      <rPr>
        <sz val="10"/>
        <color theme="1"/>
        <rFont val="微软雅黑"/>
        <charset val="134"/>
      </rPr>
      <t>你获得</t>
    </r>
    <r>
      <rPr>
        <sz val="10"/>
        <color theme="1"/>
        <rFont val="Times New Roman"/>
        <charset val="134"/>
      </rPr>
      <t xml:space="preserve"> </t>
    </r>
    <r>
      <rPr>
        <sz val="10"/>
        <color theme="1"/>
        <rFont val="微软雅黑"/>
        <charset val="134"/>
      </rPr>
      <t>草药工具</t>
    </r>
    <r>
      <rPr>
        <sz val="10"/>
        <color theme="1"/>
        <rFont val="Times New Roman"/>
        <charset val="134"/>
      </rPr>
      <t xml:space="preserve">Herbalism Kits </t>
    </r>
    <r>
      <rPr>
        <sz val="10"/>
        <color theme="1"/>
        <rFont val="微软雅黑"/>
        <charset val="134"/>
      </rPr>
      <t>的熟练项</t>
    </r>
    <r>
      <rPr>
        <sz val="10"/>
        <color theme="1"/>
        <rFont val="Times New Roman"/>
        <charset val="134"/>
      </rPr>
      <t xml:space="preserve">
· </t>
    </r>
    <r>
      <rPr>
        <sz val="10"/>
        <color theme="1"/>
        <rFont val="微软雅黑"/>
        <charset val="134"/>
      </rPr>
      <t>你获得</t>
    </r>
    <r>
      <rPr>
        <sz val="10"/>
        <color theme="1"/>
        <rFont val="Times New Roman"/>
        <charset val="134"/>
      </rPr>
      <t xml:space="preserve"> </t>
    </r>
    <r>
      <rPr>
        <sz val="10"/>
        <color theme="1"/>
        <rFont val="微软雅黑"/>
        <charset val="134"/>
      </rPr>
      <t>盗贼工具</t>
    </r>
    <r>
      <rPr>
        <sz val="10"/>
        <color theme="1"/>
        <rFont val="Times New Roman"/>
        <charset val="134"/>
      </rPr>
      <t xml:space="preserve">Thieves' Tools </t>
    </r>
    <r>
      <rPr>
        <sz val="10"/>
        <color theme="1"/>
        <rFont val="微软雅黑"/>
        <charset val="134"/>
      </rPr>
      <t>的熟练项</t>
    </r>
    <r>
      <rPr>
        <sz val="10"/>
        <color theme="1"/>
        <rFont val="Times New Roman"/>
        <charset val="134"/>
      </rPr>
      <t xml:space="preserve">
· </t>
    </r>
    <r>
      <rPr>
        <sz val="10"/>
        <color theme="1"/>
        <rFont val="微软雅黑"/>
        <charset val="134"/>
      </rPr>
      <t>你获得任意一项技能（由你选择）的熟练项</t>
    </r>
    <r>
      <rPr>
        <sz val="10"/>
        <color theme="1"/>
        <rFont val="Times New Roman"/>
        <charset val="134"/>
      </rPr>
      <t xml:space="preserve">
· </t>
    </r>
    <r>
      <rPr>
        <sz val="10"/>
        <color theme="1"/>
        <rFont val="微软雅黑"/>
        <charset val="134"/>
      </rPr>
      <t>你学会任意两门语言（由你选择）</t>
    </r>
  </si>
  <si>
    <t>五谷丰登</t>
  </si>
  <si>
    <r>
      <rPr>
        <sz val="10"/>
        <color theme="1"/>
        <rFont val="宋体"/>
        <charset val="134"/>
      </rPr>
      <t>你可以使用魔法动作展示你的圣徽并消耗一次引导神力</t>
    </r>
    <r>
      <rPr>
        <sz val="10"/>
        <color theme="1"/>
        <rFont val="Times New Roman"/>
        <charset val="134"/>
      </rPr>
      <t>Channel Divinity</t>
    </r>
    <r>
      <rPr>
        <sz val="10"/>
        <color theme="1"/>
        <rFont val="宋体"/>
        <charset val="134"/>
      </rPr>
      <t>使用次数，唤起丰收之灵。你周边</t>
    </r>
    <r>
      <rPr>
        <sz val="10"/>
        <color theme="1"/>
        <rFont val="Times New Roman"/>
        <charset val="134"/>
      </rPr>
      <t>60</t>
    </r>
    <r>
      <rPr>
        <sz val="10"/>
        <color theme="1"/>
        <rFont val="宋体"/>
        <charset val="134"/>
      </rPr>
      <t>尺范围内至多</t>
    </r>
    <r>
      <rPr>
        <sz val="10"/>
        <color theme="1"/>
        <rFont val="Times New Roman"/>
        <charset val="134"/>
      </rPr>
      <t>6</t>
    </r>
    <r>
      <rPr>
        <sz val="10"/>
        <color theme="1"/>
        <rFont val="宋体"/>
        <charset val="134"/>
      </rPr>
      <t>个由你选择的生物获得英雄激励。一个生物必须完成一次长休才能再次通过该特性获得英雄激励。</t>
    </r>
    <r>
      <rPr>
        <sz val="10"/>
        <color theme="1"/>
        <rFont val="Times New Roman"/>
        <charset val="134"/>
      </rPr>
      <t xml:space="preserve">
</t>
    </r>
    <r>
      <rPr>
        <sz val="10"/>
        <color theme="1"/>
        <rFont val="宋体"/>
        <charset val="134"/>
      </rPr>
      <t>此外，你赋予所有目标如下增益之一。如果你当前的丰收阶段与增益所对应的不同，则其变为增益所对应的阶段。</t>
    </r>
    <r>
      <rPr>
        <sz val="10"/>
        <color theme="1"/>
        <rFont val="Times New Roman"/>
        <charset val="134"/>
      </rPr>
      <t xml:space="preserve">
</t>
    </r>
    <r>
      <rPr>
        <sz val="10"/>
        <color theme="1"/>
        <rFont val="宋体"/>
        <charset val="134"/>
      </rPr>
      <t>播种</t>
    </r>
    <r>
      <rPr>
        <sz val="10"/>
        <color theme="1"/>
        <rFont val="Times New Roman"/>
        <charset val="134"/>
      </rPr>
      <t>Sowing</t>
    </r>
    <r>
      <rPr>
        <sz val="10"/>
        <color theme="1"/>
        <rFont val="宋体"/>
        <charset val="134"/>
      </rPr>
      <t>。</t>
    </r>
    <r>
      <rPr>
        <sz val="10"/>
        <color theme="1"/>
        <rFont val="Times New Roman"/>
        <charset val="134"/>
      </rPr>
      <t xml:space="preserve"> </t>
    </r>
    <r>
      <rPr>
        <sz val="10"/>
        <color theme="1"/>
        <rFont val="宋体"/>
        <charset val="134"/>
      </rPr>
      <t>目标获得等同于你熟练加值加上你感知调整值的临时生命值。</t>
    </r>
    <r>
      <rPr>
        <sz val="10"/>
        <color theme="1"/>
        <rFont val="Times New Roman"/>
        <charset val="134"/>
      </rPr>
      <t xml:space="preserve">
</t>
    </r>
    <r>
      <rPr>
        <sz val="10"/>
        <color theme="1"/>
        <rFont val="宋体"/>
        <charset val="134"/>
      </rPr>
      <t>生长</t>
    </r>
    <r>
      <rPr>
        <sz val="10"/>
        <color theme="1"/>
        <rFont val="Times New Roman"/>
        <charset val="134"/>
      </rPr>
      <t>Growing</t>
    </r>
    <r>
      <rPr>
        <sz val="10"/>
        <color theme="1"/>
        <rFont val="宋体"/>
        <charset val="134"/>
      </rPr>
      <t>。</t>
    </r>
    <r>
      <rPr>
        <sz val="10"/>
        <color theme="1"/>
        <rFont val="Times New Roman"/>
        <charset val="134"/>
      </rPr>
      <t xml:space="preserve"> </t>
    </r>
    <r>
      <rPr>
        <sz val="10"/>
        <color theme="1"/>
        <rFont val="宋体"/>
        <charset val="134"/>
      </rPr>
      <t>直至你的下一回合结束，当目标进行攻击检定或属性检定时，其会在结果总值中加入</t>
    </r>
    <r>
      <rPr>
        <sz val="10"/>
        <color theme="1"/>
        <rFont val="Times New Roman"/>
        <charset val="134"/>
      </rPr>
      <t>1d4</t>
    </r>
    <r>
      <rPr>
        <sz val="10"/>
        <color theme="1"/>
        <rFont val="宋体"/>
        <charset val="134"/>
      </rPr>
      <t>。</t>
    </r>
    <r>
      <rPr>
        <sz val="10"/>
        <color theme="1"/>
        <rFont val="Times New Roman"/>
        <charset val="134"/>
      </rPr>
      <t xml:space="preserve">
</t>
    </r>
    <r>
      <rPr>
        <sz val="10"/>
        <color theme="1"/>
        <rFont val="宋体"/>
        <charset val="134"/>
      </rPr>
      <t>收割</t>
    </r>
    <r>
      <rPr>
        <sz val="10"/>
        <color theme="1"/>
        <rFont val="Times New Roman"/>
        <charset val="134"/>
      </rPr>
      <t>Reaping</t>
    </r>
    <r>
      <rPr>
        <sz val="10"/>
        <color theme="1"/>
        <rFont val="宋体"/>
        <charset val="134"/>
      </rPr>
      <t>。</t>
    </r>
    <r>
      <rPr>
        <sz val="10"/>
        <color theme="1"/>
        <rFont val="Times New Roman"/>
        <charset val="134"/>
      </rPr>
      <t xml:space="preserve"> </t>
    </r>
    <r>
      <rPr>
        <sz val="10"/>
        <color theme="1"/>
        <rFont val="宋体"/>
        <charset val="134"/>
      </rPr>
      <t>目标在你的下一回合结束前首次伤害一个生物时，会额外造成等同于你熟练加值的暗蚀伤害。</t>
    </r>
  </si>
  <si>
    <t>大地心跳</t>
  </si>
  <si>
    <r>
      <rPr>
        <sz val="10"/>
        <color theme="1"/>
        <rFont val="宋体"/>
        <charset val="134"/>
      </rPr>
      <t>从你选择该结社起，你与周围的自然建立了联系，你可以感知到它会何时处于危险之中。你获得自然和洞悉技能的熟练、当你使用这两项技能进行属性检定时，你使用双倍熟练加值。此外，你可以通过</t>
    </r>
    <r>
      <rPr>
        <sz val="10"/>
        <color theme="1"/>
        <rFont val="Times New Roman"/>
        <charset val="134"/>
      </rPr>
      <t>10</t>
    </r>
    <r>
      <rPr>
        <sz val="10"/>
        <color theme="1"/>
        <rFont val="宋体"/>
        <charset val="134"/>
      </rPr>
      <t>分钟的时间与自然交流，这使你了解</t>
    </r>
    <r>
      <rPr>
        <sz val="10"/>
        <color theme="1"/>
        <rFont val="Times New Roman"/>
        <charset val="134"/>
      </rPr>
      <t>3</t>
    </r>
    <r>
      <rPr>
        <sz val="10"/>
        <color theme="1"/>
        <rFont val="宋体"/>
        <charset val="134"/>
      </rPr>
      <t>里内该地区的状况：
你了解该地区环境面临的所有直接威胁（森林火灾。洪水、枯萎病等）的大致位置和严重程度。
你了解范围内是否有天族，妖精，邪魔，元素或者亡灵存在，但你无法得知他们的具体位置。
你了解到距离你最近的通往元素位面的传送门的大致方位。</t>
    </r>
  </si>
  <si>
    <r>
      <rPr>
        <sz val="10"/>
        <color theme="1"/>
        <rFont val="宋体"/>
        <charset val="134"/>
      </rPr>
      <t>你已经学会了如何使用巨人之力灌注自身。
你可以使用一个附赠动作，魔法性地获得以下能力，持续一分钟。
如果你的体型小于大型，你和你所穿戴的所有物品一起变为大型，如果你缺少变为大型的空间，则你的体型无法发生变化。
你在力量检定和力量豁免检定上获得优势
你的每回合内一次，你的武器攻击或徒手打击可以在击中后对目标造成额外</t>
    </r>
    <r>
      <rPr>
        <sz val="10"/>
        <color theme="1"/>
        <rFont val="Times New Roman"/>
        <charset val="134"/>
      </rPr>
      <t>1d6</t>
    </r>
    <r>
      <rPr>
        <sz val="10"/>
        <color theme="1"/>
        <rFont val="宋体"/>
        <charset val="134"/>
      </rPr>
      <t>的伤害。
该特性的可使用次数等于你的熟练加值，且你可以在完成一次长休之后恢复所有已使用的次数。</t>
    </r>
  </si>
  <si>
    <t>每回合一次，当你使用徒手打击命中一名生物时，你可以尝试将目标击倒。目标额外受到等于掷三次你的武艺骰总值的力场伤害。若你造成伤害后目标的生命值不高于100，其陷入昏迷状态，持续10分钟。
此特性一经使用，直至你完成短休或长休才能再次使用。你也可以消耗5点功力（无需动作）来重置此特性的使用权。</t>
  </si>
  <si>
    <t>末世天启</t>
  </si>
  <si>
    <r>
      <rPr>
        <sz val="10"/>
        <color theme="1"/>
        <rFont val="宋体"/>
        <charset val="134"/>
      </rPr>
      <t>你可以用一个动作向大众揭露你的敌人的真实本性。你获得以下增益，持续</t>
    </r>
    <r>
      <rPr>
        <sz val="10"/>
        <color theme="1"/>
        <rFont val="Times New Roman"/>
        <charset val="134"/>
      </rPr>
      <t>1</t>
    </r>
    <r>
      <rPr>
        <sz val="10"/>
        <color theme="1"/>
        <rFont val="宋体"/>
        <charset val="134"/>
      </rPr>
      <t>分钟：
你具有</t>
    </r>
    <r>
      <rPr>
        <sz val="10"/>
        <color theme="1"/>
        <rFont val="Times New Roman"/>
        <charset val="134"/>
      </rPr>
      <t>120</t>
    </r>
    <r>
      <rPr>
        <sz val="10"/>
        <color theme="1"/>
        <rFont val="宋体"/>
        <charset val="134"/>
      </rPr>
      <t>尺真实视觉。
生物进入你５尺内，或在该区域内开始其回合时，你可以迫使其进行一次体质豁免，豁免</t>
    </r>
    <r>
      <rPr>
        <sz val="10"/>
        <color theme="1"/>
        <rFont val="Times New Roman"/>
        <charset val="134"/>
      </rPr>
      <t>DC</t>
    </r>
    <r>
      <rPr>
        <sz val="10"/>
        <color theme="1"/>
        <rFont val="宋体"/>
        <charset val="134"/>
      </rPr>
      <t>等于你的法术豁免</t>
    </r>
    <r>
      <rPr>
        <sz val="10"/>
        <color theme="1"/>
        <rFont val="Times New Roman"/>
        <charset val="134"/>
      </rPr>
      <t>DC</t>
    </r>
    <r>
      <rPr>
        <sz val="10"/>
        <color theme="1"/>
        <rFont val="宋体"/>
        <charset val="134"/>
      </rPr>
      <t>，豁免失败将被目盲至其下回合开始。
以一个附赠动作，每个你自己的回合，你可以选择一名位于你</t>
    </r>
    <r>
      <rPr>
        <sz val="10"/>
        <color theme="1"/>
        <rFont val="Times New Roman"/>
        <charset val="134"/>
      </rPr>
      <t>60</t>
    </r>
    <r>
      <rPr>
        <sz val="10"/>
        <color theme="1"/>
        <rFont val="宋体"/>
        <charset val="134"/>
      </rPr>
      <t>尺内的生物，向大众展示它的虚弱无力。直至你的下个回合开始，对你选择生物进行的攻击检定具有优势。
你必须完成一次长休才能再次使用该特性。</t>
    </r>
  </si>
  <si>
    <t>凛冬行者魔法</t>
  </si>
  <si>
    <r>
      <rPr>
        <sz val="10"/>
        <color theme="1"/>
        <rFont val="宋体"/>
        <charset val="134"/>
      </rPr>
      <t>在达到下方凛冬行者法术列表中列出特定等级时，你将始终准备了等级对应的法术。</t>
    </r>
    <r>
      <rPr>
        <sz val="10"/>
        <color theme="1"/>
        <rFont val="Times New Roman"/>
        <charset val="134"/>
      </rPr>
      <t xml:space="preserve">
</t>
    </r>
    <r>
      <rPr>
        <sz val="10"/>
        <color theme="1"/>
        <rFont val="宋体"/>
        <charset val="134"/>
      </rPr>
      <t>游侠等级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冰刃</t>
    </r>
    <r>
      <rPr>
        <sz val="10"/>
        <color theme="1"/>
        <rFont val="Times New Roman"/>
        <charset val="134"/>
      </rPr>
      <t xml:space="preserve">Ice Knife
5	</t>
    </r>
    <r>
      <rPr>
        <sz val="10"/>
        <color theme="1"/>
        <rFont val="宋体"/>
        <charset val="134"/>
      </rPr>
      <t>定身类人</t>
    </r>
    <r>
      <rPr>
        <sz val="10"/>
        <color theme="1"/>
        <rFont val="Times New Roman"/>
        <charset val="134"/>
      </rPr>
      <t xml:space="preserve">Hold Person
9	</t>
    </r>
    <r>
      <rPr>
        <sz val="10"/>
        <color theme="1"/>
        <rFont val="宋体"/>
        <charset val="134"/>
      </rPr>
      <t>移除诅咒</t>
    </r>
    <r>
      <rPr>
        <sz val="10"/>
        <color theme="1"/>
        <rFont val="Times New Roman"/>
        <charset val="134"/>
      </rPr>
      <t xml:space="preserve">Remove Curse
13	</t>
    </r>
    <r>
      <rPr>
        <sz val="10"/>
        <color theme="1"/>
        <rFont val="宋体"/>
        <charset val="134"/>
      </rPr>
      <t>冰风暴</t>
    </r>
    <r>
      <rPr>
        <sz val="10"/>
        <color theme="1"/>
        <rFont val="Times New Roman"/>
        <charset val="134"/>
      </rPr>
      <t xml:space="preserve">Ice Storm
17	</t>
    </r>
    <r>
      <rPr>
        <sz val="10"/>
        <color theme="1"/>
        <rFont val="宋体"/>
        <charset val="134"/>
      </rPr>
      <t>寒冰锥</t>
    </r>
    <r>
      <rPr>
        <sz val="10"/>
        <color theme="1"/>
        <rFont val="Times New Roman"/>
        <charset val="134"/>
      </rPr>
      <t>Cone of Cold</t>
    </r>
  </si>
  <si>
    <t>魔匠印击</t>
  </si>
  <si>
    <t>当你在自己的回合内执行攻击动作，并使用一件单手握持的武器发动一次攻击时，你可以花费1点烛心点使用一枚印记戒指在同一动作中发动一次徒手打击。这次攻击造成的钝击伤害等于1d4+你的敏捷调整值，且额外造成1d6火焰伤害。若你本回合尚未造成偷袭伤害，这次攻击还可以受益于偷袭。
你可以每回合使用一次此魔艺。</t>
  </si>
  <si>
    <t>飞沙走石</t>
  </si>
  <si>
    <r>
      <rPr>
        <sz val="10"/>
        <color theme="1"/>
        <rFont val="宋体"/>
        <charset val="134"/>
      </rPr>
      <t>你可以将体内的魔法沙暴显化为附近的旋风。当你在自己回合施展</t>
    </r>
    <r>
      <rPr>
        <sz val="10"/>
        <color theme="1"/>
        <rFont val="Times New Roman"/>
        <charset val="134"/>
      </rPr>
      <t>1</t>
    </r>
    <r>
      <rPr>
        <sz val="10"/>
        <color theme="1"/>
        <rFont val="宋体"/>
        <charset val="134"/>
      </rPr>
      <t>环或更高环级的法术时，你可以使用一个附赠动作在距你</t>
    </r>
    <r>
      <rPr>
        <sz val="10"/>
        <color theme="1"/>
        <rFont val="Times New Roman"/>
        <charset val="134"/>
      </rPr>
      <t>30</t>
    </r>
    <r>
      <rPr>
        <sz val="10"/>
        <color theme="1"/>
        <rFont val="宋体"/>
        <charset val="134"/>
      </rPr>
      <t>尺内一个你能看见的位置创造一个</t>
    </r>
    <r>
      <rPr>
        <sz val="10"/>
        <color theme="1"/>
        <rFont val="Times New Roman"/>
        <charset val="134"/>
      </rPr>
      <t>5</t>
    </r>
    <r>
      <rPr>
        <sz val="10"/>
        <color theme="1"/>
        <rFont val="宋体"/>
        <charset val="134"/>
      </rPr>
      <t>尺立方的风暴。范围内的大型或更小体型生物必须进行一次对抗你术士法术豁免</t>
    </r>
    <r>
      <rPr>
        <sz val="10"/>
        <color theme="1"/>
        <rFont val="Times New Roman"/>
        <charset val="134"/>
      </rPr>
      <t>DC</t>
    </r>
    <r>
      <rPr>
        <sz val="10"/>
        <color theme="1"/>
        <rFont val="宋体"/>
        <charset val="134"/>
      </rPr>
      <t>的力量豁免。豁免失败的生物若为中型或更小体型则会被推动最远</t>
    </r>
    <r>
      <rPr>
        <sz val="10"/>
        <color theme="1"/>
        <rFont val="Times New Roman"/>
        <charset val="134"/>
      </rPr>
      <t>10</t>
    </r>
    <r>
      <rPr>
        <sz val="10"/>
        <color theme="1"/>
        <rFont val="宋体"/>
        <charset val="134"/>
      </rPr>
      <t>尺（由你选择方向），若为大型体型则会被推动</t>
    </r>
    <r>
      <rPr>
        <sz val="10"/>
        <color theme="1"/>
        <rFont val="Times New Roman"/>
        <charset val="134"/>
      </rPr>
      <t>5</t>
    </r>
    <r>
      <rPr>
        <sz val="10"/>
        <color theme="1"/>
        <rFont val="宋体"/>
        <charset val="134"/>
      </rPr>
      <t>尺。
当你在本职业达到</t>
    </r>
    <r>
      <rPr>
        <sz val="10"/>
        <color theme="1"/>
        <rFont val="Times New Roman"/>
        <charset val="134"/>
      </rPr>
      <t>6</t>
    </r>
    <r>
      <rPr>
        <sz val="10"/>
        <color theme="1"/>
        <rFont val="宋体"/>
        <charset val="134"/>
      </rPr>
      <t>级时，豁免失败的生物还会受到</t>
    </r>
    <r>
      <rPr>
        <sz val="10"/>
        <color theme="1"/>
        <rFont val="Times New Roman"/>
        <charset val="134"/>
      </rPr>
      <t>1d8</t>
    </r>
    <r>
      <rPr>
        <sz val="10"/>
        <color theme="1"/>
        <rFont val="宋体"/>
        <charset val="134"/>
      </rPr>
      <t>钝击伤害或</t>
    </r>
    <r>
      <rPr>
        <sz val="10"/>
        <color theme="1"/>
        <rFont val="Times New Roman"/>
        <charset val="134"/>
      </rPr>
      <t>1d8</t>
    </r>
    <r>
      <rPr>
        <sz val="10"/>
        <color theme="1"/>
        <rFont val="宋体"/>
        <charset val="134"/>
      </rPr>
      <t>火焰伤害（由你选择）。当你在本职业达到特定等级时，伤害会增加：</t>
    </r>
    <r>
      <rPr>
        <sz val="10"/>
        <color theme="1"/>
        <rFont val="Times New Roman"/>
        <charset val="134"/>
      </rPr>
      <t>14</t>
    </r>
    <r>
      <rPr>
        <sz val="10"/>
        <color theme="1"/>
        <rFont val="宋体"/>
        <charset val="134"/>
      </rPr>
      <t>级时增加至</t>
    </r>
    <r>
      <rPr>
        <sz val="10"/>
        <color theme="1"/>
        <rFont val="Times New Roman"/>
        <charset val="134"/>
      </rPr>
      <t>2d8</t>
    </r>
    <r>
      <rPr>
        <sz val="10"/>
        <color theme="1"/>
        <rFont val="宋体"/>
        <charset val="134"/>
      </rPr>
      <t>，</t>
    </r>
    <r>
      <rPr>
        <sz val="10"/>
        <color theme="1"/>
        <rFont val="Times New Roman"/>
        <charset val="134"/>
      </rPr>
      <t>18</t>
    </r>
    <r>
      <rPr>
        <sz val="10"/>
        <color theme="1"/>
        <rFont val="宋体"/>
        <charset val="134"/>
      </rPr>
      <t>级时增加至</t>
    </r>
    <r>
      <rPr>
        <sz val="10"/>
        <color theme="1"/>
        <rFont val="Times New Roman"/>
        <charset val="134"/>
      </rPr>
      <t>3d8</t>
    </r>
    <r>
      <rPr>
        <sz val="10"/>
        <color theme="1"/>
        <rFont val="宋体"/>
        <charset val="134"/>
      </rPr>
      <t>。</t>
    </r>
  </si>
  <si>
    <r>
      <rPr>
        <sz val="10"/>
        <color theme="1"/>
        <rFont val="宋体"/>
        <charset val="134"/>
      </rPr>
      <t>巨灵器皿</t>
    </r>
  </si>
  <si>
    <r>
      <rPr>
        <sz val="10"/>
        <color theme="1"/>
        <rFont val="宋体"/>
        <charset val="134"/>
      </rPr>
      <t>你的宗主赐予你一个包含巨灵之力的魔法器皿。
该器皿是一个微型物件，你可以将其作为施展你邪术师法术的法器。
你决定物件的类别，或者你可以通过巨灵器皿表来决定。
【巨灵器皿】：</t>
    </r>
    <r>
      <rPr>
        <sz val="10"/>
        <color theme="1"/>
        <rFont val="Times New Roman"/>
        <charset val="134"/>
      </rPr>
      <t xml:space="preserve">d6 </t>
    </r>
    <r>
      <rPr>
        <sz val="10"/>
        <color theme="1"/>
        <rFont val="宋体"/>
        <charset val="134"/>
      </rPr>
      <t>器皿种类</t>
    </r>
    <r>
      <rPr>
        <sz val="10"/>
        <color theme="1"/>
        <rFont val="Times New Roman"/>
        <charset val="134"/>
      </rPr>
      <t xml:space="preserve">  
1 </t>
    </r>
    <r>
      <rPr>
        <sz val="10"/>
        <color theme="1"/>
        <rFont val="宋体"/>
        <charset val="134"/>
      </rPr>
      <t>油灯</t>
    </r>
    <r>
      <rPr>
        <sz val="10"/>
        <color theme="1"/>
        <rFont val="Times New Roman"/>
        <charset val="134"/>
      </rPr>
      <t xml:space="preserve"> 
2 </t>
    </r>
    <r>
      <rPr>
        <sz val="10"/>
        <color theme="1"/>
        <rFont val="宋体"/>
        <charset val="134"/>
      </rPr>
      <t>瓮</t>
    </r>
    <r>
      <rPr>
        <sz val="10"/>
        <color theme="1"/>
        <rFont val="Times New Roman"/>
        <charset val="134"/>
      </rPr>
      <t xml:space="preserve"> 
3 </t>
    </r>
    <r>
      <rPr>
        <sz val="10"/>
        <color theme="1"/>
        <rFont val="宋体"/>
        <charset val="134"/>
      </rPr>
      <t>可装东西的戒指</t>
    </r>
    <r>
      <rPr>
        <sz val="10"/>
        <color theme="1"/>
        <rFont val="Times New Roman"/>
        <charset val="134"/>
      </rPr>
      <t xml:space="preserve"> 
4 </t>
    </r>
    <r>
      <rPr>
        <sz val="10"/>
        <color theme="1"/>
        <rFont val="宋体"/>
        <charset val="134"/>
      </rPr>
      <t>被塞住的瓶子</t>
    </r>
    <r>
      <rPr>
        <sz val="10"/>
        <color theme="1"/>
        <rFont val="Times New Roman"/>
        <charset val="134"/>
      </rPr>
      <t xml:space="preserve"> 
5 </t>
    </r>
    <r>
      <rPr>
        <sz val="10"/>
        <color theme="1"/>
        <rFont val="宋体"/>
        <charset val="134"/>
      </rPr>
      <t>空心小雕像</t>
    </r>
    <r>
      <rPr>
        <sz val="10"/>
        <color theme="1"/>
        <rFont val="Times New Roman"/>
        <charset val="134"/>
      </rPr>
      <t xml:space="preserve"> 
6 </t>
    </r>
    <r>
      <rPr>
        <sz val="10"/>
        <color theme="1"/>
        <rFont val="宋体"/>
        <charset val="134"/>
      </rPr>
      <t>华丽提灯</t>
    </r>
    <r>
      <rPr>
        <sz val="10"/>
        <color theme="1"/>
        <rFont val="Times New Roman"/>
        <charset val="134"/>
      </rPr>
      <t xml:space="preserve"> 
</t>
    </r>
    <r>
      <rPr>
        <sz val="10"/>
        <color theme="1"/>
        <rFont val="宋体"/>
        <charset val="134"/>
      </rPr>
      <t>当你触碰器皿时，你可以用以下方式使用它：</t>
    </r>
  </si>
  <si>
    <t>黄化之境</t>
  </si>
  <si>
    <r>
      <rPr>
        <sz val="10"/>
        <color theme="1"/>
        <rFont val="宋体"/>
        <charset val="134"/>
      </rPr>
      <t>你现在可以操控精粹结晶以进行创造，而不仅仅是纯化。你始终准备了法术造物术</t>
    </r>
    <r>
      <rPr>
        <sz val="10"/>
        <color theme="1"/>
        <rFont val="Times New Roman"/>
        <charset val="134"/>
      </rPr>
      <t>Creation</t>
    </r>
    <r>
      <rPr>
        <sz val="10"/>
        <color theme="1"/>
        <rFont val="宋体"/>
        <charset val="134"/>
      </rPr>
      <t>和鬼斧神工</t>
    </r>
    <r>
      <rPr>
        <sz val="10"/>
        <color theme="1"/>
        <rFont val="Times New Roman"/>
        <charset val="134"/>
      </rPr>
      <t xml:space="preserve">Fabricate </t>
    </r>
    <r>
      <rPr>
        <sz val="10"/>
        <color theme="1"/>
        <rFont val="宋体"/>
        <charset val="134"/>
      </rPr>
      <t>，你可以不消耗法术位地施展这两道法术各一次，并在完成一次长休后重获以此方式施展这些法术的能力。当你通过该特性施展一道法术时，你可以使用一个动作施展该法术，而非其正常的施法时间。你也可以正常使用合适的法术位来施展这些法术。</t>
    </r>
    <r>
      <rPr>
        <sz val="10"/>
        <color theme="1"/>
        <rFont val="Times New Roman"/>
        <charset val="134"/>
      </rPr>
      <t xml:space="preserve">
</t>
    </r>
    <r>
      <rPr>
        <sz val="10"/>
        <color theme="1"/>
        <rFont val="宋体"/>
        <charset val="134"/>
      </rPr>
      <t>此外，当你施展造物术</t>
    </r>
    <r>
      <rPr>
        <sz val="10"/>
        <color theme="1"/>
        <rFont val="Times New Roman"/>
        <charset val="134"/>
      </rPr>
      <t>Creation</t>
    </r>
    <r>
      <rPr>
        <sz val="10"/>
        <color theme="1"/>
        <rFont val="宋体"/>
        <charset val="134"/>
      </rPr>
      <t>时，你可以消耗至多等于你智力调整值（至少为</t>
    </r>
    <r>
      <rPr>
        <sz val="10"/>
        <color theme="1"/>
        <rFont val="Times New Roman"/>
        <charset val="134"/>
      </rPr>
      <t>1</t>
    </r>
    <r>
      <rPr>
        <sz val="10"/>
        <color theme="1"/>
        <rFont val="宋体"/>
        <charset val="134"/>
      </rPr>
      <t>）的精粹结晶，来使该法术的持续时间乘以</t>
    </r>
    <r>
      <rPr>
        <sz val="10"/>
        <color theme="1"/>
        <rFont val="Times New Roman"/>
        <charset val="134"/>
      </rPr>
      <t>1</t>
    </r>
    <r>
      <rPr>
        <sz val="10"/>
        <color theme="1"/>
        <rFont val="宋体"/>
        <charset val="134"/>
      </rPr>
      <t>加所消耗精粹结晶数量。</t>
    </r>
  </si>
  <si>
    <r>
      <rPr>
        <sz val="10"/>
        <color theme="1"/>
        <rFont val="宋体"/>
        <charset val="134"/>
      </rPr>
      <t>尸锻生物数据</t>
    </r>
  </si>
  <si>
    <r>
      <rPr>
        <sz val="10"/>
        <color theme="1"/>
        <rFont val="宋体"/>
        <charset val="134"/>
      </rPr>
      <t>尸锻生物</t>
    </r>
    <r>
      <rPr>
        <sz val="10"/>
        <color theme="1"/>
        <rFont val="Times New Roman"/>
        <charset val="134"/>
      </rPr>
      <t xml:space="preserve">Corpsewrought Creature
</t>
    </r>
    <r>
      <rPr>
        <sz val="10"/>
        <color theme="1"/>
        <rFont val="宋体"/>
        <charset val="134"/>
      </rPr>
      <t xml:space="preserve">中型构装体
</t>
    </r>
    <r>
      <rPr>
        <sz val="10"/>
        <color theme="1"/>
        <rFont val="Times New Roman"/>
        <charset val="134"/>
      </rPr>
      <t>________________________________________
AC</t>
    </r>
    <r>
      <rPr>
        <sz val="10"/>
        <color theme="1"/>
        <rFont val="宋体"/>
        <charset val="134"/>
      </rPr>
      <t>：</t>
    </r>
    <r>
      <rPr>
        <sz val="10"/>
        <color theme="1"/>
        <rFont val="Times New Roman"/>
        <charset val="134"/>
      </rPr>
      <t>14+</t>
    </r>
    <r>
      <rPr>
        <sz val="10"/>
        <color theme="1"/>
        <rFont val="宋体"/>
        <charset val="134"/>
      </rPr>
      <t xml:space="preserve">熟练加值
</t>
    </r>
    <r>
      <rPr>
        <sz val="10"/>
        <color theme="1"/>
        <rFont val="Times New Roman"/>
        <charset val="134"/>
      </rPr>
      <t>HP</t>
    </r>
    <r>
      <rPr>
        <sz val="10"/>
        <color theme="1"/>
        <rFont val="宋体"/>
        <charset val="134"/>
      </rPr>
      <t>：</t>
    </r>
    <r>
      <rPr>
        <sz val="10"/>
        <color theme="1"/>
        <rFont val="Times New Roman"/>
        <charset val="134"/>
      </rPr>
      <t>5+</t>
    </r>
    <r>
      <rPr>
        <sz val="10"/>
        <color theme="1"/>
        <rFont val="宋体"/>
        <charset val="134"/>
      </rPr>
      <t>你药剂师等级的</t>
    </r>
    <r>
      <rPr>
        <sz val="10"/>
        <color theme="1"/>
        <rFont val="Times New Roman"/>
        <charset val="134"/>
      </rPr>
      <t>5</t>
    </r>
    <r>
      <rPr>
        <sz val="10"/>
        <color theme="1"/>
        <rFont val="宋体"/>
        <charset val="134"/>
      </rPr>
      <t>倍（该生物有数量等同于你药剂师等级的生命骰【</t>
    </r>
    <r>
      <rPr>
        <sz val="10"/>
        <color theme="1"/>
        <rFont val="Times New Roman"/>
        <charset val="134"/>
      </rPr>
      <t>d12</t>
    </r>
    <r>
      <rPr>
        <sz val="10"/>
        <color theme="1"/>
        <rFont val="宋体"/>
        <charset val="134"/>
      </rPr>
      <t>】）
速度：</t>
    </r>
    <r>
      <rPr>
        <sz val="10"/>
        <color theme="1"/>
        <rFont val="Times New Roman"/>
        <charset val="134"/>
      </rPr>
      <t>30</t>
    </r>
    <r>
      <rPr>
        <sz val="10"/>
        <color theme="1"/>
        <rFont val="宋体"/>
        <charset val="134"/>
      </rPr>
      <t xml:space="preserve">尺
</t>
    </r>
    <r>
      <rPr>
        <sz val="10"/>
        <color theme="1"/>
        <rFont val="Times New Roman"/>
        <charset val="134"/>
      </rPr>
      <t xml:space="preserve">________________________________________
</t>
    </r>
    <r>
      <rPr>
        <sz val="10"/>
        <color theme="1"/>
        <rFont val="宋体"/>
        <charset val="134"/>
      </rPr>
      <t>力量</t>
    </r>
    <r>
      <rPr>
        <sz val="10"/>
        <color theme="1"/>
        <rFont val="Times New Roman"/>
        <charset val="134"/>
      </rPr>
      <t xml:space="preserve">    </t>
    </r>
    <r>
      <rPr>
        <sz val="10"/>
        <color theme="1"/>
        <rFont val="宋体"/>
        <charset val="134"/>
      </rPr>
      <t>敏捷</t>
    </r>
    <r>
      <rPr>
        <sz val="10"/>
        <color theme="1"/>
        <rFont val="Times New Roman"/>
        <charset val="134"/>
      </rPr>
      <t xml:space="preserve">    </t>
    </r>
    <r>
      <rPr>
        <sz val="10"/>
        <color theme="1"/>
        <rFont val="宋体"/>
        <charset val="134"/>
      </rPr>
      <t>体质</t>
    </r>
    <r>
      <rPr>
        <sz val="10"/>
        <color theme="1"/>
        <rFont val="Times New Roman"/>
        <charset val="134"/>
      </rPr>
      <t xml:space="preserve">    </t>
    </r>
    <r>
      <rPr>
        <sz val="10"/>
        <color theme="1"/>
        <rFont val="宋体"/>
        <charset val="134"/>
      </rPr>
      <t>智力</t>
    </r>
    <r>
      <rPr>
        <sz val="10"/>
        <color theme="1"/>
        <rFont val="Times New Roman"/>
        <charset val="134"/>
      </rPr>
      <t xml:space="preserve">    </t>
    </r>
    <r>
      <rPr>
        <sz val="10"/>
        <color theme="1"/>
        <rFont val="宋体"/>
        <charset val="134"/>
      </rPr>
      <t>感知</t>
    </r>
    <r>
      <rPr>
        <sz val="10"/>
        <color theme="1"/>
        <rFont val="Times New Roman"/>
        <charset val="134"/>
      </rPr>
      <t xml:space="preserve">    </t>
    </r>
    <r>
      <rPr>
        <sz val="10"/>
        <color theme="1"/>
        <rFont val="宋体"/>
        <charset val="134"/>
      </rPr>
      <t xml:space="preserve">魅力
</t>
    </r>
    <r>
      <rPr>
        <sz val="10"/>
        <color theme="1"/>
        <rFont val="Times New Roman"/>
        <charset val="134"/>
      </rPr>
      <t>18</t>
    </r>
    <r>
      <rPr>
        <sz val="10"/>
        <color theme="1"/>
        <rFont val="宋体"/>
        <charset val="134"/>
      </rPr>
      <t>（</t>
    </r>
    <r>
      <rPr>
        <sz val="10"/>
        <color theme="1"/>
        <rFont val="Times New Roman"/>
        <charset val="134"/>
      </rPr>
      <t>+4</t>
    </r>
    <r>
      <rPr>
        <sz val="10"/>
        <color theme="1"/>
        <rFont val="宋体"/>
        <charset val="134"/>
      </rPr>
      <t>）</t>
    </r>
    <r>
      <rPr>
        <sz val="10"/>
        <color theme="1"/>
        <rFont val="Times New Roman"/>
        <charset val="134"/>
      </rPr>
      <t xml:space="preserve">    10</t>
    </r>
    <r>
      <rPr>
        <sz val="10"/>
        <color theme="1"/>
        <rFont val="宋体"/>
        <charset val="134"/>
      </rPr>
      <t>（</t>
    </r>
    <r>
      <rPr>
        <sz val="10"/>
        <color theme="1"/>
        <rFont val="Times New Roman"/>
        <charset val="134"/>
      </rPr>
      <t>+0</t>
    </r>
    <r>
      <rPr>
        <sz val="10"/>
        <color theme="1"/>
        <rFont val="宋体"/>
        <charset val="134"/>
      </rPr>
      <t>）</t>
    </r>
    <r>
      <rPr>
        <sz val="10"/>
        <color theme="1"/>
        <rFont val="Times New Roman"/>
        <charset val="134"/>
      </rPr>
      <t xml:space="preserve">    16</t>
    </r>
    <r>
      <rPr>
        <sz val="10"/>
        <color theme="1"/>
        <rFont val="宋体"/>
        <charset val="134"/>
      </rPr>
      <t>（</t>
    </r>
    <r>
      <rPr>
        <sz val="10"/>
        <color theme="1"/>
        <rFont val="Times New Roman"/>
        <charset val="134"/>
      </rPr>
      <t>+3</t>
    </r>
    <r>
      <rPr>
        <sz val="10"/>
        <color theme="1"/>
        <rFont val="宋体"/>
        <charset val="134"/>
      </rPr>
      <t>）</t>
    </r>
    <r>
      <rPr>
        <sz val="10"/>
        <color theme="1"/>
        <rFont val="Times New Roman"/>
        <charset val="134"/>
      </rPr>
      <t xml:space="preserve">    8</t>
    </r>
    <r>
      <rPr>
        <sz val="10"/>
        <color theme="1"/>
        <rFont val="宋体"/>
        <charset val="134"/>
      </rPr>
      <t>（</t>
    </r>
    <r>
      <rPr>
        <sz val="10"/>
        <color theme="1"/>
        <rFont val="Times New Roman"/>
        <charset val="134"/>
      </rPr>
      <t>-1</t>
    </r>
    <r>
      <rPr>
        <sz val="10"/>
        <color theme="1"/>
        <rFont val="宋体"/>
        <charset val="134"/>
      </rPr>
      <t>）</t>
    </r>
    <r>
      <rPr>
        <sz val="10"/>
        <color theme="1"/>
        <rFont val="Times New Roman"/>
        <charset val="134"/>
      </rPr>
      <t xml:space="preserve">    12</t>
    </r>
    <r>
      <rPr>
        <sz val="10"/>
        <color theme="1"/>
        <rFont val="宋体"/>
        <charset val="134"/>
      </rPr>
      <t>（</t>
    </r>
    <r>
      <rPr>
        <sz val="10"/>
        <color theme="1"/>
        <rFont val="Times New Roman"/>
        <charset val="134"/>
      </rPr>
      <t>+1</t>
    </r>
    <r>
      <rPr>
        <sz val="10"/>
        <color theme="1"/>
        <rFont val="宋体"/>
        <charset val="134"/>
      </rPr>
      <t>）</t>
    </r>
    <r>
      <rPr>
        <sz val="10"/>
        <color theme="1"/>
        <rFont val="Times New Roman"/>
        <charset val="134"/>
      </rPr>
      <t xml:space="preserve">    8</t>
    </r>
    <r>
      <rPr>
        <sz val="10"/>
        <color theme="1"/>
        <rFont val="宋体"/>
        <charset val="134"/>
      </rPr>
      <t>（</t>
    </r>
    <r>
      <rPr>
        <sz val="10"/>
        <color theme="1"/>
        <rFont val="Times New Roman"/>
        <charset val="134"/>
      </rPr>
      <t>-1</t>
    </r>
    <r>
      <rPr>
        <sz val="10"/>
        <color theme="1"/>
        <rFont val="宋体"/>
        <charset val="134"/>
      </rPr>
      <t xml:space="preserve">）
</t>
    </r>
    <r>
      <rPr>
        <sz val="10"/>
        <color theme="1"/>
        <rFont val="Times New Roman"/>
        <charset val="134"/>
      </rPr>
      <t xml:space="preserve">________________________________________
</t>
    </r>
    <r>
      <rPr>
        <sz val="10"/>
        <color theme="1"/>
        <rFont val="宋体"/>
        <charset val="134"/>
      </rPr>
      <t>豁免：体质</t>
    </r>
    <r>
      <rPr>
        <sz val="10"/>
        <color theme="1"/>
        <rFont val="Times New Roman"/>
        <charset val="134"/>
      </rPr>
      <t>+3+PB</t>
    </r>
    <r>
      <rPr>
        <sz val="10"/>
        <color theme="1"/>
        <rFont val="宋体"/>
        <charset val="134"/>
      </rPr>
      <t>，感知</t>
    </r>
    <r>
      <rPr>
        <sz val="10"/>
        <color theme="1"/>
        <rFont val="Times New Roman"/>
        <charset val="134"/>
      </rPr>
      <t xml:space="preserve">+1+PB
</t>
    </r>
    <r>
      <rPr>
        <sz val="10"/>
        <color theme="1"/>
        <rFont val="宋体"/>
        <charset val="134"/>
      </rPr>
      <t>技能：运动</t>
    </r>
    <r>
      <rPr>
        <sz val="10"/>
        <color theme="1"/>
        <rFont val="Times New Roman"/>
        <charset val="134"/>
      </rPr>
      <t xml:space="preserve">+4+PB
</t>
    </r>
    <r>
      <rPr>
        <sz val="10"/>
        <color theme="1"/>
        <rFont val="宋体"/>
        <charset val="134"/>
      </rPr>
      <t>伤害免疫：毒素、闪电
状态免疫：中毒
感官：黑暗视觉</t>
    </r>
    <r>
      <rPr>
        <sz val="10"/>
        <color theme="1"/>
        <rFont val="Times New Roman"/>
        <charset val="134"/>
      </rPr>
      <t>60</t>
    </r>
    <r>
      <rPr>
        <sz val="10"/>
        <color theme="1"/>
        <rFont val="宋体"/>
        <charset val="134"/>
      </rPr>
      <t>尺，被动察觉</t>
    </r>
    <r>
      <rPr>
        <sz val="10"/>
        <color theme="1"/>
        <rFont val="Times New Roman"/>
        <charset val="134"/>
      </rPr>
      <t xml:space="preserve">11
</t>
    </r>
    <r>
      <rPr>
        <sz val="10"/>
        <color theme="1"/>
        <rFont val="宋体"/>
        <charset val="134"/>
      </rPr>
      <t>语言：理解造物主的语言但不会说
挑战等级：</t>
    </r>
    <r>
      <rPr>
        <sz val="10"/>
        <color theme="1"/>
        <rFont val="Times New Roman"/>
        <charset val="134"/>
      </rPr>
      <t xml:space="preserve">——
</t>
    </r>
    <r>
      <rPr>
        <sz val="10"/>
        <color theme="1"/>
        <rFont val="宋体"/>
        <charset val="134"/>
      </rPr>
      <t>熟练加值（</t>
    </r>
    <r>
      <rPr>
        <sz val="10"/>
        <color theme="1"/>
        <rFont val="Times New Roman"/>
        <charset val="134"/>
      </rPr>
      <t>PB</t>
    </r>
    <r>
      <rPr>
        <sz val="10"/>
        <color theme="1"/>
        <rFont val="宋体"/>
        <charset val="134"/>
      </rPr>
      <t xml:space="preserve">）：等于你的熟练加值。
</t>
    </r>
    <r>
      <rPr>
        <sz val="10"/>
        <color theme="1"/>
        <rFont val="Times New Roman"/>
        <charset val="134"/>
      </rPr>
      <t xml:space="preserve">________________________________________
</t>
    </r>
    <r>
      <rPr>
        <sz val="10"/>
        <color theme="1"/>
        <rFont val="宋体"/>
        <charset val="134"/>
      </rPr>
      <t>闪电吸收</t>
    </r>
    <r>
      <rPr>
        <sz val="10"/>
        <color theme="1"/>
        <rFont val="Times New Roman"/>
        <charset val="134"/>
      </rPr>
      <t>Lightning Absorption</t>
    </r>
    <r>
      <rPr>
        <sz val="10"/>
        <color theme="1"/>
        <rFont val="宋体"/>
        <charset val="134"/>
      </rPr>
      <t xml:space="preserve">。尸锻生物受闪电伤害时不会损伤，反而会恢复与伤害值相等的生命值。
</t>
    </r>
    <r>
      <rPr>
        <sz val="10"/>
        <color theme="1"/>
        <rFont val="Times New Roman"/>
        <charset val="134"/>
      </rPr>
      <t xml:space="preserve">________________________________________
</t>
    </r>
    <r>
      <rPr>
        <sz val="10"/>
        <color theme="1"/>
        <rFont val="宋体"/>
        <charset val="134"/>
      </rPr>
      <t>动作</t>
    </r>
    <r>
      <rPr>
        <sz val="10"/>
        <color theme="1"/>
        <rFont val="Times New Roman"/>
        <charset val="134"/>
      </rPr>
      <t xml:space="preserve">Actions
</t>
    </r>
    <r>
      <rPr>
        <sz val="10"/>
        <color theme="1"/>
        <rFont val="宋体"/>
        <charset val="134"/>
      </rPr>
      <t>猛击</t>
    </r>
    <r>
      <rPr>
        <sz val="10"/>
        <color theme="1"/>
        <rFont val="Times New Roman"/>
        <charset val="134"/>
      </rPr>
      <t>Slam</t>
    </r>
    <r>
      <rPr>
        <sz val="10"/>
        <color theme="1"/>
        <rFont val="宋体"/>
        <charset val="134"/>
      </rPr>
      <t>。近战武器攻击：命中</t>
    </r>
    <r>
      <rPr>
        <sz val="10"/>
        <color theme="1"/>
        <rFont val="Times New Roman"/>
        <charset val="134"/>
      </rPr>
      <t>+4+</t>
    </r>
    <r>
      <rPr>
        <sz val="10"/>
        <color theme="1"/>
        <rFont val="宋体"/>
        <charset val="134"/>
      </rPr>
      <t>熟练加值，触及</t>
    </r>
    <r>
      <rPr>
        <sz val="10"/>
        <color theme="1"/>
        <rFont val="Times New Roman"/>
        <charset val="134"/>
      </rPr>
      <t>5</t>
    </r>
    <r>
      <rPr>
        <sz val="10"/>
        <color theme="1"/>
        <rFont val="宋体"/>
        <charset val="134"/>
      </rPr>
      <t>尺，单一目标。命中：</t>
    </r>
    <r>
      <rPr>
        <sz val="10"/>
        <color theme="1"/>
        <rFont val="Times New Roman"/>
        <charset val="134"/>
      </rPr>
      <t>1d8+4</t>
    </r>
    <r>
      <rPr>
        <sz val="10"/>
        <color theme="1"/>
        <rFont val="宋体"/>
        <charset val="134"/>
      </rPr>
      <t>钝击伤害。</t>
    </r>
  </si>
  <si>
    <t>盘蛇宗</t>
  </si>
  <si>
    <t>不稳定血清</t>
  </si>
  <si>
    <r>
      <rPr>
        <sz val="10"/>
        <color theme="1"/>
        <rFont val="宋体"/>
        <charset val="134"/>
      </rPr>
      <t>你体内植有一系列注射器和储液管，用于储存炼金血清并将其注入你的身体。当你进入狂暴时，选择一种血清注入并获得其增益。</t>
    </r>
    <r>
      <rPr>
        <sz val="10"/>
        <color theme="1"/>
        <rFont val="Times New Roman"/>
        <charset val="134"/>
      </rPr>
      <t xml:space="preserve">
</t>
    </r>
    <r>
      <rPr>
        <sz val="10"/>
        <color theme="1"/>
        <rFont val="宋体"/>
        <charset val="134"/>
      </rPr>
      <t>所选血清会持续至你狂暴结束或直至你使用附赠动作选择一种新的血清。你具有以下血清选项。</t>
    </r>
    <r>
      <rPr>
        <sz val="10"/>
        <color theme="1"/>
        <rFont val="Times New Roman"/>
        <charset val="134"/>
      </rPr>
      <t xml:space="preserve">
</t>
    </r>
    <r>
      <rPr>
        <sz val="10"/>
        <color theme="1"/>
        <rFont val="宋体"/>
        <charset val="134"/>
      </rPr>
      <t>狂怒</t>
    </r>
    <r>
      <rPr>
        <sz val="10"/>
        <color theme="1"/>
        <rFont val="Times New Roman"/>
        <charset val="134"/>
      </rPr>
      <t>Ferocity</t>
    </r>
    <r>
      <rPr>
        <sz val="10"/>
        <color theme="1"/>
        <rFont val="宋体"/>
        <charset val="134"/>
      </rPr>
      <t>。</t>
    </r>
    <r>
      <rPr>
        <sz val="10"/>
        <color theme="1"/>
        <rFont val="Times New Roman"/>
        <charset val="134"/>
      </rPr>
      <t xml:space="preserve"> </t>
    </r>
    <r>
      <rPr>
        <sz val="10"/>
        <color theme="1"/>
        <rFont val="宋体"/>
        <charset val="134"/>
      </rPr>
      <t>此血清将你推入一股充满能量的狂怒之中。你无视困难地形。当你使用近战武器或徒手打击命中时，除了你正在使用的另一精通词条之外，你还可以激活精通词条横扫。</t>
    </r>
    <r>
      <rPr>
        <sz val="10"/>
        <color theme="1"/>
        <rFont val="Times New Roman"/>
        <charset val="134"/>
      </rPr>
      <t xml:space="preserve">
</t>
    </r>
    <r>
      <rPr>
        <sz val="10"/>
        <color theme="1"/>
        <rFont val="宋体"/>
        <charset val="134"/>
      </rPr>
      <t>怪兽</t>
    </r>
    <r>
      <rPr>
        <sz val="10"/>
        <color theme="1"/>
        <rFont val="Times New Roman"/>
        <charset val="134"/>
      </rPr>
      <t>Monstrosity</t>
    </r>
    <r>
      <rPr>
        <sz val="10"/>
        <color theme="1"/>
        <rFont val="宋体"/>
        <charset val="134"/>
      </rPr>
      <t>。</t>
    </r>
    <r>
      <rPr>
        <sz val="10"/>
        <color theme="1"/>
        <rFont val="Times New Roman"/>
        <charset val="134"/>
      </rPr>
      <t xml:space="preserve"> </t>
    </r>
    <r>
      <rPr>
        <sz val="10"/>
        <color theme="1"/>
        <rFont val="宋体"/>
        <charset val="134"/>
      </rPr>
      <t>此血清会将你的身躯膨胀至怪兽般的体型，并能以整容的方式改变你的外貌，例如改变面部特征、肤色、发长或发色。你的触及范围增加</t>
    </r>
    <r>
      <rPr>
        <sz val="10"/>
        <color theme="1"/>
        <rFont val="Times New Roman"/>
        <charset val="134"/>
      </rPr>
      <t>5</t>
    </r>
    <r>
      <rPr>
        <sz val="10"/>
        <color theme="1"/>
        <rFont val="宋体"/>
        <charset val="134"/>
      </rPr>
      <t>尺，并且每回合一次，当你基于力量的一次攻击检定失手时，你可以将你的狂暴伤害加值加入结果，这可能将失手改为命中。如果你的体型小于大型，则你变为大型，你穿戴或携带的事物一同变化。如果没有足够的空间容纳体型变化，则你的体型不会改变。</t>
    </r>
    <r>
      <rPr>
        <sz val="10"/>
        <color theme="1"/>
        <rFont val="Times New Roman"/>
        <charset val="134"/>
      </rPr>
      <t xml:space="preserve">
</t>
    </r>
    <r>
      <rPr>
        <sz val="10"/>
        <color theme="1"/>
        <rFont val="宋体"/>
        <charset val="134"/>
      </rPr>
      <t>复原</t>
    </r>
    <r>
      <rPr>
        <sz val="10"/>
        <color theme="1"/>
        <rFont val="Times New Roman"/>
        <charset val="134"/>
      </rPr>
      <t>Reconstruction</t>
    </r>
    <r>
      <rPr>
        <sz val="10"/>
        <color theme="1"/>
        <rFont val="宋体"/>
        <charset val="134"/>
      </rPr>
      <t>。</t>
    </r>
    <r>
      <rPr>
        <sz val="10"/>
        <color theme="1"/>
        <rFont val="Times New Roman"/>
        <charset val="134"/>
      </rPr>
      <t xml:space="preserve"> </t>
    </r>
    <r>
      <rPr>
        <sz val="10"/>
        <color theme="1"/>
        <rFont val="宋体"/>
        <charset val="134"/>
      </rPr>
      <t>此血清可减轻疼痛，并使伤口快速愈合。激活时，以及你的每个回合开始时，你可以消耗并掷出一枚生命骰。你恢复等于该生命骰骰值</t>
    </r>
    <r>
      <rPr>
        <sz val="10"/>
        <color theme="1"/>
        <rFont val="Times New Roman"/>
        <charset val="134"/>
      </rPr>
      <t>+</t>
    </r>
    <r>
      <rPr>
        <sz val="10"/>
        <color theme="1"/>
        <rFont val="宋体"/>
        <charset val="134"/>
      </rPr>
      <t>你体质调整值的生命值（至少</t>
    </r>
    <r>
      <rPr>
        <sz val="10"/>
        <color theme="1"/>
        <rFont val="Times New Roman"/>
        <charset val="134"/>
      </rPr>
      <t>1</t>
    </r>
    <r>
      <rPr>
        <sz val="10"/>
        <color theme="1"/>
        <rFont val="宋体"/>
        <charset val="134"/>
      </rPr>
      <t>生命值），超出你生命值上限的部分会转化为临时生命值。如果你受到强酸或火焰伤害，则该血清在你的下一回合开始时无法生效。</t>
    </r>
  </si>
  <si>
    <t>流浪者的逸闻录</t>
  </si>
  <si>
    <t>你可以分享你旅途中曾遇到的趣闻，将其中有用的信息传授给他人，帮助他人从新的角度看待问题。若一个生物拥有由你提供的诗人激励骰，他们进行的奥秘、历史、自然、及宗教检定具有优势。当然，该生物可以自行选择是否在检定中使用这枚诗人激励骰。</t>
  </si>
  <si>
    <t>四时祝福</t>
  </si>
  <si>
    <r>
      <rPr>
        <sz val="10"/>
        <color theme="1"/>
        <rFont val="宋体"/>
        <charset val="134"/>
      </rPr>
      <t>你可以引导丰收循环之力，来化解潜在的灾难。当你周边</t>
    </r>
    <r>
      <rPr>
        <sz val="10"/>
        <color theme="1"/>
        <rFont val="Times New Roman"/>
        <charset val="134"/>
      </rPr>
      <t>30</t>
    </r>
    <r>
      <rPr>
        <sz val="10"/>
        <color theme="1"/>
        <rFont val="宋体"/>
        <charset val="134"/>
      </rPr>
      <t>尺范围内一个你可见的生物失败于一次豁免检定（该豁免的类型取决于你当前的丰收阶段）时，你可以使用反应允许其重掷该</t>
    </r>
    <r>
      <rPr>
        <sz val="10"/>
        <color theme="1"/>
        <rFont val="Times New Roman"/>
        <charset val="134"/>
      </rPr>
      <t>d20</t>
    </r>
    <r>
      <rPr>
        <sz val="10"/>
        <color theme="1"/>
        <rFont val="宋体"/>
        <charset val="134"/>
      </rPr>
      <t>并使用新的结果。你可以影响的豁免检定类型如下：</t>
    </r>
    <r>
      <rPr>
        <sz val="10"/>
        <color theme="1"/>
        <rFont val="Times New Roman"/>
        <charset val="134"/>
      </rPr>
      <t xml:space="preserve">
</t>
    </r>
    <r>
      <rPr>
        <sz val="10"/>
        <color theme="1"/>
        <rFont val="宋体"/>
        <charset val="134"/>
      </rPr>
      <t>播种</t>
    </r>
    <r>
      <rPr>
        <sz val="10"/>
        <color theme="1"/>
        <rFont val="Times New Roman"/>
        <charset val="134"/>
      </rPr>
      <t>Sowing</t>
    </r>
    <r>
      <rPr>
        <sz val="10"/>
        <color theme="1"/>
        <rFont val="宋体"/>
        <charset val="134"/>
      </rPr>
      <t>。敏捷和魅力。</t>
    </r>
    <r>
      <rPr>
        <sz val="10"/>
        <color theme="1"/>
        <rFont val="Times New Roman"/>
        <charset val="134"/>
      </rPr>
      <t xml:space="preserve">
</t>
    </r>
    <r>
      <rPr>
        <sz val="10"/>
        <color theme="1"/>
        <rFont val="宋体"/>
        <charset val="134"/>
      </rPr>
      <t>生长</t>
    </r>
    <r>
      <rPr>
        <sz val="10"/>
        <color theme="1"/>
        <rFont val="Times New Roman"/>
        <charset val="134"/>
      </rPr>
      <t>Growing</t>
    </r>
    <r>
      <rPr>
        <sz val="10"/>
        <color theme="1"/>
        <rFont val="宋体"/>
        <charset val="134"/>
      </rPr>
      <t>。体质和智力。</t>
    </r>
    <r>
      <rPr>
        <sz val="10"/>
        <color theme="1"/>
        <rFont val="Times New Roman"/>
        <charset val="134"/>
      </rPr>
      <t xml:space="preserve">
</t>
    </r>
    <r>
      <rPr>
        <sz val="10"/>
        <color theme="1"/>
        <rFont val="宋体"/>
        <charset val="134"/>
      </rPr>
      <t>收割</t>
    </r>
    <r>
      <rPr>
        <sz val="10"/>
        <color theme="1"/>
        <rFont val="Times New Roman"/>
        <charset val="134"/>
      </rPr>
      <t>Reaping</t>
    </r>
    <r>
      <rPr>
        <sz val="10"/>
        <color theme="1"/>
        <rFont val="宋体"/>
        <charset val="134"/>
      </rPr>
      <t>。力量和感知。</t>
    </r>
    <r>
      <rPr>
        <sz val="10"/>
        <color theme="1"/>
        <rFont val="Times New Roman"/>
        <charset val="134"/>
      </rPr>
      <t xml:space="preserve">
</t>
    </r>
    <r>
      <rPr>
        <sz val="10"/>
        <color theme="1"/>
        <rFont val="宋体"/>
        <charset val="134"/>
      </rPr>
      <t>此外，无论该豁免检定成功还是失败，掷数量等于你熟练加值的</t>
    </r>
    <r>
      <rPr>
        <sz val="10"/>
        <color theme="1"/>
        <rFont val="Times New Roman"/>
        <charset val="134"/>
      </rPr>
      <t>d4</t>
    </r>
    <r>
      <rPr>
        <sz val="10"/>
        <color theme="1"/>
        <rFont val="宋体"/>
        <charset val="134"/>
      </rPr>
      <t>骰。目标恢复等于结果总值的生命值。</t>
    </r>
    <r>
      <rPr>
        <sz val="10"/>
        <color theme="1"/>
        <rFont val="Times New Roman"/>
        <charset val="134"/>
      </rPr>
      <t xml:space="preserve">
</t>
    </r>
    <r>
      <rPr>
        <sz val="10"/>
        <color theme="1"/>
        <rFont val="宋体"/>
        <charset val="134"/>
      </rPr>
      <t>你能使用本特性的次数等于你的感知调整值（至少为</t>
    </r>
    <r>
      <rPr>
        <sz val="10"/>
        <color theme="1"/>
        <rFont val="Times New Roman"/>
        <charset val="134"/>
      </rPr>
      <t>1</t>
    </r>
    <r>
      <rPr>
        <sz val="10"/>
        <color theme="1"/>
        <rFont val="宋体"/>
        <charset val="134"/>
      </rPr>
      <t>）。完成一次长休后，你重获所有已消耗的使用次数。</t>
    </r>
  </si>
  <si>
    <t>回收</t>
  </si>
  <si>
    <r>
      <rPr>
        <sz val="10"/>
        <color theme="1"/>
        <rFont val="宋体"/>
        <charset val="134"/>
      </rPr>
      <t>你习得吸收有害元素能量的技艺。你可以通过承担一部分元素伤害来减少盟友受到的伤害。位于你</t>
    </r>
    <r>
      <rPr>
        <sz val="10"/>
        <color theme="1"/>
        <rFont val="Times New Roman"/>
        <charset val="134"/>
      </rPr>
      <t>30</t>
    </r>
    <r>
      <rPr>
        <sz val="10"/>
        <color theme="1"/>
        <rFont val="宋体"/>
        <charset val="134"/>
      </rPr>
      <t>尺内的生物受到寒冷、火焰、闪电或雷鸣伤害时，你能够以反应使目标生物获得对应伤害类型的抗性。你受到与目标生物数值相等的伤害。
此外，你可以以一个动作缩小</t>
    </r>
    <r>
      <rPr>
        <sz val="10"/>
        <color theme="1"/>
        <rFont val="Times New Roman"/>
        <charset val="134"/>
      </rPr>
      <t>30</t>
    </r>
    <r>
      <rPr>
        <sz val="10"/>
        <color theme="1"/>
        <rFont val="宋体"/>
        <charset val="134"/>
      </rPr>
      <t>尺内持续造成寒冷、火焰或闪电伤害的自然效应或法术效应影响的区域范围。每当你使用此能力时，你可以移除</t>
    </r>
    <r>
      <rPr>
        <sz val="10"/>
        <color theme="1"/>
        <rFont val="Times New Roman"/>
        <charset val="134"/>
      </rPr>
      <t>20</t>
    </r>
    <r>
      <rPr>
        <sz val="10"/>
        <color theme="1"/>
        <rFont val="宋体"/>
        <charset val="134"/>
      </rPr>
      <t>尺立方的区域效应。但是，你每以此方式移除</t>
    </r>
    <r>
      <rPr>
        <sz val="10"/>
        <color theme="1"/>
        <rFont val="Times New Roman"/>
        <charset val="134"/>
      </rPr>
      <t>5</t>
    </r>
    <r>
      <rPr>
        <sz val="10"/>
        <color theme="1"/>
        <rFont val="宋体"/>
        <charset val="134"/>
      </rPr>
      <t>尺的元素伤害，你就会受到与该效应造成伤害类型相同的</t>
    </r>
    <r>
      <rPr>
        <sz val="10"/>
        <color theme="1"/>
        <rFont val="Times New Roman"/>
        <charset val="134"/>
      </rPr>
      <t>1d4</t>
    </r>
    <r>
      <rPr>
        <sz val="10"/>
        <color theme="1"/>
        <rFont val="宋体"/>
        <charset val="134"/>
      </rPr>
      <t>伤害。如果该效应是法术导致的，则你每移除</t>
    </r>
    <r>
      <rPr>
        <sz val="10"/>
        <color theme="1"/>
        <rFont val="Times New Roman"/>
        <charset val="134"/>
      </rPr>
      <t>5</t>
    </r>
    <r>
      <rPr>
        <sz val="10"/>
        <color theme="1"/>
        <rFont val="宋体"/>
        <charset val="134"/>
      </rPr>
      <t>尺的空间，你受到每法术环阶</t>
    </r>
    <r>
      <rPr>
        <sz val="10"/>
        <color theme="1"/>
        <rFont val="Times New Roman"/>
        <charset val="134"/>
      </rPr>
      <t>1d4</t>
    </r>
    <r>
      <rPr>
        <sz val="10"/>
        <color theme="1"/>
        <rFont val="宋体"/>
        <charset val="134"/>
      </rPr>
      <t>伤害。如果没有剩余造成伤害的空间，则该法术被驱散。</t>
    </r>
  </si>
  <si>
    <r>
      <rPr>
        <sz val="10"/>
        <color theme="1"/>
        <rFont val="宋体"/>
        <charset val="134"/>
      </rPr>
      <t>符文之盾</t>
    </r>
  </si>
  <si>
    <r>
      <rPr>
        <sz val="10"/>
        <color theme="1"/>
        <rFont val="宋体"/>
        <charset val="134"/>
      </rPr>
      <t>你学会了激活你的符文魔法来保护你的盟友。
当另一个</t>
    </r>
    <r>
      <rPr>
        <sz val="10"/>
        <color theme="1"/>
        <rFont val="Times New Roman"/>
        <charset val="134"/>
      </rPr>
      <t>60</t>
    </r>
    <r>
      <rPr>
        <sz val="10"/>
        <color theme="1"/>
        <rFont val="宋体"/>
        <charset val="134"/>
      </rPr>
      <t>尺内且对你可见的生物被一次攻击检定命中，你可以使用一个反应动作来强迫攻击者重新投掷</t>
    </r>
    <r>
      <rPr>
        <sz val="10"/>
        <color theme="1"/>
        <rFont val="Times New Roman"/>
        <charset val="134"/>
      </rPr>
      <t>d20</t>
    </r>
    <r>
      <rPr>
        <sz val="10"/>
        <color theme="1"/>
        <rFont val="宋体"/>
        <charset val="134"/>
      </rPr>
      <t>并采用新的攻击检定结果。
该特性的可使用次数等于你的熟练加值，且你可以在完成一次长休之后恢复所有已使用的次数。</t>
    </r>
  </si>
  <si>
    <t>羊羔牧者</t>
  </si>
  <si>
    <t>你获得了驱策盟友的能力，你召集他们靠近或令他们远离危险。以一个附赠动作，你可以花费1点或更多的气，令一个60尺内对你可见的自愿生物向你或任意其他方向移动。这次移动不会引发借机攻击。如果该生物向你移动，则每消耗1点气，他都可以至多移动15尺；如果他向其他任意方向移动，则每消耗1点气，他都可以至多移动10尺。一个生物不能以此法移动超过其移动力的距离。
在更高等级，当你使用此特性时你可以指定额外的生物。5级时你可以指定2名生物，10级时3名，15级时4名。</t>
  </si>
  <si>
    <t>饮咒之誓法术</t>
  </si>
  <si>
    <r>
      <rPr>
        <sz val="10"/>
        <color theme="1"/>
        <rFont val="宋体"/>
        <charset val="134"/>
      </rPr>
      <t>你获得以下圣誓法术。</t>
    </r>
    <r>
      <rPr>
        <sz val="10"/>
        <color theme="1"/>
        <rFont val="Times New Roman"/>
        <charset val="134"/>
      </rPr>
      <t xml:space="preserve">
</t>
    </r>
    <r>
      <rPr>
        <sz val="10"/>
        <color theme="1"/>
        <rFont val="宋体"/>
        <charset val="134"/>
      </rPr>
      <t>圣誓法术</t>
    </r>
    <r>
      <rPr>
        <sz val="10"/>
        <color theme="1"/>
        <rFont val="Times New Roman"/>
        <charset val="134"/>
      </rPr>
      <t xml:space="preserve">Oath Spells
</t>
    </r>
    <r>
      <rPr>
        <sz val="10"/>
        <color theme="1"/>
        <rFont val="宋体"/>
        <charset val="134"/>
      </rPr>
      <t>圣武士等级</t>
    </r>
    <r>
      <rPr>
        <sz val="10"/>
        <color theme="1"/>
        <rFont val="Times New Roman"/>
        <charset val="134"/>
      </rPr>
      <t xml:space="preserve">
 </t>
    </r>
    <r>
      <rPr>
        <sz val="10"/>
        <color theme="1"/>
        <rFont val="宋体"/>
        <charset val="134"/>
      </rPr>
      <t>法术</t>
    </r>
    <r>
      <rPr>
        <sz val="10"/>
        <color theme="1"/>
        <rFont val="Times New Roman"/>
        <charset val="134"/>
      </rPr>
      <t xml:space="preserve"> 
3rd
 </t>
    </r>
    <r>
      <rPr>
        <sz val="10"/>
        <color theme="1"/>
        <rFont val="宋体"/>
        <charset val="134"/>
      </rPr>
      <t>灾祸术</t>
    </r>
    <r>
      <rPr>
        <sz val="10"/>
        <color theme="1"/>
        <rFont val="Times New Roman"/>
        <charset val="134"/>
      </rPr>
      <t>bane</t>
    </r>
    <r>
      <rPr>
        <sz val="10"/>
        <color theme="1"/>
        <rFont val="宋体"/>
        <charset val="134"/>
      </rPr>
      <t>，侦测魔法</t>
    </r>
    <r>
      <rPr>
        <sz val="10"/>
        <color theme="1"/>
        <rFont val="Times New Roman"/>
        <charset val="134"/>
      </rPr>
      <t xml:space="preserve">detct magic  
5th
 </t>
    </r>
    <r>
      <rPr>
        <sz val="10"/>
        <color theme="1"/>
        <rFont val="宋体"/>
        <charset val="134"/>
      </rPr>
      <t>涅斯图魔法灵光</t>
    </r>
    <r>
      <rPr>
        <sz val="10"/>
        <color theme="1"/>
        <rFont val="Times New Roman"/>
        <charset val="134"/>
      </rPr>
      <t>Nystul's Magic Aura</t>
    </r>
    <r>
      <rPr>
        <sz val="10"/>
        <color theme="1"/>
        <rFont val="宋体"/>
        <charset val="134"/>
      </rPr>
      <t>，</t>
    </r>
    <r>
      <rPr>
        <sz val="10"/>
        <color theme="1"/>
        <rFont val="Times New Roman"/>
        <charset val="134"/>
      </rPr>
      <t xml:space="preserve"> </t>
    </r>
    <r>
      <rPr>
        <sz val="10"/>
        <color theme="1"/>
        <rFont val="宋体"/>
        <charset val="134"/>
      </rPr>
      <t>定身类人</t>
    </r>
    <r>
      <rPr>
        <sz val="10"/>
        <color theme="1"/>
        <rFont val="Times New Roman"/>
        <charset val="134"/>
      </rPr>
      <t xml:space="preserve">hold person  
9th
 </t>
    </r>
    <r>
      <rPr>
        <sz val="10"/>
        <color theme="1"/>
        <rFont val="宋体"/>
        <charset val="134"/>
      </rPr>
      <t>解除魔法</t>
    </r>
    <r>
      <rPr>
        <sz val="10"/>
        <color theme="1"/>
        <rFont val="Times New Roman"/>
        <charset val="134"/>
      </rPr>
      <t>dispel magic</t>
    </r>
    <r>
      <rPr>
        <sz val="10"/>
        <color theme="1"/>
        <rFont val="宋体"/>
        <charset val="134"/>
      </rPr>
      <t>，</t>
    </r>
    <r>
      <rPr>
        <sz val="10"/>
        <color theme="1"/>
        <rFont val="Times New Roman"/>
        <charset val="134"/>
      </rPr>
      <t xml:space="preserve"> </t>
    </r>
    <r>
      <rPr>
        <sz val="10"/>
        <color theme="1"/>
        <rFont val="宋体"/>
        <charset val="134"/>
      </rPr>
      <t>缓慢术</t>
    </r>
    <r>
      <rPr>
        <sz val="10"/>
        <color theme="1"/>
        <rFont val="Times New Roman"/>
        <charset val="134"/>
      </rPr>
      <t xml:space="preserve">slow  
13th
 </t>
    </r>
    <r>
      <rPr>
        <sz val="10"/>
        <color theme="1"/>
        <rFont val="宋体"/>
        <charset val="134"/>
      </rPr>
      <t>任意门</t>
    </r>
    <r>
      <rPr>
        <sz val="10"/>
        <color theme="1"/>
        <rFont val="Times New Roman"/>
        <charset val="134"/>
      </rPr>
      <t>dimension door</t>
    </r>
    <r>
      <rPr>
        <sz val="10"/>
        <color theme="1"/>
        <rFont val="宋体"/>
        <charset val="134"/>
      </rPr>
      <t>，</t>
    </r>
    <r>
      <rPr>
        <sz val="10"/>
        <color theme="1"/>
        <rFont val="Times New Roman"/>
        <charset val="134"/>
      </rPr>
      <t xml:space="preserve"> </t>
    </r>
    <r>
      <rPr>
        <sz val="10"/>
        <color theme="1"/>
        <rFont val="宋体"/>
        <charset val="134"/>
      </rPr>
      <t>欧提路克弹力法球</t>
    </r>
    <r>
      <rPr>
        <sz val="10"/>
        <color theme="1"/>
        <rFont val="Times New Roman"/>
        <charset val="134"/>
      </rPr>
      <t xml:space="preserve">Otiluke's Resilient Sphere  
17th
 </t>
    </r>
    <r>
      <rPr>
        <sz val="10"/>
        <color theme="1"/>
        <rFont val="宋体"/>
        <charset val="134"/>
      </rPr>
      <t>支配类人</t>
    </r>
    <r>
      <rPr>
        <sz val="10"/>
        <color theme="1"/>
        <rFont val="Times New Roman"/>
        <charset val="134"/>
      </rPr>
      <t>dominate person</t>
    </r>
    <r>
      <rPr>
        <sz val="10"/>
        <color theme="1"/>
        <rFont val="宋体"/>
        <charset val="134"/>
      </rPr>
      <t>，</t>
    </r>
    <r>
      <rPr>
        <sz val="10"/>
        <color theme="1"/>
        <rFont val="Times New Roman"/>
        <charset val="134"/>
      </rPr>
      <t xml:space="preserve"> </t>
    </r>
    <r>
      <rPr>
        <sz val="10"/>
        <color theme="1"/>
        <rFont val="宋体"/>
        <charset val="134"/>
      </rPr>
      <t>探知术</t>
    </r>
    <r>
      <rPr>
        <sz val="10"/>
        <color theme="1"/>
        <rFont val="Times New Roman"/>
        <charset val="134"/>
      </rPr>
      <t xml:space="preserve">Scrying </t>
    </r>
  </si>
  <si>
    <t>凝冻之魂</t>
  </si>
  <si>
    <r>
      <rPr>
        <sz val="10"/>
        <color theme="1"/>
        <rFont val="宋体"/>
        <charset val="134"/>
      </rPr>
      <t>你在酷烈环境中生存的经验不仅足够支撑你自己，也能帮助你的盟友。以一个魔法动作，你可以选择等同于你感知调整值（至少</t>
    </r>
    <r>
      <rPr>
        <sz val="10"/>
        <color theme="1"/>
        <rFont val="Times New Roman"/>
        <charset val="134"/>
      </rPr>
      <t>1</t>
    </r>
    <r>
      <rPr>
        <sz val="10"/>
        <color theme="1"/>
        <rFont val="宋体"/>
        <charset val="134"/>
      </rPr>
      <t>个）数量的可见生物。所选的生物能够恢复等同于</t>
    </r>
    <r>
      <rPr>
        <sz val="10"/>
        <color theme="1"/>
        <rFont val="Times New Roman"/>
        <charset val="134"/>
      </rPr>
      <t xml:space="preserve"> 1d10+</t>
    </r>
    <r>
      <rPr>
        <sz val="10"/>
        <color theme="1"/>
        <rFont val="宋体"/>
        <charset val="134"/>
      </rPr>
      <t>你的游侠等级点的生命值，且接下来的</t>
    </r>
    <r>
      <rPr>
        <sz val="10"/>
        <color theme="1"/>
        <rFont val="Times New Roman"/>
        <charset val="134"/>
      </rPr>
      <t>1</t>
    </r>
    <r>
      <rPr>
        <sz val="10"/>
        <color theme="1"/>
        <rFont val="宋体"/>
        <charset val="134"/>
      </rPr>
      <t>小时内，其为避免或结束恐慌状态所进行的豁免具有优势。</t>
    </r>
    <r>
      <rPr>
        <sz val="10"/>
        <color theme="1"/>
        <rFont val="Times New Roman"/>
        <charset val="134"/>
      </rPr>
      <t xml:space="preserve">
</t>
    </r>
    <r>
      <rPr>
        <sz val="10"/>
        <color theme="1"/>
        <rFont val="宋体"/>
        <charset val="134"/>
      </rPr>
      <t>此特性一经使用，直至你完成一次长休前你都无法再次使用它。</t>
    </r>
  </si>
  <si>
    <t>守御蜡封</t>
  </si>
  <si>
    <t>以一个动作，你可以花费1点烛心点融化守御蜡封并将其印在一个自愿生物或物件上，为其抵挡来袭的攻击。蜡封目标获得5点临时生命值，持续24小时。你每额外花费1烛心点，就可以额外给予5点临时生命值，至多15点临时生命值。你同时至多只能令一个守御蜡封生效。当你在另一个守御蜡封正在生效的情况下创造一个新的蜡封时，之前的蜡封效果提前结束。</t>
  </si>
  <si>
    <t>海市蜃楼</t>
  </si>
  <si>
    <r>
      <rPr>
        <sz val="10"/>
        <color theme="1"/>
        <rFont val="宋体"/>
        <charset val="134"/>
      </rPr>
      <t>你学会镜影术。如果你已经掌握此法术，你可以改为学习另一个你选择的术士法术。此法术不计入你已知术士法术的数量上限。你可以花费</t>
    </r>
    <r>
      <rPr>
        <sz val="10"/>
        <color theme="1"/>
        <rFont val="Times New Roman"/>
        <charset val="134"/>
      </rPr>
      <t>2</t>
    </r>
    <r>
      <rPr>
        <sz val="10"/>
        <color theme="1"/>
        <rFont val="宋体"/>
        <charset val="134"/>
      </rPr>
      <t>点术法点或</t>
    </r>
    <r>
      <rPr>
        <sz val="10"/>
        <color theme="1"/>
        <rFont val="Times New Roman"/>
        <charset val="134"/>
      </rPr>
      <t>1</t>
    </r>
    <r>
      <rPr>
        <sz val="10"/>
        <color theme="1"/>
        <rFont val="宋体"/>
        <charset val="134"/>
      </rPr>
      <t>枚法术位来施展这个法术。如果你使用术法点施展此法术，任何在你</t>
    </r>
    <r>
      <rPr>
        <sz val="10"/>
        <color theme="1"/>
        <rFont val="Times New Roman"/>
        <charset val="134"/>
      </rPr>
      <t>10</t>
    </r>
    <r>
      <rPr>
        <sz val="10"/>
        <color theme="1"/>
        <rFont val="宋体"/>
        <charset val="134"/>
      </rPr>
      <t>尺范围内摧毁了法术幻象的生物都会受到等同于你术士等级一半的火焰伤害，因为这些幻象会爆裂成灼热的气浪和沙尘。</t>
    </r>
  </si>
  <si>
    <r>
      <rPr>
        <sz val="10"/>
        <color theme="1"/>
        <rFont val="宋体"/>
        <charset val="134"/>
      </rPr>
      <t>瓶中小憩</t>
    </r>
  </si>
  <si>
    <r>
      <rPr>
        <sz val="10"/>
        <color theme="1"/>
        <rFont val="宋体"/>
        <charset val="134"/>
      </rPr>
      <t>以一个动作，你可以用魔法消失并进到你的器皿内，器皿将留在你所在的原地。
器皿内是与其本身相似的</t>
    </r>
    <r>
      <rPr>
        <sz val="10"/>
        <color theme="1"/>
        <rFont val="Times New Roman"/>
        <charset val="134"/>
      </rPr>
      <t>20</t>
    </r>
    <r>
      <rPr>
        <sz val="10"/>
        <color theme="1"/>
        <rFont val="宋体"/>
        <charset val="134"/>
      </rPr>
      <t>尺半径，</t>
    </r>
    <r>
      <rPr>
        <sz val="10"/>
        <color theme="1"/>
        <rFont val="Times New Roman"/>
        <charset val="134"/>
      </rPr>
      <t>20</t>
    </r>
    <r>
      <rPr>
        <sz val="10"/>
        <color theme="1"/>
        <rFont val="宋体"/>
        <charset val="134"/>
      </rPr>
      <t>尺高的圆柱形超维度空间。
器皿内部温度适宜，并安放有舒适的垫子和茶几。
在器皿之中时，你可以如同身在器皿所在之处一般听到外界的声音。
你在器皿内可停留的时间等同于你熟练加值双倍数目的小时。
如果你死亡，或是器皿被摧毁，抑或是使用一个附赠动作离开，你将提前从器皿中出来。
当你离开器皿时，你出现在距离它最近的不被占据的空间中。
在器皿内的一切物件将被留在其中直到被取出，而倘若器皿被摧毁，其中的物品则会完好无损地出现在距离它最近的不被占据的空间中。
一旦你进入器皿，直到你完成一次长休后你不能再度进入。</t>
    </r>
  </si>
  <si>
    <t>红化之极</t>
  </si>
  <si>
    <r>
      <rPr>
        <sz val="10"/>
        <color theme="1"/>
        <rFont val="宋体"/>
        <charset val="134"/>
      </rPr>
      <t>你的伟大工程已臻巅峰，你现在可以将你对存在本质的完美认知提炼为实体之形。当你完成一次短休或长休时，你可以消耗</t>
    </r>
    <r>
      <rPr>
        <sz val="10"/>
        <color theme="1"/>
        <rFont val="Times New Roman"/>
        <charset val="134"/>
      </rPr>
      <t>10</t>
    </r>
    <r>
      <rPr>
        <sz val="10"/>
        <color theme="1"/>
        <rFont val="宋体"/>
        <charset val="134"/>
      </rPr>
      <t>份精粹结晶创造一块贤者之石——一块半透明的红色晶体。这块石头是一个微型魔法物件，具有</t>
    </r>
    <r>
      <rPr>
        <sz val="10"/>
        <color theme="1"/>
        <rFont val="Times New Roman"/>
        <charset val="134"/>
      </rPr>
      <t>AC19</t>
    </r>
    <r>
      <rPr>
        <sz val="10"/>
        <color theme="1"/>
        <rFont val="宋体"/>
        <charset val="134"/>
      </rPr>
      <t>，</t>
    </r>
    <r>
      <rPr>
        <sz val="10"/>
        <color theme="1"/>
        <rFont val="Times New Roman"/>
        <charset val="134"/>
      </rPr>
      <t>HP20</t>
    </r>
    <r>
      <rPr>
        <sz val="10"/>
        <color theme="1"/>
        <rFont val="宋体"/>
        <charset val="134"/>
      </rPr>
      <t>，并且免疫除力场伤害外的所有伤害。如果你创造出第二块贤者之石，则第一块会消失。当你携带这颗贤者之石期间，其赋予你如下增益。</t>
    </r>
    <r>
      <rPr>
        <sz val="10"/>
        <color theme="1"/>
        <rFont val="Times New Roman"/>
        <charset val="134"/>
      </rPr>
      <t xml:space="preserve">
</t>
    </r>
    <r>
      <rPr>
        <sz val="10"/>
        <color theme="1"/>
        <rFont val="宋体"/>
        <charset val="134"/>
      </rPr>
      <t>魔法增幅</t>
    </r>
    <r>
      <rPr>
        <sz val="10"/>
        <color theme="1"/>
        <rFont val="Times New Roman"/>
        <charset val="134"/>
      </rPr>
      <t>Amplification</t>
    </r>
    <r>
      <rPr>
        <sz val="10"/>
        <color theme="1"/>
        <rFont val="宋体"/>
        <charset val="134"/>
      </rPr>
      <t>。</t>
    </r>
    <r>
      <rPr>
        <sz val="10"/>
        <color theme="1"/>
        <rFont val="Times New Roman"/>
        <charset val="134"/>
      </rPr>
      <t xml:space="preserve"> </t>
    </r>
    <r>
      <rPr>
        <sz val="10"/>
        <color theme="1"/>
        <rFont val="宋体"/>
        <charset val="134"/>
      </rPr>
      <t>当你施展一道法术时，你可以消耗至多</t>
    </r>
    <r>
      <rPr>
        <sz val="10"/>
        <color theme="1"/>
        <rFont val="Times New Roman"/>
        <charset val="134"/>
      </rPr>
      <t>2</t>
    </r>
    <r>
      <rPr>
        <sz val="10"/>
        <color theme="1"/>
        <rFont val="宋体"/>
        <charset val="134"/>
      </rPr>
      <t>份精粹结晶作为额外的材料成分，使该法术的豁免</t>
    </r>
    <r>
      <rPr>
        <sz val="10"/>
        <color theme="1"/>
        <rFont val="Times New Roman"/>
        <charset val="134"/>
      </rPr>
      <t>DC</t>
    </r>
    <r>
      <rPr>
        <sz val="10"/>
        <color theme="1"/>
        <rFont val="宋体"/>
        <charset val="134"/>
      </rPr>
      <t>提升相同的数值。</t>
    </r>
    <r>
      <rPr>
        <sz val="10"/>
        <color theme="1"/>
        <rFont val="Times New Roman"/>
        <charset val="134"/>
      </rPr>
      <t xml:space="preserve">
</t>
    </r>
    <r>
      <rPr>
        <sz val="10"/>
        <color theme="1"/>
        <rFont val="宋体"/>
        <charset val="134"/>
      </rPr>
      <t>等价交换</t>
    </r>
    <r>
      <rPr>
        <sz val="10"/>
        <color theme="1"/>
        <rFont val="Times New Roman"/>
        <charset val="134"/>
      </rPr>
      <t>Equivalent Exchange</t>
    </r>
    <r>
      <rPr>
        <sz val="10"/>
        <color theme="1"/>
        <rFont val="宋体"/>
        <charset val="134"/>
      </rPr>
      <t>。</t>
    </r>
    <r>
      <rPr>
        <sz val="10"/>
        <color theme="1"/>
        <rFont val="Times New Roman"/>
        <charset val="134"/>
      </rPr>
      <t xml:space="preserve"> </t>
    </r>
    <r>
      <rPr>
        <sz val="10"/>
        <color theme="1"/>
        <rFont val="宋体"/>
        <charset val="134"/>
      </rPr>
      <t>当你失败于一次豁免检定时，你可以使用反应消耗</t>
    </r>
    <r>
      <rPr>
        <sz val="10"/>
        <color theme="1"/>
        <rFont val="Times New Roman"/>
        <charset val="134"/>
      </rPr>
      <t>5</t>
    </r>
    <r>
      <rPr>
        <sz val="10"/>
        <color theme="1"/>
        <rFont val="宋体"/>
        <charset val="134"/>
      </rPr>
      <t>份精粹结晶来改为豁免成功。</t>
    </r>
    <r>
      <rPr>
        <sz val="10"/>
        <color theme="1"/>
        <rFont val="Times New Roman"/>
        <charset val="134"/>
      </rPr>
      <t xml:space="preserve">
</t>
    </r>
    <r>
      <rPr>
        <sz val="10"/>
        <color theme="1"/>
        <rFont val="宋体"/>
        <charset val="134"/>
      </rPr>
      <t>延年益寿</t>
    </r>
    <r>
      <rPr>
        <sz val="10"/>
        <color theme="1"/>
        <rFont val="Times New Roman"/>
        <charset val="134"/>
      </rPr>
      <t>Longevity</t>
    </r>
    <r>
      <rPr>
        <sz val="10"/>
        <color theme="1"/>
        <rFont val="宋体"/>
        <charset val="134"/>
      </rPr>
      <t>。</t>
    </r>
    <r>
      <rPr>
        <sz val="10"/>
        <color theme="1"/>
        <rFont val="Times New Roman"/>
        <charset val="134"/>
      </rPr>
      <t xml:space="preserve"> </t>
    </r>
    <r>
      <rPr>
        <sz val="10"/>
        <color theme="1"/>
        <rFont val="宋体"/>
        <charset val="134"/>
      </rPr>
      <t>你停止衰老，并且不受衰老带来的任何影响，包括因衰老而死亡。</t>
    </r>
    <r>
      <rPr>
        <sz val="10"/>
        <color theme="1"/>
        <rFont val="Times New Roman"/>
        <charset val="134"/>
      </rPr>
      <t xml:space="preserve">
</t>
    </r>
    <r>
      <rPr>
        <sz val="10"/>
        <color theme="1"/>
        <rFont val="宋体"/>
        <charset val="134"/>
      </rPr>
      <t>心石共鸣</t>
    </r>
    <r>
      <rPr>
        <sz val="10"/>
        <color theme="1"/>
        <rFont val="Times New Roman"/>
        <charset val="134"/>
      </rPr>
      <t>Sympathy</t>
    </r>
    <r>
      <rPr>
        <sz val="10"/>
        <color theme="1"/>
        <rFont val="宋体"/>
        <charset val="134"/>
      </rPr>
      <t>。对法术探知</t>
    </r>
    <r>
      <rPr>
        <sz val="10"/>
        <color theme="1"/>
        <rFont val="Times New Roman"/>
        <charset val="134"/>
      </rPr>
      <t xml:space="preserve">Scrying </t>
    </r>
    <r>
      <rPr>
        <sz val="10"/>
        <color theme="1"/>
        <rFont val="宋体"/>
        <charset val="134"/>
      </rPr>
      <t>以及在你死亡时能使你复活的法术而言，这块石头被视为你身体的一部分。这块石头本身可作为该法术的材料成分（如果有），并在该法术施展时被摧毁。</t>
    </r>
  </si>
  <si>
    <r>
      <rPr>
        <sz val="10"/>
        <color theme="1"/>
        <rFont val="宋体"/>
        <charset val="134"/>
      </rPr>
      <t>贴身保镖</t>
    </r>
  </si>
  <si>
    <r>
      <rPr>
        <sz val="10"/>
        <color theme="1"/>
        <rFont val="宋体"/>
        <charset val="134"/>
      </rPr>
      <t>当一个位于你尸锻生物</t>
    </r>
    <r>
      <rPr>
        <sz val="10"/>
        <color theme="1"/>
        <rFont val="Times New Roman"/>
        <charset val="134"/>
      </rPr>
      <t>5</t>
    </r>
    <r>
      <rPr>
        <sz val="10"/>
        <color theme="1"/>
        <rFont val="宋体"/>
        <charset val="134"/>
      </rPr>
      <t xml:space="preserve">尺范围内的生物对你发动一次攻击时，尸锻生物可以用它的反应对攻击者发动一次近战武器攻击。额外地，你的尸锻生物的猛击被算作魔法攻击，以克服对非魔法攻击和伤害的抗性和免疫。
</t>
    </r>
    <r>
      <rPr>
        <sz val="10"/>
        <color theme="1"/>
        <rFont val="Times New Roman"/>
        <charset val="134"/>
      </rPr>
      <t xml:space="preserve">     </t>
    </r>
    <r>
      <rPr>
        <sz val="10"/>
        <color theme="1"/>
        <rFont val="宋体"/>
        <charset val="134"/>
      </rPr>
      <t>除此之外，你可以用你的药剂师法术位施展一次法术活化死尸</t>
    </r>
    <r>
      <rPr>
        <sz val="10"/>
        <color theme="1"/>
        <rFont val="Times New Roman"/>
        <charset val="134"/>
      </rPr>
      <t>Animate Dead</t>
    </r>
    <r>
      <rPr>
        <sz val="10"/>
        <color theme="1"/>
        <rFont val="宋体"/>
        <charset val="134"/>
      </rPr>
      <t>。一旦你这样做了，你不能再次施展该法术直到你完成了一次长休。</t>
    </r>
  </si>
  <si>
    <t>强化化合物</t>
  </si>
  <si>
    <r>
      <rPr>
        <sz val="10"/>
        <color theme="1"/>
        <rFont val="宋体"/>
        <charset val="134"/>
      </rPr>
      <t>无论是因为持续的自我实验，还是你对植入物的自然适应，当你进入狂暴或改变所选血清时，除了血清之外，你现在还可以激活以下一种化合物选项。所选化合物会持续至你狂暴结束或直至你使用附赠动作选择一种新的化合物。</t>
    </r>
    <r>
      <rPr>
        <sz val="10"/>
        <color theme="1"/>
        <rFont val="Times New Roman"/>
        <charset val="134"/>
      </rPr>
      <t xml:space="preserve">
</t>
    </r>
    <r>
      <rPr>
        <sz val="10"/>
        <color theme="1"/>
        <rFont val="宋体"/>
        <charset val="134"/>
      </rPr>
      <t>锐化感官</t>
    </r>
    <r>
      <rPr>
        <sz val="10"/>
        <color theme="1"/>
        <rFont val="Times New Roman"/>
        <charset val="134"/>
      </rPr>
      <t>Stimulated Senses</t>
    </r>
    <r>
      <rPr>
        <sz val="10"/>
        <color theme="1"/>
        <rFont val="宋体"/>
        <charset val="134"/>
      </rPr>
      <t>。</t>
    </r>
    <r>
      <rPr>
        <sz val="10"/>
        <color theme="1"/>
        <rFont val="Times New Roman"/>
        <charset val="134"/>
      </rPr>
      <t xml:space="preserve"> </t>
    </r>
    <r>
      <rPr>
        <sz val="10"/>
        <color theme="1"/>
        <rFont val="宋体"/>
        <charset val="134"/>
      </rPr>
      <t>你获得</t>
    </r>
    <r>
      <rPr>
        <sz val="10"/>
        <color theme="1"/>
        <rFont val="Times New Roman"/>
        <charset val="134"/>
      </rPr>
      <t>30</t>
    </r>
    <r>
      <rPr>
        <sz val="10"/>
        <color theme="1"/>
        <rFont val="宋体"/>
        <charset val="134"/>
      </rPr>
      <t>尺盲视。如果你已经具有盲视，其范围增加</t>
    </r>
    <r>
      <rPr>
        <sz val="10"/>
        <color theme="1"/>
        <rFont val="Times New Roman"/>
        <charset val="134"/>
      </rPr>
      <t>30</t>
    </r>
    <r>
      <rPr>
        <sz val="10"/>
        <color theme="1"/>
        <rFont val="宋体"/>
        <charset val="134"/>
      </rPr>
      <t>尺。</t>
    </r>
    <r>
      <rPr>
        <sz val="10"/>
        <color theme="1"/>
        <rFont val="Times New Roman"/>
        <charset val="134"/>
      </rPr>
      <t xml:space="preserve">
</t>
    </r>
    <r>
      <rPr>
        <sz val="10"/>
        <color theme="1"/>
        <rFont val="宋体"/>
        <charset val="134"/>
      </rPr>
      <t>狂乱烟雾</t>
    </r>
    <r>
      <rPr>
        <sz val="10"/>
        <color theme="1"/>
        <rFont val="Times New Roman"/>
        <charset val="134"/>
      </rPr>
      <t>Maddening Fumes</t>
    </r>
    <r>
      <rPr>
        <sz val="10"/>
        <color theme="1"/>
        <rFont val="宋体"/>
        <charset val="134"/>
      </rPr>
      <t>。</t>
    </r>
    <r>
      <rPr>
        <sz val="10"/>
        <color theme="1"/>
        <rFont val="Times New Roman"/>
        <charset val="134"/>
      </rPr>
      <t xml:space="preserve"> </t>
    </r>
    <r>
      <rPr>
        <sz val="10"/>
        <color theme="1"/>
        <rFont val="宋体"/>
        <charset val="134"/>
      </rPr>
      <t>你的皮肤会在</t>
    </r>
    <r>
      <rPr>
        <sz val="10"/>
        <color theme="1"/>
        <rFont val="Times New Roman"/>
        <charset val="134"/>
      </rPr>
      <t>30</t>
    </r>
    <r>
      <rPr>
        <sz val="10"/>
        <color theme="1"/>
        <rFont val="宋体"/>
        <charset val="134"/>
      </rPr>
      <t>尺光环区域内渗出可激起暴力倾向的烟雾。位于该光环区域期间，敌人的速度减半，并且如果它在该区域内开始其回合，则其必须进行一次感知豁免（</t>
    </r>
    <r>
      <rPr>
        <sz val="10"/>
        <color theme="1"/>
        <rFont val="Times New Roman"/>
        <charset val="134"/>
      </rPr>
      <t>DC=8+</t>
    </r>
    <r>
      <rPr>
        <sz val="10"/>
        <color theme="1"/>
        <rFont val="宋体"/>
        <charset val="134"/>
      </rPr>
      <t>你的熟练加值</t>
    </r>
    <r>
      <rPr>
        <sz val="10"/>
        <color theme="1"/>
        <rFont val="Times New Roman"/>
        <charset val="134"/>
      </rPr>
      <t>+</t>
    </r>
    <r>
      <rPr>
        <sz val="10"/>
        <color theme="1"/>
        <rFont val="宋体"/>
        <charset val="134"/>
      </rPr>
      <t>你的体质调整值），豁免失败则对除你以外的目标进行攻击检定时具有劣势，直至其下一回合开始。</t>
    </r>
    <r>
      <rPr>
        <sz val="10"/>
        <color theme="1"/>
        <rFont val="Times New Roman"/>
        <charset val="134"/>
      </rPr>
      <t xml:space="preserve">
</t>
    </r>
    <r>
      <rPr>
        <sz val="10"/>
        <color theme="1"/>
        <rFont val="宋体"/>
        <charset val="134"/>
      </rPr>
      <t>腐蚀喷射</t>
    </r>
    <r>
      <rPr>
        <sz val="10"/>
        <color theme="1"/>
        <rFont val="Times New Roman"/>
        <charset val="134"/>
      </rPr>
      <t>Corrosive Expulsion</t>
    </r>
    <r>
      <rPr>
        <sz val="10"/>
        <color theme="1"/>
        <rFont val="宋体"/>
        <charset val="134"/>
      </rPr>
      <t>。</t>
    </r>
    <r>
      <rPr>
        <sz val="10"/>
        <color theme="1"/>
        <rFont val="Times New Roman"/>
        <charset val="134"/>
      </rPr>
      <t xml:space="preserve"> </t>
    </r>
    <r>
      <rPr>
        <sz val="10"/>
        <color theme="1"/>
        <rFont val="宋体"/>
        <charset val="134"/>
      </rPr>
      <t>当你在自己回合内执行攻击动作时，你可以将一次攻击替换为从你的植入物中喷射腐蚀性物质，覆盖一处</t>
    </r>
    <r>
      <rPr>
        <sz val="10"/>
        <color theme="1"/>
        <rFont val="Times New Roman"/>
        <charset val="134"/>
      </rPr>
      <t>15</t>
    </r>
    <r>
      <rPr>
        <sz val="10"/>
        <color theme="1"/>
        <rFont val="宋体"/>
        <charset val="134"/>
      </rPr>
      <t>尺锥状区域或长</t>
    </r>
    <r>
      <rPr>
        <sz val="10"/>
        <color theme="1"/>
        <rFont val="Times New Roman"/>
        <charset val="134"/>
      </rPr>
      <t>30</t>
    </r>
    <r>
      <rPr>
        <sz val="10"/>
        <color theme="1"/>
        <rFont val="宋体"/>
        <charset val="134"/>
      </rPr>
      <t>尺、宽</t>
    </r>
    <r>
      <rPr>
        <sz val="10"/>
        <color theme="1"/>
        <rFont val="Times New Roman"/>
        <charset val="134"/>
      </rPr>
      <t>5</t>
    </r>
    <r>
      <rPr>
        <sz val="10"/>
        <color theme="1"/>
        <rFont val="宋体"/>
        <charset val="134"/>
      </rPr>
      <t>尺的线状区域（每次使用时选择形状）。该区域内的所有生物都必须进行一次敏捷豁免（</t>
    </r>
    <r>
      <rPr>
        <sz val="10"/>
        <color theme="1"/>
        <rFont val="Times New Roman"/>
        <charset val="134"/>
      </rPr>
      <t>DC=8+</t>
    </r>
    <r>
      <rPr>
        <sz val="10"/>
        <color theme="1"/>
        <rFont val="宋体"/>
        <charset val="134"/>
      </rPr>
      <t>你的熟练加值</t>
    </r>
    <r>
      <rPr>
        <sz val="10"/>
        <color theme="1"/>
        <rFont val="Times New Roman"/>
        <charset val="134"/>
      </rPr>
      <t>+</t>
    </r>
    <r>
      <rPr>
        <sz val="10"/>
        <color theme="1"/>
        <rFont val="宋体"/>
        <charset val="134"/>
      </rPr>
      <t>你的体质调整值）。掷数量等于你的狂暴伤害加值的</t>
    </r>
    <r>
      <rPr>
        <sz val="10"/>
        <color theme="1"/>
        <rFont val="Times New Roman"/>
        <charset val="134"/>
      </rPr>
      <t>d8</t>
    </r>
    <r>
      <rPr>
        <sz val="10"/>
        <color theme="1"/>
        <rFont val="宋体"/>
        <charset val="134"/>
      </rPr>
      <t>骰。若豁免失败，则目标受到等于掷出总值的强酸伤害。若豁免成功，则目标受到一半伤害。</t>
    </r>
  </si>
  <si>
    <t>旅行者的技艺簿</t>
  </si>
  <si>
    <r>
      <rPr>
        <sz val="10"/>
        <color theme="1"/>
        <rFont val="微软雅黑"/>
        <charset val="134"/>
      </rPr>
      <t>在你的生命与旅途之中，总有那么一些难以忘怀的经历与瞬间。你可以选择并习得两项</t>
    </r>
    <r>
      <rPr>
        <sz val="10"/>
        <color theme="1"/>
        <rFont val="Times New Roman"/>
        <charset val="134"/>
      </rPr>
      <t xml:space="preserve"> </t>
    </r>
    <r>
      <rPr>
        <sz val="10"/>
        <color theme="1"/>
        <rFont val="微软雅黑"/>
        <charset val="134"/>
      </rPr>
      <t>旅者技艺</t>
    </r>
    <r>
      <rPr>
        <sz val="10"/>
        <color theme="1"/>
        <rFont val="Times New Roman"/>
        <charset val="134"/>
      </rPr>
      <t xml:space="preserve">Traveler's Trick </t>
    </r>
    <r>
      <rPr>
        <sz val="10"/>
        <color theme="1"/>
        <rFont val="微软雅黑"/>
        <charset val="134"/>
      </rPr>
      <t>选项（见旅者技艺选项）。</t>
    </r>
    <r>
      <rPr>
        <sz val="10"/>
        <color theme="1"/>
        <rFont val="Times New Roman"/>
        <charset val="134"/>
      </rPr>
      <t xml:space="preserve">
</t>
    </r>
    <r>
      <rPr>
        <sz val="10"/>
        <color theme="1"/>
        <rFont val="微软雅黑"/>
        <charset val="134"/>
      </rPr>
      <t>这些技艺象征着你在你的旅途中获取到的技能、技巧、以及有用的小知识。除非另有说明，否则使用任何旅者技艺都需要一个附赠动作，并消耗一次你的诗人激励使用次数。</t>
    </r>
    <r>
      <rPr>
        <sz val="10"/>
        <color theme="1"/>
        <rFont val="Times New Roman"/>
        <charset val="134"/>
      </rPr>
      <t xml:space="preserve">
</t>
    </r>
    <r>
      <rPr>
        <sz val="10"/>
        <color theme="1"/>
        <rFont val="微软雅黑"/>
        <charset val="134"/>
      </rPr>
      <t>达到第</t>
    </r>
    <r>
      <rPr>
        <sz val="10"/>
        <color theme="1"/>
        <rFont val="Times New Roman"/>
        <charset val="134"/>
      </rPr>
      <t>6</t>
    </r>
    <r>
      <rPr>
        <sz val="10"/>
        <color theme="1"/>
        <rFont val="微软雅黑"/>
        <charset val="134"/>
      </rPr>
      <t>级与第</t>
    </r>
    <r>
      <rPr>
        <sz val="10"/>
        <color theme="1"/>
        <rFont val="Times New Roman"/>
        <charset val="134"/>
      </rPr>
      <t>14</t>
    </r>
    <r>
      <rPr>
        <sz val="10"/>
        <color theme="1"/>
        <rFont val="微软雅黑"/>
        <charset val="134"/>
      </rPr>
      <t>级时，你会分别知晓一项额外的旅者技艺。</t>
    </r>
  </si>
  <si>
    <t>永恒之轮</t>
  </si>
  <si>
    <r>
      <rPr>
        <sz val="10"/>
        <color theme="1"/>
        <rFont val="宋体"/>
        <charset val="134"/>
      </rPr>
      <t>当你使用你的五谷丰登时，你可以唤起生死轮回的无尽循环，为你自己以及受你的引导神力影响的生物提供基于你当前丰收阶段的一项额外增益：</t>
    </r>
    <r>
      <rPr>
        <sz val="10"/>
        <color theme="1"/>
        <rFont val="Times New Roman"/>
        <charset val="134"/>
      </rPr>
      <t xml:space="preserve">
</t>
    </r>
    <r>
      <rPr>
        <sz val="10"/>
        <color theme="1"/>
        <rFont val="宋体"/>
        <charset val="134"/>
      </rPr>
      <t>播种</t>
    </r>
    <r>
      <rPr>
        <sz val="10"/>
        <color theme="1"/>
        <rFont val="Times New Roman"/>
        <charset val="134"/>
      </rPr>
      <t>Sowing</t>
    </r>
    <r>
      <rPr>
        <sz val="10"/>
        <color theme="1"/>
        <rFont val="宋体"/>
        <charset val="134"/>
      </rPr>
      <t>。目标获得再生术</t>
    </r>
    <r>
      <rPr>
        <sz val="10"/>
        <color theme="1"/>
        <rFont val="Times New Roman"/>
        <charset val="134"/>
      </rPr>
      <t>Regenerate</t>
    </r>
    <r>
      <rPr>
        <sz val="10"/>
        <color theme="1"/>
        <rFont val="宋体"/>
        <charset val="134"/>
      </rPr>
      <t>的效应，持续</t>
    </r>
    <r>
      <rPr>
        <sz val="10"/>
        <color theme="1"/>
        <rFont val="Times New Roman"/>
        <charset val="134"/>
      </rPr>
      <t>1</t>
    </r>
    <r>
      <rPr>
        <sz val="10"/>
        <color theme="1"/>
        <rFont val="宋体"/>
        <charset val="134"/>
      </rPr>
      <t>分钟或直至你失去专注。</t>
    </r>
    <r>
      <rPr>
        <sz val="10"/>
        <color theme="1"/>
        <rFont val="Times New Roman"/>
        <charset val="134"/>
      </rPr>
      <t xml:space="preserve">
</t>
    </r>
    <r>
      <rPr>
        <sz val="10"/>
        <color theme="1"/>
        <rFont val="宋体"/>
        <charset val="134"/>
      </rPr>
      <t>生长</t>
    </r>
    <r>
      <rPr>
        <sz val="10"/>
        <color theme="1"/>
        <rFont val="Times New Roman"/>
        <charset val="134"/>
      </rPr>
      <t>Growing</t>
    </r>
    <r>
      <rPr>
        <sz val="10"/>
        <color theme="1"/>
        <rFont val="宋体"/>
        <charset val="134"/>
      </rPr>
      <t>。目标在豁免检定和属性检定中具有优势，持续</t>
    </r>
    <r>
      <rPr>
        <sz val="10"/>
        <color theme="1"/>
        <rFont val="Times New Roman"/>
        <charset val="134"/>
      </rPr>
      <t>1</t>
    </r>
    <r>
      <rPr>
        <sz val="10"/>
        <color theme="1"/>
        <rFont val="宋体"/>
        <charset val="134"/>
      </rPr>
      <t>小时或直至你失去专注（如同专注一个法术）。</t>
    </r>
    <r>
      <rPr>
        <sz val="10"/>
        <color theme="1"/>
        <rFont val="Times New Roman"/>
        <charset val="134"/>
      </rPr>
      <t xml:space="preserve">
</t>
    </r>
    <r>
      <rPr>
        <sz val="10"/>
        <color theme="1"/>
        <rFont val="宋体"/>
        <charset val="134"/>
      </rPr>
      <t>收割</t>
    </r>
    <r>
      <rPr>
        <sz val="10"/>
        <color theme="1"/>
        <rFont val="Times New Roman"/>
        <charset val="134"/>
      </rPr>
      <t>Reaping</t>
    </r>
    <r>
      <rPr>
        <sz val="10"/>
        <color theme="1"/>
        <rFont val="宋体"/>
        <charset val="134"/>
      </rPr>
      <t>。目标获得暗蚀、心灵和毒素伤害抗性，持续</t>
    </r>
    <r>
      <rPr>
        <sz val="10"/>
        <color theme="1"/>
        <rFont val="Times New Roman"/>
        <charset val="134"/>
      </rPr>
      <t>1</t>
    </r>
    <r>
      <rPr>
        <sz val="10"/>
        <color theme="1"/>
        <rFont val="宋体"/>
        <charset val="134"/>
      </rPr>
      <t>小时。</t>
    </r>
    <r>
      <rPr>
        <sz val="10"/>
        <color theme="1"/>
        <rFont val="Times New Roman"/>
        <charset val="134"/>
      </rPr>
      <t xml:space="preserve">
</t>
    </r>
    <r>
      <rPr>
        <sz val="10"/>
        <color theme="1"/>
        <rFont val="宋体"/>
        <charset val="134"/>
      </rPr>
      <t>一旦你使用了此特性，则直至你完成一次长休前，都无法再次使用。你也可以消耗一枚七环或更高环阶的法术位（无需动作）来恢复该特性的使用次数。</t>
    </r>
  </si>
  <si>
    <t>同情护盾</t>
  </si>
  <si>
    <r>
      <rPr>
        <sz val="10"/>
        <color theme="1"/>
        <rFont val="宋体"/>
        <charset val="134"/>
      </rPr>
      <t>第</t>
    </r>
    <r>
      <rPr>
        <sz val="10"/>
        <color theme="1"/>
        <rFont val="Times New Roman"/>
        <charset val="134"/>
      </rPr>
      <t>6</t>
    </r>
    <r>
      <rPr>
        <sz val="10"/>
        <color theme="1"/>
        <rFont val="宋体"/>
        <charset val="134"/>
      </rPr>
      <t>级起，你学习如何将用于荒野形态的能量转变为自然保护的形式。以一个动作，你可以消耗一次你的荒野形态次数来保护你自己或</t>
    </r>
    <r>
      <rPr>
        <sz val="10"/>
        <color theme="1"/>
        <rFont val="Times New Roman"/>
        <charset val="134"/>
      </rPr>
      <t>30</t>
    </r>
    <r>
      <rPr>
        <sz val="10"/>
        <color theme="1"/>
        <rFont val="宋体"/>
        <charset val="134"/>
      </rPr>
      <t>尺范围内的盟友，使其拥有野兽精魂给予的铠甲。这个铠甲是半透明的，不会阻挡视线。护盾可以变成你的荒野形态可变形的任何野兽的形状，被保护的生物获得每</t>
    </r>
    <r>
      <rPr>
        <sz val="10"/>
        <color theme="1"/>
        <rFont val="Times New Roman"/>
        <charset val="134"/>
      </rPr>
      <t>3</t>
    </r>
    <r>
      <rPr>
        <sz val="10"/>
        <color theme="1"/>
        <rFont val="宋体"/>
        <charset val="134"/>
      </rPr>
      <t>级德鲁伊等级</t>
    </r>
    <r>
      <rPr>
        <sz val="10"/>
        <color theme="1"/>
        <rFont val="Times New Roman"/>
        <charset val="134"/>
      </rPr>
      <t>1d10</t>
    </r>
    <r>
      <rPr>
        <sz val="10"/>
        <color theme="1"/>
        <rFont val="宋体"/>
        <charset val="134"/>
      </rPr>
      <t>的临时生命值，且</t>
    </r>
    <r>
      <rPr>
        <sz val="10"/>
        <color theme="1"/>
        <rFont val="Times New Roman"/>
        <charset val="134"/>
      </rPr>
      <t>AC</t>
    </r>
    <r>
      <rPr>
        <sz val="10"/>
        <color theme="1"/>
        <rFont val="宋体"/>
        <charset val="134"/>
      </rPr>
      <t>获得</t>
    </r>
    <r>
      <rPr>
        <sz val="10"/>
        <color theme="1"/>
        <rFont val="Times New Roman"/>
        <charset val="134"/>
      </rPr>
      <t>+1</t>
    </r>
    <r>
      <rPr>
        <sz val="10"/>
        <color theme="1"/>
        <rFont val="宋体"/>
        <charset val="134"/>
      </rPr>
      <t>加值。护盾将持续至临时生命值耗尽或其被另一个给予临时生命值的效应取代。
第</t>
    </r>
    <r>
      <rPr>
        <sz val="10"/>
        <color theme="1"/>
        <rFont val="Times New Roman"/>
        <charset val="134"/>
      </rPr>
      <t>14</t>
    </r>
    <r>
      <rPr>
        <sz val="10"/>
        <color theme="1"/>
        <rFont val="宋体"/>
        <charset val="134"/>
      </rPr>
      <t>级时，精魂铠甲可以对发起攻击的人进行报复。每当被保护的生物受到其</t>
    </r>
    <r>
      <rPr>
        <sz val="10"/>
        <color theme="1"/>
        <rFont val="Times New Roman"/>
        <charset val="134"/>
      </rPr>
      <t>5</t>
    </r>
    <r>
      <rPr>
        <sz val="10"/>
        <color theme="1"/>
        <rFont val="宋体"/>
        <charset val="134"/>
      </rPr>
      <t>尺内的一名生物造成的伤害时，精魂铠甲对目标生物造成</t>
    </r>
    <r>
      <rPr>
        <sz val="10"/>
        <color theme="1"/>
        <rFont val="Times New Roman"/>
        <charset val="134"/>
      </rPr>
      <t>1d8</t>
    </r>
    <r>
      <rPr>
        <sz val="10"/>
        <color theme="1"/>
        <rFont val="宋体"/>
        <charset val="134"/>
      </rPr>
      <t>魔法穿刺、挥砍或钝击伤害。该伤害类型由德鲁伊使用同情护盾时进行选择。护盾可以在一轮内对多个目标造成伤害，但每个目标只能造成一次伤害。</t>
    </r>
  </si>
  <si>
    <r>
      <rPr>
        <sz val="10"/>
        <color theme="1"/>
        <rFont val="宋体"/>
        <charset val="134"/>
      </rPr>
      <t>山丘符文</t>
    </r>
  </si>
  <si>
    <r>
      <rPr>
        <sz val="10"/>
        <color theme="1"/>
        <rFont val="宋体"/>
        <charset val="134"/>
      </rPr>
      <t>该</t>
    </r>
    <r>
      <rPr>
        <sz val="10"/>
        <color theme="1"/>
        <rFont val="Times New Roman"/>
        <charset val="134"/>
      </rPr>
      <t>7</t>
    </r>
    <r>
      <rPr>
        <sz val="10"/>
        <color theme="1"/>
        <rFont val="宋体"/>
        <charset val="134"/>
      </rPr>
      <t>级符文的魔力可以赋予如山巨人一般的坚韧。
当你穿着或持有一个铭刻此符文的物品，你在中毒状态的豁免检定上获得优势，且你对于毒素伤害具有抗性。
此外，你可以使用一个附赠动作对该符文激活，获得</t>
    </r>
    <r>
      <rPr>
        <sz val="10"/>
        <color theme="1"/>
        <rFont val="Times New Roman"/>
        <charset val="134"/>
      </rPr>
      <t>1</t>
    </r>
    <r>
      <rPr>
        <sz val="10"/>
        <color theme="1"/>
        <rFont val="宋体"/>
        <charset val="134"/>
      </rPr>
      <t>分钟的钝击、挥砍和穿刺伤害抗性。
每当你激活该符文，你无法再次使用该异能直到你完成一次短休或长休。</t>
    </r>
  </si>
  <si>
    <t>劲风射击</t>
  </si>
  <si>
    <t>你获得了模仿绵龙的风弹的能力，你发射劲风远程攻击敌人。当你发动徒手打击时，你可以改为发动一次特殊的攻击，你从口中喷出压缩气流。此次远程武器攻击射程60尺，且使用与徒手打击相同的攻击加值与伤害骰。
此外，当你以此次特殊攻击命中一个目标时，你可以选择花费1点气以强迫目标执行一次力量豁免对抗你的气豁免DC。豁免失败时，目标将被击倒或被向着远离你的方向推离10尺（由你选择）。</t>
  </si>
  <si>
    <r>
      <rPr>
        <sz val="10"/>
        <color theme="1"/>
        <rFont val="宋体"/>
        <charset val="134"/>
      </rPr>
      <t>在选择本誓言时，你获得以下两种引导神力选项。
吸收魔法</t>
    </r>
    <r>
      <rPr>
        <sz val="10"/>
        <color theme="1"/>
        <rFont val="Times New Roman"/>
        <charset val="134"/>
      </rPr>
      <t>Absorb Magic</t>
    </r>
    <r>
      <rPr>
        <sz val="10"/>
        <color theme="1"/>
        <rFont val="宋体"/>
        <charset val="134"/>
      </rPr>
      <t>。你可以否认某些特定的法术，并利用它们补充能量。你可以使用引导神力特性打断位于你</t>
    </r>
    <r>
      <rPr>
        <sz val="10"/>
        <color theme="1"/>
        <rFont val="Times New Roman"/>
        <charset val="134"/>
      </rPr>
      <t>30</t>
    </r>
    <r>
      <rPr>
        <sz val="10"/>
        <color theme="1"/>
        <rFont val="宋体"/>
        <charset val="134"/>
      </rPr>
      <t>尺内的可见生物的施法。当你看见一名范围内的生物施展法术时，你可以执行反应亮出圣徽打断其施法。若法术环阶不高于</t>
    </r>
    <r>
      <rPr>
        <sz val="10"/>
        <color theme="1"/>
        <rFont val="Times New Roman"/>
        <charset val="134"/>
      </rPr>
      <t>1+</t>
    </r>
    <r>
      <rPr>
        <sz val="10"/>
        <color theme="1"/>
        <rFont val="宋体"/>
        <charset val="134"/>
      </rPr>
      <t>你的圣武士等级除以</t>
    </r>
    <r>
      <rPr>
        <sz val="10"/>
        <color theme="1"/>
        <rFont val="Times New Roman"/>
        <charset val="134"/>
      </rPr>
      <t>3</t>
    </r>
    <r>
      <rPr>
        <sz val="10"/>
        <color theme="1"/>
        <rFont val="宋体"/>
        <charset val="134"/>
      </rPr>
      <t>（向上取整）的和（至多六环），则法术失败且不造成任何效应。当你如此做时，你获得一定量的临时生命值，数量等于你的魅力调整值</t>
    </r>
    <r>
      <rPr>
        <sz val="10"/>
        <color theme="1"/>
        <rFont val="Times New Roman"/>
        <charset val="134"/>
      </rPr>
      <t>+5</t>
    </r>
    <r>
      <rPr>
        <sz val="10"/>
        <color theme="1"/>
        <rFont val="宋体"/>
        <charset val="134"/>
      </rPr>
      <t>倍的法术环阶。</t>
    </r>
    <r>
      <rPr>
        <sz val="10"/>
        <color theme="1"/>
        <rFont val="Times New Roman"/>
        <charset val="134"/>
      </rPr>
      <t xml:space="preserve"> 
</t>
    </r>
    <r>
      <rPr>
        <sz val="10"/>
        <color theme="1"/>
        <rFont val="宋体"/>
        <charset val="134"/>
      </rPr>
      <t>迅捷指令</t>
    </r>
    <r>
      <rPr>
        <sz val="10"/>
        <color theme="1"/>
        <rFont val="Times New Roman"/>
        <charset val="134"/>
      </rPr>
      <t>Expeditious Command</t>
    </r>
    <r>
      <rPr>
        <sz val="10"/>
        <color theme="1"/>
        <rFont val="宋体"/>
        <charset val="134"/>
      </rPr>
      <t>。</t>
    </r>
    <r>
      <rPr>
        <sz val="10"/>
        <color theme="1"/>
        <rFont val="Times New Roman"/>
        <charset val="134"/>
      </rPr>
      <t xml:space="preserve"> </t>
    </r>
    <r>
      <rPr>
        <sz val="10"/>
        <color theme="1"/>
        <rFont val="宋体"/>
        <charset val="134"/>
      </rPr>
      <t>你可以使用引导神力特性喊出充满力量的语句，并自圣徽中释放出令人振奋的能量。以一个附赠动作，选择位于你</t>
    </r>
    <r>
      <rPr>
        <sz val="10"/>
        <color theme="1"/>
        <rFont val="Times New Roman"/>
        <charset val="134"/>
      </rPr>
      <t>30</t>
    </r>
    <r>
      <rPr>
        <sz val="10"/>
        <color theme="1"/>
        <rFont val="宋体"/>
        <charset val="134"/>
      </rPr>
      <t>尺内一定数量的生物，数量不高于你的魅力调整值（至少一名）。所选生物可以使用附赠动作来执行疾走或撤离动作，持续至你的下个回合开始。作为此引导神力选项的一部分，你也可以执行疾走或撤离动作。</t>
    </r>
  </si>
  <si>
    <t>寒心复仇</t>
  </si>
  <si>
    <r>
      <rPr>
        <sz val="10"/>
        <color theme="1"/>
        <rFont val="宋体"/>
        <charset val="134"/>
      </rPr>
      <t>当你被一次攻击检定命中时，你可以用你的反应迫使攻击你的该生物进行一次感知豁免（使用你的法术豁免</t>
    </r>
    <r>
      <rPr>
        <sz val="10"/>
        <color theme="1"/>
        <rFont val="Times New Roman"/>
        <charset val="134"/>
      </rPr>
      <t>DC</t>
    </r>
    <r>
      <rPr>
        <sz val="10"/>
        <color theme="1"/>
        <rFont val="宋体"/>
        <charset val="134"/>
      </rPr>
      <t>），豁免失败则目标将陷入震慑状态直到你的下个回合结束。且当目标因此陷入震慑状态时，其速度降至</t>
    </r>
    <r>
      <rPr>
        <sz val="10"/>
        <color theme="1"/>
        <rFont val="Times New Roman"/>
        <charset val="134"/>
      </rPr>
      <t>0</t>
    </r>
    <r>
      <rPr>
        <sz val="10"/>
        <color theme="1"/>
        <rFont val="宋体"/>
        <charset val="134"/>
      </rPr>
      <t>。</t>
    </r>
    <r>
      <rPr>
        <sz val="10"/>
        <color theme="1"/>
        <rFont val="Times New Roman"/>
        <charset val="134"/>
      </rPr>
      <t xml:space="preserve">
</t>
    </r>
    <r>
      <rPr>
        <sz val="10"/>
        <color theme="1"/>
        <rFont val="宋体"/>
        <charset val="134"/>
      </rPr>
      <t>你可以使用这一增益的次数等同于你的感知调整值（最低一次），并在完成一次长休后重获全部已消耗的使用次数。</t>
    </r>
  </si>
  <si>
    <t>火花雨</t>
  </si>
  <si>
    <t>以一个附赠动作，你可以花费2点烛心点将你的空闲手置于嘴边，并引燃你的下一口呼吸。你的呼气会朝一个距离你5尺内的目标制造一团耀眼的火花雨。你在本回合内对该目标发动的下一次武器攻击检定具有优势，且目标不能执行借机攻击直到你的回合结束。</t>
  </si>
  <si>
    <t>沙暴行者</t>
  </si>
  <si>
    <r>
      <rPr>
        <sz val="10"/>
        <color theme="1"/>
        <rFont val="宋体"/>
        <charset val="134"/>
      </rPr>
      <t>你获得了能够穿梭于你所创造旋风核心的能力。在一个生物被你的飞沙走石特性推动后，你可以立即消耗</t>
    </r>
    <r>
      <rPr>
        <sz val="10"/>
        <color theme="1"/>
        <rFont val="Times New Roman"/>
        <charset val="134"/>
      </rPr>
      <t>2</t>
    </r>
    <r>
      <rPr>
        <sz val="10"/>
        <color theme="1"/>
        <rFont val="宋体"/>
        <charset val="134"/>
      </rPr>
      <t>点术法点传送到风暴所在空间。如果你在一个未被占据的空间创造风暴，你也可以用这种方式传送。当你以此方式传送时，你和你穿戴或携带的所有装备都将隐形，直到你的回合结束。</t>
    </r>
  </si>
  <si>
    <r>
      <rPr>
        <sz val="10"/>
        <color theme="1"/>
        <rFont val="宋体"/>
        <charset val="134"/>
      </rPr>
      <t>巨灵之怒</t>
    </r>
  </si>
  <si>
    <r>
      <rPr>
        <sz val="10"/>
        <color theme="1"/>
        <rFont val="宋体"/>
        <charset val="134"/>
      </rPr>
      <t>在你的每个回合仅限一次，你可以在你攻击骰命中时对目标造成等同于你熟练加值的额外伤害。
伤害类型取决于你的宗主类型：钝击（土巨灵），雷鸣（气巨灵），火焰（火巨灵），冷冻（水巨灵）。
器皿的</t>
    </r>
    <r>
      <rPr>
        <sz val="10"/>
        <color theme="1"/>
        <rFont val="Times New Roman"/>
        <charset val="134"/>
      </rPr>
      <t>AC</t>
    </r>
    <r>
      <rPr>
        <sz val="10"/>
        <color theme="1"/>
        <rFont val="宋体"/>
        <charset val="134"/>
      </rPr>
      <t>等同于你的法术豁免</t>
    </r>
    <r>
      <rPr>
        <sz val="10"/>
        <color theme="1"/>
        <rFont val="Times New Roman"/>
        <charset val="134"/>
      </rPr>
      <t>DC</t>
    </r>
    <r>
      <rPr>
        <sz val="10"/>
        <color theme="1"/>
        <rFont val="宋体"/>
        <charset val="134"/>
      </rPr>
      <t>，它的生命值等于你的邪术师等级加熟练加值，并免疫于毒素和心灵伤害。
倘若器皿被摧毁或是丢失，你可以进行一场持续</t>
    </r>
    <r>
      <rPr>
        <sz val="10"/>
        <color theme="1"/>
        <rFont val="Times New Roman"/>
        <charset val="134"/>
      </rPr>
      <t>1</t>
    </r>
    <r>
      <rPr>
        <sz val="10"/>
        <color theme="1"/>
        <rFont val="宋体"/>
        <charset val="134"/>
      </rPr>
      <t>小时的仪式来从你的宗主处获得一个替代品。
这一仪式可于短休或长休时进行，并会摧毁之前仍存在的器皿。
当你死亡时，器皿在一阵元素能量的闪耀中消失。</t>
    </r>
  </si>
  <si>
    <t>自然调谐</t>
  </si>
  <si>
    <r>
      <rPr>
        <sz val="10"/>
        <color theme="1"/>
        <rFont val="宋体"/>
        <charset val="134"/>
      </rPr>
      <t>从你选择该学派起，你学习如何使自己与贯穿自然的地脉魔法同谐。每当你在自然环境中准备法术时，你也可以使自己与附近的地脉能量调谐以获得额外的法术。当你这么做的时候，请参考与你准备法术时的环境相匹配地脉法术表中的法术列表。你一次只能调谐一条地脉。</t>
    </r>
    <r>
      <rPr>
        <sz val="10"/>
        <color theme="1"/>
        <rFont val="Times New Roman"/>
        <charset val="134"/>
      </rPr>
      <t xml:space="preserve">
</t>
    </r>
    <r>
      <rPr>
        <sz val="10"/>
        <color theme="1"/>
        <rFont val="宋体"/>
        <charset val="134"/>
      </rPr>
      <t>当你与一条地脉调谐时，你可以施展当前地脉法术列表中任何你满足等级要求的法术。只要你与地脉保持调谐，你就被视为始终准备着这些法术，且这些法术不计入你的每日准备法术上限。地脉法术不会加入到你的法术书中。如果你获得了一个没有出现在法师法术列表中的法术，那么这道法术对你来说视为一道法师法术。</t>
    </r>
    <r>
      <rPr>
        <sz val="10"/>
        <color theme="1"/>
        <rFont val="Times New Roman"/>
        <charset val="134"/>
      </rPr>
      <t xml:space="preserve">
</t>
    </r>
    <r>
      <rPr>
        <sz val="10"/>
        <color theme="1"/>
        <rFont val="宋体"/>
        <charset val="134"/>
      </rPr>
      <t>寒带</t>
    </r>
    <r>
      <rPr>
        <sz val="10"/>
        <color theme="1"/>
        <rFont val="Times New Roman"/>
        <charset val="134"/>
      </rPr>
      <t xml:space="preserve">Arctic 
</t>
    </r>
    <r>
      <rPr>
        <sz val="10"/>
        <color theme="1"/>
        <rFont val="宋体"/>
        <charset val="134"/>
      </rPr>
      <t>法师等级</t>
    </r>
    <r>
      <rPr>
        <sz val="10"/>
        <color theme="1"/>
        <rFont val="Times New Roman"/>
        <charset val="134"/>
      </rPr>
      <t xml:space="preserve"> </t>
    </r>
    <r>
      <rPr>
        <sz val="10"/>
        <color theme="1"/>
        <rFont val="宋体"/>
        <charset val="134"/>
      </rPr>
      <t>地脉法术</t>
    </r>
    <r>
      <rPr>
        <sz val="10"/>
        <color theme="1"/>
        <rFont val="Times New Roman"/>
        <charset val="134"/>
      </rPr>
      <t xml:space="preserve"> 
1st </t>
    </r>
    <r>
      <rPr>
        <sz val="10"/>
        <color theme="1"/>
        <rFont val="宋体"/>
        <charset val="134"/>
      </rPr>
      <t>油腻术</t>
    </r>
    <r>
      <rPr>
        <sz val="10"/>
        <color theme="1"/>
        <rFont val="Times New Roman"/>
        <charset val="134"/>
      </rPr>
      <t xml:space="preserve">Grease 
3rd </t>
    </r>
    <r>
      <rPr>
        <sz val="10"/>
        <color theme="1"/>
        <rFont val="宋体"/>
        <charset val="134"/>
      </rPr>
      <t>人类定身术</t>
    </r>
    <r>
      <rPr>
        <sz val="10"/>
        <color theme="1"/>
        <rFont val="Times New Roman"/>
        <charset val="134"/>
      </rPr>
      <t xml:space="preserve">Hold Person 
5th </t>
    </r>
    <r>
      <rPr>
        <sz val="10"/>
        <color theme="1"/>
        <rFont val="宋体"/>
        <charset val="134"/>
      </rPr>
      <t>缓慢术</t>
    </r>
    <r>
      <rPr>
        <sz val="10"/>
        <color theme="1"/>
        <rFont val="Times New Roman"/>
        <charset val="134"/>
      </rPr>
      <t xml:space="preserve">Slow 
7th </t>
    </r>
    <r>
      <rPr>
        <sz val="10"/>
        <color theme="1"/>
        <rFont val="宋体"/>
        <charset val="134"/>
      </rPr>
      <t>冰风暴</t>
    </r>
    <r>
      <rPr>
        <sz val="10"/>
        <color theme="1"/>
        <rFont val="Times New Roman"/>
        <charset val="134"/>
      </rPr>
      <t xml:space="preserve">Ice Storm 
9th </t>
    </r>
    <r>
      <rPr>
        <sz val="10"/>
        <color theme="1"/>
        <rFont val="宋体"/>
        <charset val="134"/>
      </rPr>
      <t>寒冰锥</t>
    </r>
    <r>
      <rPr>
        <sz val="10"/>
        <color theme="1"/>
        <rFont val="Times New Roman"/>
        <charset val="134"/>
      </rPr>
      <t xml:space="preserve">Cone of Cold 
</t>
    </r>
    <r>
      <rPr>
        <sz val="10"/>
        <color theme="1"/>
        <rFont val="宋体"/>
        <charset val="134"/>
      </rPr>
      <t>海岸</t>
    </r>
    <r>
      <rPr>
        <sz val="10"/>
        <color theme="1"/>
        <rFont val="Times New Roman"/>
        <charset val="134"/>
      </rPr>
      <t xml:space="preserve">Coast </t>
    </r>
    <r>
      <rPr>
        <sz val="10"/>
        <color theme="1"/>
        <rFont val="宋体"/>
        <charset val="134"/>
      </rPr>
      <t>法师等级</t>
    </r>
    <r>
      <rPr>
        <sz val="10"/>
        <color theme="1"/>
        <rFont val="Times New Roman"/>
        <charset val="134"/>
      </rPr>
      <t xml:space="preserve"> </t>
    </r>
    <r>
      <rPr>
        <sz val="10"/>
        <color theme="1"/>
        <rFont val="宋体"/>
        <charset val="134"/>
      </rPr>
      <t>地脉法术</t>
    </r>
    <r>
      <rPr>
        <sz val="10"/>
        <color theme="1"/>
        <rFont val="Times New Roman"/>
        <charset val="134"/>
      </rPr>
      <t xml:space="preserve"> 
1st </t>
    </r>
    <r>
      <rPr>
        <sz val="10"/>
        <color theme="1"/>
        <rFont val="宋体"/>
        <charset val="134"/>
      </rPr>
      <t>雷鸣波</t>
    </r>
    <r>
      <rPr>
        <sz val="10"/>
        <color theme="1"/>
        <rFont val="Times New Roman"/>
        <charset val="134"/>
      </rPr>
      <t xml:space="preserve">Thunderwave 
3rd </t>
    </r>
    <r>
      <rPr>
        <sz val="10"/>
        <color theme="1"/>
        <rFont val="宋体"/>
        <charset val="134"/>
      </rPr>
      <t>镜影术</t>
    </r>
    <r>
      <rPr>
        <sz val="10"/>
        <color theme="1"/>
        <rFont val="Times New Roman"/>
        <charset val="134"/>
      </rPr>
      <t xml:space="preserve">Mirror Image 
5th </t>
    </r>
    <r>
      <rPr>
        <sz val="10"/>
        <color theme="1"/>
        <rFont val="宋体"/>
        <charset val="134"/>
      </rPr>
      <t>召雷术</t>
    </r>
    <r>
      <rPr>
        <sz val="10"/>
        <color theme="1"/>
        <rFont val="Times New Roman"/>
        <charset val="134"/>
      </rPr>
      <t xml:space="preserve">Call Lightning 
7th </t>
    </r>
    <r>
      <rPr>
        <sz val="10"/>
        <color theme="1"/>
        <rFont val="宋体"/>
        <charset val="134"/>
      </rPr>
      <t>操控水体</t>
    </r>
    <r>
      <rPr>
        <sz val="10"/>
        <color theme="1"/>
        <rFont val="Times New Roman"/>
        <charset val="134"/>
      </rPr>
      <t xml:space="preserve">Control Water 
9th </t>
    </r>
    <r>
      <rPr>
        <sz val="10"/>
        <color theme="1"/>
        <rFont val="宋体"/>
        <charset val="134"/>
      </rPr>
      <t>元素咒唤术</t>
    </r>
    <r>
      <rPr>
        <sz val="10"/>
        <color theme="1"/>
        <rFont val="Times New Roman"/>
        <charset val="134"/>
      </rPr>
      <t xml:space="preserve">Conjure Elemental 
</t>
    </r>
    <r>
      <rPr>
        <sz val="10"/>
        <color theme="1"/>
        <rFont val="宋体"/>
        <charset val="134"/>
      </rPr>
      <t>荒漠</t>
    </r>
    <r>
      <rPr>
        <sz val="10"/>
        <color theme="1"/>
        <rFont val="Times New Roman"/>
        <charset val="134"/>
      </rPr>
      <t xml:space="preserve">Desert </t>
    </r>
    <r>
      <rPr>
        <sz val="10"/>
        <color theme="1"/>
        <rFont val="宋体"/>
        <charset val="134"/>
      </rPr>
      <t>法师等级</t>
    </r>
    <r>
      <rPr>
        <sz val="10"/>
        <color theme="1"/>
        <rFont val="Times New Roman"/>
        <charset val="134"/>
      </rPr>
      <t xml:space="preserve"> </t>
    </r>
    <r>
      <rPr>
        <sz val="10"/>
        <color theme="1"/>
        <rFont val="宋体"/>
        <charset val="134"/>
      </rPr>
      <t>地脉法术</t>
    </r>
    <r>
      <rPr>
        <sz val="10"/>
        <color theme="1"/>
        <rFont val="Times New Roman"/>
        <charset val="134"/>
      </rPr>
      <t xml:space="preserve"> 
1st </t>
    </r>
    <r>
      <rPr>
        <sz val="10"/>
        <color theme="1"/>
        <rFont val="宋体"/>
        <charset val="134"/>
      </rPr>
      <t>七彩喷射</t>
    </r>
    <r>
      <rPr>
        <sz val="10"/>
        <color theme="1"/>
        <rFont val="Times New Roman"/>
        <charset val="134"/>
      </rPr>
      <t xml:space="preserve">Color Spray 
3rd </t>
    </r>
    <r>
      <rPr>
        <sz val="10"/>
        <color theme="1"/>
        <rFont val="宋体"/>
        <charset val="134"/>
      </rPr>
      <t>朦胧术</t>
    </r>
    <r>
      <rPr>
        <sz val="10"/>
        <color theme="1"/>
        <rFont val="Times New Roman"/>
        <charset val="134"/>
      </rPr>
      <t xml:space="preserve">Blur 
5th </t>
    </r>
    <r>
      <rPr>
        <sz val="10"/>
        <color theme="1"/>
        <rFont val="宋体"/>
        <charset val="134"/>
      </rPr>
      <t>昼明术</t>
    </r>
    <r>
      <rPr>
        <sz val="10"/>
        <color theme="1"/>
        <rFont val="Times New Roman"/>
        <charset val="134"/>
      </rPr>
      <t xml:space="preserve">Daylight 
7th </t>
    </r>
    <r>
      <rPr>
        <sz val="10"/>
        <color theme="1"/>
        <rFont val="宋体"/>
        <charset val="134"/>
      </rPr>
      <t>枯萎术</t>
    </r>
    <r>
      <rPr>
        <sz val="10"/>
        <color theme="1"/>
        <rFont val="Times New Roman"/>
        <charset val="134"/>
      </rPr>
      <t xml:space="preserve">Blight 
9th </t>
    </r>
    <r>
      <rPr>
        <sz val="10"/>
        <color theme="1"/>
        <rFont val="宋体"/>
        <charset val="134"/>
      </rPr>
      <t>伪装术</t>
    </r>
    <r>
      <rPr>
        <sz val="10"/>
        <color theme="1"/>
        <rFont val="Times New Roman"/>
        <charset val="134"/>
      </rPr>
      <t xml:space="preserve">Seeming 
</t>
    </r>
    <r>
      <rPr>
        <sz val="10"/>
        <color theme="1"/>
        <rFont val="宋体"/>
        <charset val="134"/>
      </rPr>
      <t>森林</t>
    </r>
    <r>
      <rPr>
        <sz val="10"/>
        <color theme="1"/>
        <rFont val="Times New Roman"/>
        <charset val="134"/>
      </rPr>
      <t xml:space="preserve">Forest </t>
    </r>
    <r>
      <rPr>
        <sz val="10"/>
        <color theme="1"/>
        <rFont val="宋体"/>
        <charset val="134"/>
      </rPr>
      <t>法师等级</t>
    </r>
    <r>
      <rPr>
        <sz val="10"/>
        <color theme="1"/>
        <rFont val="Times New Roman"/>
        <charset val="134"/>
      </rPr>
      <t xml:space="preserve"> </t>
    </r>
    <r>
      <rPr>
        <sz val="10"/>
        <color theme="1"/>
        <rFont val="宋体"/>
        <charset val="134"/>
      </rPr>
      <t>地脉法术</t>
    </r>
    <r>
      <rPr>
        <sz val="10"/>
        <color theme="1"/>
        <rFont val="Times New Roman"/>
        <charset val="134"/>
      </rPr>
      <t xml:space="preserve"> 
1st </t>
    </r>
    <r>
      <rPr>
        <sz val="10"/>
        <color theme="1"/>
        <rFont val="宋体"/>
        <charset val="134"/>
      </rPr>
      <t>纠缠术</t>
    </r>
    <r>
      <rPr>
        <sz val="10"/>
        <color theme="1"/>
        <rFont val="Times New Roman"/>
        <charset val="134"/>
      </rPr>
      <t xml:space="preserve">Entangle 
3rd </t>
    </r>
    <r>
      <rPr>
        <sz val="10"/>
        <color theme="1"/>
        <rFont val="宋体"/>
        <charset val="134"/>
      </rPr>
      <t>树肤术</t>
    </r>
    <r>
      <rPr>
        <sz val="10"/>
        <color theme="1"/>
        <rFont val="Times New Roman"/>
        <charset val="134"/>
      </rPr>
      <t xml:space="preserve">Barkskin 
5th </t>
    </r>
    <r>
      <rPr>
        <sz val="10"/>
        <color theme="1"/>
        <rFont val="宋体"/>
        <charset val="134"/>
      </rPr>
      <t>动物咒唤术</t>
    </r>
    <r>
      <rPr>
        <sz val="10"/>
        <color theme="1"/>
        <rFont val="Times New Roman"/>
        <charset val="134"/>
      </rPr>
      <t xml:space="preserve">Conjure Animals 
7th </t>
    </r>
    <r>
      <rPr>
        <sz val="10"/>
        <color theme="1"/>
        <rFont val="宋体"/>
        <charset val="134"/>
      </rPr>
      <t>植物塑形</t>
    </r>
    <r>
      <rPr>
        <sz val="10"/>
        <color theme="1"/>
        <rFont val="Times New Roman"/>
        <charset val="134"/>
      </rPr>
      <t xml:space="preserve"> Shape Plants 
9th </t>
    </r>
    <r>
      <rPr>
        <sz val="10"/>
        <color theme="1"/>
        <rFont val="宋体"/>
        <charset val="134"/>
      </rPr>
      <t>树跃术</t>
    </r>
    <r>
      <rPr>
        <sz val="10"/>
        <color theme="1"/>
        <rFont val="Times New Roman"/>
        <charset val="134"/>
      </rPr>
      <t xml:space="preserve">Tree Stride 
</t>
    </r>
    <r>
      <rPr>
        <sz val="10"/>
        <color theme="1"/>
        <rFont val="宋体"/>
        <charset val="134"/>
      </rPr>
      <t>草原</t>
    </r>
    <r>
      <rPr>
        <sz val="10"/>
        <color theme="1"/>
        <rFont val="Times New Roman"/>
        <charset val="134"/>
      </rPr>
      <t xml:space="preserve">Grassland </t>
    </r>
    <r>
      <rPr>
        <sz val="10"/>
        <color theme="1"/>
        <rFont val="宋体"/>
        <charset val="134"/>
      </rPr>
      <t>法师等级</t>
    </r>
    <r>
      <rPr>
        <sz val="10"/>
        <color theme="1"/>
        <rFont val="Times New Roman"/>
        <charset val="134"/>
      </rPr>
      <t xml:space="preserve"> </t>
    </r>
    <r>
      <rPr>
        <sz val="10"/>
        <color theme="1"/>
        <rFont val="宋体"/>
        <charset val="134"/>
      </rPr>
      <t>地脉法术</t>
    </r>
    <r>
      <rPr>
        <sz val="10"/>
        <color theme="1"/>
        <rFont val="Times New Roman"/>
        <charset val="134"/>
      </rPr>
      <t xml:space="preserve"> 
1st </t>
    </r>
    <r>
      <rPr>
        <sz val="10"/>
        <color theme="1"/>
        <rFont val="宋体"/>
        <charset val="134"/>
      </rPr>
      <t>提升视力</t>
    </r>
    <r>
      <rPr>
        <sz val="10"/>
        <color theme="1"/>
        <rFont val="Times New Roman"/>
        <charset val="134"/>
      </rPr>
      <t xml:space="preserve">Elevated Sight* 
3rd </t>
    </r>
    <r>
      <rPr>
        <sz val="10"/>
        <color theme="1"/>
        <rFont val="宋体"/>
        <charset val="134"/>
      </rPr>
      <t>造风术</t>
    </r>
    <r>
      <rPr>
        <sz val="10"/>
        <color theme="1"/>
        <rFont val="Times New Roman"/>
        <charset val="134"/>
      </rPr>
      <t xml:space="preserve">Gust of Wind 
5th </t>
    </r>
    <r>
      <rPr>
        <sz val="10"/>
        <color theme="1"/>
        <rFont val="宋体"/>
        <charset val="134"/>
      </rPr>
      <t>风墙术</t>
    </r>
    <r>
      <rPr>
        <sz val="10"/>
        <color theme="1"/>
        <rFont val="Times New Roman"/>
        <charset val="134"/>
      </rPr>
      <t xml:space="preserve">Wind Wall 
7th </t>
    </r>
    <r>
      <rPr>
        <sz val="10"/>
        <color theme="1"/>
        <rFont val="宋体"/>
        <charset val="134"/>
      </rPr>
      <t>行动自如</t>
    </r>
    <r>
      <rPr>
        <sz val="10"/>
        <color theme="1"/>
        <rFont val="Times New Roman"/>
        <charset val="134"/>
      </rPr>
      <t xml:space="preserve">Freedom of Movement 
9th </t>
    </r>
    <r>
      <rPr>
        <sz val="10"/>
        <color theme="1"/>
        <rFont val="宋体"/>
        <charset val="134"/>
      </rPr>
      <t>问道自然</t>
    </r>
    <r>
      <rPr>
        <sz val="10"/>
        <color theme="1"/>
        <rFont val="Times New Roman"/>
        <charset val="134"/>
      </rPr>
      <t xml:space="preserve">Commune with Nature 
</t>
    </r>
    <r>
      <rPr>
        <sz val="10"/>
        <color theme="1"/>
        <rFont val="宋体"/>
        <charset val="134"/>
      </rPr>
      <t>山地</t>
    </r>
    <r>
      <rPr>
        <sz val="10"/>
        <color theme="1"/>
        <rFont val="Times New Roman"/>
        <charset val="134"/>
      </rPr>
      <t xml:space="preserve">Mountain </t>
    </r>
    <r>
      <rPr>
        <sz val="10"/>
        <color theme="1"/>
        <rFont val="宋体"/>
        <charset val="134"/>
      </rPr>
      <t>法师等级</t>
    </r>
    <r>
      <rPr>
        <sz val="10"/>
        <color theme="1"/>
        <rFont val="Times New Roman"/>
        <charset val="134"/>
      </rPr>
      <t xml:space="preserve"> </t>
    </r>
    <r>
      <rPr>
        <sz val="10"/>
        <color theme="1"/>
        <rFont val="宋体"/>
        <charset val="134"/>
      </rPr>
      <t>地脉法术</t>
    </r>
    <r>
      <rPr>
        <sz val="10"/>
        <color theme="1"/>
        <rFont val="Times New Roman"/>
        <charset val="134"/>
      </rPr>
      <t xml:space="preserve"> 
1st </t>
    </r>
    <r>
      <rPr>
        <sz val="10"/>
        <color theme="1"/>
        <rFont val="宋体"/>
        <charset val="134"/>
      </rPr>
      <t>云雾术</t>
    </r>
    <r>
      <rPr>
        <sz val="10"/>
        <color theme="1"/>
        <rFont val="Times New Roman"/>
        <charset val="134"/>
      </rPr>
      <t xml:space="preserve">Fog Cloud 
3rd </t>
    </r>
    <r>
      <rPr>
        <sz val="10"/>
        <color theme="1"/>
        <rFont val="宋体"/>
        <charset val="134"/>
      </rPr>
      <t>沉默术</t>
    </r>
    <r>
      <rPr>
        <sz val="10"/>
        <color theme="1"/>
        <rFont val="Times New Roman"/>
        <charset val="134"/>
      </rPr>
      <t xml:space="preserve">Silence 
5th </t>
    </r>
    <r>
      <rPr>
        <sz val="10"/>
        <color theme="1"/>
        <rFont val="宋体"/>
        <charset val="134"/>
      </rPr>
      <t>雪雨暴</t>
    </r>
    <r>
      <rPr>
        <sz val="10"/>
        <color theme="1"/>
        <rFont val="Times New Roman"/>
        <charset val="134"/>
      </rPr>
      <t xml:space="preserve">Sleet Storm 
7th </t>
    </r>
    <r>
      <rPr>
        <sz val="10"/>
        <color theme="1"/>
        <rFont val="宋体"/>
        <charset val="134"/>
      </rPr>
      <t>石肤术</t>
    </r>
    <r>
      <rPr>
        <sz val="10"/>
        <color theme="1"/>
        <rFont val="Times New Roman"/>
        <charset val="134"/>
      </rPr>
      <t xml:space="preserve">Stoneskin 
9th </t>
    </r>
    <r>
      <rPr>
        <sz val="10"/>
        <color theme="1"/>
        <rFont val="宋体"/>
        <charset val="134"/>
      </rPr>
      <t>石墙术</t>
    </r>
    <r>
      <rPr>
        <sz val="10"/>
        <color theme="1"/>
        <rFont val="Times New Roman"/>
        <charset val="134"/>
      </rPr>
      <t xml:space="preserve">Wall of Stone 
</t>
    </r>
    <r>
      <rPr>
        <sz val="10"/>
        <color theme="1"/>
        <rFont val="宋体"/>
        <charset val="134"/>
      </rPr>
      <t>沼泽</t>
    </r>
    <r>
      <rPr>
        <sz val="10"/>
        <color theme="1"/>
        <rFont val="Times New Roman"/>
        <charset val="134"/>
      </rPr>
      <t xml:space="preserve">Swamp </t>
    </r>
    <r>
      <rPr>
        <sz val="10"/>
        <color theme="1"/>
        <rFont val="宋体"/>
        <charset val="134"/>
      </rPr>
      <t>法师等级</t>
    </r>
    <r>
      <rPr>
        <sz val="10"/>
        <color theme="1"/>
        <rFont val="Times New Roman"/>
        <charset val="134"/>
      </rPr>
      <t xml:space="preserve"> </t>
    </r>
    <r>
      <rPr>
        <sz val="10"/>
        <color theme="1"/>
        <rFont val="宋体"/>
        <charset val="134"/>
      </rPr>
      <t>地脉法术</t>
    </r>
    <r>
      <rPr>
        <sz val="10"/>
        <color theme="1"/>
        <rFont val="Times New Roman"/>
        <charset val="134"/>
      </rPr>
      <t xml:space="preserve"> 
1st </t>
    </r>
    <r>
      <rPr>
        <sz val="10"/>
        <color theme="1"/>
        <rFont val="宋体"/>
        <charset val="134"/>
      </rPr>
      <t>黄昏之纱</t>
    </r>
    <r>
      <rPr>
        <sz val="10"/>
        <color theme="1"/>
        <rFont val="Times New Roman"/>
        <charset val="134"/>
      </rPr>
      <t xml:space="preserve">Veil of Dusk* 
3rd </t>
    </r>
    <r>
      <rPr>
        <sz val="10"/>
        <color theme="1"/>
        <rFont val="宋体"/>
        <charset val="134"/>
      </rPr>
      <t>荆棘丛生</t>
    </r>
    <r>
      <rPr>
        <sz val="10"/>
        <color theme="1"/>
        <rFont val="Times New Roman"/>
        <charset val="134"/>
      </rPr>
      <t xml:space="preserve">Spike Growth 
5th </t>
    </r>
    <r>
      <rPr>
        <sz val="10"/>
        <color theme="1"/>
        <rFont val="宋体"/>
        <charset val="134"/>
      </rPr>
      <t>臭云术</t>
    </r>
    <r>
      <rPr>
        <sz val="10"/>
        <color theme="1"/>
        <rFont val="Times New Roman"/>
        <charset val="134"/>
      </rPr>
      <t xml:space="preserve">Stinking Cloud 
7th </t>
    </r>
    <r>
      <rPr>
        <sz val="10"/>
        <color theme="1"/>
        <rFont val="宋体"/>
        <charset val="134"/>
      </rPr>
      <t>巨虫术</t>
    </r>
    <r>
      <rPr>
        <sz val="10"/>
        <color theme="1"/>
        <rFont val="Times New Roman"/>
        <charset val="134"/>
      </rPr>
      <t xml:space="preserve">Giant Insect 
9th </t>
    </r>
    <r>
      <rPr>
        <sz val="10"/>
        <color theme="1"/>
        <rFont val="宋体"/>
        <charset val="134"/>
      </rPr>
      <t>疫病虫群</t>
    </r>
    <r>
      <rPr>
        <sz val="10"/>
        <color theme="1"/>
        <rFont val="Times New Roman"/>
        <charset val="134"/>
      </rPr>
      <t xml:space="preserve">Insect Plague </t>
    </r>
  </si>
  <si>
    <r>
      <rPr>
        <sz val="10"/>
        <color theme="1"/>
        <rFont val="宋体"/>
        <charset val="134"/>
      </rPr>
      <t>颅获新生</t>
    </r>
  </si>
  <si>
    <r>
      <rPr>
        <sz val="10"/>
        <color theme="1"/>
        <rFont val="宋体"/>
        <charset val="134"/>
      </rPr>
      <t xml:space="preserve">你赋予一个人形生物尸体的脑袋新的生命，现在它为你的研究而服务。你可以将这个脑袋当作施法法器使用。这个脑袋会说通用语和另一种你所选的语言。
</t>
    </r>
    <r>
      <rPr>
        <sz val="10"/>
        <color theme="1"/>
        <rFont val="Times New Roman"/>
        <charset val="134"/>
      </rPr>
      <t xml:space="preserve">    </t>
    </r>
    <r>
      <rPr>
        <sz val="10"/>
        <color theme="1"/>
        <rFont val="宋体"/>
        <charset val="134"/>
      </rPr>
      <t>当你进行一次有熟练加值附加的智力属性检定时，你可以将</t>
    </r>
    <r>
      <rPr>
        <sz val="10"/>
        <color theme="1"/>
        <rFont val="Times New Roman"/>
        <charset val="134"/>
      </rPr>
      <t>d20</t>
    </r>
    <r>
      <rPr>
        <sz val="10"/>
        <color theme="1"/>
        <rFont val="宋体"/>
        <charset val="134"/>
      </rPr>
      <t>得到的</t>
    </r>
    <r>
      <rPr>
        <sz val="10"/>
        <color theme="1"/>
        <rFont val="Times New Roman"/>
        <charset val="134"/>
      </rPr>
      <t>9</t>
    </r>
    <r>
      <rPr>
        <sz val="10"/>
        <color theme="1"/>
        <rFont val="宋体"/>
        <charset val="134"/>
      </rPr>
      <t>或更低的出目视作</t>
    </r>
    <r>
      <rPr>
        <sz val="10"/>
        <color theme="1"/>
        <rFont val="Times New Roman"/>
        <charset val="134"/>
      </rPr>
      <t>10</t>
    </r>
    <r>
      <rPr>
        <sz val="10"/>
        <color theme="1"/>
        <rFont val="宋体"/>
        <charset val="134"/>
      </rPr>
      <t xml:space="preserve">。除此之外，你获得奥秘和调查技能的熟练项。
</t>
    </r>
    <r>
      <rPr>
        <sz val="10"/>
        <color theme="1"/>
        <rFont val="Times New Roman"/>
        <charset val="134"/>
      </rPr>
      <t xml:space="preserve">    </t>
    </r>
    <r>
      <rPr>
        <sz val="10"/>
        <color theme="1"/>
        <rFont val="宋体"/>
        <charset val="134"/>
      </rPr>
      <t>你可以使用这个脑袋施展法术死者交谈</t>
    </r>
    <r>
      <rPr>
        <sz val="10"/>
        <color theme="1"/>
        <rFont val="Times New Roman"/>
        <charset val="134"/>
      </rPr>
      <t xml:space="preserve">Speak with Dead </t>
    </r>
    <r>
      <rPr>
        <sz val="10"/>
        <color theme="1"/>
        <rFont val="宋体"/>
        <charset val="134"/>
      </rPr>
      <t>而无需消耗法术位。一旦你使用了该特性，你不能再次使用它，直到你完成了一次短休或长休。</t>
    </r>
  </si>
  <si>
    <t>钴魂宗</t>
  </si>
  <si>
    <t>应激催化</t>
  </si>
  <si>
    <r>
      <rPr>
        <sz val="10"/>
        <color theme="1"/>
        <rFont val="宋体"/>
        <charset val="134"/>
      </rPr>
      <t>你的植入物现在会对你的危险应激反应十分敏感，并会向你体内注入刺激性化学物质。当你受到伤害，或当你陷入目盲、耳聋、中毒或震慑状态时，你可以使用反应在该伤害或状态生效前进入狂暴。当你进入狂暴时，你身上的任何这些状态（包括任何触发状态）都会终止。</t>
    </r>
    <r>
      <rPr>
        <sz val="10"/>
        <color theme="1"/>
        <rFont val="Times New Roman"/>
        <charset val="134"/>
      </rPr>
      <t xml:space="preserve">
</t>
    </r>
    <r>
      <rPr>
        <sz val="10"/>
        <color theme="1"/>
        <rFont val="宋体"/>
        <charset val="134"/>
      </rPr>
      <t>此外，在你的狂暴激活期间，你在体质豁免中具有优势。</t>
    </r>
  </si>
  <si>
    <t>反射闪避教程</t>
  </si>
  <si>
    <r>
      <rPr>
        <sz val="10"/>
        <color theme="1"/>
        <rFont val="微软雅黑"/>
        <charset val="134"/>
      </rPr>
      <t>一名狡猾的游荡者曾经给予了你一些关于闪躲与避险的指导。当你或你周围</t>
    </r>
    <r>
      <rPr>
        <sz val="10"/>
        <color theme="1"/>
        <rFont val="Times New Roman"/>
        <charset val="134"/>
      </rPr>
      <t>60</t>
    </r>
    <r>
      <rPr>
        <sz val="10"/>
        <color theme="1"/>
        <rFont val="微软雅黑"/>
        <charset val="134"/>
      </rPr>
      <t>尺范围内的一个盟友进行一次敏捷豁免时，你可以消耗一次诗人激励的使用次数，投掷你的诗人激励骰，并将骰值加入到那次豁免检定上。盟友必须可以听见你或看见你才能受益于此特性。</t>
    </r>
    <r>
      <rPr>
        <sz val="10"/>
        <color theme="1"/>
        <rFont val="Times New Roman"/>
        <charset val="134"/>
      </rPr>
      <t xml:space="preserve">
</t>
    </r>
    <r>
      <rPr>
        <sz val="10"/>
        <color theme="1"/>
        <rFont val="微软雅黑"/>
        <charset val="134"/>
      </rPr>
      <t>达到第</t>
    </r>
    <r>
      <rPr>
        <sz val="10"/>
        <color theme="1"/>
        <rFont val="Times New Roman"/>
        <charset val="134"/>
      </rPr>
      <t>6</t>
    </r>
    <r>
      <rPr>
        <sz val="10"/>
        <color theme="1"/>
        <rFont val="微软雅黑"/>
        <charset val="134"/>
      </rPr>
      <t>级之后，豁免成功时，如果此次豁免的效应是一次“豁免成功只受到半数伤害”的效应，那么技艺目标豁免成功将不受任何伤害。</t>
    </r>
    <r>
      <rPr>
        <sz val="10"/>
        <color theme="1"/>
        <rFont val="Times New Roman"/>
        <charset val="134"/>
      </rPr>
      <t xml:space="preserve">
</t>
    </r>
    <r>
      <rPr>
        <sz val="10"/>
        <color theme="1"/>
        <rFont val="微软雅黑"/>
        <charset val="134"/>
      </rPr>
      <t>达到第</t>
    </r>
    <r>
      <rPr>
        <sz val="10"/>
        <color theme="1"/>
        <rFont val="Times New Roman"/>
        <charset val="134"/>
      </rPr>
      <t>14</t>
    </r>
    <r>
      <rPr>
        <sz val="10"/>
        <color theme="1"/>
        <rFont val="微软雅黑"/>
        <charset val="134"/>
      </rPr>
      <t>级之后，即使技艺目标的豁免失败，它所受的伤害也会减半。</t>
    </r>
  </si>
  <si>
    <t>审判领域法术</t>
  </si>
  <si>
    <r>
      <rPr>
        <sz val="10"/>
        <color theme="1"/>
        <rFont val="宋体"/>
        <charset val="134"/>
      </rPr>
      <t>牧师等级</t>
    </r>
    <r>
      <rPr>
        <sz val="10"/>
        <color theme="1"/>
        <rFont val="Times New Roman"/>
        <charset val="134"/>
      </rPr>
      <t xml:space="preserve"> </t>
    </r>
    <r>
      <rPr>
        <sz val="10"/>
        <color theme="1"/>
        <rFont val="宋体"/>
        <charset val="134"/>
      </rPr>
      <t>法术</t>
    </r>
    <r>
      <rPr>
        <sz val="10"/>
        <color theme="1"/>
        <rFont val="Times New Roman"/>
        <charset val="134"/>
      </rPr>
      <t xml:space="preserve"> 
1st  </t>
    </r>
    <r>
      <rPr>
        <sz val="10"/>
        <color theme="1"/>
        <rFont val="宋体"/>
        <charset val="134"/>
      </rPr>
      <t>侦测魔法</t>
    </r>
    <r>
      <rPr>
        <sz val="10"/>
        <color theme="1"/>
        <rFont val="Times New Roman"/>
        <charset val="134"/>
      </rPr>
      <t>Detect Magic</t>
    </r>
    <r>
      <rPr>
        <sz val="10"/>
        <color theme="1"/>
        <rFont val="宋体"/>
        <charset val="134"/>
      </rPr>
      <t>，鉴定术</t>
    </r>
    <r>
      <rPr>
        <sz val="10"/>
        <color theme="1"/>
        <rFont val="Times New Roman"/>
        <charset val="134"/>
      </rPr>
      <t xml:space="preserve">Identify  
3rd </t>
    </r>
    <r>
      <rPr>
        <sz val="10"/>
        <color theme="1"/>
        <rFont val="宋体"/>
        <charset val="134"/>
      </rPr>
      <t>识破隐形</t>
    </r>
    <r>
      <rPr>
        <sz val="10"/>
        <color theme="1"/>
        <rFont val="Times New Roman"/>
        <charset val="134"/>
      </rPr>
      <t>See Invisibility</t>
    </r>
    <r>
      <rPr>
        <sz val="10"/>
        <color theme="1"/>
        <rFont val="宋体"/>
        <charset val="134"/>
      </rPr>
      <t>，沉默术</t>
    </r>
    <r>
      <rPr>
        <sz val="10"/>
        <color theme="1"/>
        <rFont val="Times New Roman"/>
        <charset val="134"/>
      </rPr>
      <t xml:space="preserve">Silence  
5th </t>
    </r>
    <r>
      <rPr>
        <sz val="10"/>
        <color theme="1"/>
        <rFont val="宋体"/>
        <charset val="134"/>
      </rPr>
      <t>解除魔法</t>
    </r>
    <r>
      <rPr>
        <sz val="10"/>
        <color theme="1"/>
        <rFont val="Times New Roman"/>
        <charset val="134"/>
      </rPr>
      <t>Dispel Magic</t>
    </r>
    <r>
      <rPr>
        <sz val="10"/>
        <color theme="1"/>
        <rFont val="宋体"/>
        <charset val="134"/>
      </rPr>
      <t>，移除诅咒</t>
    </r>
    <r>
      <rPr>
        <sz val="10"/>
        <color theme="1"/>
        <rFont val="Times New Roman"/>
        <charset val="134"/>
      </rPr>
      <t xml:space="preserve">Remove Curse  
7th </t>
    </r>
    <r>
      <rPr>
        <sz val="10"/>
        <color theme="1"/>
        <rFont val="宋体"/>
        <charset val="134"/>
      </rPr>
      <t>秘法眼</t>
    </r>
    <r>
      <rPr>
        <sz val="10"/>
        <color theme="1"/>
        <rFont val="Times New Roman"/>
        <charset val="134"/>
      </rPr>
      <t>Arcane Eye</t>
    </r>
    <r>
      <rPr>
        <sz val="10"/>
        <color theme="1"/>
        <rFont val="宋体"/>
        <charset val="134"/>
      </rPr>
      <t>，生物定位术</t>
    </r>
    <r>
      <rPr>
        <sz val="10"/>
        <color theme="1"/>
        <rFont val="Times New Roman"/>
        <charset val="134"/>
      </rPr>
      <t xml:space="preserve">Locate Creature  
9th </t>
    </r>
    <r>
      <rPr>
        <sz val="10"/>
        <color theme="1"/>
        <rFont val="宋体"/>
        <charset val="134"/>
      </rPr>
      <t>造物术</t>
    </r>
    <r>
      <rPr>
        <sz val="10"/>
        <color theme="1"/>
        <rFont val="Times New Roman"/>
        <charset val="134"/>
      </rPr>
      <t>Creation</t>
    </r>
    <r>
      <rPr>
        <sz val="10"/>
        <color theme="1"/>
        <rFont val="宋体"/>
        <charset val="134"/>
      </rPr>
      <t>，圣居</t>
    </r>
    <r>
      <rPr>
        <sz val="10"/>
        <color theme="1"/>
        <rFont val="Times New Roman"/>
        <charset val="134"/>
      </rPr>
      <t xml:space="preserve">Hallow </t>
    </r>
  </si>
  <si>
    <t>平静光环</t>
  </si>
  <si>
    <r>
      <rPr>
        <sz val="10"/>
        <color theme="1"/>
        <rFont val="宋体"/>
        <charset val="134"/>
      </rPr>
      <t>你会散发出令人舒缓的自然魔法光环。每当你</t>
    </r>
    <r>
      <rPr>
        <sz val="10"/>
        <color theme="1"/>
        <rFont val="Times New Roman"/>
        <charset val="134"/>
      </rPr>
      <t>10</t>
    </r>
    <r>
      <rPr>
        <sz val="10"/>
        <color theme="1"/>
        <rFont val="宋体"/>
        <charset val="134"/>
      </rPr>
      <t>尺内的友好生物受到法术的治疗时，该法术会额外恢复等于你的德鲁伊等级一半的生命值。此外，此光环内的非生物植物都会生长的茂盛且丰富，并恢复全部活力。光环内的植物对冒险者来说是安全的，光环可以抵消植物导致的困难地形，包括纠缠术</t>
    </r>
    <r>
      <rPr>
        <sz val="10"/>
        <color theme="1"/>
        <rFont val="Times New Roman"/>
        <charset val="134"/>
      </rPr>
      <t>Entangle</t>
    </r>
    <r>
      <rPr>
        <sz val="10"/>
        <color theme="1"/>
        <rFont val="宋体"/>
        <charset val="134"/>
      </rPr>
      <t>或荆棘丛生</t>
    </r>
    <r>
      <rPr>
        <sz val="10"/>
        <color theme="1"/>
        <rFont val="Times New Roman"/>
        <charset val="134"/>
      </rPr>
      <t>Spike Growth</t>
    </r>
    <r>
      <rPr>
        <sz val="10"/>
        <color theme="1"/>
        <rFont val="宋体"/>
        <charset val="134"/>
      </rPr>
      <t>等魔法效应，且为抵抗该法术的有害效应所进行的豁免检定具有优势。</t>
    </r>
  </si>
  <si>
    <r>
      <rPr>
        <sz val="10"/>
        <color theme="1"/>
        <rFont val="宋体"/>
        <charset val="134"/>
      </rPr>
      <t>风暴符文</t>
    </r>
  </si>
  <si>
    <r>
      <rPr>
        <sz val="10"/>
        <color theme="1"/>
        <rFont val="宋体"/>
        <charset val="134"/>
      </rPr>
      <t>通过使用该</t>
    </r>
    <r>
      <rPr>
        <sz val="10"/>
        <color theme="1"/>
        <rFont val="Times New Roman"/>
        <charset val="134"/>
      </rPr>
      <t>7</t>
    </r>
    <r>
      <rPr>
        <sz val="10"/>
        <color theme="1"/>
        <rFont val="宋体"/>
        <charset val="134"/>
      </rPr>
      <t>级符文，你可以像一个风暴巨人预言者一样瞥见未来。
当你穿着或持有一个铭刻此符文的物品，你在智力（奥秘知识）检定上获得优势，且你不会被突袭只要你没有进入失能状态。
此外，你可以使用一个附赠动作对该符文激活来进入先知形态，时间为</t>
    </r>
    <r>
      <rPr>
        <sz val="10"/>
        <color theme="1"/>
        <rFont val="Times New Roman"/>
        <charset val="134"/>
      </rPr>
      <t>1</t>
    </r>
    <r>
      <rPr>
        <sz val="10"/>
        <color theme="1"/>
        <rFont val="宋体"/>
        <charset val="134"/>
      </rPr>
      <t>分钟或直到你失能。
在该形态结束之前，当你或另一个</t>
    </r>
    <r>
      <rPr>
        <sz val="10"/>
        <color theme="1"/>
        <rFont val="Times New Roman"/>
        <charset val="134"/>
      </rPr>
      <t>60</t>
    </r>
    <r>
      <rPr>
        <sz val="10"/>
        <color theme="1"/>
        <rFont val="宋体"/>
        <charset val="134"/>
      </rPr>
      <t>尺内且对你可见的生物进行一次攻击检定、一次豁免检定或一次能力检定，你可以使用一个反应动作使这次检定获得优势或劣势。
每当你激活该符文，你无法再次使用该异能直到你完成一次短休或长休。</t>
    </r>
  </si>
  <si>
    <t>灵活截击</t>
  </si>
  <si>
    <t>你的护卫天性在为附近的盟友巧妙偏转伤害的瞬间得到展现。当一个10尺内的友方生物被一次攻击命中时，你可消耗1点气并使用反应动作，使其所受伤害减少你的1个武艺骰+你的敏捷调整值。</t>
  </si>
  <si>
    <t>附赠熟练</t>
  </si>
  <si>
    <t>你获得奥秘技能的熟练。</t>
  </si>
  <si>
    <t>冰结恶灵</t>
  </si>
  <si>
    <r>
      <rPr>
        <sz val="10"/>
        <color theme="1"/>
        <rFont val="宋体"/>
        <charset val="134"/>
      </rPr>
      <t>当你施展猎人印记时，你还能化身为冰雪覆盖的幽灵形态。这一形态持续直至该法术结束为止。处于该形态下，你将获得以下这些增益。这一特性一经使用，直到你完成一次长休前你都无法再次使用它，除非你为此消耗一枚环阶</t>
    </r>
    <r>
      <rPr>
        <sz val="10"/>
        <color theme="1"/>
        <rFont val="Times New Roman"/>
        <charset val="134"/>
      </rPr>
      <t>4+</t>
    </r>
    <r>
      <rPr>
        <sz val="10"/>
        <color theme="1"/>
        <rFont val="宋体"/>
        <charset val="134"/>
      </rPr>
      <t>的法术位（无需动作）。</t>
    </r>
    <r>
      <rPr>
        <sz val="10"/>
        <color theme="1"/>
        <rFont val="Times New Roman"/>
        <charset val="134"/>
      </rPr>
      <t xml:space="preserve">
      </t>
    </r>
    <r>
      <rPr>
        <sz val="10"/>
        <color theme="1"/>
        <rFont val="宋体"/>
        <charset val="134"/>
      </rPr>
      <t>寒冰之魂</t>
    </r>
    <r>
      <rPr>
        <sz val="10"/>
        <color theme="1"/>
        <rFont val="Times New Roman"/>
        <charset val="134"/>
      </rPr>
      <t>Frozen Soul</t>
    </r>
    <r>
      <rPr>
        <sz val="10"/>
        <color theme="1"/>
        <rFont val="宋体"/>
        <charset val="134"/>
      </rPr>
      <t>。你免疫寒冷伤害。在你化身为幽灵形态时（以及在此形态的后续每个回合开始时），以你自身为源点，</t>
    </r>
    <r>
      <rPr>
        <sz val="10"/>
        <color theme="1"/>
        <rFont val="Times New Roman"/>
        <charset val="134"/>
      </rPr>
      <t>15</t>
    </r>
    <r>
      <rPr>
        <sz val="10"/>
        <color theme="1"/>
        <rFont val="宋体"/>
        <charset val="134"/>
      </rPr>
      <t>尺光环范围内的每名由你选择的生物都将受到</t>
    </r>
    <r>
      <rPr>
        <sz val="10"/>
        <color theme="1"/>
        <rFont val="Times New Roman"/>
        <charset val="134"/>
      </rPr>
      <t>2d4</t>
    </r>
    <r>
      <rPr>
        <sz val="10"/>
        <color theme="1"/>
        <rFont val="宋体"/>
        <charset val="134"/>
      </rPr>
      <t>点寒冷伤害。</t>
    </r>
    <r>
      <rPr>
        <sz val="10"/>
        <color theme="1"/>
        <rFont val="Times New Roman"/>
        <charset val="134"/>
      </rPr>
      <t xml:space="preserve">
      </t>
    </r>
    <r>
      <rPr>
        <sz val="10"/>
        <color theme="1"/>
        <rFont val="宋体"/>
        <charset val="134"/>
      </rPr>
      <t>有限虚体</t>
    </r>
    <r>
      <rPr>
        <sz val="10"/>
        <color theme="1"/>
        <rFont val="Times New Roman"/>
        <charset val="134"/>
      </rPr>
      <t>Partially Incorporeal</t>
    </r>
    <r>
      <rPr>
        <sz val="10"/>
        <color theme="1"/>
        <rFont val="宋体"/>
        <charset val="134"/>
      </rPr>
      <t>。你免疫于擒抱、倒地、束缚状态。你可以如同穿过困难地形般穿过生物与物件，但如果你在一名生物或一个物件内停下，你将受到</t>
    </r>
    <r>
      <rPr>
        <sz val="10"/>
        <color theme="1"/>
        <rFont val="Times New Roman"/>
        <charset val="134"/>
      </rPr>
      <t>1d10</t>
    </r>
    <r>
      <rPr>
        <sz val="10"/>
        <color theme="1"/>
        <rFont val="宋体"/>
        <charset val="134"/>
      </rPr>
      <t>点力场伤害。如果这一形态结束时你身处一名生物或一个物件内，你将被弹出到最近的未占据空间中。</t>
    </r>
  </si>
  <si>
    <t>蜡灵</t>
  </si>
  <si>
    <t>通过穿越帷幕触及灵界，你可暂时性地获取一只次级灵界生物，将其禁锢于蜡烛中，并赋予蜡烛智能。你可以以一个动作消耗2点烛芯点召唤蜡灵，你施展寻获魔宠Find Familiar 法术并作如下调整：
你将生命力注入一根蜡烛中并令其长出附肢和眼睛，以取代一只动物魔宠。
你的蜡艺魔宠使用鼠Rat的属性数值。
你可以命令魔宠使用其动作来触碰一个未穿戴或携带的可燃物件并点燃它。
魔宠会散发出5尺光环范围的明亮光照以及额外10尺微光光照。
你无法暂时解散这只魔宠。
该魔宠会在1小时后或当其降至0点生命值时被永久解除。
你可以同时拥有超过1只的此类魔宠。</t>
  </si>
  <si>
    <t>飞沙形态</t>
  </si>
  <si>
    <r>
      <rPr>
        <sz val="10"/>
        <color theme="1"/>
        <rFont val="宋体"/>
        <charset val="134"/>
      </rPr>
      <t>你能够化身为沙尘般虚无的形态。你可以使用一个附赠动作并消耗</t>
    </r>
    <r>
      <rPr>
        <sz val="10"/>
        <color theme="1"/>
        <rFont val="Times New Roman"/>
        <charset val="134"/>
      </rPr>
      <t>5</t>
    </r>
    <r>
      <rPr>
        <sz val="10"/>
        <color theme="1"/>
        <rFont val="宋体"/>
        <charset val="134"/>
      </rPr>
      <t>点术法点，将自己魔法性地转化为沙状形态。在此形态下，你获得以下增益：
你不会被擒抱。
你和你穿戴或携带的所有装备可以通过窄至</t>
    </r>
    <r>
      <rPr>
        <sz val="10"/>
        <color theme="1"/>
        <rFont val="Times New Roman"/>
        <charset val="134"/>
      </rPr>
      <t>1</t>
    </r>
    <r>
      <rPr>
        <sz val="10"/>
        <color theme="1"/>
        <rFont val="宋体"/>
        <charset val="134"/>
      </rPr>
      <t>英寸的空间而不受挤压。
你可以穿过任何生物所占据的空间，无论其体型大小，且困难地形不会消耗你额外的移动力。
此外，当一个你能看见的攻击者命中你时，你可以使用反应化为散沙。直到该回合结束，你对所有伤害都具有抗性，包括触发此效果的攻击造成的伤害。
此形态持续</t>
    </r>
    <r>
      <rPr>
        <sz val="10"/>
        <color theme="1"/>
        <rFont val="Times New Roman"/>
        <charset val="134"/>
      </rPr>
      <t>1</t>
    </r>
    <r>
      <rPr>
        <sz val="10"/>
        <color theme="1"/>
        <rFont val="宋体"/>
        <charset val="134"/>
      </rPr>
      <t>分钟。若你陷入失能状态、死亡，或以一个附赠动作主动解除，则效果提前结束。</t>
    </r>
  </si>
  <si>
    <r>
      <rPr>
        <sz val="10"/>
        <color theme="1"/>
        <rFont val="宋体"/>
        <charset val="134"/>
      </rPr>
      <t>元素赐福</t>
    </r>
  </si>
  <si>
    <r>
      <rPr>
        <sz val="10"/>
        <color theme="1"/>
        <rFont val="宋体"/>
        <charset val="134"/>
      </rPr>
      <t>你逐渐显露出你的巨灵宗主的特质。
你对由你的宗主类型决定的一种伤害类型具有抗性：钝击（土巨灵），雷鸣（气巨灵），火焰（火巨灵），冷冻（水巨灵）。</t>
    </r>
    <r>
      <rPr>
        <sz val="10"/>
        <color theme="1"/>
        <rFont val="Times New Roman"/>
        <charset val="134"/>
      </rPr>
      <t xml:space="preserve"> 
</t>
    </r>
    <r>
      <rPr>
        <sz val="10"/>
        <color theme="1"/>
        <rFont val="宋体"/>
        <charset val="134"/>
      </rPr>
      <t>同时，以一个附赠动作，你可以获得一个持续</t>
    </r>
    <r>
      <rPr>
        <sz val="10"/>
        <color theme="1"/>
        <rFont val="Times New Roman"/>
        <charset val="134"/>
      </rPr>
      <t>10</t>
    </r>
    <r>
      <rPr>
        <sz val="10"/>
        <color theme="1"/>
        <rFont val="宋体"/>
        <charset val="134"/>
      </rPr>
      <t>分钟的</t>
    </r>
    <r>
      <rPr>
        <sz val="10"/>
        <color theme="1"/>
        <rFont val="Times New Roman"/>
        <charset val="134"/>
      </rPr>
      <t>30</t>
    </r>
    <r>
      <rPr>
        <sz val="10"/>
        <color theme="1"/>
        <rFont val="宋体"/>
        <charset val="134"/>
      </rPr>
      <t>尺飞行速度，并且在飞行时你可以悬浮。
你可以使用此附赠动作的次数等同于你的熟练加值，并在完成一次长休后恢复所有使用次数。</t>
    </r>
  </si>
  <si>
    <t>大地丝弦</t>
  </si>
  <si>
    <r>
      <rPr>
        <sz val="10"/>
        <color theme="1"/>
        <rFont val="宋体"/>
        <charset val="134"/>
      </rPr>
      <t>你学习如何从地脉中引导能量来补充你的法术，为他们注入力量。当你处于与你调谐的地脉类型相匹配的环境中时，你可以使你施展的地脉法术获得下列增益之一（在你施展法术时选择）：
该法术进行的攻击检定获得</t>
    </r>
    <r>
      <rPr>
        <sz val="10"/>
        <color theme="1"/>
        <rFont val="Times New Roman"/>
        <charset val="134"/>
      </rPr>
      <t>+2</t>
    </r>
    <r>
      <rPr>
        <sz val="10"/>
        <color theme="1"/>
        <rFont val="宋体"/>
        <charset val="134"/>
      </rPr>
      <t>加值。
该法术的法术豁免</t>
    </r>
    <r>
      <rPr>
        <sz val="10"/>
        <color theme="1"/>
        <rFont val="Times New Roman"/>
        <charset val="134"/>
      </rPr>
      <t>DC</t>
    </r>
    <r>
      <rPr>
        <sz val="10"/>
        <color theme="1"/>
        <rFont val="宋体"/>
        <charset val="134"/>
      </rPr>
      <t>获得</t>
    </r>
    <r>
      <rPr>
        <sz val="10"/>
        <color theme="1"/>
        <rFont val="Times New Roman"/>
        <charset val="134"/>
      </rPr>
      <t>+1</t>
    </r>
    <r>
      <rPr>
        <sz val="10"/>
        <color theme="1"/>
        <rFont val="宋体"/>
        <charset val="134"/>
      </rPr>
      <t>加值。
你为维持该法术的专注所进行的体质豁免具有优势，且你能为该法术在两倍于其正常的持续时间内维持专注。
第</t>
    </r>
    <r>
      <rPr>
        <sz val="10"/>
        <color theme="1"/>
        <rFont val="Times New Roman"/>
        <charset val="134"/>
      </rPr>
      <t>14</t>
    </r>
    <r>
      <rPr>
        <sz val="10"/>
        <color theme="1"/>
        <rFont val="宋体"/>
        <charset val="134"/>
      </rPr>
      <t>级起，你可以在六环或更高环阶的法术中应用这些增益，只要你所处的环境类型与你调谐的地脉类型相匹配。一旦你使用了此特性，直到你完成一次长休前你都无法再次使用。</t>
    </r>
  </si>
  <si>
    <r>
      <rPr>
        <sz val="10"/>
        <color theme="1"/>
        <rFont val="宋体"/>
        <charset val="134"/>
      </rPr>
      <t>看这儿，我创造的生物啊</t>
    </r>
  </si>
  <si>
    <r>
      <rPr>
        <sz val="10"/>
        <color theme="1"/>
        <rFont val="宋体"/>
        <charset val="134"/>
      </rPr>
      <t>你的尸锻生物的体型变为大型，并且它的移动速度提升至</t>
    </r>
    <r>
      <rPr>
        <sz val="10"/>
        <color theme="1"/>
        <rFont val="Times New Roman"/>
        <charset val="134"/>
      </rPr>
      <t>40</t>
    </r>
    <r>
      <rPr>
        <sz val="10"/>
        <color theme="1"/>
        <rFont val="宋体"/>
        <charset val="134"/>
      </rPr>
      <t xml:space="preserve">尺。
</t>
    </r>
    <r>
      <rPr>
        <sz val="10"/>
        <color theme="1"/>
        <rFont val="Times New Roman"/>
        <charset val="134"/>
      </rPr>
      <t xml:space="preserve">    </t>
    </r>
    <r>
      <rPr>
        <sz val="10"/>
        <color theme="1"/>
        <rFont val="宋体"/>
        <charset val="134"/>
      </rPr>
      <t>当你的尸锻生物进行一次近战攻击并命中时，它可以立即尝试擒抱目标。挣脱擒抱的</t>
    </r>
    <r>
      <rPr>
        <sz val="10"/>
        <color theme="1"/>
        <rFont val="Times New Roman"/>
        <charset val="134"/>
      </rPr>
      <t>DC</t>
    </r>
    <r>
      <rPr>
        <sz val="10"/>
        <color theme="1"/>
        <rFont val="宋体"/>
        <charset val="134"/>
      </rPr>
      <t>为</t>
    </r>
    <r>
      <rPr>
        <sz val="10"/>
        <color theme="1"/>
        <rFont val="Times New Roman"/>
        <charset val="134"/>
      </rPr>
      <t>8+</t>
    </r>
    <r>
      <rPr>
        <sz val="10"/>
        <color theme="1"/>
        <rFont val="宋体"/>
        <charset val="134"/>
      </rPr>
      <t>尸锻生物的力量调整值（</t>
    </r>
    <r>
      <rPr>
        <sz val="10"/>
        <color theme="1"/>
        <rFont val="Times New Roman"/>
        <charset val="134"/>
      </rPr>
      <t>+4</t>
    </r>
    <r>
      <rPr>
        <sz val="10"/>
        <color theme="1"/>
        <rFont val="宋体"/>
        <charset val="134"/>
      </rPr>
      <t>）</t>
    </r>
    <r>
      <rPr>
        <sz val="10"/>
        <color theme="1"/>
        <rFont val="Times New Roman"/>
        <charset val="134"/>
      </rPr>
      <t>+</t>
    </r>
    <r>
      <rPr>
        <sz val="10"/>
        <color theme="1"/>
        <rFont val="宋体"/>
        <charset val="134"/>
      </rPr>
      <t>你的熟练加值。</t>
    </r>
  </si>
  <si>
    <t>街霸武者</t>
  </si>
  <si>
    <t>生化融合</t>
  </si>
  <si>
    <r>
      <rPr>
        <sz val="10"/>
        <color theme="1"/>
        <rFont val="宋体"/>
        <charset val="134"/>
      </rPr>
      <t>你的身体聚集并整合了你多种血清的力量。当你激活不稳定血清特性时，你激活两个选项而不是一个。</t>
    </r>
    <r>
      <rPr>
        <sz val="10"/>
        <color theme="1"/>
        <rFont val="Times New Roman"/>
        <charset val="134"/>
      </rPr>
      <t xml:space="preserve">
</t>
    </r>
    <r>
      <rPr>
        <sz val="10"/>
        <color theme="1"/>
        <rFont val="宋体"/>
        <charset val="134"/>
      </rPr>
      <t>此外，在你的狂暴激活期间，当你周边</t>
    </r>
    <r>
      <rPr>
        <sz val="10"/>
        <color theme="1"/>
        <rFont val="Times New Roman"/>
        <charset val="134"/>
      </rPr>
      <t>5</t>
    </r>
    <r>
      <rPr>
        <sz val="10"/>
        <color theme="1"/>
        <rFont val="宋体"/>
        <charset val="134"/>
      </rPr>
      <t>尺范围内的一个生物以近战攻击伤害你时，其受到</t>
    </r>
    <r>
      <rPr>
        <sz val="10"/>
        <color theme="1"/>
        <rFont val="Times New Roman"/>
        <charset val="134"/>
      </rPr>
      <t>1d12</t>
    </r>
    <r>
      <rPr>
        <sz val="10"/>
        <color theme="1"/>
        <rFont val="宋体"/>
        <charset val="134"/>
      </rPr>
      <t>强酸伤害。一个生物每回合只能受到一次这种伤害。</t>
    </r>
  </si>
  <si>
    <t>武器运用教程</t>
  </si>
  <si>
    <r>
      <rPr>
        <sz val="10"/>
        <color theme="1"/>
        <rFont val="微软雅黑"/>
        <charset val="134"/>
      </rPr>
      <t>一名老练的战士教会了你如何利用一些简单的战斗姿态，使你更好运用你手中的武器。当你获得这一旅者技艺时，从以下</t>
    </r>
    <r>
      <rPr>
        <sz val="10"/>
        <color theme="1"/>
        <rFont val="Times New Roman"/>
        <charset val="134"/>
      </rPr>
      <t xml:space="preserve"> </t>
    </r>
    <r>
      <rPr>
        <sz val="10"/>
        <color theme="1"/>
        <rFont val="微软雅黑"/>
        <charset val="134"/>
      </rPr>
      <t>战斗风格</t>
    </r>
    <r>
      <rPr>
        <sz val="10"/>
        <color theme="1"/>
        <rFont val="Times New Roman"/>
        <charset val="134"/>
      </rPr>
      <t xml:space="preserve">Fighting Styles </t>
    </r>
    <r>
      <rPr>
        <sz val="10"/>
        <color theme="1"/>
        <rFont val="微软雅黑"/>
        <charset val="134"/>
      </rPr>
      <t>中选择一项：</t>
    </r>
    <r>
      <rPr>
        <sz val="10"/>
        <color theme="1"/>
        <rFont val="Times New Roman"/>
        <charset val="134"/>
      </rPr>
      <t xml:space="preserve">
· </t>
    </r>
    <r>
      <rPr>
        <sz val="10"/>
        <color theme="1"/>
        <rFont val="微软雅黑"/>
        <charset val="134"/>
      </rPr>
      <t>箭术</t>
    </r>
    <r>
      <rPr>
        <sz val="10"/>
        <color theme="1"/>
        <rFont val="Times New Roman"/>
        <charset val="134"/>
      </rPr>
      <t>Archery</t>
    </r>
    <r>
      <rPr>
        <sz val="10"/>
        <color theme="1"/>
        <rFont val="微软雅黑"/>
        <charset val="134"/>
      </rPr>
      <t>：你使用远程武器进行攻击检定时具有</t>
    </r>
    <r>
      <rPr>
        <sz val="10"/>
        <color theme="1"/>
        <rFont val="Times New Roman"/>
        <charset val="134"/>
      </rPr>
      <t>+2</t>
    </r>
    <r>
      <rPr>
        <sz val="10"/>
        <color theme="1"/>
        <rFont val="微软雅黑"/>
        <charset val="134"/>
      </rPr>
      <t>加值。</t>
    </r>
    <r>
      <rPr>
        <sz val="10"/>
        <color theme="1"/>
        <rFont val="Times New Roman"/>
        <charset val="134"/>
      </rPr>
      <t xml:space="preserve">
· </t>
    </r>
    <r>
      <rPr>
        <sz val="10"/>
        <color theme="1"/>
        <rFont val="微软雅黑"/>
        <charset val="134"/>
      </rPr>
      <t>对决</t>
    </r>
    <r>
      <rPr>
        <sz val="10"/>
        <color theme="1"/>
        <rFont val="Times New Roman"/>
        <charset val="134"/>
      </rPr>
      <t>Dueling</t>
    </r>
    <r>
      <rPr>
        <sz val="10"/>
        <color theme="1"/>
        <rFont val="微软雅黑"/>
        <charset val="134"/>
      </rPr>
      <t>：单手持用一把近战武器，且并未同时持用其他武器时，你使用该武器进行攻击的伤害掷骰获得</t>
    </r>
    <r>
      <rPr>
        <sz val="10"/>
        <color theme="1"/>
        <rFont val="Times New Roman"/>
        <charset val="134"/>
      </rPr>
      <t>+2</t>
    </r>
    <r>
      <rPr>
        <sz val="10"/>
        <color theme="1"/>
        <rFont val="微软雅黑"/>
        <charset val="134"/>
      </rPr>
      <t>加值。</t>
    </r>
    <r>
      <rPr>
        <sz val="10"/>
        <color theme="1"/>
        <rFont val="Times New Roman"/>
        <charset val="134"/>
      </rPr>
      <t xml:space="preserve">
· </t>
    </r>
    <r>
      <rPr>
        <sz val="10"/>
        <color theme="1"/>
        <rFont val="微软雅黑"/>
        <charset val="134"/>
      </rPr>
      <t>巨武器战斗</t>
    </r>
    <r>
      <rPr>
        <sz val="10"/>
        <color theme="1"/>
        <rFont val="Times New Roman"/>
        <charset val="134"/>
      </rPr>
      <t>Great Weapon Fighting</t>
    </r>
    <r>
      <rPr>
        <sz val="10"/>
        <color theme="1"/>
        <rFont val="微软雅黑"/>
        <charset val="134"/>
      </rPr>
      <t>：当你双手持用一把近战武器发动攻击时，如果你的伤害掷骰掷出</t>
    </r>
    <r>
      <rPr>
        <sz val="10"/>
        <color theme="1"/>
        <rFont val="Times New Roman"/>
        <charset val="134"/>
      </rPr>
      <t>1</t>
    </r>
    <r>
      <rPr>
        <sz val="10"/>
        <color theme="1"/>
        <rFont val="微软雅黑"/>
        <charset val="134"/>
      </rPr>
      <t>或</t>
    </r>
    <r>
      <rPr>
        <sz val="10"/>
        <color theme="1"/>
        <rFont val="Times New Roman"/>
        <charset val="134"/>
      </rPr>
      <t>2</t>
    </r>
    <r>
      <rPr>
        <sz val="10"/>
        <color theme="1"/>
        <rFont val="微软雅黑"/>
        <charset val="134"/>
      </rPr>
      <t>，则可以选择重掷。不过哪怕其仍是</t>
    </r>
    <r>
      <rPr>
        <sz val="10"/>
        <color theme="1"/>
        <rFont val="Times New Roman"/>
        <charset val="134"/>
      </rPr>
      <t>1</t>
    </r>
    <r>
      <rPr>
        <sz val="10"/>
        <color theme="1"/>
        <rFont val="微软雅黑"/>
        <charset val="134"/>
      </rPr>
      <t>或</t>
    </r>
    <r>
      <rPr>
        <sz val="10"/>
        <color theme="1"/>
        <rFont val="Times New Roman"/>
        <charset val="134"/>
      </rPr>
      <t>2</t>
    </r>
    <r>
      <rPr>
        <sz val="10"/>
        <color theme="1"/>
        <rFont val="微软雅黑"/>
        <charset val="134"/>
      </rPr>
      <t>，你都必须接受重掷的数值。此外，该武器必须具有双手或多用词条。</t>
    </r>
    <r>
      <rPr>
        <sz val="10"/>
        <color theme="1"/>
        <rFont val="Times New Roman"/>
        <charset val="134"/>
      </rPr>
      <t xml:space="preserve">
· </t>
    </r>
    <r>
      <rPr>
        <sz val="10"/>
        <color theme="1"/>
        <rFont val="微软雅黑"/>
        <charset val="134"/>
      </rPr>
      <t>双武器战斗</t>
    </r>
    <r>
      <rPr>
        <sz val="10"/>
        <color theme="1"/>
        <rFont val="Times New Roman"/>
        <charset val="134"/>
      </rPr>
      <t>Two-Weapon Fighting</t>
    </r>
    <r>
      <rPr>
        <sz val="10"/>
        <color theme="1"/>
        <rFont val="微软雅黑"/>
        <charset val="134"/>
      </rPr>
      <t>：使用双持武器战斗时，你可以将相应属性调整值加到第二次攻击的伤害上。</t>
    </r>
    <r>
      <rPr>
        <sz val="10"/>
        <color theme="1"/>
        <rFont val="Times New Roman"/>
        <charset val="134"/>
      </rPr>
      <t xml:space="preserve">
</t>
    </r>
    <r>
      <rPr>
        <sz val="10"/>
        <color theme="1"/>
        <rFont val="微软雅黑"/>
        <charset val="134"/>
      </rPr>
      <t>当你进行一次武器攻击时，你可以消耗一次诗人激励的使用次数，并将你的诗人激励骰加入到此次攻击的攻击检定或伤害掷骰中。此外，你还将获得前文你所选择的那一项战斗风格的增益，持续</t>
    </r>
    <r>
      <rPr>
        <sz val="10"/>
        <color theme="1"/>
        <rFont val="Times New Roman"/>
        <charset val="134"/>
      </rPr>
      <t>10</t>
    </r>
    <r>
      <rPr>
        <sz val="10"/>
        <color theme="1"/>
        <rFont val="微软雅黑"/>
        <charset val="134"/>
      </rPr>
      <t>分钟。</t>
    </r>
    <r>
      <rPr>
        <sz val="10"/>
        <color theme="1"/>
        <rFont val="Times New Roman"/>
        <charset val="134"/>
      </rPr>
      <t xml:space="preserve">
</t>
    </r>
    <r>
      <rPr>
        <sz val="10"/>
        <color theme="1"/>
        <rFont val="微软雅黑"/>
        <charset val="134"/>
      </rPr>
      <t>达到第</t>
    </r>
    <r>
      <rPr>
        <sz val="10"/>
        <color theme="1"/>
        <rFont val="Times New Roman"/>
        <charset val="134"/>
      </rPr>
      <t>6</t>
    </r>
    <r>
      <rPr>
        <sz val="10"/>
        <color theme="1"/>
        <rFont val="微软雅黑"/>
        <charset val="134"/>
      </rPr>
      <t>级之后，你学会了如何调整你的姿态发起连续的攻击，以此形成一串致命的连击。当你处于战斗风格增益期间，你在你的回合中执行</t>
    </r>
    <r>
      <rPr>
        <sz val="10"/>
        <color theme="1"/>
        <rFont val="Times New Roman"/>
        <charset val="134"/>
      </rPr>
      <t xml:space="preserve"> </t>
    </r>
    <r>
      <rPr>
        <sz val="10"/>
        <color theme="1"/>
        <rFont val="微软雅黑"/>
        <charset val="134"/>
      </rPr>
      <t>攻击</t>
    </r>
    <r>
      <rPr>
        <sz val="10"/>
        <color theme="1"/>
        <rFont val="Times New Roman"/>
        <charset val="134"/>
      </rPr>
      <t xml:space="preserve">Attack </t>
    </r>
    <r>
      <rPr>
        <sz val="10"/>
        <color theme="1"/>
        <rFont val="微软雅黑"/>
        <charset val="134"/>
      </rPr>
      <t>动作时可以发动两次攻击（而非原本的一次）。</t>
    </r>
    <r>
      <rPr>
        <sz val="10"/>
        <color theme="1"/>
        <rFont val="Times New Roman"/>
        <charset val="134"/>
      </rPr>
      <t xml:space="preserve">
</t>
    </r>
    <r>
      <rPr>
        <sz val="10"/>
        <color theme="1"/>
        <rFont val="微软雅黑"/>
        <charset val="134"/>
      </rPr>
      <t>达到第</t>
    </r>
    <r>
      <rPr>
        <sz val="10"/>
        <color theme="1"/>
        <rFont val="Times New Roman"/>
        <charset val="134"/>
      </rPr>
      <t>14</t>
    </r>
    <r>
      <rPr>
        <sz val="10"/>
        <color theme="1"/>
        <rFont val="微软雅黑"/>
        <charset val="134"/>
      </rPr>
      <t>级之后，你学会了如何利用战斗姿态掩盖自己的防御弱点。当你处于战斗风格增益期间，你的</t>
    </r>
    <r>
      <rPr>
        <sz val="10"/>
        <color theme="1"/>
        <rFont val="Times New Roman"/>
        <charset val="134"/>
      </rPr>
      <t>AC</t>
    </r>
    <r>
      <rPr>
        <sz val="10"/>
        <color theme="1"/>
        <rFont val="微软雅黑"/>
        <charset val="134"/>
      </rPr>
      <t>获得</t>
    </r>
    <r>
      <rPr>
        <sz val="10"/>
        <color theme="1"/>
        <rFont val="Times New Roman"/>
        <charset val="134"/>
      </rPr>
      <t>+1</t>
    </r>
    <r>
      <rPr>
        <sz val="10"/>
        <color theme="1"/>
        <rFont val="微软雅黑"/>
        <charset val="134"/>
      </rPr>
      <t>加值。</t>
    </r>
  </si>
  <si>
    <t>额外熟练</t>
  </si>
  <si>
    <t>你获得军用武器和重甲的熟练。</t>
  </si>
  <si>
    <t>庇护之绊</t>
  </si>
  <si>
    <r>
      <rPr>
        <sz val="10"/>
        <color theme="1"/>
        <rFont val="宋体"/>
        <charset val="134"/>
      </rPr>
      <t>你对自然平衡的贡献使你得到了好处，自然会保护你和你的盟友免受伤害。以一个动作，你可以创造一个半径</t>
    </r>
    <r>
      <rPr>
        <sz val="10"/>
        <color theme="1"/>
        <rFont val="Times New Roman"/>
        <charset val="134"/>
      </rPr>
      <t>30</t>
    </r>
    <r>
      <rPr>
        <sz val="10"/>
        <color theme="1"/>
        <rFont val="宋体"/>
        <charset val="134"/>
      </rPr>
      <t>尺，高</t>
    </r>
    <r>
      <rPr>
        <sz val="10"/>
        <color theme="1"/>
        <rFont val="Times New Roman"/>
        <charset val="134"/>
      </rPr>
      <t>20</t>
    </r>
    <r>
      <rPr>
        <sz val="10"/>
        <color theme="1"/>
        <rFont val="宋体"/>
        <charset val="134"/>
      </rPr>
      <t>尺的柱状区域保护能量，该柱状区域以你为中心且无法移动，持续</t>
    </r>
    <r>
      <rPr>
        <sz val="10"/>
        <color theme="1"/>
        <rFont val="Times New Roman"/>
        <charset val="134"/>
      </rPr>
      <t>1</t>
    </r>
    <r>
      <rPr>
        <sz val="10"/>
        <color theme="1"/>
        <rFont val="宋体"/>
        <charset val="134"/>
      </rPr>
      <t>小时。
只要你在物质位面或元素位面，柱状区域内部的自然元素，包括植物、树木、岩石和水（如果在元素位面，还包含了气，土，水或火）就会活化并保护你。如果你所处环境没有自然元素，那么植物、树木、岩石和其他自然元素就会在活化之前从地上生长出来。
当你使用此特性时，选择任意数量的你熟识（译注：原文如此）且可见的生物免疫该特性带来的效应。所有其他生物都会受到下列效应的影响：
除非生物成功通过对抗你法术豁免</t>
    </r>
    <r>
      <rPr>
        <sz val="10"/>
        <color theme="1"/>
        <rFont val="Times New Roman"/>
        <charset val="134"/>
      </rPr>
      <t>DC</t>
    </r>
    <r>
      <rPr>
        <sz val="10"/>
        <color theme="1"/>
        <rFont val="宋体"/>
        <charset val="134"/>
      </rPr>
      <t>的魅力豁免，否则其无法自愿进入柱状区域。柱状区域还会在持续时间内保护该区域不受位面旅行效应的影响，阻碍任何生物通过星光位面、以太位面、妖精荒野、堕影冥界或法术位面转移</t>
    </r>
    <r>
      <rPr>
        <sz val="10"/>
        <color theme="1"/>
        <rFont val="Times New Roman"/>
        <charset val="134"/>
      </rPr>
      <t>Plane Shift</t>
    </r>
    <r>
      <rPr>
        <sz val="10"/>
        <color theme="1"/>
        <rFont val="宋体"/>
        <charset val="134"/>
      </rPr>
      <t>进入该区域。
生物对柱状区域内的目标进行攻击检定时具有劣势
你选定的柱状区域内生物无法被柱状区域内外的生物魅惑、恐慌或附身。
当一名生物在回合内首次进入柱状区域或在柱状区域内开始其回合时，生物会因为柱体内部活跃的自然元素受到</t>
    </r>
    <r>
      <rPr>
        <sz val="10"/>
        <color theme="1"/>
        <rFont val="Times New Roman"/>
        <charset val="134"/>
      </rPr>
      <t>5d10</t>
    </r>
    <r>
      <rPr>
        <sz val="10"/>
        <color theme="1"/>
        <rFont val="宋体"/>
        <charset val="134"/>
      </rPr>
      <t>魔法钝击伤害。
一旦你使用了此特性，直到你完成一次长休前你都无法再次使用。</t>
    </r>
  </si>
  <si>
    <r>
      <rPr>
        <sz val="10"/>
        <color theme="1"/>
        <rFont val="宋体"/>
        <charset val="134"/>
      </rPr>
      <t>奇伟身躯</t>
    </r>
  </si>
  <si>
    <r>
      <rPr>
        <sz val="10"/>
        <color theme="1"/>
        <rFont val="宋体"/>
        <charset val="134"/>
      </rPr>
      <t>符文的魔力永久性的改变了你。
当你获得该特性时，投掷</t>
    </r>
    <r>
      <rPr>
        <sz val="10"/>
        <color theme="1"/>
        <rFont val="Times New Roman"/>
        <charset val="134"/>
      </rPr>
      <t>3d4</t>
    </r>
    <r>
      <rPr>
        <sz val="10"/>
        <color theme="1"/>
        <rFont val="宋体"/>
        <charset val="134"/>
      </rPr>
      <t>。
你的身高增加该骰结果的英寸数。
此外，你的巨人之力特性造成的额外伤害提高至</t>
    </r>
    <r>
      <rPr>
        <sz val="10"/>
        <color theme="1"/>
        <rFont val="Times New Roman"/>
        <charset val="134"/>
      </rPr>
      <t>1d8</t>
    </r>
    <r>
      <rPr>
        <sz val="10"/>
        <color theme="1"/>
        <rFont val="宋体"/>
        <charset val="134"/>
      </rPr>
      <t>。</t>
    </r>
  </si>
  <si>
    <t>腾风</t>
  </si>
  <si>
    <t>你已习得了一种可以让你随风滑翔的独特技术，就如同威风凛凛的绵龙一般。当你使用飞檐走壁时，你还会获得等于你步行速度的飞行速度。由此获得的飞行速度持续至你的回合结束。此外，当你使用飞檐走壁时，你视作同时执行了撤离和疾走动作。</t>
  </si>
  <si>
    <t>乱法灵光</t>
  </si>
  <si>
    <r>
      <rPr>
        <sz val="10"/>
        <color theme="1"/>
        <rFont val="宋体"/>
        <charset val="134"/>
      </rPr>
      <t>你身周环绕着对敌方施法者来说不稳定的奥术能量。每当敌对的生物位于你</t>
    </r>
    <r>
      <rPr>
        <sz val="10"/>
        <color theme="1"/>
        <rFont val="Times New Roman"/>
        <charset val="134"/>
      </rPr>
      <t>10</t>
    </r>
    <r>
      <rPr>
        <sz val="10"/>
        <color theme="1"/>
        <rFont val="宋体"/>
        <charset val="134"/>
      </rPr>
      <t>尺内结束回合时，若其专注于某个法术，其必须成功通过一次</t>
    </r>
    <r>
      <rPr>
        <sz val="10"/>
        <color theme="1"/>
        <rFont val="Times New Roman"/>
        <charset val="134"/>
      </rPr>
      <t>DC</t>
    </r>
    <r>
      <rPr>
        <sz val="10"/>
        <color theme="1"/>
        <rFont val="宋体"/>
        <charset val="134"/>
      </rPr>
      <t>为你圣武士施法</t>
    </r>
    <r>
      <rPr>
        <sz val="10"/>
        <color theme="1"/>
        <rFont val="Times New Roman"/>
        <charset val="134"/>
      </rPr>
      <t>DC</t>
    </r>
    <r>
      <rPr>
        <sz val="10"/>
        <color theme="1"/>
        <rFont val="宋体"/>
        <charset val="134"/>
      </rPr>
      <t>的体质豁免，否则其失去专注。
此外，你和位于你</t>
    </r>
    <r>
      <rPr>
        <sz val="10"/>
        <color theme="1"/>
        <rFont val="Times New Roman"/>
        <charset val="134"/>
      </rPr>
      <t>10</t>
    </r>
    <r>
      <rPr>
        <sz val="10"/>
        <color theme="1"/>
        <rFont val="宋体"/>
        <charset val="134"/>
      </rPr>
      <t>尺内的友好生物无法被魔法性的探知传感器感知到。
第</t>
    </r>
    <r>
      <rPr>
        <sz val="10"/>
        <color theme="1"/>
        <rFont val="Times New Roman"/>
        <charset val="134"/>
      </rPr>
      <t>18</t>
    </r>
    <r>
      <rPr>
        <sz val="10"/>
        <color theme="1"/>
        <rFont val="宋体"/>
        <charset val="134"/>
      </rPr>
      <t>级起，灵光的作用范围扩展至</t>
    </r>
    <r>
      <rPr>
        <sz val="10"/>
        <color theme="1"/>
        <rFont val="Times New Roman"/>
        <charset val="134"/>
      </rPr>
      <t>30</t>
    </r>
    <r>
      <rPr>
        <sz val="10"/>
        <color theme="1"/>
        <rFont val="宋体"/>
        <charset val="134"/>
      </rPr>
      <t>尺。</t>
    </r>
  </si>
  <si>
    <t>烛芯长鞭</t>
  </si>
  <si>
    <t>以一个附赠动作，你可以花费3点烛心点来点燃一根浸泡过龙蛙的胃酸、长10尺的烛芯。火焰产生的高温会扭曲其周围的空气，散发出15尺光环范围的明亮光照以及额外15尺微光光照。烛芯会燃烧1分钟，在此期间你可以将其作为一件你具有熟练的近战武器使用。它在单词命中时造成3d4火焰伤害（如常在伤害掷骰中加入你的属性调整值），且它具有灵巧，轻型和触及词条。</t>
  </si>
  <si>
    <t>光之诡计</t>
  </si>
  <si>
    <r>
      <rPr>
        <sz val="10"/>
        <color theme="1"/>
        <rFont val="宋体"/>
        <charset val="134"/>
      </rPr>
      <t>你可以在黑暗中正常视物，无论黑暗是魔法的还是非魔法的，距离为</t>
    </r>
    <r>
      <rPr>
        <sz val="10"/>
        <color theme="1"/>
        <rFont val="Times New Roman"/>
        <charset val="134"/>
      </rPr>
      <t>60</t>
    </r>
    <r>
      <rPr>
        <sz val="10"/>
        <color theme="1"/>
        <rFont val="宋体"/>
        <charset val="134"/>
      </rPr>
      <t>尺。</t>
    </r>
  </si>
  <si>
    <r>
      <rPr>
        <sz val="10"/>
        <color theme="1"/>
        <rFont val="宋体"/>
        <charset val="134"/>
      </rPr>
      <t>器皿庇护所</t>
    </r>
  </si>
  <si>
    <r>
      <rPr>
        <sz val="10"/>
        <color theme="1"/>
        <rFont val="宋体"/>
        <charset val="134"/>
      </rPr>
      <t>当你使用瓶中小憩特性进入你的巨灵器皿时，你可以选择</t>
    </r>
    <r>
      <rPr>
        <sz val="10"/>
        <color theme="1"/>
        <rFont val="Times New Roman"/>
        <charset val="134"/>
      </rPr>
      <t>30</t>
    </r>
    <r>
      <rPr>
        <sz val="10"/>
        <color theme="1"/>
        <rFont val="宋体"/>
        <charset val="134"/>
      </rPr>
      <t>尺内最多</t>
    </r>
    <r>
      <rPr>
        <sz val="10"/>
        <color theme="1"/>
        <rFont val="Times New Roman"/>
        <charset val="134"/>
      </rPr>
      <t>5</t>
    </r>
    <r>
      <rPr>
        <sz val="10"/>
        <color theme="1"/>
        <rFont val="宋体"/>
        <charset val="134"/>
      </rPr>
      <t>个可见自愿生物与你一同进入器皿。
以一个附赠动作，你可以将任意数目的生物从器皿中逐出，且如果你离开器皿或是其被摧毁，所有生物都将被逐出。
同时，在器皿中停留至少</t>
    </r>
    <r>
      <rPr>
        <sz val="10"/>
        <color theme="1"/>
        <rFont val="Times New Roman"/>
        <charset val="134"/>
      </rPr>
      <t>10</t>
    </r>
    <r>
      <rPr>
        <sz val="10"/>
        <color theme="1"/>
        <rFont val="宋体"/>
        <charset val="134"/>
      </rPr>
      <t>分钟的任何生物（包括你自己）可视为完成了一次短休，且使用生命骰恢复生命值时的恢复量可以加上你的熟练加值。</t>
    </r>
  </si>
  <si>
    <t>生理节律</t>
  </si>
  <si>
    <r>
      <rPr>
        <sz val="10"/>
        <color theme="1"/>
        <rFont val="宋体"/>
        <charset val="134"/>
      </rPr>
      <t>你学习如何引导地脉能量来增强你身体的自然愈合能力。只要你与一条地脉保持调谐，每当你使用奥术回想特性来恢复已消耗的法术位时，你每恢复一个法术位就会恢复</t>
    </r>
    <r>
      <rPr>
        <sz val="10"/>
        <color theme="1"/>
        <rFont val="Times New Roman"/>
        <charset val="134"/>
      </rPr>
      <t>1d8</t>
    </r>
    <r>
      <rPr>
        <sz val="10"/>
        <color theme="1"/>
        <rFont val="宋体"/>
        <charset val="134"/>
      </rPr>
      <t>生命值。
此外，当你在自然环境中完成短休时，你可以根据自然调谐特性描述的规则使自己与不同类型的地脉调谐。</t>
    </r>
  </si>
  <si>
    <r>
      <rPr>
        <sz val="10"/>
        <color theme="1"/>
        <rFont val="宋体"/>
        <charset val="134"/>
      </rPr>
      <t>狂暴之怒</t>
    </r>
  </si>
  <si>
    <r>
      <rPr>
        <sz val="10"/>
        <color theme="1"/>
        <rFont val="宋体"/>
        <charset val="134"/>
      </rPr>
      <t>当你指挥你的尸锻生物进行攻击动作时，该生物可以进行两次攻击。</t>
    </r>
  </si>
  <si>
    <t>绵龙牧者</t>
  </si>
  <si>
    <t>传承战技</t>
  </si>
  <si>
    <r>
      <rPr>
        <sz val="10"/>
        <color theme="1"/>
        <rFont val="宋体"/>
        <charset val="134"/>
      </rPr>
      <t>你已习得古传奇英雄的武技传承，如今能施展某些独特战技。施展战技需消耗对应战技点。</t>
    </r>
    <r>
      <rPr>
        <sz val="10"/>
        <color theme="1"/>
        <rFont val="Times New Roman"/>
        <charset val="134"/>
      </rPr>
      <t xml:space="preserve"> 
</t>
    </r>
    <r>
      <rPr>
        <sz val="10"/>
        <color theme="1"/>
        <rFont val="宋体"/>
        <charset val="134"/>
      </rPr>
      <t>你知晓三种自选战技，详见后文列表。你在第</t>
    </r>
    <r>
      <rPr>
        <sz val="10"/>
        <color theme="1"/>
        <rFont val="Times New Roman"/>
        <charset val="134"/>
      </rPr>
      <t>6</t>
    </r>
    <r>
      <rPr>
        <sz val="10"/>
        <color theme="1"/>
        <rFont val="宋体"/>
        <charset val="134"/>
      </rPr>
      <t>、第</t>
    </r>
    <r>
      <rPr>
        <sz val="10"/>
        <color theme="1"/>
        <rFont val="Times New Roman"/>
        <charset val="134"/>
      </rPr>
      <t>10</t>
    </r>
    <r>
      <rPr>
        <sz val="10"/>
        <color theme="1"/>
        <rFont val="宋体"/>
        <charset val="134"/>
      </rPr>
      <t>和第</t>
    </r>
    <r>
      <rPr>
        <sz val="10"/>
        <color theme="1"/>
        <rFont val="Times New Roman"/>
        <charset val="134"/>
      </rPr>
      <t>13</t>
    </r>
    <r>
      <rPr>
        <sz val="10"/>
        <color theme="1"/>
        <rFont val="宋体"/>
        <charset val="134"/>
      </rPr>
      <t>级时均习得一种额外的新战技。每当你习得新战技时，你还可以将一种已知战技替换为另一种你可学习的战技。</t>
    </r>
    <r>
      <rPr>
        <sz val="10"/>
        <color theme="1"/>
        <rFont val="Times New Roman"/>
        <charset val="134"/>
      </rPr>
      <t xml:space="preserve"> 
</t>
    </r>
    <r>
      <rPr>
        <sz val="10"/>
        <color theme="1"/>
        <rFont val="宋体"/>
        <charset val="134"/>
      </rPr>
      <t>战技点</t>
    </r>
    <r>
      <rPr>
        <sz val="10"/>
        <color theme="1"/>
        <rFont val="Times New Roman"/>
        <charset val="134"/>
      </rPr>
      <t>Maneuver Points</t>
    </r>
    <r>
      <rPr>
        <sz val="10"/>
        <color theme="1"/>
        <rFont val="宋体"/>
        <charset val="134"/>
      </rPr>
      <t>。召唤古传奇英雄之力绝非易事，你的战技点数量代表着你驾驭此道的能力极限。你的野蛮人职业等级决定你的战技点总数，具体数值请参照下方腐鸦道途表中的战技点栏。当你完成长休时，你重获所有已消耗的战技点。</t>
    </r>
    <r>
      <rPr>
        <sz val="10"/>
        <color theme="1"/>
        <rFont val="Times New Roman"/>
        <charset val="134"/>
      </rPr>
      <t xml:space="preserve"> 
</t>
    </r>
    <r>
      <rPr>
        <sz val="10"/>
        <color theme="1"/>
        <rFont val="宋体"/>
        <charset val="134"/>
      </rPr>
      <t>战技运用</t>
    </r>
    <r>
      <rPr>
        <sz val="10"/>
        <color theme="1"/>
        <rFont val="Times New Roman"/>
        <charset val="134"/>
      </rPr>
      <t>Using Maneuvers</t>
    </r>
    <r>
      <rPr>
        <sz val="10"/>
        <color theme="1"/>
        <rFont val="宋体"/>
        <charset val="134"/>
      </rPr>
      <t>。你每个回合可以使用一项战技。使用部分战技需维持专注（如同施法专注）或满足特定条件。部分战技会迫使目标进行豁免检定以抵抗其效应。</t>
    </r>
    <r>
      <rPr>
        <sz val="10"/>
        <color theme="1"/>
        <rFont val="Times New Roman"/>
        <charset val="134"/>
      </rPr>
      <t xml:space="preserve">
</t>
    </r>
    <r>
      <rPr>
        <sz val="10"/>
        <color theme="1"/>
        <rFont val="宋体"/>
        <charset val="134"/>
      </rPr>
      <t>传承战技豁免</t>
    </r>
    <r>
      <rPr>
        <sz val="10"/>
        <color theme="1"/>
        <rFont val="Times New Roman"/>
        <charset val="134"/>
      </rPr>
      <t xml:space="preserve">DC= 8 + </t>
    </r>
    <r>
      <rPr>
        <sz val="10"/>
        <color theme="1"/>
        <rFont val="宋体"/>
        <charset val="134"/>
      </rPr>
      <t>你的熟练加值</t>
    </r>
    <r>
      <rPr>
        <sz val="10"/>
        <color theme="1"/>
        <rFont val="Times New Roman"/>
        <charset val="134"/>
      </rPr>
      <t xml:space="preserve"> + </t>
    </r>
    <r>
      <rPr>
        <sz val="10"/>
        <color theme="1"/>
        <rFont val="宋体"/>
        <charset val="134"/>
      </rPr>
      <t>你的体质调整值</t>
    </r>
    <r>
      <rPr>
        <sz val="10"/>
        <color theme="1"/>
        <rFont val="Times New Roman"/>
        <charset val="134"/>
      </rPr>
      <t xml:space="preserve">
</t>
    </r>
    <r>
      <rPr>
        <sz val="10"/>
        <color theme="1"/>
        <rFont val="宋体"/>
        <charset val="134"/>
      </rPr>
      <t>腐鸦道途</t>
    </r>
    <r>
      <rPr>
        <sz val="10"/>
        <color theme="1"/>
        <rFont val="Times New Roman"/>
        <charset val="134"/>
      </rPr>
      <t xml:space="preserve">Path of the Carrion Raven </t>
    </r>
    <r>
      <rPr>
        <sz val="10"/>
        <color theme="1"/>
        <rFont val="宋体"/>
        <charset val="134"/>
      </rPr>
      <t>野蛮人等级</t>
    </r>
    <r>
      <rPr>
        <sz val="10"/>
        <color theme="1"/>
        <rFont val="Times New Roman"/>
        <charset val="134"/>
      </rPr>
      <t xml:space="preserve"> </t>
    </r>
    <r>
      <rPr>
        <sz val="10"/>
        <color theme="1"/>
        <rFont val="宋体"/>
        <charset val="134"/>
      </rPr>
      <t>战技点</t>
    </r>
    <r>
      <rPr>
        <sz val="10"/>
        <color theme="1"/>
        <rFont val="Times New Roman"/>
        <charset val="134"/>
      </rPr>
      <t xml:space="preserve"> </t>
    </r>
    <r>
      <rPr>
        <sz val="10"/>
        <color theme="1"/>
        <rFont val="宋体"/>
        <charset val="134"/>
      </rPr>
      <t>已知战技</t>
    </r>
    <r>
      <rPr>
        <sz val="10"/>
        <color theme="1"/>
        <rFont val="Times New Roman"/>
        <charset val="134"/>
      </rPr>
      <t xml:space="preserve"> 
3</t>
    </r>
    <r>
      <rPr>
        <sz val="10"/>
        <color theme="1"/>
        <rFont val="宋体"/>
        <charset val="134"/>
      </rPr>
      <t>级</t>
    </r>
    <r>
      <rPr>
        <sz val="10"/>
        <color theme="1"/>
        <rFont val="Times New Roman"/>
        <charset val="134"/>
      </rPr>
      <t xml:space="preserve"> 6 3 
4</t>
    </r>
    <r>
      <rPr>
        <sz val="10"/>
        <color theme="1"/>
        <rFont val="宋体"/>
        <charset val="134"/>
      </rPr>
      <t>级</t>
    </r>
    <r>
      <rPr>
        <sz val="10"/>
        <color theme="1"/>
        <rFont val="Times New Roman"/>
        <charset val="134"/>
      </rPr>
      <t xml:space="preserve"> 8 3 
5</t>
    </r>
    <r>
      <rPr>
        <sz val="10"/>
        <color theme="1"/>
        <rFont val="宋体"/>
        <charset val="134"/>
      </rPr>
      <t>级</t>
    </r>
    <r>
      <rPr>
        <sz val="10"/>
        <color theme="1"/>
        <rFont val="Times New Roman"/>
        <charset val="134"/>
      </rPr>
      <t xml:space="preserve"> 10 3 
6</t>
    </r>
    <r>
      <rPr>
        <sz val="10"/>
        <color theme="1"/>
        <rFont val="宋体"/>
        <charset val="134"/>
      </rPr>
      <t>级</t>
    </r>
    <r>
      <rPr>
        <sz val="10"/>
        <color theme="1"/>
        <rFont val="Times New Roman"/>
        <charset val="134"/>
      </rPr>
      <t xml:space="preserve"> 12 4 
7</t>
    </r>
    <r>
      <rPr>
        <sz val="10"/>
        <color theme="1"/>
        <rFont val="宋体"/>
        <charset val="134"/>
      </rPr>
      <t>级</t>
    </r>
    <r>
      <rPr>
        <sz val="10"/>
        <color theme="1"/>
        <rFont val="Times New Roman"/>
        <charset val="134"/>
      </rPr>
      <t xml:space="preserve"> 14 4 
8</t>
    </r>
    <r>
      <rPr>
        <sz val="10"/>
        <color theme="1"/>
        <rFont val="宋体"/>
        <charset val="134"/>
      </rPr>
      <t>级</t>
    </r>
    <r>
      <rPr>
        <sz val="10"/>
        <color theme="1"/>
        <rFont val="Times New Roman"/>
        <charset val="134"/>
      </rPr>
      <t xml:space="preserve"> 16 4 
9</t>
    </r>
    <r>
      <rPr>
        <sz val="10"/>
        <color theme="1"/>
        <rFont val="宋体"/>
        <charset val="134"/>
      </rPr>
      <t>级</t>
    </r>
    <r>
      <rPr>
        <sz val="10"/>
        <color theme="1"/>
        <rFont val="Times New Roman"/>
        <charset val="134"/>
      </rPr>
      <t xml:space="preserve"> 18 4 
10</t>
    </r>
    <r>
      <rPr>
        <sz val="10"/>
        <color theme="1"/>
        <rFont val="宋体"/>
        <charset val="134"/>
      </rPr>
      <t>级</t>
    </r>
    <r>
      <rPr>
        <sz val="10"/>
        <color theme="1"/>
        <rFont val="Times New Roman"/>
        <charset val="134"/>
      </rPr>
      <t xml:space="preserve"> 20 5 
11</t>
    </r>
    <r>
      <rPr>
        <sz val="10"/>
        <color theme="1"/>
        <rFont val="宋体"/>
        <charset val="134"/>
      </rPr>
      <t>级</t>
    </r>
    <r>
      <rPr>
        <sz val="10"/>
        <color theme="1"/>
        <rFont val="Times New Roman"/>
        <charset val="134"/>
      </rPr>
      <t xml:space="preserve"> 22 5 
12</t>
    </r>
    <r>
      <rPr>
        <sz val="10"/>
        <color theme="1"/>
        <rFont val="宋体"/>
        <charset val="134"/>
      </rPr>
      <t>级</t>
    </r>
    <r>
      <rPr>
        <sz val="10"/>
        <color theme="1"/>
        <rFont val="Times New Roman"/>
        <charset val="134"/>
      </rPr>
      <t xml:space="preserve"> 24 5 
13</t>
    </r>
    <r>
      <rPr>
        <sz val="10"/>
        <color theme="1"/>
        <rFont val="宋体"/>
        <charset val="134"/>
      </rPr>
      <t>级</t>
    </r>
    <r>
      <rPr>
        <sz val="10"/>
        <color theme="1"/>
        <rFont val="Times New Roman"/>
        <charset val="134"/>
      </rPr>
      <t xml:space="preserve"> 26 5 
14</t>
    </r>
    <r>
      <rPr>
        <sz val="10"/>
        <color theme="1"/>
        <rFont val="宋体"/>
        <charset val="134"/>
      </rPr>
      <t>级</t>
    </r>
    <r>
      <rPr>
        <sz val="10"/>
        <color theme="1"/>
        <rFont val="Times New Roman"/>
        <charset val="134"/>
      </rPr>
      <t xml:space="preserve"> 28 6 
15</t>
    </r>
    <r>
      <rPr>
        <sz val="10"/>
        <color theme="1"/>
        <rFont val="宋体"/>
        <charset val="134"/>
      </rPr>
      <t>级</t>
    </r>
    <r>
      <rPr>
        <sz val="10"/>
        <color theme="1"/>
        <rFont val="Times New Roman"/>
        <charset val="134"/>
      </rPr>
      <t xml:space="preserve"> 30 6 
16</t>
    </r>
    <r>
      <rPr>
        <sz val="10"/>
        <color theme="1"/>
        <rFont val="宋体"/>
        <charset val="134"/>
      </rPr>
      <t>级</t>
    </r>
    <r>
      <rPr>
        <sz val="10"/>
        <color theme="1"/>
        <rFont val="Times New Roman"/>
        <charset val="134"/>
      </rPr>
      <t xml:space="preserve"> 32 6 
17</t>
    </r>
    <r>
      <rPr>
        <sz val="10"/>
        <color theme="1"/>
        <rFont val="宋体"/>
        <charset val="134"/>
      </rPr>
      <t>级</t>
    </r>
    <r>
      <rPr>
        <sz val="10"/>
        <color theme="1"/>
        <rFont val="Times New Roman"/>
        <charset val="134"/>
      </rPr>
      <t xml:space="preserve"> 34 6 
18</t>
    </r>
    <r>
      <rPr>
        <sz val="10"/>
        <color theme="1"/>
        <rFont val="宋体"/>
        <charset val="134"/>
      </rPr>
      <t>级</t>
    </r>
    <r>
      <rPr>
        <sz val="10"/>
        <color theme="1"/>
        <rFont val="Times New Roman"/>
        <charset val="134"/>
      </rPr>
      <t xml:space="preserve"> 36 6 
19</t>
    </r>
    <r>
      <rPr>
        <sz val="10"/>
        <color theme="1"/>
        <rFont val="宋体"/>
        <charset val="134"/>
      </rPr>
      <t>级</t>
    </r>
    <r>
      <rPr>
        <sz val="10"/>
        <color theme="1"/>
        <rFont val="Times New Roman"/>
        <charset val="134"/>
      </rPr>
      <t xml:space="preserve"> 38 6 
20</t>
    </r>
    <r>
      <rPr>
        <sz val="10"/>
        <color theme="1"/>
        <rFont val="宋体"/>
        <charset val="134"/>
      </rPr>
      <t>级</t>
    </r>
    <r>
      <rPr>
        <sz val="10"/>
        <color theme="1"/>
        <rFont val="Times New Roman"/>
        <charset val="134"/>
      </rPr>
      <t xml:space="preserve"> 40 6 </t>
    </r>
  </si>
  <si>
    <t>伤口包扎术</t>
  </si>
  <si>
    <r>
      <rPr>
        <sz val="10"/>
        <color theme="1"/>
        <rFont val="微软雅黑"/>
        <charset val="134"/>
      </rPr>
      <t>一位久经沙场的圣武士教给你了一系列战中急救措施的基础知识。当你或你周围</t>
    </r>
    <r>
      <rPr>
        <sz val="10"/>
        <color theme="1"/>
        <rFont val="Times New Roman"/>
        <charset val="134"/>
      </rPr>
      <t>5</t>
    </r>
    <r>
      <rPr>
        <sz val="10"/>
        <color theme="1"/>
        <rFont val="微软雅黑"/>
        <charset val="134"/>
      </rPr>
      <t>尺范围内的盟友接受到任何形式的治疗时，你可以使用你的反应，消耗一次诗人激励的使用次数，使这次治疗获得等同于</t>
    </r>
    <r>
      <rPr>
        <sz val="10"/>
        <color theme="1"/>
        <rFont val="Times New Roman"/>
        <charset val="134"/>
      </rPr>
      <t xml:space="preserve"> </t>
    </r>
    <r>
      <rPr>
        <sz val="10"/>
        <color theme="1"/>
        <rFont val="微软雅黑"/>
        <charset val="134"/>
      </rPr>
      <t>激励骰骰出结果</t>
    </r>
    <r>
      <rPr>
        <sz val="10"/>
        <color theme="1"/>
        <rFont val="Times New Roman"/>
        <charset val="134"/>
      </rPr>
      <t>+</t>
    </r>
    <r>
      <rPr>
        <sz val="10"/>
        <color theme="1"/>
        <rFont val="微软雅黑"/>
        <charset val="134"/>
      </rPr>
      <t>你的感知调整值（至少</t>
    </r>
    <r>
      <rPr>
        <sz val="10"/>
        <color theme="1"/>
        <rFont val="Times New Roman"/>
        <charset val="134"/>
      </rPr>
      <t>+1</t>
    </r>
    <r>
      <rPr>
        <sz val="10"/>
        <color theme="1"/>
        <rFont val="微软雅黑"/>
        <charset val="134"/>
      </rPr>
      <t>）</t>
    </r>
    <r>
      <rPr>
        <sz val="10"/>
        <color theme="1"/>
        <rFont val="Times New Roman"/>
        <charset val="134"/>
      </rPr>
      <t xml:space="preserve"> </t>
    </r>
    <r>
      <rPr>
        <sz val="10"/>
        <color theme="1"/>
        <rFont val="微软雅黑"/>
        <charset val="134"/>
      </rPr>
      <t>点额外治疗。为便于迅速包扎目标的伤口，你必须空出一只手才能使用此技艺。</t>
    </r>
    <r>
      <rPr>
        <sz val="10"/>
        <color theme="1"/>
        <rFont val="Times New Roman"/>
        <charset val="134"/>
      </rPr>
      <t xml:space="preserve">
</t>
    </r>
    <r>
      <rPr>
        <sz val="10"/>
        <color theme="1"/>
        <rFont val="微软雅黑"/>
        <charset val="134"/>
      </rPr>
      <t>达到第</t>
    </r>
    <r>
      <rPr>
        <sz val="10"/>
        <color theme="1"/>
        <rFont val="Times New Roman"/>
        <charset val="134"/>
      </rPr>
      <t>6</t>
    </r>
    <r>
      <rPr>
        <sz val="10"/>
        <color theme="1"/>
        <rFont val="微软雅黑"/>
        <charset val="134"/>
      </rPr>
      <t>级之后，你习得了如何辨别草药。使用此技艺提供额外治疗的同时，你还可以移除技艺目标正遭受的一项特定负面状态（中毒</t>
    </r>
    <r>
      <rPr>
        <sz val="10"/>
        <color theme="1"/>
        <rFont val="Times New Roman"/>
        <charset val="134"/>
      </rPr>
      <t xml:space="preserve">Poisoned </t>
    </r>
    <r>
      <rPr>
        <sz val="10"/>
        <color theme="1"/>
        <rFont val="微软雅黑"/>
        <charset val="134"/>
      </rPr>
      <t>或</t>
    </r>
    <r>
      <rPr>
        <sz val="10"/>
        <color theme="1"/>
        <rFont val="Times New Roman"/>
        <charset val="134"/>
      </rPr>
      <t xml:space="preserve"> </t>
    </r>
    <r>
      <rPr>
        <sz val="10"/>
        <color theme="1"/>
        <rFont val="微软雅黑"/>
        <charset val="134"/>
      </rPr>
      <t>麻痹</t>
    </r>
    <r>
      <rPr>
        <sz val="10"/>
        <color theme="1"/>
        <rFont val="Times New Roman"/>
        <charset val="134"/>
      </rPr>
      <t>Paralyzed</t>
    </r>
    <r>
      <rPr>
        <sz val="10"/>
        <color theme="1"/>
        <rFont val="微软雅黑"/>
        <charset val="134"/>
      </rPr>
      <t>）。</t>
    </r>
    <r>
      <rPr>
        <sz val="10"/>
        <color theme="1"/>
        <rFont val="Times New Roman"/>
        <charset val="134"/>
      </rPr>
      <t xml:space="preserve">
</t>
    </r>
    <r>
      <rPr>
        <sz val="10"/>
        <color theme="1"/>
        <rFont val="微软雅黑"/>
        <charset val="134"/>
      </rPr>
      <t>达到第</t>
    </r>
    <r>
      <rPr>
        <sz val="10"/>
        <color theme="1"/>
        <rFont val="Times New Roman"/>
        <charset val="134"/>
      </rPr>
      <t>14</t>
    </r>
    <r>
      <rPr>
        <sz val="10"/>
        <color theme="1"/>
        <rFont val="微软雅黑"/>
        <charset val="134"/>
      </rPr>
      <t>级之后，你发掘到了战场急救的真正诀窍。你还可以移除此技艺目标正遭受的一项疾病。</t>
    </r>
  </si>
  <si>
    <t>猎巫打击</t>
  </si>
  <si>
    <r>
      <rPr>
        <sz val="10"/>
        <color theme="1"/>
        <rFont val="宋体"/>
        <charset val="134"/>
      </rPr>
      <t>当你用武器命中一个生物时，你可以对其额外造成</t>
    </r>
    <r>
      <rPr>
        <sz val="10"/>
        <color theme="1"/>
        <rFont val="Times New Roman"/>
        <charset val="134"/>
      </rPr>
      <t>1d8</t>
    </r>
    <r>
      <rPr>
        <sz val="10"/>
        <color theme="1"/>
        <rFont val="宋体"/>
        <charset val="134"/>
      </rPr>
      <t>点力场伤害。如果该生物正处于法术专注，则变为对其造成</t>
    </r>
    <r>
      <rPr>
        <sz val="10"/>
        <color theme="1"/>
        <rFont val="Times New Roman"/>
        <charset val="134"/>
      </rPr>
      <t>2d8</t>
    </r>
    <r>
      <rPr>
        <sz val="10"/>
        <color theme="1"/>
        <rFont val="宋体"/>
        <charset val="134"/>
      </rPr>
      <t>力场伤害。如果该生物因此次攻击失去专注，则你获得等同于力场伤害的临时生命。你可以使用该特性的次数等于你的感知调整值（至少为一次）。而你将在完成一次长休后重新恢复所有的使用次数。</t>
    </r>
    <r>
      <rPr>
        <sz val="10"/>
        <color theme="1"/>
        <rFont val="Times New Roman"/>
        <charset val="134"/>
      </rPr>
      <t xml:space="preserve"> 
</t>
    </r>
    <r>
      <rPr>
        <sz val="10"/>
        <color theme="1"/>
        <rFont val="宋体"/>
        <charset val="134"/>
      </rPr>
      <t>第</t>
    </r>
    <r>
      <rPr>
        <sz val="10"/>
        <color theme="1"/>
        <rFont val="Times New Roman"/>
        <charset val="134"/>
      </rPr>
      <t>14</t>
    </r>
    <r>
      <rPr>
        <sz val="10"/>
        <color theme="1"/>
        <rFont val="宋体"/>
        <charset val="134"/>
      </rPr>
      <t>级起，伤害提升至基础</t>
    </r>
    <r>
      <rPr>
        <sz val="10"/>
        <color theme="1"/>
        <rFont val="Times New Roman"/>
        <charset val="134"/>
      </rPr>
      <t>2d8</t>
    </r>
    <r>
      <rPr>
        <sz val="10"/>
        <color theme="1"/>
        <rFont val="宋体"/>
        <charset val="134"/>
      </rPr>
      <t>和专注</t>
    </r>
    <r>
      <rPr>
        <sz val="10"/>
        <color theme="1"/>
        <rFont val="Times New Roman"/>
        <charset val="134"/>
      </rPr>
      <t>3d8</t>
    </r>
    <r>
      <rPr>
        <sz val="10"/>
        <color theme="1"/>
        <rFont val="宋体"/>
        <charset val="134"/>
      </rPr>
      <t>。</t>
    </r>
  </si>
  <si>
    <t>巨龙传说</t>
  </si>
  <si>
    <r>
      <rPr>
        <sz val="10"/>
        <color theme="1"/>
        <rFont val="宋体"/>
        <charset val="134"/>
      </rPr>
      <t>你可以说，读，写龙语。另外，你无论何时进行与龙的历史和传说相关的智力（历史）检定时，你可以在检定结果中加入你的熟练加值。如果你已经拥有了历史技能的熟练项，你可以在检定中加入两倍的熟练加值作为替代。</t>
    </r>
    <r>
      <rPr>
        <sz val="10"/>
        <color theme="1"/>
        <rFont val="Times New Roman"/>
        <charset val="134"/>
      </rPr>
      <t xml:space="preserve"> </t>
    </r>
  </si>
  <si>
    <r>
      <rPr>
        <sz val="10"/>
        <color theme="1"/>
        <rFont val="宋体"/>
        <charset val="134"/>
      </rPr>
      <t>符文大师</t>
    </r>
  </si>
  <si>
    <r>
      <rPr>
        <sz val="10"/>
        <color theme="1"/>
        <rFont val="宋体"/>
        <charset val="134"/>
      </rPr>
      <t>你可以对每个你在符文雕刻者特性中已知的符文激活两次，而不是一次，且你可以在完成一次短休或长休之后恢复所有已使用的次数。</t>
    </r>
  </si>
  <si>
    <t>牧人指引</t>
  </si>
  <si>
    <t>你在战斗中时刻保持的对同伴的警戒守望可以提示他们加固防御的时机。每当你使用坚强防御获得闪避动作的效益时，你可以额外消耗1点气，令30尺内一个能看见或听见你的友方生物立即使用反应动作同步获得闪避动作的效果，持续至你的下回合开始。</t>
  </si>
  <si>
    <t>铠装心智</t>
  </si>
  <si>
    <t>当你专注于圣武士法术期间，你的专注不会因受到伤害而终止。</t>
  </si>
  <si>
    <t>延时燃烧</t>
  </si>
  <si>
    <t>当你使用烛火爆裂，鱼脂烛，或暗烛爆裂时，你可以花费额外3点烛心点同步激活此效应。当你这么做时，你可以将那个魔艺的效果推迟1轮，1分钟，或10分钟（由你选择）。</t>
  </si>
  <si>
    <t>闪耀灵光</t>
  </si>
  <si>
    <r>
      <rPr>
        <sz val="10"/>
        <color theme="1"/>
        <rFont val="宋体"/>
        <charset val="134"/>
      </rPr>
      <t>你可以选择你的魔法属于光移或暗移。你可以在长休结束时改变你的选择。
光移期间，你能够以动作在以自身为中心半径</t>
    </r>
    <r>
      <rPr>
        <sz val="10"/>
        <color theme="1"/>
        <rFont val="Times New Roman"/>
        <charset val="134"/>
      </rPr>
      <t>15</t>
    </r>
    <r>
      <rPr>
        <sz val="10"/>
        <color theme="1"/>
        <rFont val="宋体"/>
        <charset val="134"/>
      </rPr>
      <t>尺的球状区域内释放明亮光照的灵光。灵光持续期间，你能够以附赠动作将明亮光照扩大或缩小</t>
    </r>
    <r>
      <rPr>
        <sz val="10"/>
        <color theme="1"/>
        <rFont val="Times New Roman"/>
        <charset val="134"/>
      </rPr>
      <t>5</t>
    </r>
    <r>
      <rPr>
        <sz val="10"/>
        <color theme="1"/>
        <rFont val="宋体"/>
        <charset val="134"/>
      </rPr>
      <t>尺，至大</t>
    </r>
    <r>
      <rPr>
        <sz val="10"/>
        <color theme="1"/>
        <rFont val="Times New Roman"/>
        <charset val="134"/>
      </rPr>
      <t>30</t>
    </r>
    <r>
      <rPr>
        <sz val="10"/>
        <color theme="1"/>
        <rFont val="宋体"/>
        <charset val="134"/>
      </rPr>
      <t>尺，至小</t>
    </r>
    <r>
      <rPr>
        <sz val="10"/>
        <color theme="1"/>
        <rFont val="Times New Roman"/>
        <charset val="134"/>
      </rPr>
      <t>10</t>
    </r>
    <r>
      <rPr>
        <sz val="10"/>
        <color theme="1"/>
        <rFont val="宋体"/>
        <charset val="134"/>
      </rPr>
      <t>尺。
暗移期间你获得相同的能力，但你释放的是非魔法黑暗。</t>
    </r>
  </si>
  <si>
    <r>
      <rPr>
        <sz val="10"/>
        <color theme="1"/>
        <rFont val="宋体"/>
        <charset val="134"/>
      </rPr>
      <t>有限许愿术</t>
    </r>
  </si>
  <si>
    <r>
      <rPr>
        <sz val="10"/>
        <color theme="1"/>
        <rFont val="宋体"/>
        <charset val="134"/>
      </rPr>
      <t>你祈求你的宗主，并实现你的小小愿望。
以一个动作，你可以向你的巨灵器皿说出你的愿望，并请求实现一个</t>
    </r>
    <r>
      <rPr>
        <sz val="10"/>
        <color theme="1"/>
        <rFont val="Times New Roman"/>
        <charset val="134"/>
      </rPr>
      <t>6</t>
    </r>
    <r>
      <rPr>
        <sz val="10"/>
        <color theme="1"/>
        <rFont val="宋体"/>
        <charset val="134"/>
      </rPr>
      <t>环或更低环阶的，且施法时间为</t>
    </r>
    <r>
      <rPr>
        <sz val="10"/>
        <color theme="1"/>
        <rFont val="Times New Roman"/>
        <charset val="134"/>
      </rPr>
      <t>1</t>
    </r>
    <r>
      <rPr>
        <sz val="10"/>
        <color theme="1"/>
        <rFont val="宋体"/>
        <charset val="134"/>
      </rPr>
      <t>动作的法术效应。
这一法术可以来自任何职业的法术列表，且你不需要满足法术材料需求，法术仅仅是作为此动作的一部分生效。
你使用此特性后，你直到完成</t>
    </r>
    <r>
      <rPr>
        <sz val="10"/>
        <color theme="1"/>
        <rFont val="Times New Roman"/>
        <charset val="134"/>
      </rPr>
      <t>1d4</t>
    </r>
    <r>
      <rPr>
        <sz val="10"/>
        <color theme="1"/>
        <rFont val="宋体"/>
        <charset val="134"/>
      </rPr>
      <t>次长休后才能再次使用它。</t>
    </r>
  </si>
  <si>
    <t>自然干扰</t>
  </si>
  <si>
    <r>
      <rPr>
        <sz val="10"/>
        <color theme="1"/>
        <rFont val="宋体"/>
        <charset val="134"/>
      </rPr>
      <t>你可以从地脉中引导能量来破坏他人的魔法。你可以在不消耗法术位的情况下施展法术法术反制</t>
    </r>
    <r>
      <rPr>
        <sz val="10"/>
        <color theme="1"/>
        <rFont val="Times New Roman"/>
        <charset val="134"/>
      </rPr>
      <t>Counterspell</t>
    </r>
    <r>
      <rPr>
        <sz val="10"/>
        <color theme="1"/>
        <rFont val="宋体"/>
        <charset val="134"/>
      </rPr>
      <t>或解除法术</t>
    </r>
    <r>
      <rPr>
        <sz val="10"/>
        <color theme="1"/>
        <rFont val="Times New Roman"/>
        <charset val="134"/>
      </rPr>
      <t>Dispel Spell</t>
    </r>
    <r>
      <rPr>
        <sz val="10"/>
        <color theme="1"/>
        <rFont val="宋体"/>
        <charset val="134"/>
      </rPr>
      <t>，且以你可施展的最高法术位环阶施展。
一旦你使用了此特性，直到你完成一次长休前你都无法再次使用。</t>
    </r>
  </si>
  <si>
    <r>
      <rPr>
        <sz val="10"/>
        <color theme="1"/>
        <rFont val="宋体"/>
        <charset val="134"/>
      </rPr>
      <t>我没法让它停下来</t>
    </r>
  </si>
  <si>
    <r>
      <rPr>
        <sz val="10"/>
        <color theme="1"/>
        <rFont val="宋体"/>
        <charset val="134"/>
      </rPr>
      <t>你的尸锻生物的体型增加至巨型，它获得</t>
    </r>
    <r>
      <rPr>
        <sz val="10"/>
        <color theme="1"/>
        <rFont val="Times New Roman"/>
        <charset val="134"/>
      </rPr>
      <t>10</t>
    </r>
    <r>
      <rPr>
        <sz val="10"/>
        <color theme="1"/>
        <rFont val="宋体"/>
        <charset val="134"/>
      </rPr>
      <t>尺触及，并且它的速度提升至</t>
    </r>
    <r>
      <rPr>
        <sz val="10"/>
        <color theme="1"/>
        <rFont val="Times New Roman"/>
        <charset val="134"/>
      </rPr>
      <t>50</t>
    </r>
    <r>
      <rPr>
        <sz val="10"/>
        <color theme="1"/>
        <rFont val="宋体"/>
        <charset val="134"/>
      </rPr>
      <t>尺。
它的猛击额外造成</t>
    </r>
    <r>
      <rPr>
        <sz val="10"/>
        <color theme="1"/>
        <rFont val="Times New Roman"/>
        <charset val="134"/>
      </rPr>
      <t>1d8</t>
    </r>
    <r>
      <rPr>
        <sz val="10"/>
        <color theme="1"/>
        <rFont val="宋体"/>
        <charset val="134"/>
      </rPr>
      <t>点钝击伤害。
除此之外，你的尸锻生物能推、拉或举起的重量增加一倍。</t>
    </r>
  </si>
  <si>
    <t>疫瘴武者</t>
  </si>
  <si>
    <t>荒野神速</t>
  </si>
  <si>
    <t>狂暴赋予你动物般的行动速度。作为进入狂暴的附赠动作的一部分，你能够发动一次武器攻击。此外，你还获得即使处在狂暴期间也可以专注于战技的能力。但你仍无法在狂暴期间专注于法术。</t>
  </si>
  <si>
    <t>拳击教程</t>
  </si>
  <si>
    <r>
      <rPr>
        <sz val="10"/>
        <color theme="1"/>
        <rFont val="微软雅黑"/>
        <charset val="134"/>
      </rPr>
      <t>一名悟道的武僧很乐意向你分享拳击与化劲的基本武艺。执行</t>
    </r>
    <r>
      <rPr>
        <sz val="10"/>
        <color theme="1"/>
        <rFont val="Times New Roman"/>
        <charset val="134"/>
      </rPr>
      <t xml:space="preserve"> </t>
    </r>
    <r>
      <rPr>
        <sz val="10"/>
        <color theme="1"/>
        <rFont val="微软雅黑"/>
        <charset val="134"/>
      </rPr>
      <t>攻击</t>
    </r>
    <r>
      <rPr>
        <sz val="10"/>
        <color theme="1"/>
        <rFont val="Times New Roman"/>
        <charset val="134"/>
      </rPr>
      <t xml:space="preserve">Attack </t>
    </r>
    <r>
      <rPr>
        <sz val="10"/>
        <color theme="1"/>
        <rFont val="微软雅黑"/>
        <charset val="134"/>
      </rPr>
      <t>动作后，你可以消耗一次诗人激励的使用次数，迅速对你触及范围内的一个（或多个）生物发起两次徒手打击。以此发动的这些徒手打击的攻击检定与伤害掷骰中你可以使用的你的敏捷调整值，以代替力量调整值；此外，这些徒手打击所使用的伤害骰与你的诗人激励骰相同。</t>
    </r>
    <r>
      <rPr>
        <sz val="10"/>
        <color theme="1"/>
        <rFont val="Times New Roman"/>
        <charset val="134"/>
      </rPr>
      <t xml:space="preserve">
</t>
    </r>
    <r>
      <rPr>
        <sz val="10"/>
        <color theme="1"/>
        <rFont val="微软雅黑"/>
        <charset val="134"/>
      </rPr>
      <t>达到第</t>
    </r>
    <r>
      <rPr>
        <sz val="10"/>
        <color theme="1"/>
        <rFont val="Times New Roman"/>
        <charset val="134"/>
      </rPr>
      <t>6</t>
    </r>
    <r>
      <rPr>
        <sz val="10"/>
        <color theme="1"/>
        <rFont val="微软雅黑"/>
        <charset val="134"/>
      </rPr>
      <t>级之后，你终于掌握如何利用武艺之中的“化劲”功法。本回合内，你不会引发任何因借机而发动的攻击。</t>
    </r>
    <r>
      <rPr>
        <sz val="10"/>
        <color theme="1"/>
        <rFont val="Times New Roman"/>
        <charset val="134"/>
      </rPr>
      <t xml:space="preserve">
</t>
    </r>
    <r>
      <rPr>
        <sz val="10"/>
        <color theme="1"/>
        <rFont val="微软雅黑"/>
        <charset val="134"/>
      </rPr>
      <t>达到第</t>
    </r>
    <r>
      <rPr>
        <sz val="10"/>
        <color theme="1"/>
        <rFont val="Times New Roman"/>
        <charset val="134"/>
      </rPr>
      <t>14</t>
    </r>
    <r>
      <rPr>
        <sz val="10"/>
        <color theme="1"/>
        <rFont val="微软雅黑"/>
        <charset val="134"/>
      </rPr>
      <t>级之后，你的刻苦练习终于得到了回报，现在开始你可以在你的攻击中注入“气”。当你用这些徒手打击命中目标时，你可以尝试对其进行震慑打击。迫使目标通过一次体质豁免，若豁免失败将陷入</t>
    </r>
    <r>
      <rPr>
        <sz val="10"/>
        <color theme="1"/>
        <rFont val="Times New Roman"/>
        <charset val="134"/>
      </rPr>
      <t xml:space="preserve"> </t>
    </r>
    <r>
      <rPr>
        <sz val="10"/>
        <color theme="1"/>
        <rFont val="微软雅黑"/>
        <charset val="134"/>
      </rPr>
      <t>震慑</t>
    </r>
    <r>
      <rPr>
        <sz val="10"/>
        <color theme="1"/>
        <rFont val="Times New Roman"/>
        <charset val="134"/>
      </rPr>
      <t xml:space="preserve">Stunned </t>
    </r>
    <r>
      <rPr>
        <sz val="10"/>
        <color theme="1"/>
        <rFont val="微软雅黑"/>
        <charset val="134"/>
      </rPr>
      <t>状态，持续直至你的下一回合结束为止。</t>
    </r>
  </si>
  <si>
    <t>引导神力：术法护盾</t>
  </si>
  <si>
    <r>
      <rPr>
        <sz val="10"/>
        <color theme="1"/>
        <rFont val="宋体"/>
        <charset val="134"/>
      </rPr>
      <t>你可以使用引导神力特性赋予你的队友抵御奥术伤害的能力。以一个附赠动作，你展示你的圣徽，选择一名</t>
    </r>
    <r>
      <rPr>
        <sz val="10"/>
        <color theme="1"/>
        <rFont val="Times New Roman"/>
        <charset val="134"/>
      </rPr>
      <t>30</t>
    </r>
    <r>
      <rPr>
        <sz val="10"/>
        <color theme="1"/>
        <rFont val="宋体"/>
        <charset val="134"/>
      </rPr>
      <t>尺内的生物（可以是你自己），该生物获得</t>
    </r>
    <r>
      <rPr>
        <sz val="10"/>
        <color theme="1"/>
        <rFont val="Times New Roman"/>
        <charset val="134"/>
      </rPr>
      <t>1d10+</t>
    </r>
    <r>
      <rPr>
        <sz val="10"/>
        <color theme="1"/>
        <rFont val="宋体"/>
        <charset val="134"/>
      </rPr>
      <t>你的牧师等级的临时生命值。具有该临时生命期间，其具有对法术伤害的抗性，且其对抗法术和其他魔法效应时进行的豁免检定具有优势。该生物在</t>
    </r>
    <r>
      <rPr>
        <sz val="10"/>
        <color theme="1"/>
        <rFont val="Times New Roman"/>
        <charset val="134"/>
      </rPr>
      <t>1</t>
    </r>
    <r>
      <rPr>
        <sz val="10"/>
        <color theme="1"/>
        <rFont val="宋体"/>
        <charset val="134"/>
      </rPr>
      <t>小时后失去剩余的临时生命值。</t>
    </r>
  </si>
  <si>
    <t>巨龙之姿</t>
  </si>
  <si>
    <r>
      <rPr>
        <sz val="10"/>
        <color theme="1"/>
        <rFont val="宋体"/>
        <charset val="134"/>
      </rPr>
      <t>巨龙之姿类型表</t>
    </r>
    <r>
      <rPr>
        <sz val="10"/>
        <color theme="1"/>
        <rFont val="Times New Roman"/>
        <charset val="134"/>
      </rPr>
      <t xml:space="preserve"> 
</t>
    </r>
    <r>
      <rPr>
        <sz val="10"/>
        <color theme="1"/>
        <rFont val="宋体"/>
        <charset val="134"/>
      </rPr>
      <t>龙种</t>
    </r>
    <r>
      <rPr>
        <sz val="10"/>
        <color theme="1"/>
        <rFont val="Times New Roman"/>
        <charset val="134"/>
      </rPr>
      <t xml:space="preserve"> </t>
    </r>
    <r>
      <rPr>
        <sz val="10"/>
        <color theme="1"/>
        <rFont val="宋体"/>
        <charset val="134"/>
      </rPr>
      <t>伤害类型</t>
    </r>
    <r>
      <rPr>
        <sz val="10"/>
        <color theme="1"/>
        <rFont val="Times New Roman"/>
        <charset val="134"/>
      </rPr>
      <t xml:space="preserve"> </t>
    </r>
    <r>
      <rPr>
        <sz val="10"/>
        <color theme="1"/>
        <rFont val="宋体"/>
        <charset val="134"/>
      </rPr>
      <t>龙种</t>
    </r>
    <r>
      <rPr>
        <sz val="10"/>
        <color theme="1"/>
        <rFont val="Times New Roman"/>
        <charset val="134"/>
      </rPr>
      <t xml:space="preserve"> </t>
    </r>
    <r>
      <rPr>
        <sz val="10"/>
        <color theme="1"/>
        <rFont val="宋体"/>
        <charset val="134"/>
      </rPr>
      <t>伤害类型</t>
    </r>
    <r>
      <rPr>
        <sz val="10"/>
        <color theme="1"/>
        <rFont val="Times New Roman"/>
        <charset val="134"/>
      </rPr>
      <t xml:space="preserve"> 
</t>
    </r>
    <r>
      <rPr>
        <sz val="10"/>
        <color theme="1"/>
        <rFont val="宋体"/>
        <charset val="134"/>
      </rPr>
      <t>黑龙</t>
    </r>
    <r>
      <rPr>
        <sz val="10"/>
        <color theme="1"/>
        <rFont val="Times New Roman"/>
        <charset val="134"/>
      </rPr>
      <t xml:space="preserve"> </t>
    </r>
    <r>
      <rPr>
        <sz val="10"/>
        <color theme="1"/>
        <rFont val="宋体"/>
        <charset val="134"/>
      </rPr>
      <t>强酸</t>
    </r>
    <r>
      <rPr>
        <sz val="10"/>
        <color theme="1"/>
        <rFont val="Times New Roman"/>
        <charset val="134"/>
      </rPr>
      <t xml:space="preserve"> </t>
    </r>
    <r>
      <rPr>
        <sz val="10"/>
        <color theme="1"/>
        <rFont val="宋体"/>
        <charset val="134"/>
      </rPr>
      <t>金龙</t>
    </r>
    <r>
      <rPr>
        <sz val="10"/>
        <color theme="1"/>
        <rFont val="Times New Roman"/>
        <charset val="134"/>
      </rPr>
      <t xml:space="preserve"> </t>
    </r>
    <r>
      <rPr>
        <sz val="10"/>
        <color theme="1"/>
        <rFont val="宋体"/>
        <charset val="134"/>
      </rPr>
      <t>火焰</t>
    </r>
    <r>
      <rPr>
        <sz val="10"/>
        <color theme="1"/>
        <rFont val="Times New Roman"/>
        <charset val="134"/>
      </rPr>
      <t xml:space="preserve"> 
</t>
    </r>
    <r>
      <rPr>
        <sz val="10"/>
        <color theme="1"/>
        <rFont val="宋体"/>
        <charset val="134"/>
      </rPr>
      <t>蓝龙</t>
    </r>
    <r>
      <rPr>
        <sz val="10"/>
        <color theme="1"/>
        <rFont val="Times New Roman"/>
        <charset val="134"/>
      </rPr>
      <t xml:space="preserve"> </t>
    </r>
    <r>
      <rPr>
        <sz val="10"/>
        <color theme="1"/>
        <rFont val="宋体"/>
        <charset val="134"/>
      </rPr>
      <t>闪电</t>
    </r>
    <r>
      <rPr>
        <sz val="10"/>
        <color theme="1"/>
        <rFont val="Times New Roman"/>
        <charset val="134"/>
      </rPr>
      <t xml:space="preserve"> </t>
    </r>
    <r>
      <rPr>
        <sz val="10"/>
        <color theme="1"/>
        <rFont val="宋体"/>
        <charset val="134"/>
      </rPr>
      <t>绿龙</t>
    </r>
    <r>
      <rPr>
        <sz val="10"/>
        <color theme="1"/>
        <rFont val="Times New Roman"/>
        <charset val="134"/>
      </rPr>
      <t xml:space="preserve"> </t>
    </r>
    <r>
      <rPr>
        <sz val="10"/>
        <color theme="1"/>
        <rFont val="宋体"/>
        <charset val="134"/>
      </rPr>
      <t>毒素</t>
    </r>
    <r>
      <rPr>
        <sz val="10"/>
        <color theme="1"/>
        <rFont val="Times New Roman"/>
        <charset val="134"/>
      </rPr>
      <t xml:space="preserve"> 
</t>
    </r>
    <r>
      <rPr>
        <sz val="10"/>
        <color theme="1"/>
        <rFont val="宋体"/>
        <charset val="134"/>
      </rPr>
      <t>黄铜龙</t>
    </r>
    <r>
      <rPr>
        <sz val="10"/>
        <color theme="1"/>
        <rFont val="Times New Roman"/>
        <charset val="134"/>
      </rPr>
      <t xml:space="preserve"> </t>
    </r>
    <r>
      <rPr>
        <sz val="10"/>
        <color theme="1"/>
        <rFont val="宋体"/>
        <charset val="134"/>
      </rPr>
      <t>火焰</t>
    </r>
    <r>
      <rPr>
        <sz val="10"/>
        <color theme="1"/>
        <rFont val="Times New Roman"/>
        <charset val="134"/>
      </rPr>
      <t xml:space="preserve"> </t>
    </r>
    <r>
      <rPr>
        <sz val="10"/>
        <color theme="1"/>
        <rFont val="宋体"/>
        <charset val="134"/>
      </rPr>
      <t>红龙</t>
    </r>
    <r>
      <rPr>
        <sz val="10"/>
        <color theme="1"/>
        <rFont val="Times New Roman"/>
        <charset val="134"/>
      </rPr>
      <t xml:space="preserve"> </t>
    </r>
    <r>
      <rPr>
        <sz val="10"/>
        <color theme="1"/>
        <rFont val="宋体"/>
        <charset val="134"/>
      </rPr>
      <t>火焰</t>
    </r>
    <r>
      <rPr>
        <sz val="10"/>
        <color theme="1"/>
        <rFont val="Times New Roman"/>
        <charset val="134"/>
      </rPr>
      <t xml:space="preserve"> 
</t>
    </r>
    <r>
      <rPr>
        <sz val="10"/>
        <color theme="1"/>
        <rFont val="宋体"/>
        <charset val="134"/>
      </rPr>
      <t>青铜龙</t>
    </r>
    <r>
      <rPr>
        <sz val="10"/>
        <color theme="1"/>
        <rFont val="Times New Roman"/>
        <charset val="134"/>
      </rPr>
      <t xml:space="preserve"> </t>
    </r>
    <r>
      <rPr>
        <sz val="10"/>
        <color theme="1"/>
        <rFont val="宋体"/>
        <charset val="134"/>
      </rPr>
      <t>闪电</t>
    </r>
    <r>
      <rPr>
        <sz val="10"/>
        <color theme="1"/>
        <rFont val="Times New Roman"/>
        <charset val="134"/>
      </rPr>
      <t xml:space="preserve"> </t>
    </r>
    <r>
      <rPr>
        <sz val="10"/>
        <color theme="1"/>
        <rFont val="宋体"/>
        <charset val="134"/>
      </rPr>
      <t>银龙</t>
    </r>
    <r>
      <rPr>
        <sz val="10"/>
        <color theme="1"/>
        <rFont val="Times New Roman"/>
        <charset val="134"/>
      </rPr>
      <t xml:space="preserve"> </t>
    </r>
    <r>
      <rPr>
        <sz val="10"/>
        <color theme="1"/>
        <rFont val="宋体"/>
        <charset val="134"/>
      </rPr>
      <t>寒冷</t>
    </r>
    <r>
      <rPr>
        <sz val="10"/>
        <color theme="1"/>
        <rFont val="Times New Roman"/>
        <charset val="134"/>
      </rPr>
      <t xml:space="preserve"> 
</t>
    </r>
    <r>
      <rPr>
        <sz val="10"/>
        <color theme="1"/>
        <rFont val="宋体"/>
        <charset val="134"/>
      </rPr>
      <t>赤铜龙</t>
    </r>
    <r>
      <rPr>
        <sz val="10"/>
        <color theme="1"/>
        <rFont val="Times New Roman"/>
        <charset val="134"/>
      </rPr>
      <t xml:space="preserve"> </t>
    </r>
    <r>
      <rPr>
        <sz val="10"/>
        <color theme="1"/>
        <rFont val="宋体"/>
        <charset val="134"/>
      </rPr>
      <t>强酸</t>
    </r>
    <r>
      <rPr>
        <sz val="10"/>
        <color theme="1"/>
        <rFont val="Times New Roman"/>
        <charset val="134"/>
      </rPr>
      <t xml:space="preserve"> </t>
    </r>
    <r>
      <rPr>
        <sz val="10"/>
        <color theme="1"/>
        <rFont val="宋体"/>
        <charset val="134"/>
      </rPr>
      <t>白龙</t>
    </r>
    <r>
      <rPr>
        <sz val="10"/>
        <color theme="1"/>
        <rFont val="Times New Roman"/>
        <charset val="134"/>
      </rPr>
      <t xml:space="preserve"> </t>
    </r>
    <r>
      <rPr>
        <sz val="10"/>
        <color theme="1"/>
        <rFont val="宋体"/>
        <charset val="134"/>
      </rPr>
      <t>寒冷</t>
    </r>
    <r>
      <rPr>
        <sz val="10"/>
        <color theme="1"/>
        <rFont val="Times New Roman"/>
        <charset val="134"/>
      </rPr>
      <t xml:space="preserve"> 
</t>
    </r>
    <r>
      <rPr>
        <sz val="10"/>
        <color theme="1"/>
        <rFont val="宋体"/>
        <charset val="134"/>
      </rPr>
      <t>你可以以一个附赠动作，用你的荒野特性的一次使用次数变化为独特的形态：你的巨龙之姿。当处于此形态时你变成一只四肢着地的中型龙类，但仍保留你自己的角色属性值和感官。你的巨龙之姿的</t>
    </r>
    <r>
      <rPr>
        <sz val="10"/>
        <color theme="1"/>
        <rFont val="Times New Roman"/>
        <charset val="134"/>
      </rPr>
      <t>AC</t>
    </r>
    <r>
      <rPr>
        <sz val="10"/>
        <color theme="1"/>
        <rFont val="宋体"/>
        <charset val="134"/>
      </rPr>
      <t>等于</t>
    </r>
    <r>
      <rPr>
        <sz val="10"/>
        <color theme="1"/>
        <rFont val="Times New Roman"/>
        <charset val="134"/>
      </rPr>
      <t>13+</t>
    </r>
    <r>
      <rPr>
        <sz val="10"/>
        <color theme="1"/>
        <rFont val="宋体"/>
        <charset val="134"/>
      </rPr>
      <t>你的敏捷调整值（至多为</t>
    </r>
    <r>
      <rPr>
        <sz val="10"/>
        <color theme="1"/>
        <rFont val="Times New Roman"/>
        <charset val="134"/>
      </rPr>
      <t>2</t>
    </r>
    <r>
      <rPr>
        <sz val="10"/>
        <color theme="1"/>
        <rFont val="宋体"/>
        <charset val="134"/>
      </rPr>
      <t>），且拥有</t>
    </r>
    <r>
      <rPr>
        <sz val="10"/>
        <color theme="1"/>
        <rFont val="Times New Roman"/>
        <charset val="134"/>
      </rPr>
      <t>30</t>
    </r>
    <r>
      <rPr>
        <sz val="10"/>
        <color theme="1"/>
        <rFont val="宋体"/>
        <charset val="134"/>
      </rPr>
      <t>尺的步行速度和攀爬速度。另外，当你变为此形态时，你获得等同于你最大生命值的临时生命值。当你变回你原本的形态时，你失去任何剩余的临时生命值。</t>
    </r>
    <r>
      <rPr>
        <sz val="10"/>
        <color theme="1"/>
        <rFont val="Times New Roman"/>
        <charset val="134"/>
      </rPr>
      <t xml:space="preserve">
</t>
    </r>
    <r>
      <rPr>
        <sz val="10"/>
        <color theme="1"/>
        <rFont val="宋体"/>
        <charset val="134"/>
      </rPr>
      <t>你可以维持该形态等同于你的德鲁伊等级一半的小时数，向下取整。你可以在你的回合以一个附赠动作提前恢复你原本的形态。如果你陷入失能状态，生命值降为</t>
    </r>
    <r>
      <rPr>
        <sz val="10"/>
        <color theme="1"/>
        <rFont val="Times New Roman"/>
        <charset val="134"/>
      </rPr>
      <t>0</t>
    </r>
    <r>
      <rPr>
        <sz val="10"/>
        <color theme="1"/>
        <rFont val="宋体"/>
        <charset val="134"/>
      </rPr>
      <t>或死亡，你自动恢复形态。</t>
    </r>
    <r>
      <rPr>
        <sz val="10"/>
        <color theme="1"/>
        <rFont val="Times New Roman"/>
        <charset val="134"/>
      </rPr>
      <t xml:space="preserve">
</t>
    </r>
    <r>
      <rPr>
        <sz val="10"/>
        <color theme="1"/>
        <rFont val="宋体"/>
        <charset val="134"/>
      </rPr>
      <t>当你使用你的巨龙之姿时，由你来决定变为哪种龙。龙的种类决定了鳞片的颜色和吐息武器的伤害类型，像上文中的表格展示的那样。但你的外观取决于你自己。你的翅膀在第</t>
    </r>
    <r>
      <rPr>
        <sz val="10"/>
        <color theme="1"/>
        <rFont val="Times New Roman"/>
        <charset val="134"/>
      </rPr>
      <t>2</t>
    </r>
    <r>
      <rPr>
        <sz val="10"/>
        <color theme="1"/>
        <rFont val="宋体"/>
        <charset val="134"/>
      </rPr>
      <t>级还没有完全变化，但是会在你获得本职业的等级时不断变强。</t>
    </r>
    <r>
      <rPr>
        <sz val="10"/>
        <color theme="1"/>
        <rFont val="Times New Roman"/>
        <charset val="134"/>
      </rPr>
      <t xml:space="preserve">
</t>
    </r>
    <r>
      <rPr>
        <sz val="10"/>
        <color theme="1"/>
        <rFont val="宋体"/>
        <charset val="134"/>
      </rPr>
      <t>当你处于此形态时你无法施法，但是会获得在你每个回合都可以使用的不同的动作项：</t>
    </r>
    <r>
      <rPr>
        <sz val="10"/>
        <color theme="1"/>
        <rFont val="Times New Roman"/>
        <charset val="134"/>
      </rPr>
      <t xml:space="preserve">
</t>
    </r>
    <r>
      <rPr>
        <sz val="10"/>
        <color theme="1"/>
        <rFont val="宋体"/>
        <charset val="134"/>
      </rPr>
      <t>啃咬</t>
    </r>
    <r>
      <rPr>
        <sz val="10"/>
        <color theme="1"/>
        <rFont val="Times New Roman"/>
        <charset val="134"/>
      </rPr>
      <t>Bite</t>
    </r>
    <r>
      <rPr>
        <sz val="10"/>
        <color theme="1"/>
        <rFont val="宋体"/>
        <charset val="134"/>
      </rPr>
      <t>。当你执行攻击动作时，你可以使用你匕首般的牙齿进行一次徒手打击。你可以在你啃咬的攻击检定和伤害掷骰上应用你的感知调整值而非力量。若你的啃咬命中，你造成等同于</t>
    </r>
    <r>
      <rPr>
        <sz val="10"/>
        <color theme="1"/>
        <rFont val="Times New Roman"/>
        <charset val="134"/>
      </rPr>
      <t>1d12+</t>
    </r>
    <r>
      <rPr>
        <sz val="10"/>
        <color theme="1"/>
        <rFont val="宋体"/>
        <charset val="134"/>
      </rPr>
      <t>你的力量或感知调整值的穿刺伤害，而非正常徒手打击造成的钝击伤害。</t>
    </r>
    <r>
      <rPr>
        <sz val="10"/>
        <color theme="1"/>
        <rFont val="Times New Roman"/>
        <charset val="134"/>
      </rPr>
      <t xml:space="preserve">
</t>
    </r>
    <r>
      <rPr>
        <sz val="10"/>
        <color theme="1"/>
        <rFont val="宋体"/>
        <charset val="134"/>
      </rPr>
      <t>吐息武器</t>
    </r>
    <r>
      <rPr>
        <sz val="10"/>
        <color theme="1"/>
        <rFont val="Times New Roman"/>
        <charset val="134"/>
      </rPr>
      <t>Breath Weapon</t>
    </r>
    <r>
      <rPr>
        <sz val="10"/>
        <color theme="1"/>
        <rFont val="宋体"/>
        <charset val="134"/>
      </rPr>
      <t>。</t>
    </r>
    <r>
      <rPr>
        <sz val="10"/>
        <color theme="1"/>
        <rFont val="Times New Roman"/>
        <charset val="134"/>
      </rPr>
      <t xml:space="preserve"> </t>
    </r>
    <r>
      <rPr>
        <sz val="10"/>
        <color theme="1"/>
        <rFont val="宋体"/>
        <charset val="134"/>
      </rPr>
      <t>你可以使用动作向你身前呼出一股强大的能量。</t>
    </r>
    <r>
      <rPr>
        <sz val="10"/>
        <color theme="1"/>
        <rFont val="Times New Roman"/>
        <charset val="134"/>
      </rPr>
      <t>15</t>
    </r>
    <r>
      <rPr>
        <sz val="10"/>
        <color theme="1"/>
        <rFont val="宋体"/>
        <charset val="134"/>
      </rPr>
      <t>尺锥形范围内的每个生物都必须进行一次敏捷豁免掷骰来对抗你的法术豁免</t>
    </r>
    <r>
      <rPr>
        <sz val="10"/>
        <color theme="1"/>
        <rFont val="Times New Roman"/>
        <charset val="134"/>
      </rPr>
      <t>DC</t>
    </r>
    <r>
      <rPr>
        <sz val="10"/>
        <color theme="1"/>
        <rFont val="宋体"/>
        <charset val="134"/>
      </rPr>
      <t>。豁免失败的生物受到和你的巨龙之姿所选择的伤害类型相同的</t>
    </r>
    <r>
      <rPr>
        <sz val="10"/>
        <color theme="1"/>
        <rFont val="Times New Roman"/>
        <charset val="134"/>
      </rPr>
      <t>2d6</t>
    </r>
    <r>
      <rPr>
        <sz val="10"/>
        <color theme="1"/>
        <rFont val="宋体"/>
        <charset val="134"/>
      </rPr>
      <t>点伤害，或豁免成功伤害减半。一旦你使用了这一特性，它在</t>
    </r>
    <r>
      <rPr>
        <sz val="10"/>
        <color theme="1"/>
        <rFont val="Times New Roman"/>
        <charset val="134"/>
      </rPr>
      <t>1</t>
    </r>
    <r>
      <rPr>
        <sz val="10"/>
        <color theme="1"/>
        <rFont val="宋体"/>
        <charset val="134"/>
      </rPr>
      <t>分钟之内无法再次使用。</t>
    </r>
    <r>
      <rPr>
        <sz val="10"/>
        <color theme="1"/>
        <rFont val="Times New Roman"/>
        <charset val="134"/>
      </rPr>
      <t xml:space="preserve">
</t>
    </r>
    <r>
      <rPr>
        <sz val="10"/>
        <color theme="1"/>
        <rFont val="宋体"/>
        <charset val="134"/>
      </rPr>
      <t>你的吐息武器会在特定等级获得增强。在第</t>
    </r>
    <r>
      <rPr>
        <sz val="10"/>
        <color theme="1"/>
        <rFont val="Times New Roman"/>
        <charset val="134"/>
      </rPr>
      <t>6</t>
    </r>
    <r>
      <rPr>
        <sz val="10"/>
        <color theme="1"/>
        <rFont val="宋体"/>
        <charset val="134"/>
      </rPr>
      <t>级，你的吐息武器造成</t>
    </r>
    <r>
      <rPr>
        <sz val="10"/>
        <color theme="1"/>
        <rFont val="Times New Roman"/>
        <charset val="134"/>
      </rPr>
      <t>3d6</t>
    </r>
    <r>
      <rPr>
        <sz val="10"/>
        <color theme="1"/>
        <rFont val="宋体"/>
        <charset val="134"/>
      </rPr>
      <t>点伤害且范围扩大为</t>
    </r>
    <r>
      <rPr>
        <sz val="10"/>
        <color theme="1"/>
        <rFont val="Times New Roman"/>
        <charset val="134"/>
      </rPr>
      <t>20</t>
    </r>
    <r>
      <rPr>
        <sz val="10"/>
        <color theme="1"/>
        <rFont val="宋体"/>
        <charset val="134"/>
      </rPr>
      <t>尺锥形。在第</t>
    </r>
    <r>
      <rPr>
        <sz val="10"/>
        <color theme="1"/>
        <rFont val="Times New Roman"/>
        <charset val="134"/>
      </rPr>
      <t>10</t>
    </r>
    <r>
      <rPr>
        <sz val="10"/>
        <color theme="1"/>
        <rFont val="宋体"/>
        <charset val="134"/>
      </rPr>
      <t>级，它造成</t>
    </r>
    <r>
      <rPr>
        <sz val="10"/>
        <color theme="1"/>
        <rFont val="Times New Roman"/>
        <charset val="134"/>
      </rPr>
      <t>4d6</t>
    </r>
    <r>
      <rPr>
        <sz val="10"/>
        <color theme="1"/>
        <rFont val="宋体"/>
        <charset val="134"/>
      </rPr>
      <t>点伤害且范围扩大为</t>
    </r>
    <r>
      <rPr>
        <sz val="10"/>
        <color theme="1"/>
        <rFont val="Times New Roman"/>
        <charset val="134"/>
      </rPr>
      <t>25</t>
    </r>
    <r>
      <rPr>
        <sz val="10"/>
        <color theme="1"/>
        <rFont val="宋体"/>
        <charset val="134"/>
      </rPr>
      <t>尺锥形，并且在第</t>
    </r>
    <r>
      <rPr>
        <sz val="10"/>
        <color theme="1"/>
        <rFont val="Times New Roman"/>
        <charset val="134"/>
      </rPr>
      <t>14</t>
    </r>
    <r>
      <rPr>
        <sz val="10"/>
        <color theme="1"/>
        <rFont val="宋体"/>
        <charset val="134"/>
      </rPr>
      <t>级，它造成</t>
    </r>
    <r>
      <rPr>
        <sz val="10"/>
        <color theme="1"/>
        <rFont val="Times New Roman"/>
        <charset val="134"/>
      </rPr>
      <t>5d6</t>
    </r>
    <r>
      <rPr>
        <sz val="10"/>
        <color theme="1"/>
        <rFont val="宋体"/>
        <charset val="134"/>
      </rPr>
      <t>点伤害且范围扩大为</t>
    </r>
    <r>
      <rPr>
        <sz val="10"/>
        <color theme="1"/>
        <rFont val="Times New Roman"/>
        <charset val="134"/>
      </rPr>
      <t>30</t>
    </r>
    <r>
      <rPr>
        <sz val="10"/>
        <color theme="1"/>
        <rFont val="宋体"/>
        <charset val="134"/>
      </rPr>
      <t>尺锥形。</t>
    </r>
  </si>
  <si>
    <r>
      <rPr>
        <sz val="10"/>
        <color theme="1"/>
        <rFont val="宋体"/>
        <charset val="134"/>
      </rPr>
      <t>符文主宰</t>
    </r>
  </si>
  <si>
    <r>
      <rPr>
        <sz val="10"/>
        <color theme="1"/>
        <rFont val="宋体"/>
        <charset val="134"/>
      </rPr>
      <t>你学会增强你对于符文力量的转换。
因此，你的巨人之力特性造成的额外伤害提高至</t>
    </r>
    <r>
      <rPr>
        <sz val="10"/>
        <color theme="1"/>
        <rFont val="Times New Roman"/>
        <charset val="134"/>
      </rPr>
      <t>1d10</t>
    </r>
    <r>
      <rPr>
        <sz val="10"/>
        <color theme="1"/>
        <rFont val="宋体"/>
        <charset val="134"/>
      </rPr>
      <t>。
此外，当你使用该特性时，你的体型变为巨型，且当你保持该尺寸时，你的触及提高</t>
    </r>
    <r>
      <rPr>
        <sz val="10"/>
        <color theme="1"/>
        <rFont val="Times New Roman"/>
        <charset val="134"/>
      </rPr>
      <t>5</t>
    </r>
    <r>
      <rPr>
        <sz val="10"/>
        <color theme="1"/>
        <rFont val="宋体"/>
        <charset val="134"/>
      </rPr>
      <t>尺。</t>
    </r>
  </si>
  <si>
    <t>疫病之道</t>
  </si>
  <si>
    <r>
      <rPr>
        <sz val="10"/>
        <color theme="1"/>
        <rFont val="宋体"/>
        <charset val="134"/>
      </rPr>
      <t>你已将疫病之力炼入体内，如今可以将其显化在外。你获得以下增益：</t>
    </r>
    <r>
      <rPr>
        <sz val="10"/>
        <color theme="1"/>
        <rFont val="Times New Roman"/>
        <charset val="134"/>
      </rPr>
      <t xml:space="preserve">
</t>
    </r>
    <r>
      <rPr>
        <sz val="10"/>
        <color theme="1"/>
        <rFont val="宋体"/>
        <charset val="134"/>
      </rPr>
      <t>疠爪</t>
    </r>
    <r>
      <rPr>
        <sz val="10"/>
        <color theme="1"/>
        <rFont val="Times New Roman"/>
        <charset val="134"/>
      </rPr>
      <t>Claws of Pestilence</t>
    </r>
    <r>
      <rPr>
        <sz val="10"/>
        <color theme="1"/>
        <rFont val="宋体"/>
        <charset val="134"/>
      </rPr>
      <t>。</t>
    </r>
    <r>
      <rPr>
        <sz val="10"/>
        <color theme="1"/>
        <rFont val="Times New Roman"/>
        <charset val="134"/>
      </rPr>
      <t xml:space="preserve"> </t>
    </r>
    <r>
      <rPr>
        <sz val="10"/>
        <color theme="1"/>
        <rFont val="宋体"/>
        <charset val="134"/>
      </rPr>
      <t>你的指甲长成一套如同害兽般的利爪。当你以徒手打击命中时，你可以造成挥砍伤害而不是钝击伤害。当你以疾风连击赋予的攻击命中生物时，你会额外造成等于你武艺骰的暗蚀伤害。</t>
    </r>
    <r>
      <rPr>
        <sz val="10"/>
        <color theme="1"/>
        <rFont val="Times New Roman"/>
        <charset val="134"/>
      </rPr>
      <t xml:space="preserve">
</t>
    </r>
    <r>
      <rPr>
        <sz val="10"/>
        <color theme="1"/>
        <rFont val="宋体"/>
        <charset val="134"/>
      </rPr>
      <t>毒瘴疫病</t>
    </r>
    <r>
      <rPr>
        <sz val="10"/>
        <color theme="1"/>
        <rFont val="Times New Roman"/>
        <charset val="134"/>
      </rPr>
      <t>Miasmic Plague</t>
    </r>
    <r>
      <rPr>
        <sz val="10"/>
        <color theme="1"/>
        <rFont val="宋体"/>
        <charset val="134"/>
      </rPr>
      <t>。</t>
    </r>
    <r>
      <rPr>
        <sz val="10"/>
        <color theme="1"/>
        <rFont val="Times New Roman"/>
        <charset val="134"/>
      </rPr>
      <t xml:space="preserve"> </t>
    </r>
    <r>
      <rPr>
        <sz val="10"/>
        <color theme="1"/>
        <rFont val="宋体"/>
        <charset val="134"/>
      </rPr>
      <t>当你以徒手打击命中一个生物时，你可以消耗</t>
    </r>
    <r>
      <rPr>
        <sz val="10"/>
        <color theme="1"/>
        <rFont val="Times New Roman"/>
        <charset val="134"/>
      </rPr>
      <t>1</t>
    </r>
    <r>
      <rPr>
        <sz val="10"/>
        <color theme="1"/>
        <rFont val="宋体"/>
        <charset val="134"/>
      </rPr>
      <t>点功力迫使该生物进行一次体质豁免，豁免失败则该生物被诅咒，持续</t>
    </r>
    <r>
      <rPr>
        <sz val="10"/>
        <color theme="1"/>
        <rFont val="Times New Roman"/>
        <charset val="134"/>
      </rPr>
      <t>1</t>
    </r>
    <r>
      <rPr>
        <sz val="10"/>
        <color theme="1"/>
        <rFont val="宋体"/>
        <charset val="134"/>
      </rPr>
      <t>分钟。被诅咒期间，该生物陷入中毒状态，并且你的徒手打击额外对其造成等于你武艺骰的暗蚀伤害。一个生物每回合只能受到一次此伤害。该生物在其每个回合结束时重复该豁免，豁免成功则终止自身效应。</t>
    </r>
    <r>
      <rPr>
        <sz val="10"/>
        <color theme="1"/>
        <rFont val="Times New Roman"/>
        <charset val="134"/>
      </rPr>
      <t xml:space="preserve">
</t>
    </r>
    <r>
      <rPr>
        <sz val="10"/>
        <color theme="1"/>
        <rFont val="宋体"/>
        <charset val="134"/>
      </rPr>
      <t>如果你放弃疠爪赋予的额外伤害，则你可以不消耗功力地使用毒瘴疫病。</t>
    </r>
  </si>
  <si>
    <t>奥法挪移</t>
  </si>
  <si>
    <r>
      <rPr>
        <sz val="10"/>
        <color theme="1"/>
        <rFont val="宋体"/>
        <charset val="134"/>
      </rPr>
      <t>以一个动作，你可以创造出半径</t>
    </r>
    <r>
      <rPr>
        <sz val="10"/>
        <color theme="1"/>
        <rFont val="Times New Roman"/>
        <charset val="134"/>
      </rPr>
      <t>30</t>
    </r>
    <r>
      <rPr>
        <sz val="10"/>
        <color theme="1"/>
        <rFont val="宋体"/>
        <charset val="134"/>
      </rPr>
      <t>尺的魔法场，其中散布着劈啪作响的魔法。</t>
    </r>
    <r>
      <rPr>
        <sz val="10"/>
        <color theme="1"/>
        <rFont val="Times New Roman"/>
        <charset val="134"/>
      </rPr>
      <t>1</t>
    </r>
    <r>
      <rPr>
        <sz val="10"/>
        <color theme="1"/>
        <rFont val="宋体"/>
        <charset val="134"/>
      </rPr>
      <t>分钟内，你获得以下增益：
你对法术造成的伤害具有抗性，你对抗法术进行的豁免具有优势。
每当一名生物使用近战攻击命中你时，其受到等于你魅力调整值（至少为</t>
    </r>
    <r>
      <rPr>
        <sz val="10"/>
        <color theme="1"/>
        <rFont val="Times New Roman"/>
        <charset val="134"/>
      </rPr>
      <t>1</t>
    </r>
    <r>
      <rPr>
        <sz val="10"/>
        <color theme="1"/>
        <rFont val="宋体"/>
        <charset val="134"/>
      </rPr>
      <t>）的力场伤害，表现为魔法性能量猛烈的冲击它们。
当你消耗一环或更高的法术位时，魔法场内的友好生物将恢复生命值，敌对生物则将受到力场伤害，二者数值均等于你的魅力调整值（至少为</t>
    </r>
    <r>
      <rPr>
        <sz val="10"/>
        <color theme="1"/>
        <rFont val="Times New Roman"/>
        <charset val="134"/>
      </rPr>
      <t>1</t>
    </r>
    <r>
      <rPr>
        <sz val="10"/>
        <color theme="1"/>
        <rFont val="宋体"/>
        <charset val="134"/>
      </rPr>
      <t>）。
此特性一经使用，直至完成长休你都无法再次使用。</t>
    </r>
  </si>
  <si>
    <t>爆裂暗烛</t>
  </si>
  <si>
    <t>以一个动作，你可以花费3点烛心点引燃一支漆黑的蜡烛，并向你周围60尺内的一个可见位置将其掷出。一场剧烈的爆炸自蜡烛内爆发，以蜡烛为圆心的半径20尺球型范围内的每个生物需要进行一次敏捷豁免。豁免失败时，目标受到2d6点火焰伤害和2d8点雷鸣伤害，成功则伤害减半。当你使用此魔艺时，你可以花费额外的烛心点，每1点都可以额外造成1d6的火焰伤害。火焰会绕过拐角扩散。它也会引燃范围内未被穿戴或携带的可燃物品。</t>
  </si>
  <si>
    <t>折曜之盾</t>
  </si>
  <si>
    <r>
      <rPr>
        <sz val="10"/>
        <color theme="1"/>
        <rFont val="宋体"/>
        <charset val="134"/>
      </rPr>
      <t>你可以操控身周的光线保护自己。以一个附赠动作，你可以消耗</t>
    </r>
    <r>
      <rPr>
        <sz val="10"/>
        <color theme="1"/>
        <rFont val="Times New Roman"/>
        <charset val="134"/>
      </rPr>
      <t>3</t>
    </r>
    <r>
      <rPr>
        <sz val="10"/>
        <color theme="1"/>
        <rFont val="宋体"/>
        <charset val="134"/>
      </rPr>
      <t>术法点魔法性的创造光之护盾。光盾生效期间，每当位于你</t>
    </r>
    <r>
      <rPr>
        <sz val="10"/>
        <color theme="1"/>
        <rFont val="Times New Roman"/>
        <charset val="134"/>
      </rPr>
      <t>5</t>
    </r>
    <r>
      <rPr>
        <sz val="10"/>
        <color theme="1"/>
        <rFont val="宋体"/>
        <charset val="134"/>
      </rPr>
      <t>尺内的生物以近战攻击命中你时，光盾闪烁灼热的能量，若你属于光移，攻击者受到</t>
    </r>
    <r>
      <rPr>
        <sz val="10"/>
        <color theme="1"/>
        <rFont val="Times New Roman"/>
        <charset val="134"/>
      </rPr>
      <t>2d8</t>
    </r>
    <r>
      <rPr>
        <sz val="10"/>
        <color theme="1"/>
        <rFont val="宋体"/>
        <charset val="134"/>
      </rPr>
      <t>光耀伤害，若你属于暗移，攻击者受到</t>
    </r>
    <r>
      <rPr>
        <sz val="10"/>
        <color theme="1"/>
        <rFont val="Times New Roman"/>
        <charset val="134"/>
      </rPr>
      <t>2d8</t>
    </r>
    <r>
      <rPr>
        <sz val="10"/>
        <color theme="1"/>
        <rFont val="宋体"/>
        <charset val="134"/>
      </rPr>
      <t>暗蚀伤害。光盾持续</t>
    </r>
    <r>
      <rPr>
        <sz val="10"/>
        <color theme="1"/>
        <rFont val="Times New Roman"/>
        <charset val="134"/>
      </rPr>
      <t>10</t>
    </r>
    <r>
      <rPr>
        <sz val="10"/>
        <color theme="1"/>
        <rFont val="宋体"/>
        <charset val="134"/>
      </rPr>
      <t>分钟，或在你昏迷时提前消失。</t>
    </r>
  </si>
  <si>
    <r>
      <rPr>
        <sz val="10"/>
        <color theme="1"/>
        <rFont val="宋体"/>
        <charset val="134"/>
      </rPr>
      <t>深海意志</t>
    </r>
  </si>
  <si>
    <r>
      <rPr>
        <sz val="10"/>
        <color theme="1"/>
        <rFont val="宋体"/>
        <charset val="134"/>
      </rPr>
      <t>你已经浸没于和深渊的契约，你现在可以汲取整个大洋，水元素位面或者其他的异界海洋的无尽力量。
你的宗主仅仅是想利用你去了解陆地，或者它希望你打开深海的阀门去淹没整个世界？
也许你生为祂的信徒，你的家族世代崇拜深海宗主和祂眷族。
或者你曾经遭遇海难，在溺死的边缘被你的宗主所拯救，祂给了你生存的机会。
不管你为何和祂缔结契约，大海和它那未知的深渊听从你的召唤。
能够赋予邪术师力量的深渊存在包括克拉肯们（泛指神话中的海妖），古老的元素生物，寇涛鱼人神话幻想中的存在，人鱼半神和海鬼婆集会。</t>
    </r>
  </si>
  <si>
    <t>地脉编织</t>
  </si>
  <si>
    <r>
      <rPr>
        <sz val="10"/>
        <color theme="1"/>
        <rFont val="宋体"/>
        <charset val="134"/>
      </rPr>
      <t>你学会了如何接入与遥远的地脉相互连接的地脉网络，向荒芜或绝地中注入它们的力量。通过一小时的冥想，你可以利用遥远的地脉之力在你当前所处的位置暂时创建一条新的地脉。当你这样做时，你可以从地脉法术表中选择任意一个地形，并使自己与该地形的地脉调谐。此地脉的地形不需要与你当前所处的地形匹配。你创造的新地脉可以影响到以你冥想的位置为中心半径</t>
    </r>
    <r>
      <rPr>
        <sz val="10"/>
        <color theme="1"/>
        <rFont val="Times New Roman"/>
        <charset val="134"/>
      </rPr>
      <t>1</t>
    </r>
    <r>
      <rPr>
        <sz val="10"/>
        <color theme="1"/>
        <rFont val="宋体"/>
        <charset val="134"/>
      </rPr>
      <t>英里的区域，该区域将变为你调谐的地脉的地形。地脉很难在陌生的地方扎根，</t>
    </r>
    <r>
      <rPr>
        <sz val="10"/>
        <color theme="1"/>
        <rFont val="Times New Roman"/>
        <charset val="134"/>
      </rPr>
      <t>24</t>
    </r>
    <r>
      <rPr>
        <sz val="10"/>
        <color theme="1"/>
        <rFont val="宋体"/>
        <charset val="134"/>
      </rPr>
      <t>小时后，该效应就会消失。一旦你使用了此特性，直到你完成一次长休前你都无法再次使用。
通过这种能力，你可以每日在同一个位置创造相同类型的地脉，持续一年，来使这些效应成为永久性效果。这将永久改变你选择区域内的自然景观，你可以选择令该区域内的环境与你创建的新地脉类型匹配，或将其地形类型特征与你的所处环境相结合。</t>
    </r>
  </si>
  <si>
    <t>虚灵宗</t>
  </si>
  <si>
    <t>鹰击长空</t>
  </si>
  <si>
    <r>
      <rPr>
        <sz val="10"/>
        <color theme="1"/>
        <rFont val="宋体"/>
        <charset val="134"/>
      </rPr>
      <t>当你坠落时，你能够以反应消耗</t>
    </r>
    <r>
      <rPr>
        <sz val="10"/>
        <color theme="1"/>
        <rFont val="Times New Roman"/>
        <charset val="134"/>
      </rPr>
      <t>1</t>
    </r>
    <r>
      <rPr>
        <sz val="10"/>
        <color theme="1"/>
        <rFont val="宋体"/>
        <charset val="134"/>
      </rPr>
      <t>点战技点，使你的坠落速度降至每轮</t>
    </r>
    <r>
      <rPr>
        <sz val="10"/>
        <color theme="1"/>
        <rFont val="Times New Roman"/>
        <charset val="134"/>
      </rPr>
      <t>60</t>
    </r>
    <r>
      <rPr>
        <sz val="10"/>
        <color theme="1"/>
        <rFont val="宋体"/>
        <charset val="134"/>
      </rPr>
      <t>尺，持续</t>
    </r>
    <r>
      <rPr>
        <sz val="10"/>
        <color theme="1"/>
        <rFont val="Times New Roman"/>
        <charset val="134"/>
      </rPr>
      <t>1</t>
    </r>
    <r>
      <rPr>
        <sz val="10"/>
        <color theme="1"/>
        <rFont val="宋体"/>
        <charset val="134"/>
      </rPr>
      <t>分钟。若你在持续时间内着陆，你不会受到坠落伤害。此外，此战技持续时间内每个你的回合中，以一个附赠动作，你可以额外消耗</t>
    </r>
    <r>
      <rPr>
        <sz val="10"/>
        <color theme="1"/>
        <rFont val="Times New Roman"/>
        <charset val="134"/>
      </rPr>
      <t>1</t>
    </r>
    <r>
      <rPr>
        <sz val="10"/>
        <color theme="1"/>
        <rFont val="宋体"/>
        <charset val="134"/>
      </rPr>
      <t>点战技点获得</t>
    </r>
    <r>
      <rPr>
        <sz val="10"/>
        <color theme="1"/>
        <rFont val="Times New Roman"/>
        <charset val="134"/>
      </rPr>
      <t>30</t>
    </r>
    <r>
      <rPr>
        <sz val="10"/>
        <color theme="1"/>
        <rFont val="宋体"/>
        <charset val="134"/>
      </rPr>
      <t>尺飞行速度，持续至你的这个回合结束。</t>
    </r>
  </si>
  <si>
    <t>林地之精咒唤术</t>
  </si>
  <si>
    <r>
      <rPr>
        <sz val="10"/>
        <color theme="1"/>
        <rFont val="微软雅黑"/>
        <charset val="134"/>
      </rPr>
      <t>一名慈祥的德鲁伊与你分享了森林魔法的秘密。以一个动作，你可以消耗一次诗人激励的使用次数，在你周围</t>
    </r>
    <r>
      <rPr>
        <sz val="10"/>
        <color theme="1"/>
        <rFont val="Times New Roman"/>
        <charset val="134"/>
      </rPr>
      <t>60</t>
    </r>
    <r>
      <rPr>
        <sz val="10"/>
        <color theme="1"/>
        <rFont val="微软雅黑"/>
        <charset val="134"/>
      </rPr>
      <t>尺范围内的一处你可见的、未被占据的空间中咒唤出一位森林守卫。守卫的体型为大型，外表如同一只灵体凶猛大猫。任何进入或离开守卫周围空间的敌人都必须进行一次感知豁免，豁免失败时将受到等同于你诗人激励骰的魔法挥砍伤害。维持森林守卫需要你的专注，至多可持续存在</t>
    </r>
    <r>
      <rPr>
        <sz val="10"/>
        <color theme="1"/>
        <rFont val="Times New Roman"/>
        <charset val="134"/>
      </rPr>
      <t>10</t>
    </r>
    <r>
      <rPr>
        <sz val="10"/>
        <color theme="1"/>
        <rFont val="微软雅黑"/>
        <charset val="134"/>
      </rPr>
      <t>分钟。</t>
    </r>
    <r>
      <rPr>
        <sz val="10"/>
        <color theme="1"/>
        <rFont val="Times New Roman"/>
        <charset val="134"/>
      </rPr>
      <t xml:space="preserve">
</t>
    </r>
    <r>
      <rPr>
        <sz val="10"/>
        <color theme="1"/>
        <rFont val="微软雅黑"/>
        <charset val="134"/>
      </rPr>
      <t>达到第</t>
    </r>
    <r>
      <rPr>
        <sz val="10"/>
        <color theme="1"/>
        <rFont val="Times New Roman"/>
        <charset val="134"/>
      </rPr>
      <t>6</t>
    </r>
    <r>
      <rPr>
        <sz val="10"/>
        <color theme="1"/>
        <rFont val="微软雅黑"/>
        <charset val="134"/>
      </rPr>
      <t>级之后，你与守卫灵体之间的联系更为紧固。任何受到守卫灵体伤害的生物速度会降至</t>
    </r>
    <r>
      <rPr>
        <sz val="10"/>
        <color theme="1"/>
        <rFont val="Times New Roman"/>
        <charset val="134"/>
      </rPr>
      <t>0</t>
    </r>
    <r>
      <rPr>
        <sz val="10"/>
        <color theme="1"/>
        <rFont val="微软雅黑"/>
        <charset val="134"/>
      </rPr>
      <t>，持续直至该回合结束。</t>
    </r>
    <r>
      <rPr>
        <sz val="10"/>
        <color theme="1"/>
        <rFont val="Times New Roman"/>
        <charset val="134"/>
      </rPr>
      <t xml:space="preserve">
</t>
    </r>
    <r>
      <rPr>
        <sz val="10"/>
        <color theme="1"/>
        <rFont val="微软雅黑"/>
        <charset val="134"/>
      </rPr>
      <t>达到第</t>
    </r>
    <r>
      <rPr>
        <sz val="10"/>
        <color theme="1"/>
        <rFont val="Times New Roman"/>
        <charset val="134"/>
      </rPr>
      <t>14</t>
    </r>
    <r>
      <rPr>
        <sz val="10"/>
        <color theme="1"/>
        <rFont val="微软雅黑"/>
        <charset val="134"/>
      </rPr>
      <t>级之后，任何体型不超过大型的生物若受到守护灵体的伤害，该生物还会被守护灵体丁在原地，陷入</t>
    </r>
    <r>
      <rPr>
        <sz val="10"/>
        <color theme="1"/>
        <rFont val="Times New Roman"/>
        <charset val="134"/>
      </rPr>
      <t xml:space="preserve"> </t>
    </r>
    <r>
      <rPr>
        <sz val="10"/>
        <color theme="1"/>
        <rFont val="微软雅黑"/>
        <charset val="134"/>
      </rPr>
      <t>束缚</t>
    </r>
    <r>
      <rPr>
        <sz val="10"/>
        <color theme="1"/>
        <rFont val="Times New Roman"/>
        <charset val="134"/>
      </rPr>
      <t xml:space="preserve">Restrained </t>
    </r>
    <r>
      <rPr>
        <sz val="10"/>
        <color theme="1"/>
        <rFont val="微软雅黑"/>
        <charset val="134"/>
      </rPr>
      <t>状态，持续直至你的专注结束。被束缚的生物可以用自己的动作进行一次力量（运动）检定，对抗你旅者技艺的豁免</t>
    </r>
    <r>
      <rPr>
        <sz val="10"/>
        <color theme="1"/>
        <rFont val="Times New Roman"/>
        <charset val="134"/>
      </rPr>
      <t>DC</t>
    </r>
    <r>
      <rPr>
        <sz val="10"/>
        <color theme="1"/>
        <rFont val="微软雅黑"/>
        <charset val="134"/>
      </rPr>
      <t>来尝试挣脱束缚。</t>
    </r>
  </si>
  <si>
    <t>审判官</t>
  </si>
  <si>
    <r>
      <rPr>
        <sz val="10"/>
        <color theme="1"/>
        <rFont val="宋体"/>
        <charset val="134"/>
      </rPr>
      <t>当</t>
    </r>
    <r>
      <rPr>
        <sz val="10"/>
        <color theme="1"/>
        <rFont val="Times New Roman"/>
        <charset val="134"/>
      </rPr>
      <t>60</t>
    </r>
    <r>
      <rPr>
        <sz val="10"/>
        <color theme="1"/>
        <rFont val="宋体"/>
        <charset val="134"/>
      </rPr>
      <t>尺内有生物施展一个法术，你可以用一个反应迫使该目标进行一个体质豁免，豁免失败则受到（法术环位等级</t>
    </r>
    <r>
      <rPr>
        <sz val="10"/>
        <color theme="1"/>
        <rFont val="Times New Roman"/>
        <charset val="134"/>
      </rPr>
      <t>)*d8+</t>
    </r>
    <r>
      <rPr>
        <sz val="10"/>
        <color theme="1"/>
        <rFont val="宋体"/>
        <charset val="134"/>
      </rPr>
      <t>你的感知调整值的力场伤害，成功则伤害减半。戏法被视作一环法术（</t>
    </r>
    <r>
      <rPr>
        <sz val="10"/>
        <color theme="1"/>
        <rFont val="Times New Roman"/>
        <charset val="134"/>
      </rPr>
      <t>1d8)</t>
    </r>
    <r>
      <rPr>
        <sz val="10"/>
        <color theme="1"/>
        <rFont val="宋体"/>
        <charset val="134"/>
      </rPr>
      <t>。</t>
    </r>
    <r>
      <rPr>
        <sz val="10"/>
        <color theme="1"/>
        <rFont val="Times New Roman"/>
        <charset val="134"/>
      </rPr>
      <t xml:space="preserve"> 
</t>
    </r>
    <r>
      <rPr>
        <sz val="10"/>
        <color theme="1"/>
        <rFont val="宋体"/>
        <charset val="134"/>
      </rPr>
      <t>你可以使用该特性的次数等于你的感知调整值（至少为一次）。而你将在完成一次长休后重新恢复所有的使用次数。</t>
    </r>
  </si>
  <si>
    <t>强化巨龙之姿</t>
  </si>
  <si>
    <r>
      <rPr>
        <sz val="10"/>
        <color theme="1"/>
        <rFont val="宋体"/>
        <charset val="134"/>
      </rPr>
      <t>你对你的巨龙之姿的控制能力获得增强。在变成此形态时你获得如下这些增益：</t>
    </r>
    <r>
      <rPr>
        <sz val="10"/>
        <color theme="1"/>
        <rFont val="Times New Roman"/>
        <charset val="134"/>
      </rPr>
      <t xml:space="preserve">
</t>
    </r>
    <r>
      <rPr>
        <sz val="10"/>
        <color theme="1"/>
        <rFont val="宋体"/>
        <charset val="134"/>
      </rPr>
      <t>你的</t>
    </r>
    <r>
      <rPr>
        <sz val="10"/>
        <color theme="1"/>
        <rFont val="Times New Roman"/>
        <charset val="134"/>
      </rPr>
      <t>AC</t>
    </r>
    <r>
      <rPr>
        <sz val="10"/>
        <color theme="1"/>
        <rFont val="宋体"/>
        <charset val="134"/>
      </rPr>
      <t>等于</t>
    </r>
    <r>
      <rPr>
        <sz val="10"/>
        <color theme="1"/>
        <rFont val="Times New Roman"/>
        <charset val="134"/>
      </rPr>
      <t>14+</t>
    </r>
    <r>
      <rPr>
        <sz val="10"/>
        <color theme="1"/>
        <rFont val="宋体"/>
        <charset val="134"/>
      </rPr>
      <t>你的敏捷调整值（至多为</t>
    </r>
    <r>
      <rPr>
        <sz val="10"/>
        <color theme="1"/>
        <rFont val="Times New Roman"/>
        <charset val="134"/>
      </rPr>
      <t>2</t>
    </r>
    <r>
      <rPr>
        <sz val="10"/>
        <color theme="1"/>
        <rFont val="宋体"/>
        <charset val="134"/>
      </rPr>
      <t>）。</t>
    </r>
    <r>
      <rPr>
        <sz val="10"/>
        <color theme="1"/>
        <rFont val="Times New Roman"/>
        <charset val="134"/>
      </rPr>
      <t xml:space="preserve">
</t>
    </r>
    <r>
      <rPr>
        <sz val="10"/>
        <color theme="1"/>
        <rFont val="宋体"/>
        <charset val="134"/>
      </rPr>
      <t>你获得新的攻击方式：</t>
    </r>
    <r>
      <rPr>
        <sz val="10"/>
        <color theme="1"/>
        <rFont val="Times New Roman"/>
        <charset val="134"/>
      </rPr>
      <t xml:space="preserve">
</t>
    </r>
    <r>
      <rPr>
        <sz val="10"/>
        <color theme="1"/>
        <rFont val="宋体"/>
        <charset val="134"/>
      </rPr>
      <t>爪击</t>
    </r>
    <r>
      <rPr>
        <sz val="10"/>
        <color theme="1"/>
        <rFont val="Times New Roman"/>
        <charset val="134"/>
      </rPr>
      <t>Claw</t>
    </r>
    <r>
      <rPr>
        <sz val="10"/>
        <color theme="1"/>
        <rFont val="宋体"/>
        <charset val="134"/>
      </rPr>
      <t>。你锋利的爪子是你可以用以进行徒手打击的天生武器。你可以在你爪击的攻击检定和伤害掷骰上应用你的感知调整值而非力量。若你的爪击命中，你造成等同于</t>
    </r>
    <r>
      <rPr>
        <sz val="10"/>
        <color theme="1"/>
        <rFont val="Times New Roman"/>
        <charset val="134"/>
      </rPr>
      <t>2d6+</t>
    </r>
    <r>
      <rPr>
        <sz val="10"/>
        <color theme="1"/>
        <rFont val="宋体"/>
        <charset val="134"/>
      </rPr>
      <t>你的力量或感知调整值的挥砍伤害，而非正常徒手打击造成的钝击伤害。</t>
    </r>
    <r>
      <rPr>
        <sz val="10"/>
        <color theme="1"/>
        <rFont val="Times New Roman"/>
        <charset val="134"/>
      </rPr>
      <t xml:space="preserve">
</t>
    </r>
    <r>
      <rPr>
        <sz val="10"/>
        <color theme="1"/>
        <rFont val="宋体"/>
        <charset val="134"/>
      </rPr>
      <t>你在你自己的回合执行攻击动作时，你可以进行一次啃咬和一次爪击。如果目标对非魔法攻击或伤害具有免疫或抗性，则你的攻击此时视为魔法攻击。</t>
    </r>
    <r>
      <rPr>
        <sz val="10"/>
        <color theme="1"/>
        <rFont val="Times New Roman"/>
        <charset val="134"/>
      </rPr>
      <t xml:space="preserve">
</t>
    </r>
    <r>
      <rPr>
        <sz val="10"/>
        <color theme="1"/>
        <rFont val="宋体"/>
        <charset val="134"/>
      </rPr>
      <t>你拥有</t>
    </r>
    <r>
      <rPr>
        <sz val="10"/>
        <color theme="1"/>
        <rFont val="Times New Roman"/>
        <charset val="134"/>
      </rPr>
      <t>60</t>
    </r>
    <r>
      <rPr>
        <sz val="10"/>
        <color theme="1"/>
        <rFont val="宋体"/>
        <charset val="134"/>
      </rPr>
      <t>尺黑暗视觉。如果你因种族已经有了黑暗视觉，则再增加</t>
    </r>
    <r>
      <rPr>
        <sz val="10"/>
        <color theme="1"/>
        <rFont val="Times New Roman"/>
        <charset val="134"/>
      </rPr>
      <t>30</t>
    </r>
    <r>
      <rPr>
        <sz val="10"/>
        <color theme="1"/>
        <rFont val="宋体"/>
        <charset val="134"/>
      </rPr>
      <t>尺。</t>
    </r>
  </si>
  <si>
    <r>
      <rPr>
        <sz val="10"/>
        <color theme="1"/>
        <rFont val="宋体"/>
        <charset val="134"/>
      </rPr>
      <t>激励之仪</t>
    </r>
  </si>
  <si>
    <r>
      <rPr>
        <sz val="10"/>
        <color theme="1"/>
        <rFont val="宋体"/>
        <charset val="134"/>
      </rPr>
      <t>在你的回合开始时，你可以激励你的盟友（无需动作）。距离你</t>
    </r>
    <r>
      <rPr>
        <sz val="10"/>
        <color theme="1"/>
        <rFont val="Times New Roman"/>
        <charset val="134"/>
      </rPr>
      <t>30</t>
    </r>
    <r>
      <rPr>
        <sz val="10"/>
        <color theme="1"/>
        <rFont val="宋体"/>
        <charset val="134"/>
      </rPr>
      <t>尺内，所有能够看见或听见你的所选生物恢复生命值，其数值等于</t>
    </r>
    <r>
      <rPr>
        <sz val="10"/>
        <color theme="1"/>
        <rFont val="Times New Roman"/>
        <charset val="134"/>
      </rPr>
      <t>2d6+</t>
    </r>
    <r>
      <rPr>
        <sz val="10"/>
        <color theme="1"/>
        <rFont val="宋体"/>
        <charset val="134"/>
      </rPr>
      <t>你的战士职业等级的一半（向下取整）。在你陷入失能状态期间，你无法使用此特性。
你可以使用该特性的次数等于你的魅力调整值（最少</t>
    </r>
    <r>
      <rPr>
        <sz val="10"/>
        <color theme="1"/>
        <rFont val="Times New Roman"/>
        <charset val="134"/>
      </rPr>
      <t>1</t>
    </r>
    <r>
      <rPr>
        <sz val="10"/>
        <color theme="1"/>
        <rFont val="宋体"/>
        <charset val="134"/>
      </rPr>
      <t>次）。你在完成一次长休时重获所有已消耗的使用次数。</t>
    </r>
  </si>
  <si>
    <t>疫赐感悟</t>
  </si>
  <si>
    <r>
      <rPr>
        <sz val="10"/>
        <color theme="1"/>
        <rFont val="宋体"/>
        <charset val="134"/>
      </rPr>
      <t>经由观察与冥想，你对瘟疫之性与其承载之物产生了深刻共鸣。你获得以下增益：</t>
    </r>
    <r>
      <rPr>
        <sz val="10"/>
        <color theme="1"/>
        <rFont val="Times New Roman"/>
        <charset val="134"/>
      </rPr>
      <t xml:space="preserve">
</t>
    </r>
    <r>
      <rPr>
        <sz val="10"/>
        <color theme="1"/>
        <rFont val="宋体"/>
        <charset val="134"/>
      </rPr>
      <t>预防接种</t>
    </r>
    <r>
      <rPr>
        <sz val="10"/>
        <color theme="1"/>
        <rFont val="Times New Roman"/>
        <charset val="134"/>
      </rPr>
      <t>Inoculation</t>
    </r>
    <r>
      <rPr>
        <sz val="10"/>
        <color theme="1"/>
        <rFont val="宋体"/>
        <charset val="134"/>
      </rPr>
      <t>。</t>
    </r>
    <r>
      <rPr>
        <sz val="10"/>
        <color theme="1"/>
        <rFont val="Times New Roman"/>
        <charset val="134"/>
      </rPr>
      <t xml:space="preserve"> </t>
    </r>
    <r>
      <rPr>
        <sz val="10"/>
        <color theme="1"/>
        <rFont val="宋体"/>
        <charset val="134"/>
      </rPr>
      <t>你为避免或终止中毒状态或魔法疫病而进行的豁免检定具有优势，并且你对毒素和暗蚀伤害具有抗性。</t>
    </r>
    <r>
      <rPr>
        <sz val="10"/>
        <color theme="1"/>
        <rFont val="Times New Roman"/>
        <charset val="134"/>
      </rPr>
      <t xml:space="preserve">
</t>
    </r>
    <r>
      <rPr>
        <sz val="10"/>
        <color theme="1"/>
        <rFont val="宋体"/>
        <charset val="134"/>
      </rPr>
      <t>害兽亲缘</t>
    </r>
    <r>
      <rPr>
        <sz val="10"/>
        <color theme="1"/>
        <rFont val="Times New Roman"/>
        <charset val="134"/>
      </rPr>
      <t>Vermin Kinship</t>
    </r>
    <r>
      <rPr>
        <sz val="10"/>
        <color theme="1"/>
        <rFont val="宋体"/>
        <charset val="134"/>
      </rPr>
      <t>。</t>
    </r>
    <r>
      <rPr>
        <sz val="10"/>
        <color theme="1"/>
        <rFont val="Times New Roman"/>
        <charset val="134"/>
      </rPr>
      <t xml:space="preserve"> </t>
    </r>
    <r>
      <rPr>
        <sz val="10"/>
        <color theme="1"/>
        <rFont val="宋体"/>
        <charset val="134"/>
      </rPr>
      <t>通过叽叽喳喳的声音和手势，你可以向老鼠、鸽子、昆虫等害兽传达简单的概念，并且你获得解读它们叫声和动作的能力。害虫缺乏理解或表达复杂概念的智力，但友好的害兽能够转述它们近期所见所闻。</t>
    </r>
    <r>
      <rPr>
        <sz val="10"/>
        <color theme="1"/>
        <rFont val="Times New Roman"/>
        <charset val="134"/>
      </rPr>
      <t xml:space="preserve">
</t>
    </r>
    <r>
      <rPr>
        <sz val="10"/>
        <color theme="1"/>
        <rFont val="宋体"/>
        <charset val="134"/>
      </rPr>
      <t>此外，你可以使用感知作为施法属性来施展法术动物信使</t>
    </r>
    <r>
      <rPr>
        <sz val="10"/>
        <color theme="1"/>
        <rFont val="Times New Roman"/>
        <charset val="134"/>
      </rPr>
      <t xml:space="preserve">Animal Messenger </t>
    </r>
    <r>
      <rPr>
        <sz val="10"/>
        <color theme="1"/>
        <rFont val="宋体"/>
        <charset val="134"/>
      </rPr>
      <t>，将一个被视为害兽且能够传播疫病的微型野兽作为目标。一旦你以此方式施展了该法术，则直至你完成一次长休前，都无法再次这么做。</t>
    </r>
  </si>
  <si>
    <t>元素斩</t>
  </si>
  <si>
    <r>
      <rPr>
        <sz val="10"/>
        <color theme="1"/>
        <rFont val="宋体"/>
        <charset val="134"/>
      </rPr>
      <t>在你对目标施展至圣斩法术之后，你可以立即消耗一次引导神力的使用次数并触发以下效应之一：</t>
    </r>
    <r>
      <rPr>
        <sz val="10"/>
        <color theme="1"/>
        <rFont val="Times New Roman"/>
        <charset val="134"/>
      </rPr>
      <t xml:space="preserve">
</t>
    </r>
    <r>
      <rPr>
        <sz val="10"/>
        <color theme="1"/>
        <rFont val="宋体"/>
        <charset val="134"/>
      </rPr>
      <t>土巨灵之碾压</t>
    </r>
    <r>
      <rPr>
        <sz val="10"/>
        <color theme="1"/>
        <rFont val="Times New Roman"/>
        <charset val="134"/>
      </rPr>
      <t>Dao's Crush</t>
    </r>
    <r>
      <rPr>
        <sz val="10"/>
        <color theme="1"/>
        <rFont val="宋体"/>
        <charset val="134"/>
      </rPr>
      <t>。大地在你的目标周围隆起，目标陷入受擒状态（逃脱</t>
    </r>
    <r>
      <rPr>
        <sz val="10"/>
        <color theme="1"/>
        <rFont val="Times New Roman"/>
        <charset val="134"/>
      </rPr>
      <t>DC</t>
    </r>
    <r>
      <rPr>
        <sz val="10"/>
        <color theme="1"/>
        <rFont val="宋体"/>
        <charset val="134"/>
      </rPr>
      <t>等于你的法术豁免</t>
    </r>
    <r>
      <rPr>
        <sz val="10"/>
        <color theme="1"/>
        <rFont val="Times New Roman"/>
        <charset val="134"/>
      </rPr>
      <t>DC</t>
    </r>
    <r>
      <rPr>
        <sz val="10"/>
        <color theme="1"/>
        <rFont val="宋体"/>
        <charset val="134"/>
      </rPr>
      <t>）。在受擒期间，该目标处于束缚状态。</t>
    </r>
    <r>
      <rPr>
        <sz val="10"/>
        <color theme="1"/>
        <rFont val="Times New Roman"/>
        <charset val="134"/>
      </rPr>
      <t xml:space="preserve">
</t>
    </r>
    <r>
      <rPr>
        <sz val="10"/>
        <color theme="1"/>
        <rFont val="宋体"/>
        <charset val="134"/>
      </rPr>
      <t>气巨灵之遁形</t>
    </r>
    <r>
      <rPr>
        <sz val="10"/>
        <color theme="1"/>
        <rFont val="Times New Roman"/>
        <charset val="134"/>
      </rPr>
      <t>Djinni's Escape</t>
    </r>
    <r>
      <rPr>
        <sz val="10"/>
        <color theme="1"/>
        <rFont val="宋体"/>
        <charset val="134"/>
      </rPr>
      <t>。你可以传送至</t>
    </r>
    <r>
      <rPr>
        <sz val="10"/>
        <color theme="1"/>
        <rFont val="Times New Roman"/>
        <charset val="134"/>
      </rPr>
      <t>30</t>
    </r>
    <r>
      <rPr>
        <sz val="10"/>
        <color theme="1"/>
        <rFont val="宋体"/>
        <charset val="134"/>
      </rPr>
      <t>尺范围内的一处你可见的、未被占据的空间，并化为半虚体的形态，这一形态持续至你的下个回合结束。在此形态期间，你具有钝击、穿刺、挥砍伤害的抗性，并且免疫受擒、倒地和束缚状态。</t>
    </r>
    <r>
      <rPr>
        <sz val="10"/>
        <color theme="1"/>
        <rFont val="Times New Roman"/>
        <charset val="134"/>
      </rPr>
      <t xml:space="preserve">
</t>
    </r>
    <r>
      <rPr>
        <sz val="10"/>
        <color theme="1"/>
        <rFont val="宋体"/>
        <charset val="134"/>
      </rPr>
      <t>火巨灵之狂怒</t>
    </r>
    <r>
      <rPr>
        <sz val="10"/>
        <color theme="1"/>
        <rFont val="Times New Roman"/>
        <charset val="134"/>
      </rPr>
      <t>Efreeti's Fury</t>
    </r>
    <r>
      <rPr>
        <sz val="10"/>
        <color theme="1"/>
        <rFont val="宋体"/>
        <charset val="134"/>
      </rPr>
      <t>。你的目标额外受到</t>
    </r>
    <r>
      <rPr>
        <sz val="10"/>
        <color theme="1"/>
        <rFont val="Times New Roman"/>
        <charset val="134"/>
      </rPr>
      <t>2d4</t>
    </r>
    <r>
      <rPr>
        <sz val="10"/>
        <color theme="1"/>
        <rFont val="宋体"/>
        <charset val="134"/>
      </rPr>
      <t>点火焰伤害，火焰也会弹射到你自身</t>
    </r>
    <r>
      <rPr>
        <sz val="10"/>
        <color theme="1"/>
        <rFont val="Times New Roman"/>
        <charset val="134"/>
      </rPr>
      <t>30</t>
    </r>
    <r>
      <rPr>
        <sz val="10"/>
        <color theme="1"/>
        <rFont val="宋体"/>
        <charset val="134"/>
      </rPr>
      <t>尺范围内可见的另一生物，该生物也受到</t>
    </r>
    <r>
      <rPr>
        <sz val="10"/>
        <color theme="1"/>
        <rFont val="Times New Roman"/>
        <charset val="134"/>
      </rPr>
      <t>2d4</t>
    </r>
    <r>
      <rPr>
        <sz val="10"/>
        <color theme="1"/>
        <rFont val="宋体"/>
        <charset val="134"/>
      </rPr>
      <t>火焰伤害。</t>
    </r>
    <r>
      <rPr>
        <sz val="10"/>
        <color theme="1"/>
        <rFont val="Times New Roman"/>
        <charset val="134"/>
      </rPr>
      <t xml:space="preserve">
</t>
    </r>
    <r>
      <rPr>
        <sz val="10"/>
        <color theme="1"/>
        <rFont val="宋体"/>
        <charset val="134"/>
      </rPr>
      <t>水巨灵之激流</t>
    </r>
    <r>
      <rPr>
        <sz val="10"/>
        <color theme="1"/>
        <rFont val="Times New Roman"/>
        <charset val="134"/>
      </rPr>
      <t>Marid's Surge</t>
    </r>
    <r>
      <rPr>
        <sz val="10"/>
        <color theme="1"/>
        <rFont val="宋体"/>
        <charset val="134"/>
      </rPr>
      <t>。目标和源自你的</t>
    </r>
    <r>
      <rPr>
        <sz val="10"/>
        <color theme="1"/>
        <rFont val="Times New Roman"/>
        <charset val="134"/>
      </rPr>
      <t>10</t>
    </r>
    <r>
      <rPr>
        <sz val="10"/>
        <color theme="1"/>
        <rFont val="宋体"/>
        <charset val="134"/>
      </rPr>
      <t>尺光环区域内你指定的每个生物进行一次对抗你法术豁免</t>
    </r>
    <r>
      <rPr>
        <sz val="10"/>
        <color theme="1"/>
        <rFont val="Times New Roman"/>
        <charset val="134"/>
      </rPr>
      <t>DC</t>
    </r>
    <r>
      <rPr>
        <sz val="10"/>
        <color theme="1"/>
        <rFont val="宋体"/>
        <charset val="134"/>
      </rPr>
      <t>的力量豁免。豁免失败的生物被直线推开</t>
    </r>
    <r>
      <rPr>
        <sz val="10"/>
        <color theme="1"/>
        <rFont val="Times New Roman"/>
        <charset val="134"/>
      </rPr>
      <t>15</t>
    </r>
    <r>
      <rPr>
        <sz val="10"/>
        <color theme="1"/>
        <rFont val="宋体"/>
        <charset val="134"/>
      </rPr>
      <t>尺并陷入倒地状态。</t>
    </r>
  </si>
  <si>
    <t>白焰连击</t>
  </si>
  <si>
    <t>当你成功在敌人毫无防备时发动攻击时，你可以引燃你的武器，令其迸发出炽白的光焰。当你在你的回合内造成偷袭伤害时，你可以花费烛心点对目标造成额外的火焰伤害。每消耗1烛芯点就会额外造成1d6伤害，至多造成4d6伤害。</t>
  </si>
  <si>
    <t>灵光增效</t>
  </si>
  <si>
    <t>你对光线的操纵变得炉火纯青。光移期间，你的闪耀灵光产生阳光，暗移期间，你的闪耀灵光产生魔法黑暗。
若灵光区域与任何使用不高于你能够使用的最高环阶的法术位的法术创造的光照或黑暗区域重叠，则这些法术将被解除。</t>
  </si>
  <si>
    <r>
      <rPr>
        <sz val="10"/>
        <color theme="1"/>
        <rFont val="宋体"/>
        <charset val="134"/>
      </rPr>
      <t>深海扩展法术列表</t>
    </r>
  </si>
  <si>
    <r>
      <rPr>
        <sz val="10"/>
        <color theme="1"/>
        <rFont val="宋体"/>
        <charset val="134"/>
      </rPr>
      <t>当你学习一个邪术师法术时，你的深海宗主赐予你将以下法术加入邪术师法术列表进行选择的权力。
法术环阶</t>
    </r>
    <r>
      <rPr>
        <sz val="10"/>
        <color theme="1"/>
        <rFont val="Times New Roman"/>
        <charset val="134"/>
      </rPr>
      <t xml:space="preserve"> </t>
    </r>
    <r>
      <rPr>
        <sz val="10"/>
        <color theme="1"/>
        <rFont val="宋体"/>
        <charset val="134"/>
      </rPr>
      <t>法术</t>
    </r>
    <r>
      <rPr>
        <sz val="10"/>
        <color theme="1"/>
        <rFont val="Times New Roman"/>
        <charset val="134"/>
      </rPr>
      <t xml:space="preserve"> 
</t>
    </r>
    <r>
      <rPr>
        <sz val="10"/>
        <color theme="1"/>
        <rFont val="宋体"/>
        <charset val="134"/>
      </rPr>
      <t>一环</t>
    </r>
    <r>
      <rPr>
        <sz val="10"/>
        <color theme="1"/>
        <rFont val="Times New Roman"/>
        <charset val="134"/>
      </rPr>
      <t xml:space="preserve"> </t>
    </r>
    <r>
      <rPr>
        <sz val="10"/>
        <color theme="1"/>
        <rFont val="宋体"/>
        <charset val="134"/>
      </rPr>
      <t>造水</t>
    </r>
    <r>
      <rPr>
        <sz val="10"/>
        <color theme="1"/>
        <rFont val="Times New Roman"/>
        <charset val="134"/>
      </rPr>
      <t>/</t>
    </r>
    <r>
      <rPr>
        <sz val="10"/>
        <color theme="1"/>
        <rFont val="宋体"/>
        <charset val="134"/>
      </rPr>
      <t>枯水术，雷鸣波</t>
    </r>
    <r>
      <rPr>
        <sz val="10"/>
        <color theme="1"/>
        <rFont val="Times New Roman"/>
        <charset val="134"/>
      </rPr>
      <t xml:space="preserve"> 
</t>
    </r>
    <r>
      <rPr>
        <sz val="10"/>
        <color theme="1"/>
        <rFont val="宋体"/>
        <charset val="134"/>
      </rPr>
      <t>二环</t>
    </r>
    <r>
      <rPr>
        <sz val="10"/>
        <color theme="1"/>
        <rFont val="Times New Roman"/>
        <charset val="134"/>
      </rPr>
      <t xml:space="preserve"> </t>
    </r>
    <r>
      <rPr>
        <sz val="10"/>
        <color theme="1"/>
        <rFont val="宋体"/>
        <charset val="134"/>
      </rPr>
      <t>造风术，沉默术</t>
    </r>
    <r>
      <rPr>
        <sz val="10"/>
        <color theme="1"/>
        <rFont val="Times New Roman"/>
        <charset val="134"/>
      </rPr>
      <t xml:space="preserve"> 
</t>
    </r>
    <r>
      <rPr>
        <sz val="10"/>
        <color theme="1"/>
        <rFont val="宋体"/>
        <charset val="134"/>
      </rPr>
      <t>三环</t>
    </r>
    <r>
      <rPr>
        <sz val="10"/>
        <color theme="1"/>
        <rFont val="Times New Roman"/>
        <charset val="134"/>
      </rPr>
      <t xml:space="preserve"> </t>
    </r>
    <r>
      <rPr>
        <sz val="10"/>
        <color theme="1"/>
        <rFont val="宋体"/>
        <charset val="134"/>
      </rPr>
      <t>闪电束，雪风暴</t>
    </r>
    <r>
      <rPr>
        <sz val="10"/>
        <color theme="1"/>
        <rFont val="Times New Roman"/>
        <charset val="134"/>
      </rPr>
      <t xml:space="preserve"> 
</t>
    </r>
    <r>
      <rPr>
        <sz val="10"/>
        <color theme="1"/>
        <rFont val="宋体"/>
        <charset val="134"/>
      </rPr>
      <t>四环</t>
    </r>
    <r>
      <rPr>
        <sz val="10"/>
        <color theme="1"/>
        <rFont val="Times New Roman"/>
        <charset val="134"/>
      </rPr>
      <t xml:space="preserve"> </t>
    </r>
    <r>
      <rPr>
        <sz val="10"/>
        <color theme="1"/>
        <rFont val="宋体"/>
        <charset val="134"/>
      </rPr>
      <t>操控水体，元素生物召唤术（仅限水元素，该法术出自第三章）</t>
    </r>
    <r>
      <rPr>
        <sz val="10"/>
        <color theme="1"/>
        <rFont val="Times New Roman"/>
        <charset val="134"/>
      </rPr>
      <t xml:space="preserve"> 
</t>
    </r>
    <r>
      <rPr>
        <sz val="10"/>
        <color theme="1"/>
        <rFont val="宋体"/>
        <charset val="134"/>
      </rPr>
      <t>五环</t>
    </r>
    <r>
      <rPr>
        <sz val="10"/>
        <color theme="1"/>
        <rFont val="Times New Roman"/>
        <charset val="134"/>
      </rPr>
      <t xml:space="preserve"> </t>
    </r>
    <r>
      <rPr>
        <sz val="10"/>
        <color theme="1"/>
        <rFont val="宋体"/>
        <charset val="134"/>
      </rPr>
      <t>毕格比之手</t>
    </r>
    <r>
      <rPr>
        <sz val="10"/>
        <color theme="1"/>
        <rFont val="Times New Roman"/>
        <charset val="134"/>
      </rPr>
      <t>(</t>
    </r>
    <r>
      <rPr>
        <sz val="10"/>
        <color theme="1"/>
        <rFont val="宋体"/>
        <charset val="134"/>
      </rPr>
      <t>以触手的形式出现</t>
    </r>
    <r>
      <rPr>
        <sz val="10"/>
        <color theme="1"/>
        <rFont val="Times New Roman"/>
        <charset val="134"/>
      </rPr>
      <t>)</t>
    </r>
    <r>
      <rPr>
        <sz val="10"/>
        <color theme="1"/>
        <rFont val="宋体"/>
        <charset val="134"/>
      </rPr>
      <t>，寒冰锥</t>
    </r>
    <r>
      <rPr>
        <sz val="10"/>
        <color theme="1"/>
        <rFont val="Times New Roman"/>
        <charset val="134"/>
      </rPr>
      <t xml:space="preserve"> </t>
    </r>
  </si>
  <si>
    <t>精髓魔杖</t>
  </si>
  <si>
    <r>
      <rPr>
        <sz val="10"/>
        <color theme="1"/>
        <rFont val="宋体"/>
        <charset val="134"/>
      </rPr>
      <t>自你选择此传承起，你创造一根名为</t>
    </r>
    <r>
      <rPr>
        <sz val="10"/>
        <color theme="1"/>
        <rFont val="宋体"/>
        <charset val="134"/>
      </rPr>
      <t>“</t>
    </r>
    <r>
      <rPr>
        <sz val="10"/>
        <color theme="1"/>
        <rFont val="宋体"/>
        <charset val="134"/>
      </rPr>
      <t>精髓魔杖</t>
    </r>
    <r>
      <rPr>
        <sz val="10"/>
        <color theme="1"/>
        <rFont val="宋体"/>
        <charset val="134"/>
      </rPr>
      <t>”</t>
    </r>
    <r>
      <rPr>
        <sz val="10"/>
        <color theme="1"/>
        <rFont val="宋体"/>
        <charset val="134"/>
      </rPr>
      <t>的特殊魔杖，你可以用它作为你施展法师法术的法器。魔杖的外观由你决定，而且只有你才能使用它。你可以用一个附赠动作将魔杖召唤到你手中，无论你与其物理上或位面上的距离如何。如果此魔杖被破坏，你可以花费</t>
    </r>
    <r>
      <rPr>
        <sz val="10"/>
        <color theme="1"/>
        <rFont val="Times New Roman"/>
        <charset val="134"/>
      </rPr>
      <t>8</t>
    </r>
    <r>
      <rPr>
        <sz val="10"/>
        <color theme="1"/>
        <rFont val="宋体"/>
        <charset val="134"/>
      </rPr>
      <t>小时重新创造一根新的魔杖。</t>
    </r>
    <r>
      <rPr>
        <sz val="10"/>
        <color theme="1"/>
        <rFont val="Times New Roman"/>
        <charset val="134"/>
      </rPr>
      <t xml:space="preserve"> 
</t>
    </r>
    <r>
      <rPr>
        <sz val="10"/>
        <color theme="1"/>
        <rFont val="宋体"/>
        <charset val="134"/>
      </rPr>
      <t>你每次施法时，你的精髓魔杖都会获得力量。这种力量由精髓充能表示。魔杖最多能同时拥有</t>
    </r>
    <r>
      <rPr>
        <sz val="10"/>
        <color theme="1"/>
        <rFont val="Times New Roman"/>
        <charset val="134"/>
      </rPr>
      <t>7</t>
    </r>
    <r>
      <rPr>
        <sz val="10"/>
        <color theme="1"/>
        <rFont val="宋体"/>
        <charset val="134"/>
      </rPr>
      <t>发精髓充能，而每当你完成一次长休时，魔杖中的精髓充能数重置为</t>
    </r>
    <r>
      <rPr>
        <sz val="10"/>
        <color theme="1"/>
        <rFont val="Times New Roman"/>
        <charset val="134"/>
      </rPr>
      <t>1</t>
    </r>
    <r>
      <rPr>
        <sz val="10"/>
        <color theme="1"/>
        <rFont val="宋体"/>
        <charset val="134"/>
      </rPr>
      <t>。在你手持此魔杖期间，每当你消耗一个法术位来施展一环或更高环阶的法术时，魔杖获得相当于该法术环阶数一半的精髓充能（最低获得</t>
    </r>
    <r>
      <rPr>
        <sz val="10"/>
        <color theme="1"/>
        <rFont val="Times New Roman"/>
        <charset val="134"/>
      </rPr>
      <t>1</t>
    </r>
    <r>
      <rPr>
        <sz val="10"/>
        <color theme="1"/>
        <rFont val="宋体"/>
        <charset val="134"/>
      </rPr>
      <t>发）。你可以通过以下方式使用这些精髓充能：
每当你进行攻击检定或豁免检定时，你可以消耗魔杖中任意数量的精髓充能，以让这次检定获得与所消耗的精髓充能数相等的加值。你可以在掷出</t>
    </r>
    <r>
      <rPr>
        <sz val="10"/>
        <color theme="1"/>
        <rFont val="Times New Roman"/>
        <charset val="134"/>
      </rPr>
      <t>d20</t>
    </r>
    <r>
      <rPr>
        <sz val="10"/>
        <color theme="1"/>
        <rFont val="宋体"/>
        <charset val="134"/>
      </rPr>
      <t>之后如此做，但必须在</t>
    </r>
    <r>
      <rPr>
        <sz val="10"/>
        <color theme="1"/>
        <rFont val="Times New Roman"/>
        <charset val="134"/>
      </rPr>
      <t>DM</t>
    </r>
    <r>
      <rPr>
        <sz val="10"/>
        <color theme="1"/>
        <rFont val="宋体"/>
        <charset val="134"/>
      </rPr>
      <t>宣判本次检定成功或失败之前决定。
每当你即将被一次攻击命中时，你可以用你的反应消耗魔杖中任意数量的精髓充能，以获得与所消耗的精髓充能数相等的</t>
    </r>
    <r>
      <rPr>
        <sz val="10"/>
        <color theme="1"/>
        <rFont val="Times New Roman"/>
        <charset val="134"/>
      </rPr>
      <t>AC</t>
    </r>
    <r>
      <rPr>
        <sz val="10"/>
        <color theme="1"/>
        <rFont val="宋体"/>
        <charset val="134"/>
      </rPr>
      <t>加值，该加值仅针对本次攻击生效。</t>
    </r>
  </si>
  <si>
    <t>先知宗</t>
  </si>
  <si>
    <t>蛮野狂击</t>
  </si>
  <si>
    <r>
      <rPr>
        <sz val="10"/>
        <color theme="1"/>
        <rFont val="宋体"/>
        <charset val="134"/>
      </rPr>
      <t>你能够以附赠动作消耗</t>
    </r>
    <r>
      <rPr>
        <sz val="10"/>
        <color theme="1"/>
        <rFont val="Times New Roman"/>
        <charset val="134"/>
      </rPr>
      <t>1</t>
    </r>
    <r>
      <rPr>
        <sz val="10"/>
        <color theme="1"/>
        <rFont val="宋体"/>
        <charset val="134"/>
      </rPr>
      <t>点战技点，发动野兽般的狂暴一击。当你如此做时，你对一名生物发动一次徒手打击。命中时，你可以改为投掷</t>
    </r>
    <r>
      <rPr>
        <sz val="10"/>
        <color theme="1"/>
        <rFont val="Times New Roman"/>
        <charset val="134"/>
      </rPr>
      <t>1d8</t>
    </r>
    <r>
      <rPr>
        <sz val="10"/>
        <color theme="1"/>
        <rFont val="宋体"/>
        <charset val="134"/>
      </rPr>
      <t>而非你徒手打击本来的伤害骰。</t>
    </r>
  </si>
  <si>
    <t>暗黑交易</t>
  </si>
  <si>
    <r>
      <rPr>
        <sz val="10"/>
        <color theme="1"/>
        <rFont val="微软雅黑"/>
        <charset val="134"/>
      </rPr>
      <t>你遇到了一名憔悴的魔契师，并与它达成了一场阴暗的交易。当你选择此技艺时，从魔契师的职业特性中选择一个魔能祈唤（必须是满足先决条件的祈唤）。你可以消耗一次诗人激励的次数，获得那个暗黑祈唤的魔能增益，持续</t>
    </r>
    <r>
      <rPr>
        <sz val="10"/>
        <color theme="1"/>
        <rFont val="Times New Roman"/>
        <charset val="134"/>
      </rPr>
      <t>10</t>
    </r>
    <r>
      <rPr>
        <sz val="10"/>
        <color theme="1"/>
        <rFont val="微软雅黑"/>
        <charset val="134"/>
      </rPr>
      <t>分钟。为此，你需要投掷你的诗人激励骰，并受到等同于骰值的暗蚀伤害。</t>
    </r>
    <r>
      <rPr>
        <sz val="10"/>
        <color theme="1"/>
        <rFont val="Times New Roman"/>
        <charset val="134"/>
      </rPr>
      <t xml:space="preserve">
</t>
    </r>
    <r>
      <rPr>
        <sz val="10"/>
        <color theme="1"/>
        <rFont val="微软雅黑"/>
        <charset val="134"/>
      </rPr>
      <t>达到第</t>
    </r>
    <r>
      <rPr>
        <sz val="10"/>
        <color theme="1"/>
        <rFont val="Times New Roman"/>
        <charset val="134"/>
      </rPr>
      <t>6</t>
    </r>
    <r>
      <rPr>
        <sz val="10"/>
        <color theme="1"/>
        <rFont val="微软雅黑"/>
        <charset val="134"/>
      </rPr>
      <t>级之后，你学会了如何加深你与你曾遇到的那名魔契师的契约。你可以选择受到双倍于骰出数值的暗蚀伤害，使祈唤的效果持续</t>
    </r>
    <r>
      <rPr>
        <sz val="10"/>
        <color theme="1"/>
        <rFont val="Times New Roman"/>
        <charset val="134"/>
      </rPr>
      <t>1</t>
    </r>
    <r>
      <rPr>
        <sz val="10"/>
        <color theme="1"/>
        <rFont val="微软雅黑"/>
        <charset val="134"/>
      </rPr>
      <t>小时。</t>
    </r>
    <r>
      <rPr>
        <sz val="10"/>
        <color theme="1"/>
        <rFont val="Times New Roman"/>
        <charset val="134"/>
      </rPr>
      <t xml:space="preserve">
</t>
    </r>
    <r>
      <rPr>
        <sz val="10"/>
        <color theme="1"/>
        <rFont val="微软雅黑"/>
        <charset val="134"/>
      </rPr>
      <t>达到第</t>
    </r>
    <r>
      <rPr>
        <sz val="10"/>
        <color theme="1"/>
        <rFont val="Times New Roman"/>
        <charset val="134"/>
      </rPr>
      <t>14</t>
    </r>
    <r>
      <rPr>
        <sz val="10"/>
        <color theme="1"/>
        <rFont val="微软雅黑"/>
        <charset val="134"/>
      </rPr>
      <t>级之后，你与那名魔契师的契约解锁了恐怖的新能力。当你达到</t>
    </r>
    <r>
      <rPr>
        <sz val="10"/>
        <color theme="1"/>
        <rFont val="Times New Roman"/>
        <charset val="134"/>
      </rPr>
      <t>14</t>
    </r>
    <r>
      <rPr>
        <sz val="10"/>
        <color theme="1"/>
        <rFont val="微软雅黑"/>
        <charset val="134"/>
      </rPr>
      <t>级时，从魔契师的法术列表中选择一个</t>
    </r>
    <r>
      <rPr>
        <sz val="10"/>
        <color theme="1"/>
        <rFont val="Times New Roman"/>
        <charset val="134"/>
      </rPr>
      <t>7</t>
    </r>
    <r>
      <rPr>
        <sz val="10"/>
        <color theme="1"/>
        <rFont val="微软雅黑"/>
        <charset val="134"/>
      </rPr>
      <t>环或更低环阶的法术。在魔能增益期间，你可以在不消耗任何法术位的情况下施展一次所选法术（如果你后续还想使用它，你就必须消耗你拥有最高环阶的法术位来施展它）。作为代价，施展所选法术时，你会额外受到等同于该法术环阶两倍的暗蚀伤害。</t>
    </r>
  </si>
  <si>
    <t>神之守护</t>
  </si>
  <si>
    <r>
      <rPr>
        <sz val="10"/>
        <color theme="1"/>
        <rFont val="宋体"/>
        <charset val="134"/>
      </rPr>
      <t>当你使用术法护盾时，你可以选择至多等于你感知调整值数量的生物（至少</t>
    </r>
    <r>
      <rPr>
        <sz val="10"/>
        <color theme="1"/>
        <rFont val="Times New Roman"/>
        <charset val="134"/>
      </rPr>
      <t>2</t>
    </r>
    <r>
      <rPr>
        <sz val="10"/>
        <color theme="1"/>
        <rFont val="宋体"/>
        <charset val="134"/>
      </rPr>
      <t>名）而非一名生物。</t>
    </r>
  </si>
  <si>
    <t>巨龙魔法</t>
  </si>
  <si>
    <r>
      <rPr>
        <sz val="10"/>
        <color theme="1"/>
        <rFont val="宋体"/>
        <charset val="134"/>
      </rPr>
      <t>你能够在巨龙之姿形态下释放特定的德鲁伊法术。为了在此形态下施法，这些法术必须是三环及以下的德鲁伊法术，且不能需要任何材料成分。</t>
    </r>
    <r>
      <rPr>
        <sz val="10"/>
        <color theme="1"/>
        <rFont val="Times New Roman"/>
        <charset val="134"/>
      </rPr>
      <t xml:space="preserve">
</t>
    </r>
    <r>
      <rPr>
        <sz val="10"/>
        <color theme="1"/>
        <rFont val="宋体"/>
        <charset val="134"/>
      </rPr>
      <t>另外，你的鳞片更加坚韧，你的翅膀强大到足以承载你。在变成巨龙之姿形态时你获得如下这些增益：</t>
    </r>
    <r>
      <rPr>
        <sz val="10"/>
        <color theme="1"/>
        <rFont val="Times New Roman"/>
        <charset val="134"/>
      </rPr>
      <t xml:space="preserve">
</t>
    </r>
    <r>
      <rPr>
        <sz val="10"/>
        <color theme="1"/>
        <rFont val="宋体"/>
        <charset val="134"/>
      </rPr>
      <t>你的</t>
    </r>
    <r>
      <rPr>
        <sz val="10"/>
        <color theme="1"/>
        <rFont val="Times New Roman"/>
        <charset val="134"/>
      </rPr>
      <t>AC</t>
    </r>
    <r>
      <rPr>
        <sz val="10"/>
        <color theme="1"/>
        <rFont val="宋体"/>
        <charset val="134"/>
      </rPr>
      <t>等于</t>
    </r>
    <r>
      <rPr>
        <sz val="10"/>
        <color theme="1"/>
        <rFont val="Times New Roman"/>
        <charset val="134"/>
      </rPr>
      <t>15+</t>
    </r>
    <r>
      <rPr>
        <sz val="10"/>
        <color theme="1"/>
        <rFont val="宋体"/>
        <charset val="134"/>
      </rPr>
      <t>你的敏捷调整值（至多为</t>
    </r>
    <r>
      <rPr>
        <sz val="10"/>
        <color theme="1"/>
        <rFont val="Times New Roman"/>
        <charset val="134"/>
      </rPr>
      <t>2</t>
    </r>
    <r>
      <rPr>
        <sz val="10"/>
        <color theme="1"/>
        <rFont val="宋体"/>
        <charset val="134"/>
      </rPr>
      <t>）。</t>
    </r>
    <r>
      <rPr>
        <sz val="10"/>
        <color theme="1"/>
        <rFont val="Times New Roman"/>
        <charset val="134"/>
      </rPr>
      <t xml:space="preserve">
</t>
    </r>
    <r>
      <rPr>
        <sz val="10"/>
        <color theme="1"/>
        <rFont val="宋体"/>
        <charset val="134"/>
      </rPr>
      <t>你对你巨龙之姿所选择的伤害类型具有抗性。</t>
    </r>
    <r>
      <rPr>
        <sz val="10"/>
        <color theme="1"/>
        <rFont val="Times New Roman"/>
        <charset val="134"/>
      </rPr>
      <t xml:space="preserve">
</t>
    </r>
    <r>
      <rPr>
        <sz val="10"/>
        <color theme="1"/>
        <rFont val="宋体"/>
        <charset val="134"/>
      </rPr>
      <t>你获得</t>
    </r>
    <r>
      <rPr>
        <sz val="10"/>
        <color theme="1"/>
        <rFont val="Times New Roman"/>
        <charset val="134"/>
      </rPr>
      <t>30</t>
    </r>
    <r>
      <rPr>
        <sz val="10"/>
        <color theme="1"/>
        <rFont val="宋体"/>
        <charset val="134"/>
      </rPr>
      <t>尺飞行速度。</t>
    </r>
  </si>
  <si>
    <r>
      <rPr>
        <sz val="10"/>
        <color theme="1"/>
        <rFont val="宋体"/>
        <charset val="134"/>
      </rPr>
      <t>英雄壮举</t>
    </r>
  </si>
  <si>
    <r>
      <rPr>
        <sz val="10"/>
        <color theme="1"/>
        <rFont val="宋体"/>
        <charset val="134"/>
      </rPr>
      <t>你能够抓住时机逆转大局。以一个反应，你可以在一个生物的回合结束时移动至多等同于你速度的距离并进行一次武器攻击或徒手打击。然后由你选择的一个距离你</t>
    </r>
    <r>
      <rPr>
        <sz val="10"/>
        <color theme="1"/>
        <rFont val="Times New Roman"/>
        <charset val="134"/>
      </rPr>
      <t>30</t>
    </r>
    <r>
      <rPr>
        <sz val="10"/>
        <color theme="1"/>
        <rFont val="宋体"/>
        <charset val="134"/>
      </rPr>
      <t>尺内、能够看见或听见你的盟友也可以以一个反应，移动至多等同于其速度的距离并进行一次武器攻击或徒手打击。
你可以使用该特性的次数等于你的魅力调整值（最少</t>
    </r>
    <r>
      <rPr>
        <sz val="10"/>
        <color theme="1"/>
        <rFont val="Times New Roman"/>
        <charset val="134"/>
      </rPr>
      <t>1</t>
    </r>
    <r>
      <rPr>
        <sz val="10"/>
        <color theme="1"/>
        <rFont val="宋体"/>
        <charset val="134"/>
      </rPr>
      <t>次）。你在完成一次长休时重获所有已消耗的使用次数。</t>
    </r>
  </si>
  <si>
    <t>烈性瘟疫</t>
  </si>
  <si>
    <t>你的瘟疫毒株变得更加剧毒和致命。当你造成暗蚀或毒素伤害时，你忽略目标对这些伤害类型的抗性（如果有）。</t>
  </si>
  <si>
    <t>巨灵法术</t>
  </si>
  <si>
    <r>
      <rPr>
        <sz val="10"/>
        <color theme="1"/>
        <rFont val="宋体"/>
        <charset val="134"/>
      </rPr>
      <t>当你到达巨灵法术表中特定的圣武士等级时，你就始终准备了表中对应的法术。</t>
    </r>
    <r>
      <rPr>
        <sz val="10"/>
        <color theme="1"/>
        <rFont val="Times New Roman"/>
        <charset val="134"/>
      </rPr>
      <t xml:space="preserve">
</t>
    </r>
    <r>
      <rPr>
        <sz val="10"/>
        <color theme="1"/>
        <rFont val="宋体"/>
        <charset val="134"/>
      </rPr>
      <t>巨灵法术</t>
    </r>
    <r>
      <rPr>
        <sz val="10"/>
        <color theme="1"/>
        <rFont val="Times New Roman"/>
        <charset val="134"/>
      </rPr>
      <t xml:space="preserve"> Genie Spells
</t>
    </r>
    <r>
      <rPr>
        <sz val="10"/>
        <color theme="1"/>
        <rFont val="宋体"/>
        <charset val="134"/>
      </rPr>
      <t>圣武士等级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繁彩球</t>
    </r>
    <r>
      <rPr>
        <sz val="10"/>
        <color theme="1"/>
        <rFont val="Times New Roman"/>
        <charset val="134"/>
      </rPr>
      <t>Chromatic Orb</t>
    </r>
    <r>
      <rPr>
        <sz val="10"/>
        <color theme="1"/>
        <rFont val="宋体"/>
        <charset val="134"/>
      </rPr>
      <t>，四象法门</t>
    </r>
    <r>
      <rPr>
        <sz val="10"/>
        <color theme="1"/>
        <rFont val="Times New Roman"/>
        <charset val="134"/>
      </rPr>
      <t>Elementalism</t>
    </r>
    <r>
      <rPr>
        <sz val="10"/>
        <color theme="1"/>
        <rFont val="宋体"/>
        <charset val="134"/>
      </rPr>
      <t>，雷鸣斩</t>
    </r>
    <r>
      <rPr>
        <sz val="10"/>
        <color theme="1"/>
        <rFont val="Times New Roman"/>
        <charset val="134"/>
      </rPr>
      <t xml:space="preserve">Thunderous Smite
5	</t>
    </r>
    <r>
      <rPr>
        <sz val="10"/>
        <color theme="1"/>
        <rFont val="宋体"/>
        <charset val="134"/>
      </rPr>
      <t>镜影术</t>
    </r>
    <r>
      <rPr>
        <sz val="10"/>
        <color theme="1"/>
        <rFont val="Times New Roman"/>
        <charset val="134"/>
      </rPr>
      <t>Mirror Image</t>
    </r>
    <r>
      <rPr>
        <sz val="10"/>
        <color theme="1"/>
        <rFont val="宋体"/>
        <charset val="134"/>
      </rPr>
      <t>，魅影之力</t>
    </r>
    <r>
      <rPr>
        <sz val="10"/>
        <color theme="1"/>
        <rFont val="Times New Roman"/>
        <charset val="134"/>
      </rPr>
      <t xml:space="preserve">Phantasmal Force
9	</t>
    </r>
    <r>
      <rPr>
        <sz val="10"/>
        <color theme="1"/>
        <rFont val="宋体"/>
        <charset val="134"/>
      </rPr>
      <t>飞行术</t>
    </r>
    <r>
      <rPr>
        <sz val="10"/>
        <color theme="1"/>
        <rFont val="Times New Roman"/>
        <charset val="134"/>
      </rPr>
      <t>Fly</t>
    </r>
    <r>
      <rPr>
        <sz val="10"/>
        <color theme="1"/>
        <rFont val="宋体"/>
        <charset val="134"/>
      </rPr>
      <t>，气化形体</t>
    </r>
    <r>
      <rPr>
        <sz val="10"/>
        <color theme="1"/>
        <rFont val="Times New Roman"/>
        <charset val="134"/>
      </rPr>
      <t xml:space="preserve">Gaseous Form
13	</t>
    </r>
    <r>
      <rPr>
        <sz val="10"/>
        <color theme="1"/>
        <rFont val="宋体"/>
        <charset val="134"/>
      </rPr>
      <t>咒唤微元素群</t>
    </r>
    <r>
      <rPr>
        <sz val="10"/>
        <color theme="1"/>
        <rFont val="Times New Roman"/>
        <charset val="134"/>
      </rPr>
      <t>Conjure Minor Elementals</t>
    </r>
    <r>
      <rPr>
        <sz val="10"/>
        <color theme="1"/>
        <rFont val="宋体"/>
        <charset val="134"/>
      </rPr>
      <t>，元素召唤术</t>
    </r>
    <r>
      <rPr>
        <sz val="10"/>
        <color theme="1"/>
        <rFont val="Times New Roman"/>
        <charset val="134"/>
      </rPr>
      <t xml:space="preserve">Summon Elemental
17	</t>
    </r>
    <r>
      <rPr>
        <sz val="10"/>
        <color theme="1"/>
        <rFont val="宋体"/>
        <charset val="134"/>
      </rPr>
      <t>放逐斩</t>
    </r>
    <r>
      <rPr>
        <sz val="10"/>
        <color theme="1"/>
        <rFont val="Times New Roman"/>
        <charset val="134"/>
      </rPr>
      <t>Banishing Smite</t>
    </r>
    <r>
      <rPr>
        <sz val="10"/>
        <color theme="1"/>
        <rFont val="宋体"/>
        <charset val="134"/>
      </rPr>
      <t>，异界探知</t>
    </r>
    <r>
      <rPr>
        <sz val="10"/>
        <color theme="1"/>
        <rFont val="Times New Roman"/>
        <charset val="134"/>
      </rPr>
      <t>Contact Other Plane</t>
    </r>
  </si>
  <si>
    <t>10+</t>
  </si>
  <si>
    <t>噬法烛焰</t>
  </si>
  <si>
    <t>当你看到一个60尺内的敌对生物施放法术时，你可以消耗你的反应并花费3点烛心点以快速点燃一支纤细的白色蜡烛并施放法术反制Counterspell。如果法术被顺利反制且其环阶在三环及以下，你可以花费额外2烛心点再度激活此能力，并将该法术储存在你的蜡烛中。
当你握持蜡烛时，你可以施放任何被储存在其中的法术。该法术使用其原施放者的法术位、施法DC、法术攻击调整值和施法属性，但被视为由你施放。一旦法术被施放，蜡烛将断裂并无法再度使用。一支蜡烛可以储存一个法术至多24小时，在时间结束后法术将消散且无法再被施放。</t>
  </si>
  <si>
    <t>法术致盲</t>
  </si>
  <si>
    <r>
      <rPr>
        <sz val="10"/>
        <color theme="1"/>
        <rFont val="宋体"/>
        <charset val="134"/>
      </rPr>
      <t>你的法术能量将压制目标的感知。以一个动作，你能够消耗</t>
    </r>
    <r>
      <rPr>
        <sz val="10"/>
        <color theme="1"/>
        <rFont val="Times New Roman"/>
        <charset val="134"/>
      </rPr>
      <t>5</t>
    </r>
    <r>
      <rPr>
        <sz val="10"/>
        <color theme="1"/>
        <rFont val="宋体"/>
        <charset val="134"/>
      </rPr>
      <t>术法点增强你的闪耀灵光。持续</t>
    </r>
    <r>
      <rPr>
        <sz val="10"/>
        <color theme="1"/>
        <rFont val="Times New Roman"/>
        <charset val="134"/>
      </rPr>
      <t>1</t>
    </r>
    <r>
      <rPr>
        <sz val="10"/>
        <color theme="1"/>
        <rFont val="宋体"/>
        <charset val="134"/>
      </rPr>
      <t>分钟或在你失去专注（如同你正在施展专注法术）时提前结束，每名在你</t>
    </r>
    <r>
      <rPr>
        <sz val="10"/>
        <color theme="1"/>
        <rFont val="Times New Roman"/>
        <charset val="134"/>
      </rPr>
      <t>60</t>
    </r>
    <r>
      <rPr>
        <sz val="10"/>
        <color theme="1"/>
        <rFont val="宋体"/>
        <charset val="134"/>
      </rPr>
      <t>尺内开始其回合的敌对生物必须成功进行一次体质豁免，否则陷入目盲直至灵光结束。</t>
    </r>
  </si>
  <si>
    <r>
      <rPr>
        <sz val="10"/>
        <color theme="1"/>
        <rFont val="宋体"/>
        <charset val="134"/>
      </rPr>
      <t>深海触手</t>
    </r>
  </si>
  <si>
    <r>
      <rPr>
        <sz val="10"/>
        <color theme="1"/>
        <rFont val="宋体"/>
        <charset val="134"/>
      </rPr>
      <t>你可以以魔法的形式召唤一根幽灵触手攻击你的敌人。
在你</t>
    </r>
    <r>
      <rPr>
        <sz val="10"/>
        <color theme="1"/>
        <rFont val="Times New Roman"/>
        <charset val="134"/>
      </rPr>
      <t>60</t>
    </r>
    <r>
      <rPr>
        <sz val="10"/>
        <color theme="1"/>
        <rFont val="宋体"/>
        <charset val="134"/>
      </rPr>
      <t>尺的可视范围内，你可以以一个附赠动作创造一根</t>
    </r>
    <r>
      <rPr>
        <sz val="10"/>
        <color theme="1"/>
        <rFont val="Times New Roman"/>
        <charset val="134"/>
      </rPr>
      <t>10</t>
    </r>
    <r>
      <rPr>
        <sz val="10"/>
        <color theme="1"/>
        <rFont val="宋体"/>
        <charset val="134"/>
      </rPr>
      <t>尺长的触手。
这根触手可以持续一分钟，或于你使用该能力创造另一根触手时终止。
当你创造触手后，你可以对其</t>
    </r>
    <r>
      <rPr>
        <sz val="10"/>
        <color theme="1"/>
        <rFont val="Times New Roman"/>
        <charset val="134"/>
      </rPr>
      <t>10</t>
    </r>
    <r>
      <rPr>
        <sz val="10"/>
        <color theme="1"/>
        <rFont val="宋体"/>
        <charset val="134"/>
      </rPr>
      <t>尺内的目标进行一次近战法术攻击。
目标受到</t>
    </r>
    <r>
      <rPr>
        <sz val="10"/>
        <color theme="1"/>
        <rFont val="Times New Roman"/>
        <charset val="134"/>
      </rPr>
      <t>1d8</t>
    </r>
    <r>
      <rPr>
        <sz val="10"/>
        <color theme="1"/>
        <rFont val="宋体"/>
        <charset val="134"/>
      </rPr>
      <t>寒冷伤害，且直到你的下一回合，目标速度降低</t>
    </r>
    <r>
      <rPr>
        <sz val="10"/>
        <color theme="1"/>
        <rFont val="Times New Roman"/>
        <charset val="134"/>
      </rPr>
      <t>10</t>
    </r>
    <r>
      <rPr>
        <sz val="10"/>
        <color theme="1"/>
        <rFont val="宋体"/>
        <charset val="134"/>
      </rPr>
      <t>尺，当你达到邪术师</t>
    </r>
    <r>
      <rPr>
        <sz val="10"/>
        <color theme="1"/>
        <rFont val="Times New Roman"/>
        <charset val="134"/>
      </rPr>
      <t>10</t>
    </r>
    <r>
      <rPr>
        <sz val="10"/>
        <color theme="1"/>
        <rFont val="宋体"/>
        <charset val="134"/>
      </rPr>
      <t>级时，造成的伤害提高至</t>
    </r>
    <r>
      <rPr>
        <sz val="10"/>
        <color theme="1"/>
        <rFont val="Times New Roman"/>
        <charset val="134"/>
      </rPr>
      <t>2d8</t>
    </r>
    <r>
      <rPr>
        <sz val="10"/>
        <color theme="1"/>
        <rFont val="宋体"/>
        <charset val="134"/>
      </rPr>
      <t>。
在你的回合中，你可以使用一个附赠动作将触手移动至多</t>
    </r>
    <r>
      <rPr>
        <sz val="10"/>
        <color theme="1"/>
        <rFont val="Times New Roman"/>
        <charset val="134"/>
      </rPr>
      <t>30</t>
    </r>
    <r>
      <rPr>
        <sz val="10"/>
        <color theme="1"/>
        <rFont val="宋体"/>
        <charset val="134"/>
      </rPr>
      <t>尺并重复以上攻击。
你可召唤的触手的次数等于你的熟练加值，且可以在结束长休之后恢复所有使用次数。</t>
    </r>
  </si>
  <si>
    <t>魔杖学士</t>
  </si>
  <si>
    <r>
      <rPr>
        <sz val="10"/>
        <color theme="1"/>
        <rFont val="宋体"/>
        <charset val="134"/>
      </rPr>
      <t>你可以像其他法师一样解读卷轴和法术书。如果你拥有的法杖或魔杖可以施展法师法术列表上的法术，你可以将该法术复制到你的法术书中，就像从卷轴上复制法术一样。此外，当你手持精髓魔杖施展施法距离为触碰的法师法术时，你可以改为选择一名你能看见的，距离你</t>
    </r>
    <r>
      <rPr>
        <sz val="10"/>
        <color theme="1"/>
        <rFont val="Times New Roman"/>
        <charset val="134"/>
      </rPr>
      <t>10</t>
    </r>
    <r>
      <rPr>
        <sz val="10"/>
        <color theme="1"/>
        <rFont val="宋体"/>
        <charset val="134"/>
      </rPr>
      <t>尺以内且未处于掩护后的生物。在你到达</t>
    </r>
    <r>
      <rPr>
        <sz val="10"/>
        <color theme="1"/>
        <rFont val="Times New Roman"/>
        <charset val="134"/>
      </rPr>
      <t>14</t>
    </r>
    <r>
      <rPr>
        <sz val="10"/>
        <color theme="1"/>
        <rFont val="宋体"/>
        <charset val="134"/>
      </rPr>
      <t>级后，该距离改为</t>
    </r>
    <r>
      <rPr>
        <sz val="10"/>
        <color theme="1"/>
        <rFont val="Times New Roman"/>
        <charset val="134"/>
      </rPr>
      <t>30</t>
    </r>
    <r>
      <rPr>
        <sz val="10"/>
        <color theme="1"/>
        <rFont val="宋体"/>
        <charset val="134"/>
      </rPr>
      <t>尺。</t>
    </r>
  </si>
  <si>
    <t>集群领袖</t>
  </si>
  <si>
    <r>
      <rPr>
        <sz val="10"/>
        <color theme="1"/>
        <rFont val="宋体"/>
        <charset val="134"/>
      </rPr>
      <t>当一名敌对生物在你</t>
    </r>
    <r>
      <rPr>
        <sz val="10"/>
        <color theme="1"/>
        <rFont val="Times New Roman"/>
        <charset val="134"/>
      </rPr>
      <t>5</t>
    </r>
    <r>
      <rPr>
        <sz val="10"/>
        <color theme="1"/>
        <rFont val="宋体"/>
        <charset val="134"/>
      </rPr>
      <t>尺内被攻击时，你能够以反应消耗</t>
    </r>
    <r>
      <rPr>
        <sz val="10"/>
        <color theme="1"/>
        <rFont val="Times New Roman"/>
        <charset val="134"/>
      </rPr>
      <t>1</t>
    </r>
    <r>
      <rPr>
        <sz val="10"/>
        <color theme="1"/>
        <rFont val="宋体"/>
        <charset val="134"/>
      </rPr>
      <t>点战技点对其发动一次近战攻击。若你如此做，此次触发攻击具有优势。</t>
    </r>
  </si>
  <si>
    <t>塑能教程</t>
  </si>
  <si>
    <r>
      <rPr>
        <sz val="10"/>
        <color theme="1"/>
        <rFont val="微软雅黑"/>
        <charset val="134"/>
      </rPr>
      <t>一名尊敬的法师与你分享了塑能魔法的秘密。当你选择此技艺时，选择一个你可以施展的伤害性法术。当你施展所选法术时，你可以消耗一次诗人激励的使用次数，将其伤害类型改为强酸、寒冷、火焰、闪电、或雷鸣伤害（在你施展法术时选择）。此外，投掷你的诗人激励骰，该法术造成的伤害增加</t>
    </r>
    <r>
      <rPr>
        <sz val="10"/>
        <color theme="1"/>
        <rFont val="Times New Roman"/>
        <charset val="134"/>
      </rPr>
      <t xml:space="preserve"> </t>
    </r>
    <r>
      <rPr>
        <sz val="10"/>
        <color theme="1"/>
        <rFont val="微软雅黑"/>
        <charset val="134"/>
      </rPr>
      <t>骰出数值</t>
    </r>
    <r>
      <rPr>
        <sz val="10"/>
        <color theme="1"/>
        <rFont val="Times New Roman"/>
        <charset val="134"/>
      </rPr>
      <t>+</t>
    </r>
    <r>
      <rPr>
        <sz val="10"/>
        <color theme="1"/>
        <rFont val="微软雅黑"/>
        <charset val="134"/>
      </rPr>
      <t>你的感知调整值（至少</t>
    </r>
    <r>
      <rPr>
        <sz val="10"/>
        <color theme="1"/>
        <rFont val="Times New Roman"/>
        <charset val="134"/>
      </rPr>
      <t>+1</t>
    </r>
    <r>
      <rPr>
        <sz val="10"/>
        <color theme="1"/>
        <rFont val="微软雅黑"/>
        <charset val="134"/>
      </rPr>
      <t>）</t>
    </r>
    <r>
      <rPr>
        <sz val="10"/>
        <color theme="1"/>
        <rFont val="Times New Roman"/>
        <charset val="134"/>
      </rPr>
      <t xml:space="preserve"> </t>
    </r>
    <r>
      <rPr>
        <sz val="10"/>
        <color theme="1"/>
        <rFont val="微软雅黑"/>
        <charset val="134"/>
      </rPr>
      <t>点。</t>
    </r>
    <r>
      <rPr>
        <sz val="10"/>
        <color theme="1"/>
        <rFont val="Times New Roman"/>
        <charset val="134"/>
      </rPr>
      <t xml:space="preserve">
</t>
    </r>
    <r>
      <rPr>
        <sz val="10"/>
        <color theme="1"/>
        <rFont val="微软雅黑"/>
        <charset val="134"/>
      </rPr>
      <t>达到第</t>
    </r>
    <r>
      <rPr>
        <sz val="10"/>
        <color theme="1"/>
        <rFont val="Times New Roman"/>
        <charset val="134"/>
      </rPr>
      <t>6</t>
    </r>
    <r>
      <rPr>
        <sz val="10"/>
        <color theme="1"/>
        <rFont val="微软雅黑"/>
        <charset val="134"/>
      </rPr>
      <t>级时，你可以将你在此技艺中选择的法术改为另一个你已知的法术。</t>
    </r>
    <r>
      <rPr>
        <sz val="10"/>
        <color theme="1"/>
        <rFont val="Times New Roman"/>
        <charset val="134"/>
      </rPr>
      <t xml:space="preserve">
</t>
    </r>
    <r>
      <rPr>
        <sz val="10"/>
        <color theme="1"/>
        <rFont val="微软雅黑"/>
        <charset val="134"/>
      </rPr>
      <t>达到第</t>
    </r>
    <r>
      <rPr>
        <sz val="10"/>
        <color theme="1"/>
        <rFont val="Times New Roman"/>
        <charset val="134"/>
      </rPr>
      <t>14</t>
    </r>
    <r>
      <rPr>
        <sz val="10"/>
        <color theme="1"/>
        <rFont val="微软雅黑"/>
        <charset val="134"/>
      </rPr>
      <t>级时，你可以将你在此技艺中选择的法术改为另一个你已知的法术。</t>
    </r>
  </si>
  <si>
    <t>团队领域法术</t>
  </si>
  <si>
    <r>
      <rPr>
        <sz val="10"/>
        <color theme="1"/>
        <rFont val="微软雅黑"/>
        <charset val="134"/>
      </rPr>
      <t>牧师等级</t>
    </r>
    <r>
      <rPr>
        <sz val="10"/>
        <color theme="1"/>
        <rFont val="Times New Roman"/>
        <charset val="134"/>
      </rPr>
      <t xml:space="preserve"> </t>
    </r>
    <r>
      <rPr>
        <sz val="10"/>
        <color theme="1"/>
        <rFont val="微软雅黑"/>
        <charset val="134"/>
      </rPr>
      <t>法术</t>
    </r>
    <r>
      <rPr>
        <sz val="10"/>
        <color theme="1"/>
        <rFont val="Times New Roman"/>
        <charset val="134"/>
      </rPr>
      <t xml:space="preserve"> 
1st </t>
    </r>
    <r>
      <rPr>
        <sz val="10"/>
        <color theme="1"/>
        <rFont val="微软雅黑"/>
        <charset val="134"/>
      </rPr>
      <t>祝福术</t>
    </r>
    <r>
      <rPr>
        <sz val="10"/>
        <color theme="1"/>
        <rFont val="Times New Roman"/>
        <charset val="134"/>
      </rPr>
      <t>Bless</t>
    </r>
    <r>
      <rPr>
        <sz val="10"/>
        <color theme="1"/>
        <rFont val="微软雅黑"/>
        <charset val="134"/>
      </rPr>
      <t>，神莓术</t>
    </r>
    <r>
      <rPr>
        <sz val="10"/>
        <color theme="1"/>
        <rFont val="Times New Roman"/>
        <charset val="134"/>
      </rPr>
      <t xml:space="preserve">Goodberry 
3rd </t>
    </r>
    <r>
      <rPr>
        <sz val="10"/>
        <color theme="1"/>
        <rFont val="微软雅黑"/>
        <charset val="134"/>
      </rPr>
      <t>援助术</t>
    </r>
    <r>
      <rPr>
        <sz val="10"/>
        <color theme="1"/>
        <rFont val="Times New Roman"/>
        <charset val="134"/>
      </rPr>
      <t>Aid</t>
    </r>
    <r>
      <rPr>
        <sz val="10"/>
        <color theme="1"/>
        <rFont val="微软雅黑"/>
        <charset val="134"/>
      </rPr>
      <t>，英雄气概</t>
    </r>
    <r>
      <rPr>
        <sz val="10"/>
        <color theme="1"/>
        <rFont val="Times New Roman"/>
        <charset val="134"/>
      </rPr>
      <t xml:space="preserve">Heroism 
5th </t>
    </r>
    <r>
      <rPr>
        <sz val="10"/>
        <color theme="1"/>
        <rFont val="微软雅黑"/>
        <charset val="134"/>
      </rPr>
      <t>希望信标</t>
    </r>
    <r>
      <rPr>
        <sz val="10"/>
        <color theme="1"/>
        <rFont val="Times New Roman"/>
        <charset val="134"/>
      </rPr>
      <t>Beacon of Hope</t>
    </r>
    <r>
      <rPr>
        <sz val="10"/>
        <color theme="1"/>
        <rFont val="微软雅黑"/>
        <charset val="134"/>
      </rPr>
      <t>，灵体卫士</t>
    </r>
    <r>
      <rPr>
        <sz val="10"/>
        <color theme="1"/>
        <rFont val="Times New Roman"/>
        <charset val="134"/>
      </rPr>
      <t xml:space="preserve">Spirit Guardians 
7th </t>
    </r>
    <r>
      <rPr>
        <sz val="10"/>
        <color theme="1"/>
        <rFont val="微软雅黑"/>
        <charset val="134"/>
      </rPr>
      <t>放逐术</t>
    </r>
    <r>
      <rPr>
        <sz val="10"/>
        <color theme="1"/>
        <rFont val="Times New Roman"/>
        <charset val="134"/>
      </rPr>
      <t>Banishment</t>
    </r>
    <r>
      <rPr>
        <sz val="10"/>
        <color theme="1"/>
        <rFont val="微软雅黑"/>
        <charset val="134"/>
      </rPr>
      <t>，魔邓肯忠犬</t>
    </r>
    <r>
      <rPr>
        <sz val="10"/>
        <color theme="1"/>
        <rFont val="Times New Roman"/>
        <charset val="134"/>
      </rPr>
      <t xml:space="preserve">Mordenkainen's Faithful Hound 
9th </t>
    </r>
    <r>
      <rPr>
        <sz val="10"/>
        <color theme="1"/>
        <rFont val="微软雅黑"/>
        <charset val="134"/>
      </rPr>
      <t>群体疗伤术</t>
    </r>
    <r>
      <rPr>
        <sz val="10"/>
        <color theme="1"/>
        <rFont val="Times New Roman"/>
        <charset val="134"/>
      </rPr>
      <t>Mass Cure Wounds</t>
    </r>
    <r>
      <rPr>
        <sz val="10"/>
        <color theme="1"/>
        <rFont val="微软雅黑"/>
        <charset val="134"/>
      </rPr>
      <t>，拉瑞心灵联结</t>
    </r>
    <r>
      <rPr>
        <sz val="10"/>
        <color theme="1"/>
        <rFont val="Times New Roman"/>
        <charset val="134"/>
      </rPr>
      <t xml:space="preserve"> Rary's Telepathic Bond </t>
    </r>
  </si>
  <si>
    <t>巨龙之心</t>
  </si>
  <si>
    <r>
      <rPr>
        <sz val="10"/>
        <color theme="1"/>
        <rFont val="宋体"/>
        <charset val="134"/>
      </rPr>
      <t>即使你没有在巨龙之姿形态，你仍可以使用你的吐息武器。一旦你使用了该特性，你在下一次长休结束前无法再次使用。</t>
    </r>
    <r>
      <rPr>
        <sz val="10"/>
        <color theme="1"/>
        <rFont val="Times New Roman"/>
        <charset val="134"/>
      </rPr>
      <t xml:space="preserve">
</t>
    </r>
    <r>
      <rPr>
        <sz val="10"/>
        <color theme="1"/>
        <rFont val="宋体"/>
        <charset val="134"/>
      </rPr>
      <t>另外，在变成巨龙之姿形态时你获得如下这些增益：</t>
    </r>
    <r>
      <rPr>
        <sz val="10"/>
        <color theme="1"/>
        <rFont val="Times New Roman"/>
        <charset val="134"/>
      </rPr>
      <t xml:space="preserve">
</t>
    </r>
    <r>
      <rPr>
        <sz val="10"/>
        <color theme="1"/>
        <rFont val="宋体"/>
        <charset val="134"/>
      </rPr>
      <t>你的</t>
    </r>
    <r>
      <rPr>
        <sz val="10"/>
        <color theme="1"/>
        <rFont val="Times New Roman"/>
        <charset val="134"/>
      </rPr>
      <t>AC</t>
    </r>
    <r>
      <rPr>
        <sz val="10"/>
        <color theme="1"/>
        <rFont val="宋体"/>
        <charset val="134"/>
      </rPr>
      <t>等于</t>
    </r>
    <r>
      <rPr>
        <sz val="10"/>
        <color theme="1"/>
        <rFont val="Times New Roman"/>
        <charset val="134"/>
      </rPr>
      <t>16+</t>
    </r>
    <r>
      <rPr>
        <sz val="10"/>
        <color theme="1"/>
        <rFont val="宋体"/>
        <charset val="134"/>
      </rPr>
      <t>你的敏捷调整值（至多为</t>
    </r>
    <r>
      <rPr>
        <sz val="10"/>
        <color theme="1"/>
        <rFont val="Times New Roman"/>
        <charset val="134"/>
      </rPr>
      <t>2</t>
    </r>
    <r>
      <rPr>
        <sz val="10"/>
        <color theme="1"/>
        <rFont val="宋体"/>
        <charset val="134"/>
      </rPr>
      <t>）。</t>
    </r>
    <r>
      <rPr>
        <sz val="10"/>
        <color theme="1"/>
        <rFont val="Times New Roman"/>
        <charset val="134"/>
      </rPr>
      <t xml:space="preserve">
</t>
    </r>
    <r>
      <rPr>
        <sz val="10"/>
        <color theme="1"/>
        <rFont val="宋体"/>
        <charset val="134"/>
      </rPr>
      <t>你的飞行速度增加至</t>
    </r>
    <r>
      <rPr>
        <sz val="10"/>
        <color theme="1"/>
        <rFont val="Times New Roman"/>
        <charset val="134"/>
      </rPr>
      <t>40</t>
    </r>
    <r>
      <rPr>
        <sz val="10"/>
        <color theme="1"/>
        <rFont val="宋体"/>
        <charset val="134"/>
      </rPr>
      <t>尺。</t>
    </r>
    <r>
      <rPr>
        <sz val="10"/>
        <color theme="1"/>
        <rFont val="Times New Roman"/>
        <charset val="134"/>
      </rPr>
      <t xml:space="preserve">
</t>
    </r>
    <r>
      <rPr>
        <sz val="10"/>
        <color theme="1"/>
        <rFont val="宋体"/>
        <charset val="134"/>
      </rPr>
      <t>当你在你自己的回合执行攻击动作时，你可以进行三次攻击：一次啃咬和两次爪击。</t>
    </r>
    <r>
      <rPr>
        <sz val="10"/>
        <color theme="1"/>
        <rFont val="Times New Roman"/>
        <charset val="134"/>
      </rPr>
      <t xml:space="preserve">
</t>
    </r>
    <r>
      <rPr>
        <sz val="10"/>
        <color theme="1"/>
        <rFont val="宋体"/>
        <charset val="134"/>
      </rPr>
      <t>最后，当你变为巨龙之姿时，你可以选择变成大型龙类，而不是中型。如果你这样做了，你的啃咬触及范围为</t>
    </r>
    <r>
      <rPr>
        <sz val="10"/>
        <color theme="1"/>
        <rFont val="Times New Roman"/>
        <charset val="134"/>
      </rPr>
      <t>10</t>
    </r>
    <r>
      <rPr>
        <sz val="10"/>
        <color theme="1"/>
        <rFont val="宋体"/>
        <charset val="134"/>
      </rPr>
      <t>尺，而非</t>
    </r>
    <r>
      <rPr>
        <sz val="10"/>
        <color theme="1"/>
        <rFont val="Times New Roman"/>
        <charset val="134"/>
      </rPr>
      <t>5</t>
    </r>
    <r>
      <rPr>
        <sz val="10"/>
        <color theme="1"/>
        <rFont val="宋体"/>
        <charset val="134"/>
      </rPr>
      <t>尺。</t>
    </r>
  </si>
  <si>
    <r>
      <rPr>
        <sz val="10"/>
        <color theme="1"/>
        <rFont val="宋体"/>
        <charset val="134"/>
      </rPr>
      <t>以身作则</t>
    </r>
  </si>
  <si>
    <r>
      <rPr>
        <sz val="10"/>
        <color theme="1"/>
        <rFont val="宋体"/>
        <charset val="134"/>
      </rPr>
      <t>当你使用英雄壮举特性时，若你正处于魅惑、恐慌或中毒状态，则这些状态立即结束。此外，若你以英雄壮举特性指定的盟友正处于魅惑、恐慌或中毒状态，则他的这些状态也立即结束。</t>
    </r>
  </si>
  <si>
    <t>报丧香炉</t>
  </si>
  <si>
    <r>
      <rPr>
        <sz val="10"/>
        <color theme="1"/>
        <rFont val="宋体"/>
        <charset val="134"/>
      </rPr>
      <t>你可以向敌人释放一团瘴气。你可以使用魔法动作消耗</t>
    </r>
    <r>
      <rPr>
        <sz val="10"/>
        <color theme="1"/>
        <rFont val="Times New Roman"/>
        <charset val="134"/>
      </rPr>
      <t>2</t>
    </r>
    <r>
      <rPr>
        <sz val="10"/>
        <color theme="1"/>
        <rFont val="宋体"/>
        <charset val="134"/>
      </rPr>
      <t>点功力，在源自你的</t>
    </r>
    <r>
      <rPr>
        <sz val="10"/>
        <color theme="1"/>
        <rFont val="Times New Roman"/>
        <charset val="134"/>
      </rPr>
      <t>20</t>
    </r>
    <r>
      <rPr>
        <sz val="10"/>
        <color theme="1"/>
        <rFont val="宋体"/>
        <charset val="134"/>
      </rPr>
      <t>尺光环区域中释放瘴气。该区域内所有你选择的生物都必须进行一次体质豁免，豁免失败则其受到等于两枚你的武艺骰的暗蚀伤害并被你的毒瘴疫病诅咒，豁免成功则仅半伤。</t>
    </r>
  </si>
  <si>
    <t>巨灵流光</t>
  </si>
  <si>
    <r>
      <rPr>
        <sz val="10"/>
        <color theme="1"/>
        <rFont val="宋体"/>
        <charset val="134"/>
      </rPr>
      <t>未着装护甲时，你的基础</t>
    </r>
    <r>
      <rPr>
        <sz val="10"/>
        <color theme="1"/>
        <rFont val="Times New Roman"/>
        <charset val="134"/>
      </rPr>
      <t>AC</t>
    </r>
    <r>
      <rPr>
        <sz val="10"/>
        <color theme="1"/>
        <rFont val="宋体"/>
        <charset val="134"/>
      </rPr>
      <t>等于</t>
    </r>
    <r>
      <rPr>
        <sz val="10"/>
        <color theme="1"/>
        <rFont val="Times New Roman"/>
        <charset val="134"/>
      </rPr>
      <t>10+</t>
    </r>
    <r>
      <rPr>
        <sz val="10"/>
        <color theme="1"/>
        <rFont val="宋体"/>
        <charset val="134"/>
      </rPr>
      <t>你的敏捷调整值＋你的魅力调整值，你可以持有盾牌并从中受益。</t>
    </r>
    <r>
      <rPr>
        <sz val="10"/>
        <color theme="1"/>
        <rFont val="Times New Roman"/>
        <charset val="134"/>
      </rPr>
      <t xml:space="preserve">
</t>
    </r>
    <r>
      <rPr>
        <sz val="10"/>
        <color theme="1"/>
        <rFont val="宋体"/>
        <charset val="134"/>
      </rPr>
      <t>你还可以从下列中选择一项获得熟练：特技、威吓、表演或游说。</t>
    </r>
  </si>
  <si>
    <t>强化魔艺</t>
  </si>
  <si>
    <t>你的部分魔艺将变得更为强力。你现在可以使用下方列出的替换魔艺。如果你还未习得以下的任何魔艺，你可以习得其中的一种特性。
绽光明烛Blooming Light。13级起，绽光明烛的效应持续8小时。
延时燃烧Burning Delay。13级起，你可以将魔艺的效果延迟1轮，3轮，1分钟，10分钟，或1小时。
噼啪蜜蜡Candle Pop。13级起，噼啪蜜蜡会影响目标及其5尺内的每个生物。
美味佳烛Delicacy。13级起，目标生物恢复1d12点生命值，且你的使用此魔艺时至多可以同时持有4根蜡烛。
魔匠印击Maker’s Mark。13级起，魔匠印击不再具有每回合的使用次数限制。
守御蜡封Shielding Seal。13级起，你可以至多同时令三个守御蜡封同时生效，而非一个。
蜡灵Waxlings 。13级起，你可以以一个动作花费3点烛心点，而非2点，并同时召唤两个蜡灵。</t>
  </si>
  <si>
    <t>咒火迸发</t>
  </si>
  <si>
    <r>
      <rPr>
        <sz val="10"/>
        <color theme="1"/>
        <rFont val="宋体"/>
        <charset val="134"/>
      </rPr>
      <t>当你在你的回合中作为魔法动作或附赠动作的一部分消耗至少</t>
    </r>
    <r>
      <rPr>
        <sz val="10"/>
        <color theme="1"/>
        <rFont val="Times New Roman"/>
        <charset val="134"/>
      </rPr>
      <t>1</t>
    </r>
    <r>
      <rPr>
        <sz val="10"/>
        <color theme="1"/>
        <rFont val="宋体"/>
        <charset val="134"/>
      </rPr>
      <t>术法点时，你可以选择并释放以下一项魔法效应。你每回合只能如此做一次。</t>
    </r>
    <r>
      <rPr>
        <sz val="10"/>
        <color theme="1"/>
        <rFont val="Times New Roman"/>
        <charset val="134"/>
      </rPr>
      <t xml:space="preserve">
</t>
    </r>
    <r>
      <rPr>
        <sz val="10"/>
        <color theme="1"/>
        <rFont val="宋体"/>
        <charset val="134"/>
      </rPr>
      <t>炽焰鼓舞</t>
    </r>
    <r>
      <rPr>
        <sz val="10"/>
        <color theme="1"/>
        <rFont val="Times New Roman"/>
        <charset val="134"/>
      </rPr>
      <t>Bolstering Flames</t>
    </r>
    <r>
      <rPr>
        <sz val="10"/>
        <color theme="1"/>
        <rFont val="宋体"/>
        <charset val="134"/>
      </rPr>
      <t>。你或者一名你可见的</t>
    </r>
    <r>
      <rPr>
        <sz val="10"/>
        <color theme="1"/>
        <rFont val="Times New Roman"/>
        <charset val="134"/>
      </rPr>
      <t>30</t>
    </r>
    <r>
      <rPr>
        <sz val="10"/>
        <color theme="1"/>
        <rFont val="宋体"/>
        <charset val="134"/>
      </rPr>
      <t>尺内的生物获得等于</t>
    </r>
    <r>
      <rPr>
        <sz val="10"/>
        <color theme="1"/>
        <rFont val="Times New Roman"/>
        <charset val="134"/>
      </rPr>
      <t>1d4+</t>
    </r>
    <r>
      <rPr>
        <sz val="10"/>
        <color theme="1"/>
        <rFont val="宋体"/>
        <charset val="134"/>
      </rPr>
      <t>你的魅力调整值的临时生命值。</t>
    </r>
    <r>
      <rPr>
        <sz val="10"/>
        <color theme="1"/>
        <rFont val="Times New Roman"/>
        <charset val="134"/>
      </rPr>
      <t xml:space="preserve">
</t>
    </r>
    <r>
      <rPr>
        <sz val="10"/>
        <color theme="1"/>
        <rFont val="宋体"/>
        <charset val="134"/>
      </rPr>
      <t>辉耀之火</t>
    </r>
    <r>
      <rPr>
        <sz val="10"/>
        <color theme="1"/>
        <rFont val="Times New Roman"/>
        <charset val="134"/>
      </rPr>
      <t>Radiant Fire</t>
    </r>
    <r>
      <rPr>
        <sz val="10"/>
        <color theme="1"/>
        <rFont val="宋体"/>
        <charset val="134"/>
      </rPr>
      <t>。一名你可见的</t>
    </r>
    <r>
      <rPr>
        <sz val="10"/>
        <color theme="1"/>
        <rFont val="Times New Roman"/>
        <charset val="134"/>
      </rPr>
      <t>30</t>
    </r>
    <r>
      <rPr>
        <sz val="10"/>
        <color theme="1"/>
        <rFont val="宋体"/>
        <charset val="134"/>
      </rPr>
      <t>尺内的生物受到</t>
    </r>
    <r>
      <rPr>
        <sz val="10"/>
        <color theme="1"/>
        <rFont val="Times New Roman"/>
        <charset val="134"/>
      </rPr>
      <t>1d4</t>
    </r>
    <r>
      <rPr>
        <sz val="10"/>
        <color theme="1"/>
        <rFont val="宋体"/>
        <charset val="134"/>
      </rPr>
      <t>火焰或光耀伤害（由你选择）。</t>
    </r>
  </si>
  <si>
    <r>
      <rPr>
        <sz val="10"/>
        <color theme="1"/>
        <rFont val="宋体"/>
        <charset val="134"/>
      </rPr>
      <t>海洋馈赠</t>
    </r>
  </si>
  <si>
    <r>
      <rPr>
        <sz val="10"/>
        <color theme="1"/>
        <rFont val="宋体"/>
        <charset val="134"/>
      </rPr>
      <t>你游泳速度为</t>
    </r>
    <r>
      <rPr>
        <sz val="10"/>
        <color theme="1"/>
        <rFont val="Times New Roman"/>
        <charset val="134"/>
      </rPr>
      <t>40</t>
    </r>
    <r>
      <rPr>
        <sz val="10"/>
        <color theme="1"/>
        <rFont val="宋体"/>
        <charset val="134"/>
      </rPr>
      <t>尺，且可以在水下呼吸。</t>
    </r>
  </si>
  <si>
    <t>奥术补给</t>
  </si>
  <si>
    <r>
      <rPr>
        <sz val="10"/>
        <color theme="1"/>
        <rFont val="宋体"/>
        <charset val="134"/>
      </rPr>
      <t>当你使用奥术回想时，你的精髓魔杖会恢复</t>
    </r>
    <r>
      <rPr>
        <sz val="10"/>
        <color theme="1"/>
        <rFont val="Times New Roman"/>
        <charset val="134"/>
      </rPr>
      <t>3</t>
    </r>
    <r>
      <rPr>
        <sz val="10"/>
        <color theme="1"/>
        <rFont val="宋体"/>
        <charset val="134"/>
      </rPr>
      <t>发已消耗的精髓充能。此外，你获得一项使用魔杖精髓能量的新选项。在你持用着精髓魔杖期间，当你施展一个只针对单一生物，且迫使该生物进行豁免检定的法术时，你可以消耗至多</t>
    </r>
    <r>
      <rPr>
        <sz val="10"/>
        <color theme="1"/>
        <rFont val="Times New Roman"/>
        <charset val="134"/>
      </rPr>
      <t>3</t>
    </r>
    <r>
      <rPr>
        <sz val="10"/>
        <color theme="1"/>
        <rFont val="宋体"/>
        <charset val="134"/>
      </rPr>
      <t>发精髓充能，使本次豁免的</t>
    </r>
    <r>
      <rPr>
        <sz val="10"/>
        <color theme="1"/>
        <rFont val="Times New Roman"/>
        <charset val="134"/>
      </rPr>
      <t>DC</t>
    </r>
    <r>
      <rPr>
        <sz val="10"/>
        <color theme="1"/>
        <rFont val="宋体"/>
        <charset val="134"/>
      </rPr>
      <t>提升等同于所消耗的精髓充能数。</t>
    </r>
  </si>
  <si>
    <r>
      <rPr>
        <sz val="10"/>
        <color theme="1"/>
        <rFont val="宋体"/>
        <charset val="134"/>
      </rPr>
      <t>奉献之誓</t>
    </r>
  </si>
  <si>
    <t>滑滑水獭</t>
  </si>
  <si>
    <r>
      <rPr>
        <sz val="10"/>
        <color theme="1"/>
        <rFont val="宋体"/>
        <charset val="134"/>
      </rPr>
      <t>你能够以附赠动作消耗</t>
    </r>
    <r>
      <rPr>
        <sz val="10"/>
        <color theme="1"/>
        <rFont val="Times New Roman"/>
        <charset val="134"/>
      </rPr>
      <t>1</t>
    </r>
    <r>
      <rPr>
        <sz val="10"/>
        <color theme="1"/>
        <rFont val="宋体"/>
        <charset val="134"/>
      </rPr>
      <t>点战技点展现水獭在水中的优雅和耐力。此后</t>
    </r>
    <r>
      <rPr>
        <sz val="10"/>
        <color theme="1"/>
        <rFont val="Times New Roman"/>
        <charset val="134"/>
      </rPr>
      <t>1</t>
    </r>
    <r>
      <rPr>
        <sz val="10"/>
        <color theme="1"/>
        <rFont val="宋体"/>
        <charset val="134"/>
      </rPr>
      <t>小时内，你具有</t>
    </r>
    <r>
      <rPr>
        <sz val="10"/>
        <color theme="1"/>
        <rFont val="Times New Roman"/>
        <charset val="134"/>
      </rPr>
      <t>30</t>
    </r>
    <r>
      <rPr>
        <sz val="10"/>
        <color theme="1"/>
        <rFont val="宋体"/>
        <charset val="134"/>
      </rPr>
      <t>尺游泳速度，且屏息等于二倍体质值分钟。若你身处水下，你能够以附赠动作执行疾走。</t>
    </r>
  </si>
  <si>
    <t>狩猎教程</t>
  </si>
  <si>
    <r>
      <rPr>
        <sz val="10"/>
        <color theme="1"/>
        <rFont val="微软雅黑"/>
        <charset val="134"/>
      </rPr>
      <t>一名熟练的游侠教会了你如何利用你的魔法来找寻猎物身上的弱点。你可以消耗一次诗人激励的使用次数，将你周围</t>
    </r>
    <r>
      <rPr>
        <sz val="10"/>
        <color theme="1"/>
        <rFont val="Times New Roman"/>
        <charset val="134"/>
      </rPr>
      <t>90</t>
    </r>
    <r>
      <rPr>
        <sz val="10"/>
        <color theme="1"/>
        <rFont val="微软雅黑"/>
        <charset val="134"/>
      </rPr>
      <t>尺范围内能看到的一个生物作为你的猎物。此技艺需要你为其保持专注，至多可持续</t>
    </r>
    <r>
      <rPr>
        <sz val="10"/>
        <color theme="1"/>
        <rFont val="Times New Roman"/>
        <charset val="134"/>
      </rPr>
      <t>1</t>
    </r>
    <r>
      <rPr>
        <sz val="10"/>
        <color theme="1"/>
        <rFont val="微软雅黑"/>
        <charset val="134"/>
      </rPr>
      <t>小时。期间，你对猎物发动的所有武器攻击都会造成等同于你的吟游诗人激励骰的额外伤害。</t>
    </r>
    <r>
      <rPr>
        <sz val="10"/>
        <color theme="1"/>
        <rFont val="Times New Roman"/>
        <charset val="134"/>
      </rPr>
      <t xml:space="preserve">
</t>
    </r>
    <r>
      <rPr>
        <sz val="10"/>
        <color theme="1"/>
        <rFont val="微软雅黑"/>
        <charset val="134"/>
      </rPr>
      <t>达到第</t>
    </r>
    <r>
      <rPr>
        <sz val="10"/>
        <color theme="1"/>
        <rFont val="Times New Roman"/>
        <charset val="134"/>
      </rPr>
      <t>6</t>
    </r>
    <r>
      <rPr>
        <sz val="10"/>
        <color theme="1"/>
        <rFont val="微软雅黑"/>
        <charset val="134"/>
      </rPr>
      <t>级之后，你将这一技艺磨练至得以轻松追踪猎物的程度。技艺效应期间，只要你与猎物同处一个位面，你就能得知你与目标的大致方向与距离。</t>
    </r>
    <r>
      <rPr>
        <sz val="10"/>
        <color theme="1"/>
        <rFont val="Times New Roman"/>
        <charset val="134"/>
      </rPr>
      <t xml:space="preserve">
</t>
    </r>
    <r>
      <rPr>
        <sz val="10"/>
        <color theme="1"/>
        <rFont val="微软雅黑"/>
        <charset val="134"/>
      </rPr>
      <t>达到第</t>
    </r>
    <r>
      <rPr>
        <sz val="10"/>
        <color theme="1"/>
        <rFont val="Times New Roman"/>
        <charset val="134"/>
      </rPr>
      <t>14</t>
    </r>
    <r>
      <rPr>
        <sz val="10"/>
        <color theme="1"/>
        <rFont val="微软雅黑"/>
        <charset val="134"/>
      </rPr>
      <t>级之后，只要你的专注未中断，此技艺就可以持续至多</t>
    </r>
    <r>
      <rPr>
        <sz val="10"/>
        <color theme="1"/>
        <rFont val="Times New Roman"/>
        <charset val="134"/>
      </rPr>
      <t>24</t>
    </r>
    <r>
      <rPr>
        <sz val="10"/>
        <color theme="1"/>
        <rFont val="微软雅黑"/>
        <charset val="134"/>
      </rPr>
      <t>小时。</t>
    </r>
  </si>
  <si>
    <t>炉灶祝福</t>
  </si>
  <si>
    <r>
      <rPr>
        <sz val="10"/>
        <color theme="1"/>
        <rFont val="宋体"/>
        <charset val="134"/>
      </rPr>
      <t>你得到了随时随地召唤出炉灶的能力，得以让你在每次休息之时召唤出带有简易铁锅的小石板炉。这个炉灶可以给你与你的同伴取暖，也可以在旅途道中用于准备丰盛而有营养的食物。当你与每个同你一起扎营的友好生物进行短休时，若它花费了一枚或多枚生命骰来恢复生命值，则它可以重骰恢复量中任意数量的生命骰，并为每枚重骰的骰子选取重骰前、后之间更高的骰值来计算恢复量。
此外，你获得</t>
    </r>
    <r>
      <rPr>
        <sz val="10"/>
        <color theme="1"/>
        <rFont val="Times New Roman"/>
        <charset val="134"/>
      </rPr>
      <t xml:space="preserve"> </t>
    </r>
    <r>
      <rPr>
        <sz val="10"/>
        <color theme="1"/>
        <rFont val="宋体"/>
        <charset val="134"/>
      </rPr>
      <t>厨师工具</t>
    </r>
    <r>
      <rPr>
        <sz val="10"/>
        <color theme="1"/>
        <rFont val="Times New Roman"/>
        <charset val="134"/>
      </rPr>
      <t xml:space="preserve">Cook's utensils </t>
    </r>
    <r>
      <rPr>
        <sz val="10"/>
        <color theme="1"/>
        <rFont val="宋体"/>
        <charset val="134"/>
      </rPr>
      <t>的熟练项。</t>
    </r>
  </si>
  <si>
    <t>结社法术</t>
  </si>
  <si>
    <r>
      <rPr>
        <sz val="10"/>
        <color theme="1"/>
        <rFont val="宋体"/>
        <charset val="134"/>
      </rPr>
      <t>你拥抱了暗影的力量，一种弥漫在现界的黑暗之力。与该能量的联系让你在到达特定等级时获得使用一些法术的能力。如暗影结社法术表所示。</t>
    </r>
    <r>
      <rPr>
        <sz val="10"/>
        <color theme="1"/>
        <rFont val="Times New Roman"/>
        <charset val="134"/>
      </rPr>
      <t xml:space="preserve">
</t>
    </r>
    <r>
      <rPr>
        <sz val="10"/>
        <color theme="1"/>
        <rFont val="宋体"/>
        <charset val="134"/>
      </rPr>
      <t>当你获得使用这些法术的能力时，你始终准备着这些法术，且不会占据你每日可以准备的法术上限。即使你获得不属于德鲁伊法术列表的法术，其对你来说仍是德鲁伊法术。</t>
    </r>
    <r>
      <rPr>
        <sz val="10"/>
        <color theme="1"/>
        <rFont val="Times New Roman"/>
        <charset val="134"/>
      </rPr>
      <t xml:space="preserve">
</t>
    </r>
    <r>
      <rPr>
        <sz val="10"/>
        <color theme="1"/>
        <rFont val="宋体"/>
        <charset val="134"/>
      </rPr>
      <t>等级</t>
    </r>
    <r>
      <rPr>
        <sz val="10"/>
        <color theme="1"/>
        <rFont val="Times New Roman"/>
        <charset val="134"/>
      </rPr>
      <t xml:space="preserve"> </t>
    </r>
    <r>
      <rPr>
        <sz val="10"/>
        <color theme="1"/>
        <rFont val="宋体"/>
        <charset val="134"/>
      </rPr>
      <t>法术</t>
    </r>
    <r>
      <rPr>
        <sz val="10"/>
        <color theme="1"/>
        <rFont val="Times New Roman"/>
        <charset val="134"/>
      </rPr>
      <t xml:space="preserve"> 
2</t>
    </r>
    <r>
      <rPr>
        <sz val="10"/>
        <color theme="1"/>
        <rFont val="宋体"/>
        <charset val="134"/>
      </rPr>
      <t>级</t>
    </r>
    <r>
      <rPr>
        <sz val="10"/>
        <color theme="1"/>
        <rFont val="Times New Roman"/>
        <charset val="134"/>
      </rPr>
      <t xml:space="preserve"> </t>
    </r>
    <r>
      <rPr>
        <sz val="10"/>
        <color theme="1"/>
        <rFont val="宋体"/>
        <charset val="134"/>
      </rPr>
      <t>灾祸术</t>
    </r>
    <r>
      <rPr>
        <sz val="10"/>
        <color theme="1"/>
        <rFont val="Times New Roman"/>
        <charset val="134"/>
      </rPr>
      <t>Bane</t>
    </r>
    <r>
      <rPr>
        <sz val="10"/>
        <color theme="1"/>
        <rFont val="宋体"/>
        <charset val="134"/>
      </rPr>
      <t>，虚假生命</t>
    </r>
    <r>
      <rPr>
        <sz val="10"/>
        <color theme="1"/>
        <rFont val="Times New Roman"/>
        <charset val="134"/>
      </rPr>
      <t>False Life  
3</t>
    </r>
    <r>
      <rPr>
        <sz val="10"/>
        <color theme="1"/>
        <rFont val="宋体"/>
        <charset val="134"/>
      </rPr>
      <t>级</t>
    </r>
    <r>
      <rPr>
        <sz val="10"/>
        <color theme="1"/>
        <rFont val="Times New Roman"/>
        <charset val="134"/>
      </rPr>
      <t xml:space="preserve"> </t>
    </r>
    <r>
      <rPr>
        <sz val="10"/>
        <color theme="1"/>
        <rFont val="宋体"/>
        <charset val="134"/>
      </rPr>
      <t>黑暗术</t>
    </r>
    <r>
      <rPr>
        <sz val="10"/>
        <color theme="1"/>
        <rFont val="Times New Roman"/>
        <charset val="134"/>
      </rPr>
      <t>Darkness</t>
    </r>
    <r>
      <rPr>
        <sz val="10"/>
        <color theme="1"/>
        <rFont val="宋体"/>
        <charset val="134"/>
      </rPr>
      <t>，黑暗视觉</t>
    </r>
    <r>
      <rPr>
        <sz val="10"/>
        <color theme="1"/>
        <rFont val="Times New Roman"/>
        <charset val="134"/>
      </rPr>
      <t>Darkvision 
5</t>
    </r>
    <r>
      <rPr>
        <sz val="10"/>
        <color theme="1"/>
        <rFont val="宋体"/>
        <charset val="134"/>
      </rPr>
      <t>级</t>
    </r>
    <r>
      <rPr>
        <sz val="10"/>
        <color theme="1"/>
        <rFont val="Times New Roman"/>
        <charset val="134"/>
      </rPr>
      <t xml:space="preserve"> </t>
    </r>
    <r>
      <rPr>
        <sz val="10"/>
        <color theme="1"/>
        <rFont val="宋体"/>
        <charset val="134"/>
      </rPr>
      <t>闪烁术</t>
    </r>
    <r>
      <rPr>
        <sz val="10"/>
        <color theme="1"/>
        <rFont val="Times New Roman"/>
        <charset val="134"/>
      </rPr>
      <t>Blink</t>
    </r>
    <r>
      <rPr>
        <sz val="10"/>
        <color theme="1"/>
        <rFont val="宋体"/>
        <charset val="134"/>
      </rPr>
      <t>，恐惧术</t>
    </r>
    <r>
      <rPr>
        <sz val="10"/>
        <color theme="1"/>
        <rFont val="Times New Roman"/>
        <charset val="134"/>
      </rPr>
      <t>Fear 
7</t>
    </r>
    <r>
      <rPr>
        <sz val="10"/>
        <color theme="1"/>
        <rFont val="宋体"/>
        <charset val="134"/>
      </rPr>
      <t>级</t>
    </r>
    <r>
      <rPr>
        <sz val="10"/>
        <color theme="1"/>
        <rFont val="Times New Roman"/>
        <charset val="134"/>
      </rPr>
      <t xml:space="preserve"> </t>
    </r>
    <r>
      <rPr>
        <sz val="10"/>
        <color theme="1"/>
        <rFont val="宋体"/>
        <charset val="134"/>
      </rPr>
      <t>艾伐黑触手</t>
    </r>
    <r>
      <rPr>
        <sz val="10"/>
        <color theme="1"/>
        <rFont val="Times New Roman"/>
        <charset val="134"/>
      </rPr>
      <t>Evard's Black Tentacles</t>
    </r>
    <r>
      <rPr>
        <sz val="10"/>
        <color theme="1"/>
        <rFont val="宋体"/>
        <charset val="134"/>
      </rPr>
      <t>，高等隐形术</t>
    </r>
    <r>
      <rPr>
        <sz val="10"/>
        <color theme="1"/>
        <rFont val="Times New Roman"/>
        <charset val="134"/>
      </rPr>
      <t>Greater Invisibility  
9</t>
    </r>
    <r>
      <rPr>
        <sz val="10"/>
        <color theme="1"/>
        <rFont val="宋体"/>
        <charset val="134"/>
      </rPr>
      <t>级</t>
    </r>
    <r>
      <rPr>
        <sz val="10"/>
        <color theme="1"/>
        <rFont val="Times New Roman"/>
        <charset val="134"/>
      </rPr>
      <t xml:space="preserve"> </t>
    </r>
    <r>
      <rPr>
        <sz val="10"/>
        <color theme="1"/>
        <rFont val="宋体"/>
        <charset val="134"/>
      </rPr>
      <t>寒冰锥</t>
    </r>
    <r>
      <rPr>
        <sz val="10"/>
        <color theme="1"/>
        <rFont val="Times New Roman"/>
        <charset val="134"/>
      </rPr>
      <t>Cone of Cold</t>
    </r>
    <r>
      <rPr>
        <sz val="10"/>
        <color theme="1"/>
        <rFont val="宋体"/>
        <charset val="134"/>
      </rPr>
      <t>，托梦术</t>
    </r>
    <r>
      <rPr>
        <sz val="10"/>
        <color theme="1"/>
        <rFont val="Times New Roman"/>
        <charset val="134"/>
      </rPr>
      <t xml:space="preserve">Dream </t>
    </r>
  </si>
  <si>
    <r>
      <rPr>
        <sz val="10"/>
        <color theme="1"/>
        <rFont val="宋体"/>
        <charset val="134"/>
      </rPr>
      <t>鼓舞之仪</t>
    </r>
  </si>
  <si>
    <r>
      <rPr>
        <sz val="10"/>
        <color theme="1"/>
        <rFont val="宋体"/>
        <charset val="134"/>
      </rPr>
      <t>当你使用激励之仪特性时，每个被选中的生物在</t>
    </r>
    <r>
      <rPr>
        <sz val="10"/>
        <color theme="1"/>
        <rFont val="Times New Roman"/>
        <charset val="134"/>
      </rPr>
      <t>D20</t>
    </r>
    <r>
      <rPr>
        <sz val="10"/>
        <color theme="1"/>
        <rFont val="宋体"/>
        <charset val="134"/>
      </rPr>
      <t>检定和伤害掷骰上获得加值，该加值等于你的魅力调整值（最少为</t>
    </r>
    <r>
      <rPr>
        <sz val="10"/>
        <color theme="1"/>
        <rFont val="Times New Roman"/>
        <charset val="134"/>
      </rPr>
      <t>1</t>
    </r>
    <r>
      <rPr>
        <sz val="10"/>
        <color theme="1"/>
        <rFont val="宋体"/>
        <charset val="134"/>
      </rPr>
      <t>），此加值持续至你的下一回合结束。</t>
    </r>
  </si>
  <si>
    <t>致病毒瘴</t>
  </si>
  <si>
    <r>
      <rPr>
        <sz val="10"/>
        <color theme="1"/>
        <rFont val="宋体"/>
        <charset val="134"/>
      </rPr>
      <t>你的毒瘴疫病威力增强，赋予你以下增益：</t>
    </r>
    <r>
      <rPr>
        <sz val="10"/>
        <color theme="1"/>
        <rFont val="Times New Roman"/>
        <charset val="134"/>
      </rPr>
      <t xml:space="preserve">
</t>
    </r>
    <r>
      <rPr>
        <sz val="10"/>
        <color theme="1"/>
        <rFont val="宋体"/>
        <charset val="134"/>
      </rPr>
      <t>窒息毒瘴</t>
    </r>
    <r>
      <rPr>
        <sz val="10"/>
        <color theme="1"/>
        <rFont val="Times New Roman"/>
        <charset val="134"/>
      </rPr>
      <t>Choking Miasma</t>
    </r>
    <r>
      <rPr>
        <sz val="10"/>
        <color theme="1"/>
        <rFont val="宋体"/>
        <charset val="134"/>
      </rPr>
      <t>。</t>
    </r>
    <r>
      <rPr>
        <sz val="10"/>
        <color theme="1"/>
        <rFont val="Times New Roman"/>
        <charset val="134"/>
      </rPr>
      <t xml:space="preserve"> </t>
    </r>
    <r>
      <rPr>
        <sz val="10"/>
        <color theme="1"/>
        <rFont val="宋体"/>
        <charset val="134"/>
      </rPr>
      <t>为对抗你的毒瘴疫病而进行的体质豁免具有劣势。</t>
    </r>
    <r>
      <rPr>
        <sz val="10"/>
        <color theme="1"/>
        <rFont val="Times New Roman"/>
        <charset val="134"/>
      </rPr>
      <t xml:space="preserve">
</t>
    </r>
    <r>
      <rPr>
        <sz val="10"/>
        <color theme="1"/>
        <rFont val="宋体"/>
        <charset val="134"/>
      </rPr>
      <t>迅速传播</t>
    </r>
    <r>
      <rPr>
        <sz val="10"/>
        <color theme="1"/>
        <rFont val="Times New Roman"/>
        <charset val="134"/>
      </rPr>
      <t>Scurrying Spread</t>
    </r>
    <r>
      <rPr>
        <sz val="10"/>
        <color theme="1"/>
        <rFont val="宋体"/>
        <charset val="134"/>
      </rPr>
      <t>。</t>
    </r>
    <r>
      <rPr>
        <sz val="10"/>
        <color theme="1"/>
        <rFont val="Times New Roman"/>
        <charset val="134"/>
      </rPr>
      <t xml:space="preserve"> </t>
    </r>
    <r>
      <rPr>
        <sz val="10"/>
        <color theme="1"/>
        <rFont val="宋体"/>
        <charset val="134"/>
      </rPr>
      <t>当你消耗</t>
    </r>
    <r>
      <rPr>
        <sz val="10"/>
        <color theme="1"/>
        <rFont val="Times New Roman"/>
        <charset val="134"/>
      </rPr>
      <t>1</t>
    </r>
    <r>
      <rPr>
        <sz val="10"/>
        <color theme="1"/>
        <rFont val="宋体"/>
        <charset val="134"/>
      </rPr>
      <t>点功力使用疾步如风时，直至该回合结束，当你进入你选择的任意生物</t>
    </r>
    <r>
      <rPr>
        <sz val="10"/>
        <color theme="1"/>
        <rFont val="Times New Roman"/>
        <charset val="134"/>
      </rPr>
      <t>5</t>
    </r>
    <r>
      <rPr>
        <sz val="10"/>
        <color theme="1"/>
        <rFont val="宋体"/>
        <charset val="134"/>
      </rPr>
      <t>尺内的空间时，其必须进行一次体质豁免，豁免失败则被你的毒瘴疫病诅咒。一个生物每回合只进行一次此豁免。</t>
    </r>
  </si>
  <si>
    <t>元素守御灵光</t>
  </si>
  <si>
    <r>
      <rPr>
        <sz val="10"/>
        <color theme="1"/>
        <rFont val="宋体"/>
        <charset val="134"/>
      </rPr>
      <t>选择以下伤害类型之一：强酸、寒冷、火焰、闪电或雷鸣。你和位于你守护灵光内的盟友具有该伤害类型的抗性。</t>
    </r>
    <r>
      <rPr>
        <sz val="10"/>
        <color theme="1"/>
        <rFont val="Times New Roman"/>
        <charset val="134"/>
      </rPr>
      <t xml:space="preserve">
</t>
    </r>
    <r>
      <rPr>
        <sz val="10"/>
        <color theme="1"/>
        <rFont val="宋体"/>
        <charset val="134"/>
      </rPr>
      <t>在你每个回合开始时，你可以将此特性影响的伤害类型更改为其他列出的选项（无需动作）。</t>
    </r>
  </si>
  <si>
    <t>强化绽光明烛</t>
  </si>
  <si>
    <t>13级起，绽光明烛的效应持续8小时。</t>
  </si>
  <si>
    <t>咒火法术</t>
  </si>
  <si>
    <r>
      <rPr>
        <sz val="10"/>
        <color theme="1"/>
        <rFont val="宋体"/>
        <charset val="134"/>
      </rPr>
      <t>当你到达咒火法术表中特定的术士等级时，你此后便始终准备了表中对应的法术。</t>
    </r>
    <r>
      <rPr>
        <sz val="10"/>
        <color theme="1"/>
        <rFont val="Times New Roman"/>
        <charset val="134"/>
      </rPr>
      <t xml:space="preserve">
</t>
    </r>
    <r>
      <rPr>
        <sz val="10"/>
        <color theme="1"/>
        <rFont val="宋体"/>
        <charset val="134"/>
      </rPr>
      <t>咒火法术</t>
    </r>
    <r>
      <rPr>
        <sz val="10"/>
        <color theme="1"/>
        <rFont val="Times New Roman"/>
        <charset val="134"/>
      </rPr>
      <t xml:space="preserve">
</t>
    </r>
    <r>
      <rPr>
        <sz val="10"/>
        <color theme="1"/>
        <rFont val="宋体"/>
        <charset val="134"/>
      </rPr>
      <t>术士等级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疗伤术</t>
    </r>
    <r>
      <rPr>
        <sz val="10"/>
        <color theme="1"/>
        <rFont val="Times New Roman"/>
        <charset val="134"/>
      </rPr>
      <t xml:space="preserve"> Cure Wounds</t>
    </r>
    <r>
      <rPr>
        <sz val="10"/>
        <color theme="1"/>
        <rFont val="宋体"/>
        <charset val="134"/>
      </rPr>
      <t>，光导箭</t>
    </r>
    <r>
      <rPr>
        <sz val="10"/>
        <color theme="1"/>
        <rFont val="Times New Roman"/>
        <charset val="134"/>
      </rPr>
      <t>Guiding Bolt</t>
    </r>
    <r>
      <rPr>
        <sz val="10"/>
        <color theme="1"/>
        <rFont val="宋体"/>
        <charset val="134"/>
      </rPr>
      <t>，次等复原术</t>
    </r>
    <r>
      <rPr>
        <sz val="10"/>
        <color theme="1"/>
        <rFont val="Times New Roman"/>
        <charset val="134"/>
      </rPr>
      <t>Lesser Restoration</t>
    </r>
    <r>
      <rPr>
        <sz val="10"/>
        <color theme="1"/>
        <rFont val="宋体"/>
        <charset val="134"/>
      </rPr>
      <t>，灼热射线</t>
    </r>
    <r>
      <rPr>
        <sz val="10"/>
        <color theme="1"/>
        <rFont val="Times New Roman"/>
        <charset val="134"/>
      </rPr>
      <t xml:space="preserve">Scorching Ray
5	</t>
    </r>
    <r>
      <rPr>
        <sz val="10"/>
        <color theme="1"/>
        <rFont val="宋体"/>
        <charset val="134"/>
      </rPr>
      <t>活力灵光</t>
    </r>
    <r>
      <rPr>
        <sz val="10"/>
        <color theme="1"/>
        <rFont val="Times New Roman"/>
        <charset val="134"/>
      </rPr>
      <t>Aura of Vitality</t>
    </r>
    <r>
      <rPr>
        <sz val="10"/>
        <color theme="1"/>
        <rFont val="宋体"/>
        <charset val="134"/>
      </rPr>
      <t>，解除魔法</t>
    </r>
    <r>
      <rPr>
        <sz val="10"/>
        <color theme="1"/>
        <rFont val="Times New Roman"/>
        <charset val="134"/>
      </rPr>
      <t xml:space="preserve">Dispel Magic
7	</t>
    </r>
    <r>
      <rPr>
        <sz val="10"/>
        <color theme="1"/>
        <rFont val="宋体"/>
        <charset val="134"/>
      </rPr>
      <t>火焰护盾</t>
    </r>
    <r>
      <rPr>
        <sz val="10"/>
        <color theme="1"/>
        <rFont val="Times New Roman"/>
        <charset val="134"/>
      </rPr>
      <t>Fire Shield</t>
    </r>
    <r>
      <rPr>
        <sz val="10"/>
        <color theme="1"/>
        <rFont val="宋体"/>
        <charset val="134"/>
      </rPr>
      <t>，火墙术</t>
    </r>
    <r>
      <rPr>
        <sz val="10"/>
        <color theme="1"/>
        <rFont val="Times New Roman"/>
        <charset val="134"/>
      </rPr>
      <t xml:space="preserve">Wall of Fire
9	</t>
    </r>
    <r>
      <rPr>
        <sz val="10"/>
        <color theme="1"/>
        <rFont val="宋体"/>
        <charset val="134"/>
      </rPr>
      <t>高等复原术</t>
    </r>
    <r>
      <rPr>
        <sz val="10"/>
        <color theme="1"/>
        <rFont val="Times New Roman"/>
        <charset val="134"/>
      </rPr>
      <t>Greater Restoration</t>
    </r>
    <r>
      <rPr>
        <sz val="10"/>
        <color theme="1"/>
        <rFont val="宋体"/>
        <charset val="134"/>
      </rPr>
      <t>，焰击术</t>
    </r>
    <r>
      <rPr>
        <sz val="10"/>
        <color theme="1"/>
        <rFont val="Times New Roman"/>
        <charset val="134"/>
      </rPr>
      <t>Flame Strike</t>
    </r>
  </si>
  <si>
    <r>
      <rPr>
        <sz val="10"/>
        <color theme="1"/>
        <rFont val="宋体"/>
        <charset val="134"/>
      </rPr>
      <t>海渊魂灵</t>
    </r>
  </si>
  <si>
    <r>
      <rPr>
        <sz val="10"/>
        <color theme="1"/>
        <rFont val="宋体"/>
        <charset val="134"/>
      </rPr>
      <t>深海对你来说如家一般熟悉，你获得对于寒冷伤害的抗性。
此外，当你被浸没时，任何完全被浸没的生物都能听懂你的语言，你也能听懂他们的。</t>
    </r>
  </si>
  <si>
    <t>次级魔杖灌注</t>
  </si>
  <si>
    <r>
      <rPr>
        <sz val="10"/>
        <color theme="1"/>
        <rFont val="宋体"/>
        <charset val="134"/>
      </rPr>
      <t>每当你完成一次长休时，你都可以从你的法术书中选择至多等同你的智力调整值个数的法术（至少为</t>
    </r>
    <r>
      <rPr>
        <sz val="10"/>
        <color theme="1"/>
        <rFont val="Times New Roman"/>
        <charset val="134"/>
      </rPr>
      <t>1</t>
    </r>
    <r>
      <rPr>
        <sz val="10"/>
        <color theme="1"/>
        <rFont val="宋体"/>
        <charset val="134"/>
      </rPr>
      <t>个），将这些法术灌注到一根非魔法的木棍、楔榫或者类似的微型物件中，来将该物件转化为魔杖。你所选的所有法术都必须是戏法、一环或二环法术，且施法时间必须都为</t>
    </r>
    <r>
      <rPr>
        <sz val="10"/>
        <color theme="1"/>
        <rFont val="Times New Roman"/>
        <charset val="134"/>
      </rPr>
      <t>1</t>
    </r>
    <r>
      <rPr>
        <sz val="10"/>
        <color theme="1"/>
        <rFont val="宋体"/>
        <charset val="134"/>
      </rPr>
      <t>动作或</t>
    </r>
    <r>
      <rPr>
        <sz val="10"/>
        <color theme="1"/>
        <rFont val="Times New Roman"/>
        <charset val="134"/>
      </rPr>
      <t>1</t>
    </r>
    <r>
      <rPr>
        <sz val="10"/>
        <color theme="1"/>
        <rFont val="宋体"/>
        <charset val="134"/>
      </rPr>
      <t>附赠动作。此外，这些法术都不能需要施法者专注，也都不能需要任何有价值的或者会作为施法的一部分而被消耗的材料成分，而且都不能是可以对目标造成伤害的戏法。</t>
    </r>
    <r>
      <rPr>
        <sz val="10"/>
        <color theme="1"/>
        <rFont val="Times New Roman"/>
        <charset val="134"/>
      </rPr>
      <t xml:space="preserve"> 
</t>
    </r>
    <r>
      <rPr>
        <sz val="10"/>
        <color theme="1"/>
        <rFont val="宋体"/>
        <charset val="134"/>
      </rPr>
      <t>该魔杖拥有等同于你智力调整值数额的充能（至少为</t>
    </r>
    <r>
      <rPr>
        <sz val="10"/>
        <color theme="1"/>
        <rFont val="Times New Roman"/>
        <charset val="134"/>
      </rPr>
      <t>1</t>
    </r>
    <r>
      <rPr>
        <sz val="10"/>
        <color theme="1"/>
        <rFont val="宋体"/>
        <charset val="134"/>
      </rPr>
      <t>发），你可以用它来施展灌注的戏法（</t>
    </r>
    <r>
      <rPr>
        <sz val="10"/>
        <color theme="1"/>
        <rFont val="Times New Roman"/>
        <charset val="134"/>
      </rPr>
      <t>0</t>
    </r>
    <r>
      <rPr>
        <sz val="10"/>
        <color theme="1"/>
        <rFont val="宋体"/>
        <charset val="134"/>
      </rPr>
      <t>充能）、一环法术（</t>
    </r>
    <r>
      <rPr>
        <sz val="10"/>
        <color theme="1"/>
        <rFont val="Times New Roman"/>
        <charset val="134"/>
      </rPr>
      <t>1</t>
    </r>
    <r>
      <rPr>
        <sz val="10"/>
        <color theme="1"/>
        <rFont val="宋体"/>
        <charset val="134"/>
      </rPr>
      <t>充能）或二环法术（</t>
    </r>
    <r>
      <rPr>
        <sz val="10"/>
        <color theme="1"/>
        <rFont val="Times New Roman"/>
        <charset val="134"/>
      </rPr>
      <t>2</t>
    </r>
    <r>
      <rPr>
        <sz val="10"/>
        <color theme="1"/>
        <rFont val="宋体"/>
        <charset val="134"/>
      </rPr>
      <t>充能）。持用着该魔杖的生物可以用一个动作来施展其中的一道法术，该法术使用你的法术豁免</t>
    </r>
    <r>
      <rPr>
        <sz val="10"/>
        <color theme="1"/>
        <rFont val="Times New Roman"/>
        <charset val="134"/>
      </rPr>
      <t>DC</t>
    </r>
    <r>
      <rPr>
        <sz val="10"/>
        <color theme="1"/>
        <rFont val="宋体"/>
        <charset val="134"/>
      </rPr>
      <t>、法术攻击加值和施法能力。在你完成一次长休后，该魔杖将失去其魔法。</t>
    </r>
  </si>
  <si>
    <r>
      <rPr>
        <sz val="10"/>
        <color theme="1"/>
        <rFont val="宋体"/>
        <charset val="134"/>
      </rPr>
      <t>荣耀之誓</t>
    </r>
  </si>
  <si>
    <t>血猎犬嗅</t>
  </si>
  <si>
    <r>
      <rPr>
        <sz val="10"/>
        <color theme="1"/>
        <rFont val="宋体"/>
        <charset val="134"/>
      </rPr>
      <t>你花费</t>
    </r>
    <r>
      <rPr>
        <sz val="10"/>
        <color theme="1"/>
        <rFont val="Times New Roman"/>
        <charset val="134"/>
      </rPr>
      <t>1</t>
    </r>
    <r>
      <rPr>
        <sz val="10"/>
        <color theme="1"/>
        <rFont val="宋体"/>
        <charset val="134"/>
      </rPr>
      <t>分钟并消耗</t>
    </r>
    <r>
      <rPr>
        <sz val="10"/>
        <color theme="1"/>
        <rFont val="Times New Roman"/>
        <charset val="134"/>
      </rPr>
      <t>1</t>
    </r>
    <r>
      <rPr>
        <sz val="10"/>
        <color theme="1"/>
        <rFont val="宋体"/>
        <charset val="134"/>
      </rPr>
      <t>点战技点强化感官感知周遭环境，提升你的嗅觉、视觉和听觉，持续</t>
    </r>
    <r>
      <rPr>
        <sz val="10"/>
        <color theme="1"/>
        <rFont val="Times New Roman"/>
        <charset val="134"/>
      </rPr>
      <t>1</t>
    </r>
    <r>
      <rPr>
        <sz val="10"/>
        <color theme="1"/>
        <rFont val="宋体"/>
        <charset val="134"/>
      </rPr>
      <t>小时。强化期间，你获得以下增益：
你进行感知（察觉）和感知（求生）检定时具有优势。
你进行先攻检定时加入熟练加值。
你对抗隐身生物进行的攻击检定不具有劣势。</t>
    </r>
  </si>
  <si>
    <t>鲁莽战术</t>
  </si>
  <si>
    <r>
      <rPr>
        <sz val="10"/>
        <color theme="1"/>
        <rFont val="微软雅黑"/>
        <charset val="134"/>
      </rPr>
      <t>一名顽强的野蛮人曾教导你，终有一天你会遇到必须不顾自身安危而冲入战斗的时候。当你用具有重型、双手、或多用词条的近战武器发动攻击时，你可以消耗一次诗人激励的使用次数，使本次攻击具有优势。此外，投掷你的诗人激励骰，这次攻击的伤害掷骰获得等同于</t>
    </r>
    <r>
      <rPr>
        <sz val="10"/>
        <color theme="1"/>
        <rFont val="Times New Roman"/>
        <charset val="134"/>
      </rPr>
      <t xml:space="preserve"> </t>
    </r>
    <r>
      <rPr>
        <sz val="10"/>
        <color theme="1"/>
        <rFont val="微软雅黑"/>
        <charset val="134"/>
      </rPr>
      <t>骰出数值</t>
    </r>
    <r>
      <rPr>
        <sz val="10"/>
        <color theme="1"/>
        <rFont val="Times New Roman"/>
        <charset val="134"/>
      </rPr>
      <t>+</t>
    </r>
    <r>
      <rPr>
        <sz val="10"/>
        <color theme="1"/>
        <rFont val="微软雅黑"/>
        <charset val="134"/>
      </rPr>
      <t>你的感知调整值（至少</t>
    </r>
    <r>
      <rPr>
        <sz val="10"/>
        <color theme="1"/>
        <rFont val="Times New Roman"/>
        <charset val="134"/>
      </rPr>
      <t>+1</t>
    </r>
    <r>
      <rPr>
        <sz val="10"/>
        <color theme="1"/>
        <rFont val="微软雅黑"/>
        <charset val="134"/>
      </rPr>
      <t>）</t>
    </r>
    <r>
      <rPr>
        <sz val="10"/>
        <color theme="1"/>
        <rFont val="Times New Roman"/>
        <charset val="134"/>
      </rPr>
      <t xml:space="preserve"> </t>
    </r>
    <r>
      <rPr>
        <sz val="10"/>
        <color theme="1"/>
        <rFont val="微软雅黑"/>
        <charset val="134"/>
      </rPr>
      <t>的加值。使用此技艺后，本轮内任何以你为目标发起的攻击均具有优势。</t>
    </r>
    <r>
      <rPr>
        <sz val="10"/>
        <color theme="1"/>
        <rFont val="Times New Roman"/>
        <charset val="134"/>
      </rPr>
      <t xml:space="preserve">
</t>
    </r>
    <r>
      <rPr>
        <sz val="10"/>
        <color theme="1"/>
        <rFont val="微软雅黑"/>
        <charset val="134"/>
      </rPr>
      <t>达到第</t>
    </r>
    <r>
      <rPr>
        <sz val="10"/>
        <color theme="1"/>
        <rFont val="Times New Roman"/>
        <charset val="134"/>
      </rPr>
      <t>6</t>
    </r>
    <r>
      <rPr>
        <sz val="10"/>
        <color theme="1"/>
        <rFont val="微软雅黑"/>
        <charset val="134"/>
      </rPr>
      <t>级之后，你通过练习学会了如何放弃一切去造成更高的伤害。你还可以令本次攻击的攻击检定承受</t>
    </r>
    <r>
      <rPr>
        <sz val="10"/>
        <color theme="1"/>
        <rFont val="Times New Roman"/>
        <charset val="134"/>
      </rPr>
      <t>-5</t>
    </r>
    <r>
      <rPr>
        <sz val="10"/>
        <color theme="1"/>
        <rFont val="微软雅黑"/>
        <charset val="134"/>
      </rPr>
      <t>的减值。如果此次攻击命中，在攻击的伤害掷骰上获得</t>
    </r>
    <r>
      <rPr>
        <sz val="10"/>
        <color theme="1"/>
        <rFont val="Times New Roman"/>
        <charset val="134"/>
      </rPr>
      <t>+10</t>
    </r>
    <r>
      <rPr>
        <sz val="10"/>
        <color theme="1"/>
        <rFont val="微软雅黑"/>
        <charset val="134"/>
      </rPr>
      <t>加值。</t>
    </r>
    <r>
      <rPr>
        <sz val="10"/>
        <color theme="1"/>
        <rFont val="Times New Roman"/>
        <charset val="134"/>
      </rPr>
      <t xml:space="preserve">
</t>
    </r>
    <r>
      <rPr>
        <sz val="10"/>
        <color theme="1"/>
        <rFont val="微软雅黑"/>
        <charset val="134"/>
      </rPr>
      <t>达到第</t>
    </r>
    <r>
      <rPr>
        <sz val="10"/>
        <color theme="1"/>
        <rFont val="Times New Roman"/>
        <charset val="134"/>
      </rPr>
      <t>14</t>
    </r>
    <r>
      <rPr>
        <sz val="10"/>
        <color theme="1"/>
        <rFont val="微软雅黑"/>
        <charset val="134"/>
      </rPr>
      <t>级之后，你的经验教会了你如何真正的全力以赴。若你在发起这次攻击前，的同一回合回合中没有进行过移动，你可以自愿将你的速度降为</t>
    </r>
    <r>
      <rPr>
        <sz val="10"/>
        <color theme="1"/>
        <rFont val="Times New Roman"/>
        <charset val="134"/>
      </rPr>
      <t>0</t>
    </r>
    <r>
      <rPr>
        <sz val="10"/>
        <color theme="1"/>
        <rFont val="微软雅黑"/>
        <charset val="134"/>
      </rPr>
      <t>（持续直至你的下个回合为止），对你周围</t>
    </r>
    <r>
      <rPr>
        <sz val="10"/>
        <color theme="1"/>
        <rFont val="Times New Roman"/>
        <charset val="134"/>
      </rPr>
      <t>5</t>
    </r>
    <r>
      <rPr>
        <sz val="10"/>
        <color theme="1"/>
        <rFont val="微软雅黑"/>
        <charset val="134"/>
      </rPr>
      <t>尺范围内的任意数量的生物发动此次攻击，不过你需要对每个目标进行单独的攻击检定。</t>
    </r>
  </si>
  <si>
    <t>引导神力：宏伟盛宴</t>
  </si>
  <si>
    <r>
      <rPr>
        <sz val="10"/>
        <color theme="1"/>
        <rFont val="宋体"/>
        <charset val="134"/>
      </rPr>
      <t>你可以引导神力咒唤出魔法性的盛宴，为你们前行道路之上即将遭遇的那些坎坷做足准备。使用此引导神力需要花费</t>
    </r>
    <r>
      <rPr>
        <sz val="10"/>
        <color theme="1"/>
        <rFont val="Times New Roman"/>
        <charset val="134"/>
      </rPr>
      <t>10</t>
    </r>
    <r>
      <rPr>
        <sz val="10"/>
        <color theme="1"/>
        <rFont val="宋体"/>
        <charset val="134"/>
      </rPr>
      <t>分钟的时间，完成后，你将创造出一定数量的美味的、精致的、不过还是偏简易的食物，其数量等同于你的感知调整值（至少</t>
    </r>
    <r>
      <rPr>
        <sz val="10"/>
        <color theme="1"/>
        <rFont val="Times New Roman"/>
        <charset val="134"/>
      </rPr>
      <t>1</t>
    </r>
    <r>
      <rPr>
        <sz val="10"/>
        <color theme="1"/>
        <rFont val="宋体"/>
        <charset val="134"/>
      </rPr>
      <t>份）。每一份食物都可以持续存在</t>
    </r>
    <r>
      <rPr>
        <sz val="10"/>
        <color theme="1"/>
        <rFont val="Times New Roman"/>
        <charset val="134"/>
      </rPr>
      <t>8</t>
    </r>
    <r>
      <rPr>
        <sz val="10"/>
        <color theme="1"/>
        <rFont val="宋体"/>
        <charset val="134"/>
      </rPr>
      <t>小时（不过会在你完成一次休息之后提前消失），但它们绝对不会变质。食用以此创造的食物需要一个动作，食用后它将恢复</t>
    </r>
    <r>
      <rPr>
        <sz val="10"/>
        <color theme="1"/>
        <rFont val="Times New Roman"/>
        <charset val="134"/>
      </rPr>
      <t xml:space="preserve"> 2d4+</t>
    </r>
    <r>
      <rPr>
        <sz val="10"/>
        <color theme="1"/>
        <rFont val="宋体"/>
        <charset val="134"/>
      </rPr>
      <t>你的牧师等级</t>
    </r>
    <r>
      <rPr>
        <sz val="10"/>
        <color theme="1"/>
        <rFont val="Times New Roman"/>
        <charset val="134"/>
      </rPr>
      <t xml:space="preserve"> </t>
    </r>
    <r>
      <rPr>
        <sz val="10"/>
        <color theme="1"/>
        <rFont val="宋体"/>
        <charset val="134"/>
      </rPr>
      <t>点生命值，并可以消除该生物正遭受着的一项特定负面状态（恐慌</t>
    </r>
    <r>
      <rPr>
        <sz val="10"/>
        <color theme="1"/>
        <rFont val="Times New Roman"/>
        <charset val="134"/>
      </rPr>
      <t xml:space="preserve">Frightened </t>
    </r>
    <r>
      <rPr>
        <sz val="10"/>
        <color theme="1"/>
        <rFont val="宋体"/>
        <charset val="134"/>
      </rPr>
      <t>或</t>
    </r>
    <r>
      <rPr>
        <sz val="10"/>
        <color theme="1"/>
        <rFont val="Times New Roman"/>
        <charset val="134"/>
      </rPr>
      <t xml:space="preserve"> </t>
    </r>
    <r>
      <rPr>
        <sz val="10"/>
        <color theme="1"/>
        <rFont val="宋体"/>
        <charset val="134"/>
      </rPr>
      <t>中毒</t>
    </r>
    <r>
      <rPr>
        <sz val="10"/>
        <color theme="1"/>
        <rFont val="Times New Roman"/>
        <charset val="134"/>
      </rPr>
      <t>Poisoned</t>
    </r>
    <r>
      <rPr>
        <sz val="10"/>
        <color theme="1"/>
        <rFont val="宋体"/>
        <charset val="134"/>
      </rPr>
      <t>；由食用者在食用时选择）。</t>
    </r>
  </si>
  <si>
    <t>影灵形态</t>
  </si>
  <si>
    <r>
      <rPr>
        <sz val="10"/>
        <color theme="1"/>
        <rFont val="宋体"/>
        <charset val="134"/>
      </rPr>
      <t>以一个附赠动作，你可以消耗一次荒野形态特性的使用次数来变身为如同阴影一般的影灵形态，而非变为野兽。
当你处于影灵形态下，你保留你的游戏数据，但你的身体形态变得如同烟雾。形态持续</t>
    </r>
    <r>
      <rPr>
        <sz val="10"/>
        <color theme="1"/>
        <rFont val="Times New Roman"/>
        <charset val="134"/>
      </rPr>
      <t>10</t>
    </r>
    <r>
      <rPr>
        <sz val="10"/>
        <color theme="1"/>
        <rFont val="宋体"/>
        <charset val="134"/>
      </rPr>
      <t>分钟，或在你陷入失能、死亡、再次使用此特性或解除其（无需动作）时提前结束。
当你处于影灵形态，你获得以下特性：
若你身处微光光照或黑暗，你能够以附赠动作执行躲藏
你可以移动穿过最窄</t>
    </r>
    <r>
      <rPr>
        <sz val="10"/>
        <color theme="1"/>
        <rFont val="Times New Roman"/>
        <charset val="134"/>
      </rPr>
      <t>1</t>
    </r>
    <r>
      <rPr>
        <sz val="10"/>
        <color theme="1"/>
        <rFont val="宋体"/>
        <charset val="134"/>
      </rPr>
      <t>寸宽的空间而无需跻身。
当一名你可见的生物以近战攻击命中你时，你能够以反应对其造成等于你熟练加值的寒冷伤害。</t>
    </r>
  </si>
  <si>
    <r>
      <rPr>
        <sz val="10"/>
        <color theme="1"/>
        <rFont val="宋体"/>
        <charset val="134"/>
      </rPr>
      <t>坚韧之仪</t>
    </r>
  </si>
  <si>
    <r>
      <rPr>
        <sz val="10"/>
        <color theme="1"/>
        <rFont val="宋体"/>
        <charset val="134"/>
      </rPr>
      <t>你在完成一次短休或长休后重新获得所有激励之仪的使用次数。</t>
    </r>
  </si>
  <si>
    <t>疫劫降临</t>
  </si>
  <si>
    <r>
      <rPr>
        <sz val="10"/>
        <color theme="1"/>
        <rFont val="宋体"/>
        <charset val="134"/>
      </rPr>
      <t>你的瘟疫已达到其效力的顶峰，其症状能迅速折磨你的敌人。你的毒瘴疫病无视目标的中毒状态免疫。</t>
    </r>
    <r>
      <rPr>
        <sz val="10"/>
        <color theme="1"/>
        <rFont val="Times New Roman"/>
        <charset val="134"/>
      </rPr>
      <t xml:space="preserve">
</t>
    </r>
    <r>
      <rPr>
        <sz val="10"/>
        <color theme="1"/>
        <rFont val="宋体"/>
        <charset val="134"/>
      </rPr>
      <t>此外，当你对一个被你的毒瘴疫病诅咒的目标造成暗蚀伤害时，它额外受到等于你武艺骰的暗蚀伤害。</t>
    </r>
  </si>
  <si>
    <t>元素叱喝</t>
  </si>
  <si>
    <r>
      <rPr>
        <sz val="10"/>
        <color theme="1"/>
        <rFont val="宋体"/>
        <charset val="134"/>
      </rPr>
      <t>当你被一次攻击检定命中时，你可以使用反应使该攻击对你造成的伤害减半（向下取整）并且迫使攻击者进行一次对抗你的法术豁免</t>
    </r>
    <r>
      <rPr>
        <sz val="10"/>
        <color theme="1"/>
        <rFont val="Times New Roman"/>
        <charset val="134"/>
      </rPr>
      <t>DC</t>
    </r>
    <r>
      <rPr>
        <sz val="10"/>
        <color theme="1"/>
        <rFont val="宋体"/>
        <charset val="134"/>
      </rPr>
      <t>的敏捷检定。豁免失败，攻击者受到等同于</t>
    </r>
    <r>
      <rPr>
        <sz val="10"/>
        <color theme="1"/>
        <rFont val="Times New Roman"/>
        <charset val="134"/>
      </rPr>
      <t>2d10+</t>
    </r>
    <r>
      <rPr>
        <sz val="10"/>
        <color theme="1"/>
        <rFont val="宋体"/>
        <charset val="134"/>
      </rPr>
      <t>你魅力调整值的伤害。该伤害是以下类型之一（由你选择）：强酸、寒冷、火焰、闪电或雷鸣。豁免成功，则攻击者受到一半伤害。</t>
    </r>
    <r>
      <rPr>
        <sz val="10"/>
        <color theme="1"/>
        <rFont val="Times New Roman"/>
        <charset val="134"/>
      </rPr>
      <t xml:space="preserve">
</t>
    </r>
    <r>
      <rPr>
        <sz val="10"/>
        <color theme="1"/>
        <rFont val="宋体"/>
        <charset val="134"/>
      </rPr>
      <t>你可以使用此特性的次数等同于你的魅力调整值（至少一次），并且你在完成一次长休后会恢复所有已消耗的使用次数。</t>
    </r>
  </si>
  <si>
    <t>强化延时燃烧</t>
  </si>
  <si>
    <t>13级起，你可以将魔艺的效果延迟1轮，3轮，1分钟，10分钟，或1小时。</t>
  </si>
  <si>
    <t>汲纳法术</t>
  </si>
  <si>
    <r>
      <rPr>
        <sz val="10"/>
        <color theme="1"/>
        <rFont val="宋体"/>
        <charset val="134"/>
      </rPr>
      <t>你始终准备法术法术反制</t>
    </r>
    <r>
      <rPr>
        <sz val="10"/>
        <color theme="1"/>
        <rFont val="Times New Roman"/>
        <charset val="134"/>
      </rPr>
      <t>Counterspell</t>
    </r>
    <r>
      <rPr>
        <sz val="10"/>
        <color theme="1"/>
        <rFont val="宋体"/>
        <charset val="134"/>
      </rPr>
      <t>。</t>
    </r>
    <r>
      <rPr>
        <sz val="10"/>
        <color theme="1"/>
        <rFont val="Times New Roman"/>
        <charset val="134"/>
      </rPr>
      <t xml:space="preserve">
</t>
    </r>
    <r>
      <rPr>
        <sz val="10"/>
        <color theme="1"/>
        <rFont val="宋体"/>
        <charset val="134"/>
      </rPr>
      <t>此外，当一个目标在对抗你所施展的法术反制的豁免中失败时，你重获</t>
    </r>
    <r>
      <rPr>
        <sz val="10"/>
        <color theme="1"/>
        <rFont val="Times New Roman"/>
        <charset val="134"/>
      </rPr>
      <t>1d4</t>
    </r>
    <r>
      <rPr>
        <sz val="10"/>
        <color theme="1"/>
        <rFont val="宋体"/>
        <charset val="134"/>
      </rPr>
      <t>术法点。</t>
    </r>
  </si>
  <si>
    <r>
      <rPr>
        <sz val="10"/>
        <color theme="1"/>
        <rFont val="宋体"/>
        <charset val="134"/>
      </rPr>
      <t>守卫缠绕</t>
    </r>
  </si>
  <si>
    <r>
      <rPr>
        <sz val="10"/>
        <color theme="1"/>
        <rFont val="宋体"/>
        <charset val="134"/>
      </rPr>
      <t>你的深海触手可以保护你和其他人，用自己将你们和危险隔开。
当你或你可以看见的一个位于触手</t>
    </r>
    <r>
      <rPr>
        <sz val="10"/>
        <color theme="1"/>
        <rFont val="Times New Roman"/>
        <charset val="134"/>
      </rPr>
      <t>10</t>
    </r>
    <r>
      <rPr>
        <sz val="10"/>
        <color theme="1"/>
        <rFont val="宋体"/>
        <charset val="134"/>
      </rPr>
      <t>尺内的生物承受伤害时，你可以使用反应选择这些生物中的一个并使该生物遭受的伤害减少</t>
    </r>
    <r>
      <rPr>
        <sz val="10"/>
        <color theme="1"/>
        <rFont val="Times New Roman"/>
        <charset val="134"/>
      </rPr>
      <t>1d8</t>
    </r>
    <r>
      <rPr>
        <sz val="10"/>
        <color theme="1"/>
        <rFont val="宋体"/>
        <charset val="134"/>
      </rPr>
      <t>，当你达到邪术师</t>
    </r>
    <r>
      <rPr>
        <sz val="10"/>
        <color theme="1"/>
        <rFont val="Times New Roman"/>
        <charset val="134"/>
      </rPr>
      <t>10</t>
    </r>
    <r>
      <rPr>
        <sz val="10"/>
        <color theme="1"/>
        <rFont val="宋体"/>
        <charset val="134"/>
      </rPr>
      <t>级时，触手可以抵消的伤害增加到</t>
    </r>
    <r>
      <rPr>
        <sz val="10"/>
        <color theme="1"/>
        <rFont val="Times New Roman"/>
        <charset val="134"/>
      </rPr>
      <t>2d8</t>
    </r>
    <r>
      <rPr>
        <sz val="10"/>
        <color theme="1"/>
        <rFont val="宋体"/>
        <charset val="134"/>
      </rPr>
      <t>。</t>
    </r>
  </si>
  <si>
    <t>显化充能</t>
  </si>
  <si>
    <r>
      <rPr>
        <sz val="10"/>
        <color theme="1"/>
        <rFont val="宋体"/>
        <charset val="134"/>
      </rPr>
      <t>你可以将魔杖中的精髓充能转化为原始的奥术能量。通过操纵这种能量，你还可以通过下列新的方式使用魔杖的精髓充能：
你可以用一个附赠动作，消耗魔杖的至少</t>
    </r>
    <r>
      <rPr>
        <sz val="10"/>
        <color theme="1"/>
        <rFont val="Times New Roman"/>
        <charset val="134"/>
      </rPr>
      <t>1</t>
    </r>
    <r>
      <rPr>
        <sz val="10"/>
        <color theme="1"/>
        <rFont val="宋体"/>
        <charset val="134"/>
      </rPr>
      <t>发精髓充能，来创造与所消耗精髓充能数等量的魔力光粒。每个光粒都将分别冲向距离你</t>
    </r>
    <r>
      <rPr>
        <sz val="10"/>
        <color theme="1"/>
        <rFont val="Times New Roman"/>
        <charset val="134"/>
      </rPr>
      <t>60</t>
    </r>
    <r>
      <rPr>
        <sz val="10"/>
        <color theme="1"/>
        <rFont val="宋体"/>
        <charset val="134"/>
      </rPr>
      <t>尺以内一个你可见且各不相同的目标，对每个目标造成</t>
    </r>
    <r>
      <rPr>
        <sz val="10"/>
        <color theme="1"/>
        <rFont val="宋体"/>
        <charset val="134"/>
      </rPr>
      <t>“</t>
    </r>
    <r>
      <rPr>
        <sz val="10"/>
        <color theme="1"/>
        <rFont val="Times New Roman"/>
        <charset val="134"/>
      </rPr>
      <t xml:space="preserve">1d4 + </t>
    </r>
    <r>
      <rPr>
        <sz val="10"/>
        <color theme="1"/>
        <rFont val="宋体"/>
        <charset val="134"/>
      </rPr>
      <t>你的智力调整值</t>
    </r>
    <r>
      <rPr>
        <sz val="10"/>
        <color theme="1"/>
        <rFont val="宋体"/>
        <charset val="134"/>
      </rPr>
      <t>”</t>
    </r>
    <r>
      <rPr>
        <sz val="10"/>
        <color theme="1"/>
        <rFont val="宋体"/>
        <charset val="134"/>
      </rPr>
      <t>力场伤害。
当你或一个距离你</t>
    </r>
    <r>
      <rPr>
        <sz val="10"/>
        <color theme="1"/>
        <rFont val="Times New Roman"/>
        <charset val="134"/>
      </rPr>
      <t>30</t>
    </r>
    <r>
      <rPr>
        <sz val="10"/>
        <color theme="1"/>
        <rFont val="宋体"/>
        <charset val="134"/>
      </rPr>
      <t>尺以内且你可见的生物受到伤害时，你可以用你的反应消耗魔杖的至少</t>
    </r>
    <r>
      <rPr>
        <sz val="10"/>
        <color theme="1"/>
        <rFont val="Times New Roman"/>
        <charset val="134"/>
      </rPr>
      <t>1</t>
    </r>
    <r>
      <rPr>
        <sz val="10"/>
        <color theme="1"/>
        <rFont val="宋体"/>
        <charset val="134"/>
      </rPr>
      <t>发精髓充能，来制造一个魔法屏障以降低其所受到的伤害，伤害的降低值等于所消耗的精髓充能数的三倍。
除此之外，你对魔杖的掌握和理解变得更加高超。在你用尽了魔杖的最后一充能后，你不需要掷</t>
    </r>
    <r>
      <rPr>
        <sz val="10"/>
        <color theme="1"/>
        <rFont val="Times New Roman"/>
        <charset val="134"/>
      </rPr>
      <t>d20</t>
    </r>
    <r>
      <rPr>
        <sz val="10"/>
        <color theme="1"/>
        <rFont val="宋体"/>
        <charset val="134"/>
      </rPr>
      <t>（即使物品描述要求你如此做）。另外，你制作魔杖花费的金钱和时间减半。</t>
    </r>
  </si>
  <si>
    <r>
      <rPr>
        <sz val="10"/>
        <color theme="1"/>
        <rFont val="宋体"/>
        <charset val="134"/>
      </rPr>
      <t>古贤之誓</t>
    </r>
  </si>
  <si>
    <t>狩心怒嚎</t>
  </si>
  <si>
    <r>
      <rPr>
        <sz val="10"/>
        <color theme="1"/>
        <rFont val="宋体"/>
        <charset val="134"/>
      </rPr>
      <t>你能够以附赠动作消耗</t>
    </r>
    <r>
      <rPr>
        <sz val="10"/>
        <color theme="1"/>
        <rFont val="Times New Roman"/>
        <charset val="134"/>
      </rPr>
      <t>2</t>
    </r>
    <r>
      <rPr>
        <sz val="10"/>
        <color theme="1"/>
        <rFont val="宋体"/>
        <charset val="134"/>
      </rPr>
      <t>点战技点发出恐吓性咆哮。两名位于你</t>
    </r>
    <r>
      <rPr>
        <sz val="10"/>
        <color theme="1"/>
        <rFont val="Times New Roman"/>
        <charset val="134"/>
      </rPr>
      <t>30</t>
    </r>
    <r>
      <rPr>
        <sz val="10"/>
        <color theme="1"/>
        <rFont val="宋体"/>
        <charset val="134"/>
      </rPr>
      <t>尺内由你选择的生物必须成功通过一次感知豁免。豁免失败则陷入恐慌直至你的下个回合开始。每当该恐慌生物受到武器攻击的伤害时，其额外受到</t>
    </r>
    <r>
      <rPr>
        <sz val="10"/>
        <color theme="1"/>
        <rFont val="Times New Roman"/>
        <charset val="134"/>
      </rPr>
      <t>1d6</t>
    </r>
    <r>
      <rPr>
        <sz val="10"/>
        <color theme="1"/>
        <rFont val="宋体"/>
        <charset val="134"/>
      </rPr>
      <t>心灵伤害。</t>
    </r>
  </si>
  <si>
    <t>守御技艺</t>
  </si>
  <si>
    <r>
      <rPr>
        <sz val="10"/>
        <color theme="1"/>
        <rFont val="微软雅黑"/>
        <charset val="134"/>
      </rPr>
      <t>一名温和尔雅的牧师教会了你如何引导魔力，将其转化为一层保护它人的守御面纱。以一个动作，你可以消耗一次诗人激励的使用次数，投掷你的诗人激励骰，并给予你周围</t>
    </r>
    <r>
      <rPr>
        <sz val="10"/>
        <color theme="1"/>
        <rFont val="Times New Roman"/>
        <charset val="134"/>
      </rPr>
      <t>60</t>
    </r>
    <r>
      <rPr>
        <sz val="10"/>
        <color theme="1"/>
        <rFont val="微软雅黑"/>
        <charset val="134"/>
      </rPr>
      <t>尺范围内你可见的一名盟友等同于</t>
    </r>
    <r>
      <rPr>
        <sz val="10"/>
        <color theme="1"/>
        <rFont val="Times New Roman"/>
        <charset val="134"/>
      </rPr>
      <t xml:space="preserve"> </t>
    </r>
    <r>
      <rPr>
        <sz val="10"/>
        <color theme="1"/>
        <rFont val="微软雅黑"/>
        <charset val="134"/>
      </rPr>
      <t>骰出数值</t>
    </r>
    <r>
      <rPr>
        <sz val="10"/>
        <color theme="1"/>
        <rFont val="Times New Roman"/>
        <charset val="134"/>
      </rPr>
      <t>+</t>
    </r>
    <r>
      <rPr>
        <sz val="10"/>
        <color theme="1"/>
        <rFont val="微软雅黑"/>
        <charset val="134"/>
      </rPr>
      <t>你的感知调整值（至少</t>
    </r>
    <r>
      <rPr>
        <sz val="10"/>
        <color theme="1"/>
        <rFont val="Times New Roman"/>
        <charset val="134"/>
      </rPr>
      <t>+1</t>
    </r>
    <r>
      <rPr>
        <sz val="10"/>
        <color theme="1"/>
        <rFont val="微软雅黑"/>
        <charset val="134"/>
      </rPr>
      <t>）</t>
    </r>
    <r>
      <rPr>
        <sz val="10"/>
        <color theme="1"/>
        <rFont val="Times New Roman"/>
        <charset val="134"/>
      </rPr>
      <t xml:space="preserve"> </t>
    </r>
    <r>
      <rPr>
        <sz val="10"/>
        <color theme="1"/>
        <rFont val="微软雅黑"/>
        <charset val="134"/>
      </rPr>
      <t>点的临时生命值。此技艺创造的守御面纱需要你为其保持专注，至多可持续</t>
    </r>
    <r>
      <rPr>
        <sz val="10"/>
        <color theme="1"/>
        <rFont val="Times New Roman"/>
        <charset val="134"/>
      </rPr>
      <t>10</t>
    </r>
    <r>
      <rPr>
        <sz val="10"/>
        <color theme="1"/>
        <rFont val="微软雅黑"/>
        <charset val="134"/>
      </rPr>
      <t>分钟。</t>
    </r>
    <r>
      <rPr>
        <sz val="10"/>
        <color theme="1"/>
        <rFont val="Times New Roman"/>
        <charset val="134"/>
      </rPr>
      <t xml:space="preserve">
</t>
    </r>
    <r>
      <rPr>
        <sz val="10"/>
        <color theme="1"/>
        <rFont val="微软雅黑"/>
        <charset val="134"/>
      </rPr>
      <t>达到第</t>
    </r>
    <r>
      <rPr>
        <sz val="10"/>
        <color theme="1"/>
        <rFont val="Times New Roman"/>
        <charset val="134"/>
      </rPr>
      <t>6</t>
    </r>
    <r>
      <rPr>
        <sz val="10"/>
        <color theme="1"/>
        <rFont val="微软雅黑"/>
        <charset val="134"/>
      </rPr>
      <t>级之后，你的练习令你习得了如何编织出可以对那些伤害你盟友的人进行反击的守御面纱。任何对具有此技艺临时生命值的盟友造成伤害的生物都必须通过一次感知豁免。豁免失败时该生物将会受到等同于你的诗人激励骰的光耀伤害。</t>
    </r>
    <r>
      <rPr>
        <sz val="10"/>
        <color theme="1"/>
        <rFont val="Times New Roman"/>
        <charset val="134"/>
      </rPr>
      <t xml:space="preserve">
</t>
    </r>
    <r>
      <rPr>
        <sz val="10"/>
        <color theme="1"/>
        <rFont val="微软雅黑"/>
        <charset val="134"/>
      </rPr>
      <t>达到第</t>
    </r>
    <r>
      <rPr>
        <sz val="10"/>
        <color theme="1"/>
        <rFont val="Times New Roman"/>
        <charset val="134"/>
      </rPr>
      <t>14</t>
    </r>
    <r>
      <rPr>
        <sz val="10"/>
        <color theme="1"/>
        <rFont val="微软雅黑"/>
        <charset val="134"/>
      </rPr>
      <t>级之后，你习得了使你编织出的守御防护能力更上一层楼的方法。技艺效应期间，在每轮之中你的回合开始时，目标都会重新获得等同于</t>
    </r>
    <r>
      <rPr>
        <sz val="10"/>
        <color theme="1"/>
        <rFont val="Times New Roman"/>
        <charset val="134"/>
      </rPr>
      <t xml:space="preserve"> </t>
    </r>
    <r>
      <rPr>
        <sz val="10"/>
        <color theme="1"/>
        <rFont val="微软雅黑"/>
        <charset val="134"/>
      </rPr>
      <t>你的诗人激励骰</t>
    </r>
    <r>
      <rPr>
        <sz val="10"/>
        <color theme="1"/>
        <rFont val="Times New Roman"/>
        <charset val="134"/>
      </rPr>
      <t>+</t>
    </r>
    <r>
      <rPr>
        <sz val="10"/>
        <color theme="1"/>
        <rFont val="微软雅黑"/>
        <charset val="134"/>
      </rPr>
      <t>你的感知调整值（至少</t>
    </r>
    <r>
      <rPr>
        <sz val="10"/>
        <color theme="1"/>
        <rFont val="Times New Roman"/>
        <charset val="134"/>
      </rPr>
      <t>+1</t>
    </r>
    <r>
      <rPr>
        <sz val="10"/>
        <color theme="1"/>
        <rFont val="微软雅黑"/>
        <charset val="134"/>
      </rPr>
      <t>）</t>
    </r>
    <r>
      <rPr>
        <sz val="10"/>
        <color theme="1"/>
        <rFont val="Times New Roman"/>
        <charset val="134"/>
      </rPr>
      <t xml:space="preserve"> </t>
    </r>
    <r>
      <rPr>
        <sz val="10"/>
        <color theme="1"/>
        <rFont val="微软雅黑"/>
        <charset val="134"/>
      </rPr>
      <t>点临时生命值。这些新的临时生命值会取代那些之前的临时生命值。</t>
    </r>
  </si>
  <si>
    <t>引导神力：团队警戒</t>
  </si>
  <si>
    <r>
      <rPr>
        <sz val="10"/>
        <color theme="1"/>
        <rFont val="宋体"/>
        <charset val="134"/>
      </rPr>
      <t>你可以引导神力，让你的队伍获得强烈的提防之心。此时，你将给予你自己、以及至多等同于你感知调整值名盟友（至少</t>
    </r>
    <r>
      <rPr>
        <sz val="10"/>
        <color theme="1"/>
        <rFont val="Times New Roman"/>
        <charset val="134"/>
      </rPr>
      <t>1</t>
    </r>
    <r>
      <rPr>
        <sz val="10"/>
        <color theme="1"/>
        <rFont val="宋体"/>
        <charset val="134"/>
      </rPr>
      <t>名）来自你信仰神祇的恩惠。为获得恩惠，盟友必须可以看见你，并身处你周围</t>
    </r>
    <r>
      <rPr>
        <sz val="10"/>
        <color theme="1"/>
        <rFont val="Times New Roman"/>
        <charset val="134"/>
      </rPr>
      <t>30</t>
    </r>
    <r>
      <rPr>
        <sz val="10"/>
        <color theme="1"/>
        <rFont val="宋体"/>
        <charset val="134"/>
      </rPr>
      <t>尺范围内。
每轮一次，受益于此恩惠的生物进行属性检定、豁免检定、或攻击检定时，如果该生物可以看见至少一名它自己的盟友，那么它就可以投掷一枚</t>
    </r>
    <r>
      <rPr>
        <sz val="10"/>
        <color theme="1"/>
        <rFont val="Times New Roman"/>
        <charset val="134"/>
      </rPr>
      <t>d6</t>
    </r>
    <r>
      <rPr>
        <sz val="10"/>
        <color theme="1"/>
        <rFont val="宋体"/>
        <charset val="134"/>
      </rPr>
      <t>，并将骰值加入到检定中。
此恩惠将持续等同于你的感知调整值（至少</t>
    </r>
    <r>
      <rPr>
        <sz val="10"/>
        <color theme="1"/>
        <rFont val="Times New Roman"/>
        <charset val="134"/>
      </rPr>
      <t>1</t>
    </r>
    <r>
      <rPr>
        <sz val="10"/>
        <color theme="1"/>
        <rFont val="宋体"/>
        <charset val="134"/>
      </rPr>
      <t>轮）轮。</t>
    </r>
  </si>
  <si>
    <t>黑暗从者</t>
  </si>
  <si>
    <r>
      <rPr>
        <sz val="10"/>
        <color theme="1"/>
        <rFont val="宋体"/>
        <charset val="134"/>
      </rPr>
      <t>你获得唤醒阴影使其遵从你的命令的能力。以一个附赠动作，你可以指定一名位于你</t>
    </r>
    <r>
      <rPr>
        <sz val="10"/>
        <color theme="1"/>
        <rFont val="Times New Roman"/>
        <charset val="134"/>
      </rPr>
      <t>30</t>
    </r>
    <r>
      <rPr>
        <sz val="10"/>
        <color theme="1"/>
        <rFont val="宋体"/>
        <charset val="134"/>
      </rPr>
      <t>尺内的你可见的生物为目标。该生物的影子活化为一名独立生物，使用幽影</t>
    </r>
    <r>
      <rPr>
        <sz val="10"/>
        <color theme="1"/>
        <rFont val="Times New Roman"/>
        <charset val="134"/>
      </rPr>
      <t>Shadow</t>
    </r>
    <r>
      <rPr>
        <sz val="10"/>
        <color theme="1"/>
        <rFont val="宋体"/>
        <charset val="134"/>
      </rPr>
      <t>的数据卡。幽影出现在位于目标</t>
    </r>
    <r>
      <rPr>
        <sz val="10"/>
        <color theme="1"/>
        <rFont val="Times New Roman"/>
        <charset val="134"/>
      </rPr>
      <t>5</t>
    </r>
    <r>
      <rPr>
        <sz val="10"/>
        <color theme="1"/>
        <rFont val="宋体"/>
        <charset val="134"/>
      </rPr>
      <t>尺内的未占据空间中且可以立即行动。幽影使用你的先攻，其必须在其整个回合中以最直接的路径向目标直线移动，然后其能够以动作攻击，但仅可攻击该目标（指挥幽影无需消耗你的动作）。若幽影的攻击命中，其不会造成任何伤害，而是令目标在幽影的下个回合开始前进行的下次攻击或豁免具有劣势。
幽影的生命值降至</t>
    </r>
    <r>
      <rPr>
        <sz val="10"/>
        <color theme="1"/>
        <rFont val="Times New Roman"/>
        <charset val="134"/>
      </rPr>
      <t>0</t>
    </r>
    <r>
      <rPr>
        <sz val="10"/>
        <color theme="1"/>
        <rFont val="宋体"/>
        <charset val="134"/>
      </rPr>
      <t>时、目标的生命值降至</t>
    </r>
    <r>
      <rPr>
        <sz val="10"/>
        <color theme="1"/>
        <rFont val="Times New Roman"/>
        <charset val="134"/>
      </rPr>
      <t>0</t>
    </r>
    <r>
      <rPr>
        <sz val="10"/>
        <color theme="1"/>
        <rFont val="宋体"/>
        <charset val="134"/>
      </rPr>
      <t>时或幽影持续达</t>
    </r>
    <r>
      <rPr>
        <sz val="10"/>
        <color theme="1"/>
        <rFont val="Times New Roman"/>
        <charset val="134"/>
      </rPr>
      <t>5</t>
    </r>
    <r>
      <rPr>
        <sz val="10"/>
        <color theme="1"/>
        <rFont val="宋体"/>
        <charset val="134"/>
      </rPr>
      <t>分钟时，幽影消失。
你能够使用此特性的次数等于你的感知调整值（至少一次），当你完成长休时，你重获所有已消耗的使用次数。</t>
    </r>
  </si>
  <si>
    <r>
      <rPr>
        <sz val="10"/>
        <color theme="1"/>
        <rFont val="宋体"/>
        <charset val="134"/>
      </rPr>
      <t>超凡壮举</t>
    </r>
  </si>
  <si>
    <r>
      <rPr>
        <sz val="10"/>
        <color theme="1"/>
        <rFont val="宋体"/>
        <charset val="134"/>
      </rPr>
      <t>当你使用英雄壮举特性时，你可以指定至多两个生物为目标，而非一个。</t>
    </r>
  </si>
  <si>
    <t>灵魂打击</t>
  </si>
  <si>
    <r>
      <rPr>
        <sz val="10"/>
        <color theme="1"/>
        <rFont val="宋体"/>
        <charset val="134"/>
      </rPr>
      <t>自你选择虚灵宗起，你能够散发出青色的光芒，使用灵魂能量来攻击你的敌人。每当你进行徒手打击时，你可以选择使用你的灵魂来将其变为近战法术攻击。你被视为拥有这种攻击方式的熟练，攻击范围为</t>
    </r>
    <r>
      <rPr>
        <sz val="10"/>
        <color theme="1"/>
        <rFont val="Times New Roman"/>
        <charset val="134"/>
      </rPr>
      <t>30</t>
    </r>
    <r>
      <rPr>
        <sz val="10"/>
        <color theme="1"/>
        <rFont val="宋体"/>
        <charset val="134"/>
      </rPr>
      <t>英尺，并将你的感知调整值添加到攻击调整和伤害中。灵魂打击的伤害类型为力场伤害，伤害骰为</t>
    </r>
    <r>
      <rPr>
        <sz val="10"/>
        <color theme="1"/>
        <rFont val="Times New Roman"/>
        <charset val="134"/>
      </rPr>
      <t>d4</t>
    </r>
    <r>
      <rPr>
        <sz val="10"/>
        <color theme="1"/>
        <rFont val="宋体"/>
        <charset val="134"/>
      </rPr>
      <t>。该骰子将随武僧职业等级的提升而增大，具体数据见“武僧职业表”中“武艺”一栏。</t>
    </r>
    <r>
      <rPr>
        <sz val="10"/>
        <color theme="1"/>
        <rFont val="Times New Roman"/>
        <charset val="134"/>
      </rPr>
      <t xml:space="preserve"> 
</t>
    </r>
    <r>
      <rPr>
        <sz val="10"/>
        <color theme="1"/>
        <rFont val="宋体"/>
        <charset val="134"/>
      </rPr>
      <t>自</t>
    </r>
    <r>
      <rPr>
        <sz val="10"/>
        <color theme="1"/>
        <rFont val="Times New Roman"/>
        <charset val="134"/>
      </rPr>
      <t>6</t>
    </r>
    <r>
      <rPr>
        <sz val="10"/>
        <color theme="1"/>
        <rFont val="宋体"/>
        <charset val="134"/>
      </rPr>
      <t>级起，每当你用灵魂打击命中一个生物时，你可以选择在此次攻击中使用震慑拳。</t>
    </r>
  </si>
  <si>
    <t>巨灵贵胄</t>
  </si>
  <si>
    <r>
      <rPr>
        <sz val="10"/>
        <color theme="1"/>
        <rFont val="宋体"/>
        <charset val="134"/>
      </rPr>
      <t>以一个附赠动作，你可获得下列的增益。持续</t>
    </r>
    <r>
      <rPr>
        <sz val="10"/>
        <color theme="1"/>
        <rFont val="Times New Roman"/>
        <charset val="134"/>
      </rPr>
      <t>10</t>
    </r>
    <r>
      <rPr>
        <sz val="10"/>
        <color theme="1"/>
        <rFont val="宋体"/>
        <charset val="134"/>
      </rPr>
      <t>分钟，你也可以令其提前终止（无需动作）。此特性一经使用，直至完成长休你都无法再次使用。你也可以消耗一个五环法术位（无需动作）重置此特性的使用权。</t>
    </r>
    <r>
      <rPr>
        <sz val="10"/>
        <color theme="1"/>
        <rFont val="Times New Roman"/>
        <charset val="134"/>
      </rPr>
      <t xml:space="preserve">
</t>
    </r>
    <r>
      <rPr>
        <sz val="10"/>
        <color theme="1"/>
        <rFont val="宋体"/>
        <charset val="134"/>
      </rPr>
      <t>飞行</t>
    </r>
    <r>
      <rPr>
        <sz val="10"/>
        <color theme="1"/>
        <rFont val="Times New Roman"/>
        <charset val="134"/>
      </rPr>
      <t xml:space="preserve"> Flight</t>
    </r>
    <r>
      <rPr>
        <sz val="10"/>
        <color theme="1"/>
        <rFont val="宋体"/>
        <charset val="134"/>
      </rPr>
      <t>。你获得</t>
    </r>
    <r>
      <rPr>
        <sz val="10"/>
        <color theme="1"/>
        <rFont val="Times New Roman"/>
        <charset val="134"/>
      </rPr>
      <t>60</t>
    </r>
    <r>
      <rPr>
        <sz val="10"/>
        <color theme="1"/>
        <rFont val="宋体"/>
        <charset val="134"/>
      </rPr>
      <t>尺的飞行速度，并且可以悬浮。</t>
    </r>
    <r>
      <rPr>
        <sz val="10"/>
        <color theme="1"/>
        <rFont val="Times New Roman"/>
        <charset val="134"/>
      </rPr>
      <t xml:space="preserve">
</t>
    </r>
    <r>
      <rPr>
        <sz val="10"/>
        <color theme="1"/>
        <rFont val="宋体"/>
        <charset val="134"/>
      </rPr>
      <t>次级祈愿术</t>
    </r>
    <r>
      <rPr>
        <sz val="10"/>
        <color theme="1"/>
        <rFont val="Times New Roman"/>
        <charset val="134"/>
      </rPr>
      <t xml:space="preserve"> Minor Wish</t>
    </r>
    <r>
      <rPr>
        <sz val="10"/>
        <color theme="1"/>
        <rFont val="宋体"/>
        <charset val="134"/>
      </rPr>
      <t>。当你或处于你守护灵光范围内的盟友在一次</t>
    </r>
    <r>
      <rPr>
        <sz val="10"/>
        <color theme="1"/>
        <rFont val="Times New Roman"/>
        <charset val="134"/>
      </rPr>
      <t>D20</t>
    </r>
    <r>
      <rPr>
        <sz val="10"/>
        <color theme="1"/>
        <rFont val="宋体"/>
        <charset val="134"/>
      </rPr>
      <t>检定中失败时，你可以使用反应将该次</t>
    </r>
    <r>
      <rPr>
        <sz val="10"/>
        <color theme="1"/>
        <rFont val="Times New Roman"/>
        <charset val="134"/>
      </rPr>
      <t>D20</t>
    </r>
    <r>
      <rPr>
        <sz val="10"/>
        <color theme="1"/>
        <rFont val="宋体"/>
        <charset val="134"/>
      </rPr>
      <t>检定改为成功。</t>
    </r>
  </si>
  <si>
    <t>强化噼啪蜜蜡</t>
  </si>
  <si>
    <t>13级起，噼啪蜜蜡会影响目标及其5尺内的每个生物。</t>
  </si>
  <si>
    <t>砥砺咒火</t>
  </si>
  <si>
    <r>
      <rPr>
        <sz val="10"/>
        <color theme="1"/>
        <rFont val="宋体"/>
        <charset val="134"/>
      </rPr>
      <t>你的咒火迸发更加精进。炽焰鼓舞提供的临时生命值的数值现在获得等同于你术士等级的加值，并且辉耀之火的伤害提升为</t>
    </r>
    <r>
      <rPr>
        <sz val="10"/>
        <color theme="1"/>
        <rFont val="Times New Roman"/>
        <charset val="134"/>
      </rPr>
      <t>1d8</t>
    </r>
    <r>
      <rPr>
        <sz val="10"/>
        <color theme="1"/>
        <rFont val="宋体"/>
        <charset val="134"/>
      </rPr>
      <t>。</t>
    </r>
  </si>
  <si>
    <r>
      <rPr>
        <sz val="10"/>
        <color theme="1"/>
        <rFont val="宋体"/>
        <charset val="134"/>
      </rPr>
      <t>擒握触手</t>
    </r>
  </si>
  <si>
    <r>
      <rPr>
        <sz val="10"/>
        <color theme="1"/>
        <rFont val="宋体"/>
        <charset val="134"/>
      </rPr>
      <t>你获得法术艾伐黑触手。
它对你来说是一个邪术师法术，但是它并不算作你已知的法术数量。
你可以在不消耗法术位的情况下使用该法术一次，且该能力于你完成一次长休后恢复。
每当你使用这个法术，祂的魔力鼓舞着你，并且赐予你和你邪术师等级一致的临时生命值。
此外，对你的伤害并不会破坏你对于该法术的专注。</t>
    </r>
  </si>
  <si>
    <t>暗影共生</t>
  </si>
  <si>
    <r>
      <rPr>
        <sz val="10"/>
        <color theme="1"/>
        <rFont val="宋体"/>
        <charset val="134"/>
      </rPr>
      <t>一个活着的影子与你的身体相结合，如同你的第二层皮肤一般被你穿着。当你以此法与其结合期间，你获得以下效应。
你获得</t>
    </r>
    <r>
      <rPr>
        <sz val="10"/>
        <color theme="1"/>
        <rFont val="Times New Roman"/>
        <charset val="134"/>
      </rPr>
      <t>60</t>
    </r>
    <r>
      <rPr>
        <sz val="10"/>
        <color theme="1"/>
        <rFont val="宋体"/>
        <charset val="134"/>
      </rPr>
      <t>尺黑暗视觉，若你已拥有黑暗视觉，其范围提升</t>
    </r>
    <r>
      <rPr>
        <sz val="10"/>
        <color theme="1"/>
        <rFont val="Times New Roman"/>
        <charset val="134"/>
      </rPr>
      <t>60</t>
    </r>
    <r>
      <rPr>
        <sz val="10"/>
        <color theme="1"/>
        <rFont val="宋体"/>
        <charset val="134"/>
      </rPr>
      <t>尺。
你可以在魔法黑暗中视物，距离为</t>
    </r>
    <r>
      <rPr>
        <sz val="10"/>
        <color theme="1"/>
        <rFont val="Times New Roman"/>
        <charset val="134"/>
      </rPr>
      <t>30</t>
    </r>
    <r>
      <rPr>
        <sz val="10"/>
        <color theme="1"/>
        <rFont val="宋体"/>
        <charset val="134"/>
      </rPr>
      <t>尺。
你对阳光很敏感，且若身处阳光下，你的攻击检定和依赖视觉的感知（察觉）检定具有劣势。</t>
    </r>
  </si>
  <si>
    <r>
      <rPr>
        <sz val="10"/>
        <color theme="1"/>
        <rFont val="宋体"/>
        <charset val="134"/>
      </rPr>
      <t>复仇之誓</t>
    </r>
  </si>
  <si>
    <t>坚毅牛魂</t>
  </si>
  <si>
    <r>
      <rPr>
        <sz val="10"/>
        <color theme="1"/>
        <rFont val="宋体"/>
        <charset val="134"/>
      </rPr>
      <t>当你陷入魅惑或恐惧时，你能够使以反应消耗</t>
    </r>
    <r>
      <rPr>
        <sz val="10"/>
        <color theme="1"/>
        <rFont val="Times New Roman"/>
        <charset val="134"/>
      </rPr>
      <t>2</t>
    </r>
    <r>
      <rPr>
        <sz val="10"/>
        <color theme="1"/>
        <rFont val="宋体"/>
        <charset val="134"/>
      </rPr>
      <t>点战技点立即结束触发的魅惑或恐慌状态。此外，你对试图魅惑或恐吓你的生物进行攻击检定时具有优势，持续至你的下个回合结束。</t>
    </r>
  </si>
  <si>
    <t>精进技艺</t>
  </si>
  <si>
    <r>
      <rPr>
        <sz val="10"/>
        <color theme="1"/>
        <rFont val="微软雅黑"/>
        <charset val="134"/>
      </rPr>
      <t>在第</t>
    </r>
    <r>
      <rPr>
        <sz val="10"/>
        <color theme="1"/>
        <rFont val="Times New Roman"/>
        <charset val="134"/>
      </rPr>
      <t>6</t>
    </r>
    <r>
      <rPr>
        <sz val="10"/>
        <color theme="1"/>
        <rFont val="微软雅黑"/>
        <charset val="134"/>
      </rPr>
      <t>级与第</t>
    </r>
    <r>
      <rPr>
        <sz val="10"/>
        <color theme="1"/>
        <rFont val="Times New Roman"/>
        <charset val="134"/>
      </rPr>
      <t>14</t>
    </r>
    <r>
      <rPr>
        <sz val="10"/>
        <color theme="1"/>
        <rFont val="微软雅黑"/>
        <charset val="134"/>
      </rPr>
      <t>级时，你对旅者技艺的掌握将愈发精进。通过你的不断练习努力，并与更强大的冒险者们分享知识与心得之后，你的旅者技艺将获得更为强大的效果。</t>
    </r>
  </si>
  <si>
    <t>人民楷模</t>
  </si>
  <si>
    <r>
      <rPr>
        <sz val="10"/>
        <color theme="1"/>
        <rFont val="宋体"/>
        <charset val="134"/>
      </rPr>
      <t>每个受你</t>
    </r>
    <r>
      <rPr>
        <sz val="10"/>
        <color theme="1"/>
        <rFont val="Times New Roman"/>
        <charset val="134"/>
      </rPr>
      <t xml:space="preserve"> </t>
    </r>
    <r>
      <rPr>
        <sz val="10"/>
        <color theme="1"/>
        <rFont val="宋体"/>
        <charset val="134"/>
      </rPr>
      <t>团队警戒</t>
    </r>
    <r>
      <rPr>
        <sz val="10"/>
        <color theme="1"/>
        <rFont val="Times New Roman"/>
        <charset val="134"/>
      </rPr>
      <t xml:space="preserve">Community Watch </t>
    </r>
    <r>
      <rPr>
        <sz val="10"/>
        <color theme="1"/>
        <rFont val="宋体"/>
        <charset val="134"/>
      </rPr>
      <t>引导神力恩惠的生物在每轮中可以额外投掷一枚</t>
    </r>
    <r>
      <rPr>
        <sz val="10"/>
        <color theme="1"/>
        <rFont val="Times New Roman"/>
        <charset val="134"/>
      </rPr>
      <t>d6</t>
    </r>
    <r>
      <rPr>
        <sz val="10"/>
        <color theme="1"/>
        <rFont val="宋体"/>
        <charset val="134"/>
      </rPr>
      <t>，且在恩惠期间免疫于恐惧。
此外，你的</t>
    </r>
    <r>
      <rPr>
        <sz val="10"/>
        <color theme="1"/>
        <rFont val="Times New Roman"/>
        <charset val="134"/>
      </rPr>
      <t xml:space="preserve"> </t>
    </r>
    <r>
      <rPr>
        <sz val="10"/>
        <color theme="1"/>
        <rFont val="宋体"/>
        <charset val="134"/>
      </rPr>
      <t>宏伟盛宴</t>
    </r>
    <r>
      <rPr>
        <sz val="10"/>
        <color theme="1"/>
        <rFont val="Times New Roman"/>
        <charset val="134"/>
      </rPr>
      <t xml:space="preserve">Magnificent Feast </t>
    </r>
    <r>
      <rPr>
        <sz val="10"/>
        <color theme="1"/>
        <rFont val="宋体"/>
        <charset val="134"/>
      </rPr>
      <t>将创造出两倍数量的食物，且任何一份食物在被食用后，都能额外消除目标正遭受的一项诅咒或疾病（包括对被诅咒物品之间的同调）。
（译注：恐惧</t>
    </r>
    <r>
      <rPr>
        <sz val="10"/>
        <color theme="1"/>
        <rFont val="Times New Roman"/>
        <charset val="134"/>
      </rPr>
      <t xml:space="preserve">Fear </t>
    </r>
    <r>
      <rPr>
        <sz val="10"/>
        <color theme="1"/>
        <rFont val="宋体"/>
        <charset val="134"/>
      </rPr>
      <t>，并非恐慌</t>
    </r>
    <r>
      <rPr>
        <sz val="10"/>
        <color theme="1"/>
        <rFont val="Times New Roman"/>
        <charset val="134"/>
      </rPr>
      <t>Frightened</t>
    </r>
    <r>
      <rPr>
        <sz val="10"/>
        <color theme="1"/>
        <rFont val="宋体"/>
        <charset val="134"/>
      </rPr>
      <t>。）</t>
    </r>
  </si>
  <si>
    <t>集聚群影</t>
  </si>
  <si>
    <r>
      <rPr>
        <sz val="10"/>
        <color theme="1"/>
        <rFont val="宋体"/>
        <charset val="134"/>
      </rPr>
      <t>你的影灵形态变得更加强大。处于影灵形态期间，你获得以下额外增益：
你获得等于通常</t>
    </r>
    <r>
      <rPr>
        <sz val="10"/>
        <color theme="1"/>
        <rFont val="Times New Roman"/>
        <charset val="134"/>
      </rPr>
      <t>*</t>
    </r>
    <r>
      <rPr>
        <sz val="10"/>
        <color theme="1"/>
        <rFont val="宋体"/>
        <charset val="134"/>
      </rPr>
      <t>速度的飞行速度，且你可以悬浮。译注：原文如此
你获得对非魔法攻击造成的钝击、挥砍和穿刺伤害的抗性。</t>
    </r>
  </si>
  <si>
    <r>
      <rPr>
        <sz val="10"/>
        <color theme="1"/>
        <rFont val="宋体"/>
        <charset val="134"/>
      </rPr>
      <t>显现回音</t>
    </r>
  </si>
  <si>
    <r>
      <rPr>
        <sz val="10"/>
        <color theme="1"/>
        <rFont val="宋体"/>
        <charset val="134"/>
      </rPr>
      <t>你能使用附赠动作，魔法性的在你周围</t>
    </r>
    <r>
      <rPr>
        <sz val="10"/>
        <color theme="1"/>
        <rFont val="Times New Roman"/>
        <charset val="134"/>
      </rPr>
      <t>15</t>
    </r>
    <r>
      <rPr>
        <sz val="10"/>
        <color theme="1"/>
        <rFont val="宋体"/>
        <charset val="134"/>
      </rPr>
      <t>尺内的一处未被占据的可见空间内，显现出一个你自身的回音。该回音是魔法性的、半透明的、形如你的灰色形象。回音将一直存在，直到被摧毁、你以一个附赠动作将其消解、显现另一个回音、或你陷入失能状态为止。
你的回音具有等同于</t>
    </r>
    <r>
      <rPr>
        <sz val="10"/>
        <color theme="1"/>
        <rFont val="Times New Roman"/>
        <charset val="134"/>
      </rPr>
      <t xml:space="preserve"> 14+</t>
    </r>
    <r>
      <rPr>
        <sz val="10"/>
        <color theme="1"/>
        <rFont val="宋体"/>
        <charset val="134"/>
      </rPr>
      <t>你的熟练加值</t>
    </r>
    <r>
      <rPr>
        <sz val="10"/>
        <color theme="1"/>
        <rFont val="Times New Roman"/>
        <charset val="134"/>
      </rPr>
      <t xml:space="preserve"> </t>
    </r>
    <r>
      <rPr>
        <sz val="10"/>
        <color theme="1"/>
        <rFont val="宋体"/>
        <charset val="134"/>
      </rPr>
      <t>的</t>
    </r>
    <r>
      <rPr>
        <sz val="10"/>
        <color theme="1"/>
        <rFont val="Times New Roman"/>
        <charset val="134"/>
      </rPr>
      <t>AC</t>
    </r>
    <r>
      <rPr>
        <sz val="10"/>
        <color theme="1"/>
        <rFont val="宋体"/>
        <charset val="134"/>
      </rPr>
      <t>，其只有</t>
    </r>
    <r>
      <rPr>
        <sz val="10"/>
        <color theme="1"/>
        <rFont val="Times New Roman"/>
        <charset val="134"/>
      </rPr>
      <t>1</t>
    </r>
    <r>
      <rPr>
        <sz val="10"/>
        <color theme="1"/>
        <rFont val="宋体"/>
        <charset val="134"/>
      </rPr>
      <t>点生命值，但免疫于所有状态。如果回音被迫进行一次豁免，则它使用你的豁免加值。它的体型与你一样，且会占据空间。在你的回合中，你能仅靠思想来命令回音向着任意方向移动至多</t>
    </r>
    <r>
      <rPr>
        <sz val="10"/>
        <color theme="1"/>
        <rFont val="Times New Roman"/>
        <charset val="134"/>
      </rPr>
      <t>30</t>
    </r>
    <r>
      <rPr>
        <sz val="10"/>
        <color theme="1"/>
        <rFont val="宋体"/>
        <charset val="134"/>
      </rPr>
      <t>尺（无需动作）。在你的回合结束时，如果你与你的回音之间的距离超过可</t>
    </r>
    <r>
      <rPr>
        <sz val="10"/>
        <color theme="1"/>
        <rFont val="Times New Roman"/>
        <charset val="134"/>
      </rPr>
      <t>30</t>
    </r>
    <r>
      <rPr>
        <sz val="10"/>
        <color theme="1"/>
        <rFont val="宋体"/>
        <charset val="134"/>
      </rPr>
      <t>尺，那么它会被摧毁。
你能用以下方式使用显现出的回音：
以一个附赠动作，你能消耗</t>
    </r>
    <r>
      <rPr>
        <sz val="10"/>
        <color theme="1"/>
        <rFont val="Times New Roman"/>
        <charset val="134"/>
      </rPr>
      <t>15</t>
    </r>
    <r>
      <rPr>
        <sz val="10"/>
        <color theme="1"/>
        <rFont val="宋体"/>
        <charset val="134"/>
      </rPr>
      <t>尺移动力进行传送，魔法性的与你的回音互换位置，且不论回音与你之间的距离。
当你在你的回合里执行</t>
    </r>
    <r>
      <rPr>
        <sz val="10"/>
        <color theme="1"/>
        <rFont val="Times New Roman"/>
        <charset val="134"/>
      </rPr>
      <t xml:space="preserve"> </t>
    </r>
    <r>
      <rPr>
        <sz val="10"/>
        <color theme="1"/>
        <rFont val="宋体"/>
        <charset val="134"/>
      </rPr>
      <t>攻击</t>
    </r>
    <r>
      <rPr>
        <sz val="10"/>
        <color theme="1"/>
        <rFont val="Times New Roman"/>
        <charset val="134"/>
      </rPr>
      <t xml:space="preserve">Attack </t>
    </r>
    <r>
      <rPr>
        <sz val="10"/>
        <color theme="1"/>
        <rFont val="宋体"/>
        <charset val="134"/>
      </rPr>
      <t>动作时，你用该动作进行的任何攻击可以从你的位置或回音的位置发出。每一次攻击的发出位置都由你决定。
当你的回音周围</t>
    </r>
    <r>
      <rPr>
        <sz val="10"/>
        <color theme="1"/>
        <rFont val="Times New Roman"/>
        <charset val="134"/>
      </rPr>
      <t>5</t>
    </r>
    <r>
      <rPr>
        <sz val="10"/>
        <color theme="1"/>
        <rFont val="宋体"/>
        <charset val="134"/>
      </rPr>
      <t>尺范围内、你可见的某一生物向着远离回音的方向移动至少</t>
    </r>
    <r>
      <rPr>
        <sz val="10"/>
        <color theme="1"/>
        <rFont val="Times New Roman"/>
        <charset val="134"/>
      </rPr>
      <t>5</t>
    </r>
    <r>
      <rPr>
        <sz val="10"/>
        <color theme="1"/>
        <rFont val="宋体"/>
        <charset val="134"/>
      </rPr>
      <t>尺时，你能如同位于回音所处的空间内一样，用你的反应来对该生物进行一次借机攻击。</t>
    </r>
  </si>
  <si>
    <t>灵魂之手</t>
  </si>
  <si>
    <r>
      <rPr>
        <sz val="10"/>
        <color theme="1"/>
        <rFont val="宋体"/>
        <charset val="134"/>
      </rPr>
      <t>你习得戏法法师之手</t>
    </r>
    <r>
      <rPr>
        <sz val="10"/>
        <color theme="1"/>
        <rFont val="Times New Roman"/>
        <charset val="134"/>
      </rPr>
      <t xml:space="preserve">Mage Hand </t>
    </r>
    <r>
      <rPr>
        <sz val="10"/>
        <color theme="1"/>
        <rFont val="宋体"/>
        <charset val="134"/>
      </rPr>
      <t>，你可以使用附赠动作施展或控制它。当你施展它时，无需言语</t>
    </r>
    <r>
      <rPr>
        <sz val="10"/>
        <color theme="1"/>
        <rFont val="Times New Roman"/>
        <charset val="134"/>
      </rPr>
      <t>V</t>
    </r>
    <r>
      <rPr>
        <sz val="10"/>
        <color theme="1"/>
        <rFont val="宋体"/>
        <charset val="134"/>
      </rPr>
      <t>和姿势</t>
    </r>
    <r>
      <rPr>
        <sz val="10"/>
        <color theme="1"/>
        <rFont val="Times New Roman"/>
        <charset val="134"/>
      </rPr>
      <t>S</t>
    </r>
    <r>
      <rPr>
        <sz val="10"/>
        <color theme="1"/>
        <rFont val="宋体"/>
        <charset val="134"/>
      </rPr>
      <t>成分。</t>
    </r>
    <r>
      <rPr>
        <sz val="10"/>
        <color theme="1"/>
        <rFont val="Times New Roman"/>
        <charset val="134"/>
      </rPr>
      <t xml:space="preserve"> 
</t>
    </r>
    <r>
      <rPr>
        <sz val="10"/>
        <color theme="1"/>
        <rFont val="宋体"/>
        <charset val="134"/>
      </rPr>
      <t>该法术所生成的手的外表为你自己手部的一个青色灵体状复制。</t>
    </r>
  </si>
  <si>
    <t>庇护之链</t>
  </si>
  <si>
    <r>
      <rPr>
        <sz val="10"/>
        <color theme="1"/>
        <rFont val="宋体"/>
        <charset val="134"/>
      </rPr>
      <t>你能以魔法动作消耗一次引导神力使用次数与一名位于你</t>
    </r>
    <r>
      <rPr>
        <sz val="10"/>
        <color theme="1"/>
        <rFont val="Times New Roman"/>
        <charset val="134"/>
      </rPr>
      <t>5</t>
    </r>
    <r>
      <rPr>
        <sz val="10"/>
        <color theme="1"/>
        <rFont val="宋体"/>
        <charset val="134"/>
      </rPr>
      <t>尺内的自愿生物建立神圣链接。链接持续一小时或在你陷入昏迷状态时提前结束。链接持续期间，若链接生物位于你触及范围内，且被一次攻击检定命中，你能以反应将你的魅力调整值（至少</t>
    </r>
    <r>
      <rPr>
        <sz val="10"/>
        <color theme="1"/>
        <rFont val="Times New Roman"/>
        <charset val="134"/>
      </rPr>
      <t>+1</t>
    </r>
    <r>
      <rPr>
        <sz val="10"/>
        <color theme="1"/>
        <rFont val="宋体"/>
        <charset val="134"/>
      </rPr>
      <t>）加入那名生物的</t>
    </r>
    <r>
      <rPr>
        <sz val="10"/>
        <color theme="1"/>
        <rFont val="Times New Roman"/>
        <charset val="134"/>
      </rPr>
      <t>AC</t>
    </r>
    <r>
      <rPr>
        <sz val="10"/>
        <color theme="1"/>
        <rFont val="宋体"/>
        <charset val="134"/>
      </rPr>
      <t>中，这可能使那次攻击失手。</t>
    </r>
    <r>
      <rPr>
        <sz val="10"/>
        <color theme="1"/>
        <rFont val="Times New Roman"/>
        <charset val="134"/>
      </rPr>
      <t xml:space="preserve">
</t>
    </r>
    <r>
      <rPr>
        <sz val="10"/>
        <color theme="1"/>
        <rFont val="宋体"/>
        <charset val="134"/>
      </rPr>
      <t>你能在任意时间点结束神圣链接（无需动作）。若你已具有神圣链接，当你建立新链接时，先前的链接结束。</t>
    </r>
  </si>
  <si>
    <t>强化美味佳烛</t>
  </si>
  <si>
    <t>13级起，目标生物恢复1d12点生命值，且你的使用此魔艺时至多可以同时持有4根蜡烛。</t>
  </si>
  <si>
    <t>咒火冠冕</t>
  </si>
  <si>
    <r>
      <rPr>
        <sz val="10"/>
        <color theme="1"/>
        <rFont val="宋体"/>
        <charset val="134"/>
      </rPr>
      <t>当你使用先天术法时，你可以将其转换为用咒火的精粹充盈自身，你在此次先天术法激活期间额外获得如下增益。一旦你使用此特性转换了先天术法，直到完成一次长休前都不能再次使用此特性。你也可以消耗</t>
    </r>
    <r>
      <rPr>
        <sz val="10"/>
        <color theme="1"/>
        <rFont val="Times New Roman"/>
        <charset val="134"/>
      </rPr>
      <t>5</t>
    </r>
    <r>
      <rPr>
        <sz val="10"/>
        <color theme="1"/>
        <rFont val="宋体"/>
        <charset val="134"/>
      </rPr>
      <t>点术法点（无需动作）以恢复此特性的使用次数。</t>
    </r>
    <r>
      <rPr>
        <sz val="10"/>
        <color theme="1"/>
        <rFont val="Times New Roman"/>
        <charset val="134"/>
      </rPr>
      <t xml:space="preserve">
</t>
    </r>
    <r>
      <rPr>
        <sz val="10"/>
        <color theme="1"/>
        <rFont val="宋体"/>
        <charset val="134"/>
      </rPr>
      <t>燃尽</t>
    </r>
    <r>
      <rPr>
        <sz val="10"/>
        <color theme="1"/>
        <rFont val="Times New Roman"/>
        <charset val="134"/>
      </rPr>
      <t>Burning Life Force</t>
    </r>
    <r>
      <rPr>
        <sz val="10"/>
        <color theme="1"/>
        <rFont val="宋体"/>
        <charset val="134"/>
      </rPr>
      <t>。每回合一次，当你被一次攻击检定命中时，你可以消耗至多等于你魅力调整值（至少</t>
    </r>
    <r>
      <rPr>
        <sz val="10"/>
        <color theme="1"/>
        <rFont val="Times New Roman"/>
        <charset val="134"/>
      </rPr>
      <t>1</t>
    </r>
    <r>
      <rPr>
        <sz val="10"/>
        <color theme="1"/>
        <rFont val="宋体"/>
        <charset val="134"/>
      </rPr>
      <t>枚）的生命骰。掷你所消耗的骰子并且从该次攻击的伤害中减去掷骰结果的数目。</t>
    </r>
    <r>
      <rPr>
        <sz val="10"/>
        <color theme="1"/>
        <rFont val="Times New Roman"/>
        <charset val="134"/>
      </rPr>
      <t xml:space="preserve">
</t>
    </r>
    <r>
      <rPr>
        <sz val="10"/>
        <color theme="1"/>
        <rFont val="宋体"/>
        <charset val="134"/>
      </rPr>
      <t>飞行</t>
    </r>
    <r>
      <rPr>
        <sz val="10"/>
        <color theme="1"/>
        <rFont val="Times New Roman"/>
        <charset val="134"/>
      </rPr>
      <t>Flight</t>
    </r>
    <r>
      <rPr>
        <sz val="10"/>
        <color theme="1"/>
        <rFont val="宋体"/>
        <charset val="134"/>
      </rPr>
      <t>。你获得</t>
    </r>
    <r>
      <rPr>
        <sz val="10"/>
        <color theme="1"/>
        <rFont val="Times New Roman"/>
        <charset val="134"/>
      </rPr>
      <t>60</t>
    </r>
    <r>
      <rPr>
        <sz val="10"/>
        <color theme="1"/>
        <rFont val="宋体"/>
        <charset val="134"/>
      </rPr>
      <t>尺飞行速度，并且可以悬浮。</t>
    </r>
    <r>
      <rPr>
        <sz val="10"/>
        <color theme="1"/>
        <rFont val="Times New Roman"/>
        <charset val="134"/>
      </rPr>
      <t xml:space="preserve">
</t>
    </r>
    <r>
      <rPr>
        <sz val="10"/>
        <color theme="1"/>
        <rFont val="宋体"/>
        <charset val="134"/>
      </rPr>
      <t>法术闪避</t>
    </r>
    <r>
      <rPr>
        <sz val="10"/>
        <color theme="1"/>
        <rFont val="Times New Roman"/>
        <charset val="134"/>
      </rPr>
      <t>Spell Avoidance</t>
    </r>
    <r>
      <rPr>
        <sz val="10"/>
        <color theme="1"/>
        <rFont val="宋体"/>
        <charset val="134"/>
      </rPr>
      <t>。当你受到一个允许你进行豁免来只承受一半伤害的法术或魔法效应影响时，你在豁免成功时不受伤害，豁免失败时只承受一半伤害。你无法失能状态下使用此增益。</t>
    </r>
  </si>
  <si>
    <r>
      <rPr>
        <sz val="10"/>
        <color theme="1"/>
        <rFont val="宋体"/>
        <charset val="134"/>
      </rPr>
      <t>海渊传送</t>
    </r>
  </si>
  <si>
    <r>
      <rPr>
        <sz val="10"/>
        <color theme="1"/>
        <rFont val="宋体"/>
        <charset val="134"/>
      </rPr>
      <t>你可以魔法性地打开一个前往水域目的地的临时通道。
你可以使用一个标准动作传送自己和最多五个自愿、且在</t>
    </r>
    <r>
      <rPr>
        <sz val="10"/>
        <color theme="1"/>
        <rFont val="Times New Roman"/>
        <charset val="134"/>
      </rPr>
      <t>30</t>
    </r>
    <r>
      <rPr>
        <sz val="10"/>
        <color theme="1"/>
        <rFont val="宋体"/>
        <charset val="134"/>
      </rPr>
      <t>尺可视范围内的生物。
在一团触须的漩涡中，你们全部消失，然后在至多</t>
    </r>
    <r>
      <rPr>
        <sz val="10"/>
        <color theme="1"/>
        <rFont val="Times New Roman"/>
        <charset val="134"/>
      </rPr>
      <t>1</t>
    </r>
    <r>
      <rPr>
        <sz val="10"/>
        <color theme="1"/>
        <rFont val="宋体"/>
        <charset val="134"/>
      </rPr>
      <t>英里以内的你曾见过的水域（至少为池塘大小）或者它的</t>
    </r>
    <r>
      <rPr>
        <sz val="10"/>
        <color theme="1"/>
        <rFont val="Times New Roman"/>
        <charset val="134"/>
      </rPr>
      <t>30</t>
    </r>
    <r>
      <rPr>
        <sz val="10"/>
        <color theme="1"/>
        <rFont val="宋体"/>
        <charset val="134"/>
      </rPr>
      <t>尺范围内。
你们当中的每一个人都出现在距离其他人</t>
    </r>
    <r>
      <rPr>
        <sz val="10"/>
        <color theme="1"/>
        <rFont val="Times New Roman"/>
        <charset val="134"/>
      </rPr>
      <t>30</t>
    </r>
    <r>
      <rPr>
        <sz val="10"/>
        <color theme="1"/>
        <rFont val="宋体"/>
        <charset val="134"/>
      </rPr>
      <t>尺以内的一个空的空间内。
一旦你使用了这一特性，你不能再次使用它直到你完成一次短休或长休。</t>
    </r>
  </si>
  <si>
    <t>黑暗灌注</t>
  </si>
  <si>
    <t>你可以向共生体注入能量来转变能量的形态。以一个附赠动作，你能够消耗两枚法术位来恢复一枚等于或小于两枚法术位环阶总和的法术位。例如，你可以消耗一枚一环法术位和一枚二环法术位以恢复一枚三环法术位。</t>
  </si>
  <si>
    <r>
      <rPr>
        <sz val="10"/>
        <color theme="1"/>
        <rFont val="宋体"/>
        <charset val="134"/>
      </rPr>
      <t>征服之誓</t>
    </r>
  </si>
  <si>
    <t>绒兽坚守</t>
  </si>
  <si>
    <r>
      <rPr>
        <sz val="10"/>
        <color theme="1"/>
        <rFont val="宋体"/>
        <charset val="134"/>
      </rPr>
      <t>当你被一次攻击命中时，你能够使用反应并消耗</t>
    </r>
    <r>
      <rPr>
        <sz val="10"/>
        <color theme="1"/>
        <rFont val="Times New Roman"/>
        <charset val="134"/>
      </rPr>
      <t>2</t>
    </r>
    <r>
      <rPr>
        <sz val="10"/>
        <color theme="1"/>
        <rFont val="宋体"/>
        <charset val="134"/>
      </rPr>
      <t>点或更多的战技点，使用你身体中具有弹性的部位来保护你的弱点免受伤害。当你使用此战技时，每消耗</t>
    </r>
    <r>
      <rPr>
        <sz val="10"/>
        <color theme="1"/>
        <rFont val="Times New Roman"/>
        <charset val="134"/>
      </rPr>
      <t>2</t>
    </r>
    <r>
      <rPr>
        <sz val="10"/>
        <color theme="1"/>
        <rFont val="宋体"/>
        <charset val="134"/>
      </rPr>
      <t>点战技点就投掷</t>
    </r>
    <r>
      <rPr>
        <sz val="10"/>
        <color theme="1"/>
        <rFont val="Times New Roman"/>
        <charset val="134"/>
      </rPr>
      <t>1d6</t>
    </r>
    <r>
      <rPr>
        <sz val="10"/>
        <color theme="1"/>
        <rFont val="宋体"/>
        <charset val="134"/>
      </rPr>
      <t>，此次攻击的伤害减少掷骰总值。在你受到剩余伤害后，你获得等于掷骰总值的临时生命值。</t>
    </r>
  </si>
  <si>
    <t>招牌技艺</t>
  </si>
  <si>
    <r>
      <rPr>
        <sz val="10"/>
        <color theme="1"/>
        <rFont val="微软雅黑"/>
        <charset val="134"/>
      </rPr>
      <t>你充分掌握了一项旅者技艺，使你可以在需要的时候随意使用它。</t>
    </r>
    <r>
      <rPr>
        <sz val="10"/>
        <color theme="1"/>
        <rFont val="Times New Roman"/>
        <charset val="134"/>
      </rPr>
      <t xml:space="preserve">
</t>
    </r>
    <r>
      <rPr>
        <sz val="10"/>
        <color theme="1"/>
        <rFont val="微软雅黑"/>
        <charset val="134"/>
      </rPr>
      <t>你可以指定一项你已习得的旅者技艺，将其指定为你的招牌技艺。如果你在投掷先攻时没有可用的诗人激励使用次数，则你重获一次使用次数——不过以此获得的吟游诗人激励使用次数只能用于使用你选择招牌技艺。</t>
    </r>
    <r>
      <rPr>
        <sz val="10"/>
        <color theme="1"/>
        <rFont val="Times New Roman"/>
        <charset val="134"/>
      </rPr>
      <t xml:space="preserve">
</t>
    </r>
    <r>
      <rPr>
        <sz val="10"/>
        <color theme="1"/>
        <rFont val="微软雅黑"/>
        <charset val="134"/>
      </rPr>
      <t>在</t>
    </r>
    <r>
      <rPr>
        <sz val="10"/>
        <color theme="1"/>
        <rFont val="Times New Roman"/>
        <charset val="134"/>
      </rPr>
      <t>14</t>
    </r>
    <r>
      <rPr>
        <sz val="10"/>
        <color theme="1"/>
        <rFont val="微软雅黑"/>
        <charset val="134"/>
      </rPr>
      <t>级时，你可以再指定你第二项已习得的旅者技艺，作为你的招牌技艺。</t>
    </r>
  </si>
  <si>
    <t>黑夜领域法术</t>
  </si>
  <si>
    <r>
      <rPr>
        <sz val="10"/>
        <color theme="1"/>
        <rFont val="微软雅黑"/>
        <charset val="134"/>
      </rPr>
      <t>牧师等级</t>
    </r>
    <r>
      <rPr>
        <sz val="10"/>
        <color theme="1"/>
        <rFont val="Times New Roman"/>
        <charset val="134"/>
      </rPr>
      <t xml:space="preserve"> </t>
    </r>
    <r>
      <rPr>
        <sz val="10"/>
        <color theme="1"/>
        <rFont val="微软雅黑"/>
        <charset val="134"/>
      </rPr>
      <t>法术</t>
    </r>
    <r>
      <rPr>
        <sz val="10"/>
        <color theme="1"/>
        <rFont val="Times New Roman"/>
        <charset val="134"/>
      </rPr>
      <t xml:space="preserve"> 
1st </t>
    </r>
    <r>
      <rPr>
        <sz val="10"/>
        <color theme="1"/>
        <rFont val="微软雅黑"/>
        <charset val="134"/>
      </rPr>
      <t>睡眠术</t>
    </r>
    <r>
      <rPr>
        <sz val="10"/>
        <color theme="1"/>
        <rFont val="Times New Roman"/>
        <charset val="134"/>
      </rPr>
      <t>Sleep</t>
    </r>
    <r>
      <rPr>
        <sz val="10"/>
        <color theme="1"/>
        <rFont val="微软雅黑"/>
        <charset val="134"/>
      </rPr>
      <t>，黄昏之纱</t>
    </r>
    <r>
      <rPr>
        <sz val="10"/>
        <color theme="1"/>
        <rFont val="Times New Roman"/>
        <charset val="134"/>
      </rPr>
      <t xml:space="preserve">Veil of Dusk* 
3rd </t>
    </r>
    <r>
      <rPr>
        <sz val="10"/>
        <color theme="1"/>
        <rFont val="微软雅黑"/>
        <charset val="134"/>
      </rPr>
      <t>黑暗术</t>
    </r>
    <r>
      <rPr>
        <sz val="10"/>
        <color theme="1"/>
        <rFont val="Times New Roman"/>
        <charset val="134"/>
      </rPr>
      <t>Darkness</t>
    </r>
    <r>
      <rPr>
        <sz val="10"/>
        <color theme="1"/>
        <rFont val="微软雅黑"/>
        <charset val="134"/>
      </rPr>
      <t>，月华之光</t>
    </r>
    <r>
      <rPr>
        <sz val="10"/>
        <color theme="1"/>
        <rFont val="Times New Roman"/>
        <charset val="134"/>
      </rPr>
      <t xml:space="preserve">Moonbeam 
5th </t>
    </r>
    <r>
      <rPr>
        <sz val="10"/>
        <color theme="1"/>
        <rFont val="微软雅黑"/>
        <charset val="134"/>
      </rPr>
      <t>回避侦测</t>
    </r>
    <r>
      <rPr>
        <sz val="10"/>
        <color theme="1"/>
        <rFont val="Times New Roman"/>
        <charset val="134"/>
      </rPr>
      <t>Nondetection</t>
    </r>
    <r>
      <rPr>
        <sz val="10"/>
        <color theme="1"/>
        <rFont val="微软雅黑"/>
        <charset val="134"/>
      </rPr>
      <t>，暮光法球</t>
    </r>
    <r>
      <rPr>
        <sz val="10"/>
        <color theme="1"/>
        <rFont val="Times New Roman"/>
        <charset val="134"/>
      </rPr>
      <t xml:space="preserve"> Globe of Twilight* 
7th </t>
    </r>
    <r>
      <rPr>
        <sz val="10"/>
        <color theme="1"/>
        <rFont val="微软雅黑"/>
        <charset val="134"/>
      </rPr>
      <t>预言术</t>
    </r>
    <r>
      <rPr>
        <sz val="10"/>
        <color theme="1"/>
        <rFont val="Times New Roman"/>
        <charset val="134"/>
      </rPr>
      <t>Divination</t>
    </r>
    <r>
      <rPr>
        <sz val="10"/>
        <color theme="1"/>
        <rFont val="微软雅黑"/>
        <charset val="134"/>
      </rPr>
      <t>，恒星之躯</t>
    </r>
    <r>
      <rPr>
        <sz val="10"/>
        <color theme="1"/>
        <rFont val="Times New Roman"/>
        <charset val="134"/>
      </rPr>
      <t xml:space="preserve">Stellar Bodies* 
9th </t>
    </r>
    <r>
      <rPr>
        <sz val="10"/>
        <color theme="1"/>
        <rFont val="微软雅黑"/>
        <charset val="134"/>
      </rPr>
      <t>托梦术</t>
    </r>
    <r>
      <rPr>
        <sz val="10"/>
        <color theme="1"/>
        <rFont val="Times New Roman"/>
        <charset val="134"/>
      </rPr>
      <t>Dream</t>
    </r>
    <r>
      <rPr>
        <sz val="10"/>
        <color theme="1"/>
        <rFont val="微软雅黑"/>
        <charset val="134"/>
      </rPr>
      <t>，伪装术</t>
    </r>
    <r>
      <rPr>
        <sz val="10"/>
        <color theme="1"/>
        <rFont val="Times New Roman"/>
        <charset val="134"/>
      </rPr>
      <t xml:space="preserve">Seeming </t>
    </r>
  </si>
  <si>
    <t>渊闇降临</t>
  </si>
  <si>
    <r>
      <rPr>
        <sz val="10"/>
        <color theme="1"/>
        <rFont val="宋体"/>
        <charset val="134"/>
      </rPr>
      <t>你能够以动作撑起半径</t>
    </r>
    <r>
      <rPr>
        <sz val="10"/>
        <color theme="1"/>
        <rFont val="Times New Roman"/>
        <charset val="134"/>
      </rPr>
      <t>15</t>
    </r>
    <r>
      <rPr>
        <sz val="10"/>
        <color theme="1"/>
        <rFont val="宋体"/>
        <charset val="134"/>
      </rPr>
      <t>尺的以你为中心的球状魔法黑暗区域。区域随你一起移动，其黑暗将绕过拐角扩散。当你创建该区域时，你可以指定任意数量的生物令他们能够看穿该黑暗。除这些生物外的生物即使具有黑暗视觉也无法看穿该黑暗，且非魔法的光照无法照亮该区域。区域维持</t>
    </r>
    <r>
      <rPr>
        <sz val="10"/>
        <color theme="1"/>
        <rFont val="Times New Roman"/>
        <charset val="134"/>
      </rPr>
      <t>1</t>
    </r>
    <r>
      <rPr>
        <sz val="10"/>
        <color theme="1"/>
        <rFont val="宋体"/>
        <charset val="134"/>
      </rPr>
      <t>分钟，或在你陷入失能、或区域接触到阳光时提前结束。若该区域与任何七环及以下法术创造的光照区域重叠，该法术被驱散。
此特性一经使用，直至你完成短休或长休都无法再次使用。</t>
    </r>
  </si>
  <si>
    <r>
      <rPr>
        <sz val="10"/>
        <color theme="1"/>
        <rFont val="宋体"/>
        <charset val="134"/>
      </rPr>
      <t>释放化身</t>
    </r>
  </si>
  <si>
    <r>
      <rPr>
        <sz val="10"/>
        <color theme="1"/>
        <rFont val="宋体"/>
        <charset val="134"/>
      </rPr>
      <t>你能够强化你回音的狂怒。每当你执行</t>
    </r>
    <r>
      <rPr>
        <sz val="10"/>
        <color theme="1"/>
        <rFont val="Times New Roman"/>
        <charset val="134"/>
      </rPr>
      <t xml:space="preserve"> </t>
    </r>
    <r>
      <rPr>
        <sz val="10"/>
        <color theme="1"/>
        <rFont val="宋体"/>
        <charset val="134"/>
      </rPr>
      <t>攻击</t>
    </r>
    <r>
      <rPr>
        <sz val="10"/>
        <color theme="1"/>
        <rFont val="Times New Roman"/>
        <charset val="134"/>
      </rPr>
      <t xml:space="preserve">Attack </t>
    </r>
    <r>
      <rPr>
        <sz val="10"/>
        <color theme="1"/>
        <rFont val="宋体"/>
        <charset val="134"/>
      </rPr>
      <t>动作时，你都可以在回音的位置上发动额外一次近战攻击。
你能使用此特性的次数等同于你的体质调整值次（至少</t>
    </r>
    <r>
      <rPr>
        <sz val="10"/>
        <color theme="1"/>
        <rFont val="Times New Roman"/>
        <charset val="134"/>
      </rPr>
      <t>1</t>
    </r>
    <r>
      <rPr>
        <sz val="10"/>
        <color theme="1"/>
        <rFont val="宋体"/>
        <charset val="134"/>
      </rPr>
      <t>次）。在你完成一次长休后，你重获全部已消耗的使用次数。</t>
    </r>
  </si>
  <si>
    <t>灵界指引</t>
  </si>
  <si>
    <r>
      <rPr>
        <sz val="10"/>
        <color theme="1"/>
        <rFont val="宋体"/>
        <charset val="134"/>
      </rPr>
      <t>你无法被幽影</t>
    </r>
    <r>
      <rPr>
        <sz val="10"/>
        <color theme="1"/>
        <rFont val="Times New Roman"/>
        <charset val="134"/>
      </rPr>
      <t>Shadow</t>
    </r>
    <r>
      <rPr>
        <sz val="10"/>
        <color theme="1"/>
        <rFont val="宋体"/>
        <charset val="134"/>
      </rPr>
      <t>或类似的亡灵附身，且你可以使用一个动作来花费</t>
    </r>
    <r>
      <rPr>
        <sz val="10"/>
        <color theme="1"/>
        <rFont val="Times New Roman"/>
        <charset val="134"/>
      </rPr>
      <t>2</t>
    </r>
    <r>
      <rPr>
        <sz val="10"/>
        <color theme="1"/>
        <rFont val="宋体"/>
        <charset val="134"/>
      </rPr>
      <t>点气来施展法术遗体防腐</t>
    </r>
    <r>
      <rPr>
        <sz val="10"/>
        <color theme="1"/>
        <rFont val="Times New Roman"/>
        <charset val="134"/>
      </rPr>
      <t>Gentle Repose</t>
    </r>
    <r>
      <rPr>
        <sz val="10"/>
        <color theme="1"/>
        <rFont val="宋体"/>
        <charset val="134"/>
      </rPr>
      <t>或识破隐形</t>
    </r>
    <r>
      <rPr>
        <sz val="10"/>
        <color theme="1"/>
        <rFont val="Times New Roman"/>
        <charset val="134"/>
      </rPr>
      <t xml:space="preserve">See Invisibility </t>
    </r>
    <r>
      <rPr>
        <sz val="10"/>
        <color theme="1"/>
        <rFont val="宋体"/>
        <charset val="134"/>
      </rPr>
      <t>而无需材料成分。</t>
    </r>
    <r>
      <rPr>
        <sz val="10"/>
        <color theme="1"/>
        <rFont val="Times New Roman"/>
        <charset val="134"/>
      </rPr>
      <t xml:space="preserve"> </t>
    </r>
    <r>
      <rPr>
        <sz val="10"/>
        <color theme="1"/>
        <rFont val="宋体"/>
        <charset val="134"/>
      </rPr>
      <t>若你仍未掌握维生术</t>
    </r>
    <r>
      <rPr>
        <sz val="10"/>
        <color theme="1"/>
        <rFont val="Times New Roman"/>
        <charset val="134"/>
      </rPr>
      <t xml:space="preserve">Spare the Dying </t>
    </r>
    <r>
      <rPr>
        <sz val="10"/>
        <color theme="1"/>
        <rFont val="宋体"/>
        <charset val="134"/>
      </rPr>
      <t>，则你习得该戏法。</t>
    </r>
    <r>
      <rPr>
        <sz val="10"/>
        <color theme="1"/>
        <rFont val="Times New Roman"/>
        <charset val="134"/>
      </rPr>
      <t xml:space="preserve"> 
</t>
    </r>
    <r>
      <rPr>
        <sz val="10"/>
        <color theme="1"/>
        <rFont val="宋体"/>
        <charset val="134"/>
      </rPr>
      <t>此外，你学会了如何使用气将某些灵魂从他们的不死容器中释放出来。你获得以下能力：</t>
    </r>
    <r>
      <rPr>
        <sz val="10"/>
        <color theme="1"/>
        <rFont val="Times New Roman"/>
        <charset val="134"/>
      </rPr>
      <t xml:space="preserve"> 
</t>
    </r>
    <r>
      <rPr>
        <sz val="10"/>
        <color theme="1"/>
        <rFont val="宋体"/>
        <charset val="134"/>
      </rPr>
      <t>超度亡灵</t>
    </r>
    <r>
      <rPr>
        <sz val="10"/>
        <color theme="1"/>
        <rFont val="Times New Roman"/>
        <charset val="134"/>
      </rPr>
      <t>Dismiss Undead</t>
    </r>
    <r>
      <rPr>
        <sz val="10"/>
        <color theme="1"/>
        <rFont val="宋体"/>
        <charset val="134"/>
      </rPr>
      <t>。当你使用疾风连击中的一次攻击击中亡灵时，你可以迫使它进行一次对抗气豁免</t>
    </r>
    <r>
      <rPr>
        <sz val="10"/>
        <color theme="1"/>
        <rFont val="Times New Roman"/>
        <charset val="134"/>
      </rPr>
      <t>DC</t>
    </r>
    <r>
      <rPr>
        <sz val="10"/>
        <color theme="1"/>
        <rFont val="宋体"/>
        <charset val="134"/>
      </rPr>
      <t>的感知豁免检定。如果豁免失败，它的灵魂将就此离开并安息，使得该生物消失或再次成为一动不动的尸体。如果该生物的挑战等级高于下表所示的阈值，则它会自动成功通过豁免检定。</t>
    </r>
    <r>
      <rPr>
        <sz val="10"/>
        <color theme="1"/>
        <rFont val="Times New Roman"/>
        <charset val="134"/>
      </rPr>
      <t xml:space="preserve">
</t>
    </r>
    <r>
      <rPr>
        <sz val="10"/>
        <color theme="1"/>
        <rFont val="宋体"/>
        <charset val="134"/>
      </rPr>
      <t>超度亡灵表</t>
    </r>
    <r>
      <rPr>
        <sz val="10"/>
        <color theme="1"/>
        <rFont val="Times New Roman"/>
        <charset val="134"/>
      </rPr>
      <t xml:space="preserve"> </t>
    </r>
    <r>
      <rPr>
        <sz val="10"/>
        <color theme="1"/>
        <rFont val="宋体"/>
        <charset val="134"/>
      </rPr>
      <t>武僧等级</t>
    </r>
    <r>
      <rPr>
        <sz val="10"/>
        <color theme="1"/>
        <rFont val="Times New Roman"/>
        <charset val="134"/>
      </rPr>
      <t xml:space="preserve"> CR</t>
    </r>
    <r>
      <rPr>
        <sz val="10"/>
        <color theme="1"/>
        <rFont val="宋体"/>
        <charset val="134"/>
      </rPr>
      <t>阈值</t>
    </r>
    <r>
      <rPr>
        <sz val="10"/>
        <color theme="1"/>
        <rFont val="Times New Roman"/>
        <charset val="134"/>
      </rPr>
      <t xml:space="preserve"> 
6</t>
    </r>
    <r>
      <rPr>
        <sz val="10"/>
        <color theme="1"/>
        <rFont val="宋体"/>
        <charset val="134"/>
      </rPr>
      <t>级</t>
    </r>
    <r>
      <rPr>
        <sz val="10"/>
        <color theme="1"/>
        <rFont val="Times New Roman"/>
        <charset val="134"/>
      </rPr>
      <t xml:space="preserve"> 1/2</t>
    </r>
    <r>
      <rPr>
        <sz val="10"/>
        <color theme="1"/>
        <rFont val="宋体"/>
        <charset val="134"/>
      </rPr>
      <t>或更低</t>
    </r>
    <r>
      <rPr>
        <sz val="10"/>
        <color theme="1"/>
        <rFont val="Times New Roman"/>
        <charset val="134"/>
      </rPr>
      <t xml:space="preserve"> 
8</t>
    </r>
    <r>
      <rPr>
        <sz val="10"/>
        <color theme="1"/>
        <rFont val="宋体"/>
        <charset val="134"/>
      </rPr>
      <t>级</t>
    </r>
    <r>
      <rPr>
        <sz val="10"/>
        <color theme="1"/>
        <rFont val="Times New Roman"/>
        <charset val="134"/>
      </rPr>
      <t xml:space="preserve"> 1</t>
    </r>
    <r>
      <rPr>
        <sz val="10"/>
        <color theme="1"/>
        <rFont val="宋体"/>
        <charset val="134"/>
      </rPr>
      <t>或更低</t>
    </r>
    <r>
      <rPr>
        <sz val="10"/>
        <color theme="1"/>
        <rFont val="Times New Roman"/>
        <charset val="134"/>
      </rPr>
      <t xml:space="preserve"> 
11</t>
    </r>
    <r>
      <rPr>
        <sz val="10"/>
        <color theme="1"/>
        <rFont val="宋体"/>
        <charset val="134"/>
      </rPr>
      <t>级</t>
    </r>
    <r>
      <rPr>
        <sz val="10"/>
        <color theme="1"/>
        <rFont val="Times New Roman"/>
        <charset val="134"/>
      </rPr>
      <t xml:space="preserve"> 2</t>
    </r>
    <r>
      <rPr>
        <sz val="10"/>
        <color theme="1"/>
        <rFont val="宋体"/>
        <charset val="134"/>
      </rPr>
      <t>或更低</t>
    </r>
    <r>
      <rPr>
        <sz val="10"/>
        <color theme="1"/>
        <rFont val="Times New Roman"/>
        <charset val="134"/>
      </rPr>
      <t xml:space="preserve"> 
14</t>
    </r>
    <r>
      <rPr>
        <sz val="10"/>
        <color theme="1"/>
        <rFont val="宋体"/>
        <charset val="134"/>
      </rPr>
      <t>级</t>
    </r>
    <r>
      <rPr>
        <sz val="10"/>
        <color theme="1"/>
        <rFont val="Times New Roman"/>
        <charset val="134"/>
      </rPr>
      <t xml:space="preserve"> 3</t>
    </r>
    <r>
      <rPr>
        <sz val="10"/>
        <color theme="1"/>
        <rFont val="宋体"/>
        <charset val="134"/>
      </rPr>
      <t>或更低</t>
    </r>
    <r>
      <rPr>
        <sz val="10"/>
        <color theme="1"/>
        <rFont val="Times New Roman"/>
        <charset val="134"/>
      </rPr>
      <t xml:space="preserve"> 
17</t>
    </r>
    <r>
      <rPr>
        <sz val="10"/>
        <color theme="1"/>
        <rFont val="宋体"/>
        <charset val="134"/>
      </rPr>
      <t>级</t>
    </r>
    <r>
      <rPr>
        <sz val="10"/>
        <color theme="1"/>
        <rFont val="Times New Roman"/>
        <charset val="134"/>
      </rPr>
      <t xml:space="preserve"> 4</t>
    </r>
    <r>
      <rPr>
        <sz val="10"/>
        <color theme="1"/>
        <rFont val="宋体"/>
        <charset val="134"/>
      </rPr>
      <t>或更低</t>
    </r>
    <r>
      <rPr>
        <sz val="10"/>
        <color theme="1"/>
        <rFont val="Times New Roman"/>
        <charset val="134"/>
      </rPr>
      <t xml:space="preserve"> 
</t>
    </r>
    <r>
      <rPr>
        <sz val="10"/>
        <color theme="1"/>
        <rFont val="宋体"/>
        <charset val="134"/>
      </rPr>
      <t>若是受影响的生物对任何驱散亡灵（灼净亡灵）的效果有优势或劣势，则该优势或劣势也适用于此效果。</t>
    </r>
    <r>
      <rPr>
        <sz val="10"/>
        <color theme="1"/>
        <rFont val="Times New Roman"/>
        <charset val="134"/>
      </rPr>
      <t xml:space="preserve"> </t>
    </r>
  </si>
  <si>
    <t>护法之誓法术</t>
  </si>
  <si>
    <r>
      <rPr>
        <sz val="10"/>
        <color theme="1"/>
        <rFont val="宋体"/>
        <charset val="134"/>
      </rPr>
      <t>你誓言具有的魔法使你始终准备着特定的法术。当你到达护法之誓法术表中特定的圣武士等级时，你就始终准备着表中对应的法术。</t>
    </r>
    <r>
      <rPr>
        <sz val="10"/>
        <color theme="1"/>
        <rFont val="Times New Roman"/>
        <charset val="134"/>
      </rPr>
      <t xml:space="preserve">
</t>
    </r>
    <r>
      <rPr>
        <sz val="10"/>
        <color theme="1"/>
        <rFont val="宋体"/>
        <charset val="134"/>
      </rPr>
      <t>护法之誓法术</t>
    </r>
    <r>
      <rPr>
        <sz val="10"/>
        <color theme="1"/>
        <rFont val="Times New Roman"/>
        <charset val="134"/>
      </rPr>
      <t xml:space="preserve">Oath of the Spellguard Spells </t>
    </r>
    <r>
      <rPr>
        <sz val="10"/>
        <color theme="1"/>
        <rFont val="宋体"/>
        <charset val="134"/>
      </rPr>
      <t>圣武士等级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侦测魔法</t>
    </r>
    <r>
      <rPr>
        <sz val="10"/>
        <color theme="1"/>
        <rFont val="Times New Roman"/>
        <charset val="134"/>
      </rPr>
      <t>Detect Magic</t>
    </r>
    <r>
      <rPr>
        <sz val="10"/>
        <color theme="1"/>
        <rFont val="宋体"/>
        <charset val="134"/>
      </rPr>
      <t>，护盾术</t>
    </r>
    <r>
      <rPr>
        <sz val="10"/>
        <color theme="1"/>
        <rFont val="Times New Roman"/>
        <charset val="134"/>
      </rPr>
      <t xml:space="preserve">Shield  
5 </t>
    </r>
    <r>
      <rPr>
        <sz val="10"/>
        <color theme="1"/>
        <rFont val="宋体"/>
        <charset val="134"/>
      </rPr>
      <t>识破隐形</t>
    </r>
    <r>
      <rPr>
        <sz val="10"/>
        <color theme="1"/>
        <rFont val="Times New Roman"/>
        <charset val="134"/>
      </rPr>
      <t>See Invisibility</t>
    </r>
    <r>
      <rPr>
        <sz val="10"/>
        <color theme="1"/>
        <rFont val="宋体"/>
        <charset val="134"/>
      </rPr>
      <t>，沉默术</t>
    </r>
    <r>
      <rPr>
        <sz val="10"/>
        <color theme="1"/>
        <rFont val="Times New Roman"/>
        <charset val="134"/>
      </rPr>
      <t xml:space="preserve">Silence  
9 </t>
    </r>
    <r>
      <rPr>
        <sz val="10"/>
        <color theme="1"/>
        <rFont val="宋体"/>
        <charset val="134"/>
      </rPr>
      <t>法术反制</t>
    </r>
    <r>
      <rPr>
        <sz val="10"/>
        <color theme="1"/>
        <rFont val="Times New Roman"/>
        <charset val="134"/>
      </rPr>
      <t>Counterspell</t>
    </r>
    <r>
      <rPr>
        <sz val="10"/>
        <color theme="1"/>
        <rFont val="宋体"/>
        <charset val="134"/>
      </rPr>
      <t>，解除魔法</t>
    </r>
    <r>
      <rPr>
        <sz val="10"/>
        <color theme="1"/>
        <rFont val="Times New Roman"/>
        <charset val="134"/>
      </rPr>
      <t xml:space="preserve">Dispel Magic  
13 </t>
    </r>
    <r>
      <rPr>
        <sz val="10"/>
        <color theme="1"/>
        <rFont val="宋体"/>
        <charset val="134"/>
      </rPr>
      <t>行动自如</t>
    </r>
    <r>
      <rPr>
        <sz val="10"/>
        <color theme="1"/>
        <rFont val="Times New Roman"/>
        <charset val="134"/>
      </rPr>
      <t>Freedom of Movement</t>
    </r>
    <r>
      <rPr>
        <sz val="10"/>
        <color theme="1"/>
        <rFont val="宋体"/>
        <charset val="134"/>
      </rPr>
      <t>，欧提路克弹力法球</t>
    </r>
    <r>
      <rPr>
        <sz val="10"/>
        <color theme="1"/>
        <rFont val="Times New Roman"/>
        <charset val="134"/>
      </rPr>
      <t xml:space="preserve">Otiluke's Resilient Sphere  
17 </t>
    </r>
    <r>
      <rPr>
        <sz val="10"/>
        <color theme="1"/>
        <rFont val="宋体"/>
        <charset val="134"/>
      </rPr>
      <t>原力法阵</t>
    </r>
    <r>
      <rPr>
        <sz val="10"/>
        <color theme="1"/>
        <rFont val="Times New Roman"/>
        <charset val="134"/>
      </rPr>
      <t>Circle of Power</t>
    </r>
    <r>
      <rPr>
        <sz val="10"/>
        <color theme="1"/>
        <rFont val="宋体"/>
        <charset val="134"/>
      </rPr>
      <t>，圣居</t>
    </r>
    <r>
      <rPr>
        <sz val="10"/>
        <color theme="1"/>
        <rFont val="Times New Roman"/>
        <charset val="134"/>
      </rPr>
      <t xml:space="preserve">Hallow  </t>
    </r>
  </si>
  <si>
    <t>强化魔匠印击</t>
  </si>
  <si>
    <t>13级起，魔匠印击不再具有每回合的使用次数限制。</t>
  </si>
  <si>
    <t>亵渎者法术</t>
  </si>
  <si>
    <r>
      <rPr>
        <sz val="10"/>
        <color theme="1"/>
        <rFont val="宋体"/>
        <charset val="134"/>
      </rPr>
      <t>当你到达亵渎者法术表中特定的术士等级时，你就始终准备着表中对应的法术。</t>
    </r>
    <r>
      <rPr>
        <sz val="10"/>
        <color theme="1"/>
        <rFont val="Times New Roman"/>
        <charset val="134"/>
      </rPr>
      <t xml:space="preserve">
</t>
    </r>
    <r>
      <rPr>
        <sz val="10"/>
        <color theme="1"/>
        <rFont val="宋体"/>
        <charset val="134"/>
      </rPr>
      <t>亵渎者法术</t>
    </r>
    <r>
      <rPr>
        <sz val="10"/>
        <color theme="1"/>
        <rFont val="Times New Roman"/>
        <charset val="134"/>
      </rPr>
      <t xml:space="preserve"> Defiler Spells 
</t>
    </r>
    <r>
      <rPr>
        <sz val="10"/>
        <color theme="1"/>
        <rFont val="宋体"/>
        <charset val="134"/>
      </rPr>
      <t>术士等级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致伤术</t>
    </r>
    <r>
      <rPr>
        <sz val="10"/>
        <color theme="1"/>
        <rFont val="Times New Roman"/>
        <charset val="134"/>
      </rPr>
      <t>Inflict Wounds</t>
    </r>
    <r>
      <rPr>
        <sz val="10"/>
        <color theme="1"/>
        <rFont val="宋体"/>
        <charset val="134"/>
      </rPr>
      <t>，致病射线</t>
    </r>
    <r>
      <rPr>
        <sz val="10"/>
        <color theme="1"/>
        <rFont val="Times New Roman"/>
        <charset val="134"/>
      </rPr>
      <t xml:space="preserve">Ray of Sickness
</t>
    </r>
    <r>
      <rPr>
        <sz val="10"/>
        <color theme="1"/>
        <rFont val="宋体"/>
        <charset val="134"/>
      </rPr>
      <t>目盲术</t>
    </r>
    <r>
      <rPr>
        <sz val="10"/>
        <color theme="1"/>
        <rFont val="Times New Roman"/>
        <charset val="134"/>
      </rPr>
      <t>/</t>
    </r>
    <r>
      <rPr>
        <sz val="10"/>
        <color theme="1"/>
        <rFont val="宋体"/>
        <charset val="134"/>
      </rPr>
      <t>耳聋术</t>
    </r>
    <r>
      <rPr>
        <sz val="10"/>
        <color theme="1"/>
        <rFont val="Times New Roman"/>
        <charset val="134"/>
      </rPr>
      <t>Blindness/Deafness</t>
    </r>
    <r>
      <rPr>
        <sz val="10"/>
        <color theme="1"/>
        <rFont val="宋体"/>
        <charset val="134"/>
      </rPr>
      <t>，衰弱射线</t>
    </r>
    <r>
      <rPr>
        <sz val="10"/>
        <color theme="1"/>
        <rFont val="Times New Roman"/>
        <charset val="134"/>
      </rPr>
      <t xml:space="preserve">Ray of Enfeeblement  
5 </t>
    </r>
    <r>
      <rPr>
        <sz val="10"/>
        <color theme="1"/>
        <rFont val="宋体"/>
        <charset val="134"/>
      </rPr>
      <t>降咒</t>
    </r>
    <r>
      <rPr>
        <sz val="10"/>
        <color theme="1"/>
        <rFont val="Times New Roman"/>
        <charset val="134"/>
      </rPr>
      <t>Bestow Curse</t>
    </r>
    <r>
      <rPr>
        <sz val="10"/>
        <color theme="1"/>
        <rFont val="宋体"/>
        <charset val="134"/>
      </rPr>
      <t>，汲血之触</t>
    </r>
    <r>
      <rPr>
        <sz val="10"/>
        <color theme="1"/>
        <rFont val="Times New Roman"/>
        <charset val="134"/>
      </rPr>
      <t xml:space="preserve">Vampiric Touch  
7 </t>
    </r>
    <r>
      <rPr>
        <sz val="10"/>
        <color theme="1"/>
        <rFont val="宋体"/>
        <charset val="134"/>
      </rPr>
      <t>枯萎术</t>
    </r>
    <r>
      <rPr>
        <sz val="10"/>
        <color theme="1"/>
        <rFont val="Times New Roman"/>
        <charset val="134"/>
      </rPr>
      <t>Blight</t>
    </r>
    <r>
      <rPr>
        <sz val="10"/>
        <color theme="1"/>
        <rFont val="宋体"/>
        <charset val="134"/>
      </rPr>
      <t>，幻景</t>
    </r>
    <r>
      <rPr>
        <sz val="10"/>
        <color theme="1"/>
        <rFont val="Times New Roman"/>
        <charset val="134"/>
      </rPr>
      <t xml:space="preserve">Hallucinatory Terrain  
9 </t>
    </r>
    <r>
      <rPr>
        <sz val="10"/>
        <color theme="1"/>
        <rFont val="宋体"/>
        <charset val="134"/>
      </rPr>
      <t>防活物护罩</t>
    </r>
    <r>
      <rPr>
        <sz val="10"/>
        <color theme="1"/>
        <rFont val="Times New Roman"/>
        <charset val="134"/>
      </rPr>
      <t>Antilife Shell</t>
    </r>
    <r>
      <rPr>
        <sz val="10"/>
        <color theme="1"/>
        <rFont val="宋体"/>
        <charset val="134"/>
      </rPr>
      <t>，疫病术</t>
    </r>
    <r>
      <rPr>
        <sz val="10"/>
        <color theme="1"/>
        <rFont val="Times New Roman"/>
        <charset val="134"/>
      </rPr>
      <t xml:space="preserve">Contagion  </t>
    </r>
  </si>
  <si>
    <r>
      <rPr>
        <sz val="10"/>
        <color theme="1"/>
        <rFont val="宋体"/>
        <charset val="134"/>
      </rPr>
      <t>扩展法术列表</t>
    </r>
  </si>
  <si>
    <r>
      <rPr>
        <sz val="10"/>
        <color theme="1"/>
        <rFont val="宋体"/>
        <charset val="134"/>
      </rPr>
      <t>当你学习邪术师法术时，死灵宗主让你能从扩大的法术列表中选择，将以下法术为你添加到邪术师法术列表中。
死灵宗主扩展法术</t>
    </r>
    <r>
      <rPr>
        <sz val="10"/>
        <color theme="1"/>
        <rFont val="Times New Roman"/>
        <charset val="134"/>
      </rPr>
      <t xml:space="preserve"> </t>
    </r>
    <r>
      <rPr>
        <sz val="10"/>
        <color theme="1"/>
        <rFont val="宋体"/>
        <charset val="134"/>
      </rPr>
      <t>法术环阶　　法术</t>
    </r>
    <r>
      <rPr>
        <sz val="10"/>
        <color theme="1"/>
        <rFont val="Times New Roman"/>
        <charset val="134"/>
      </rPr>
      <t xml:space="preserve"> 
1st</t>
    </r>
    <r>
      <rPr>
        <sz val="10"/>
        <color theme="1"/>
        <rFont val="宋体"/>
        <charset val="134"/>
      </rPr>
      <t>　　灾祸术</t>
    </r>
    <r>
      <rPr>
        <sz val="10"/>
        <color theme="1"/>
        <rFont val="Times New Roman"/>
        <charset val="134"/>
      </rPr>
      <t>bane</t>
    </r>
    <r>
      <rPr>
        <sz val="10"/>
        <color theme="1"/>
        <rFont val="宋体"/>
        <charset val="134"/>
      </rPr>
      <t>，虚假生命</t>
    </r>
    <r>
      <rPr>
        <sz val="10"/>
        <color theme="1"/>
        <rFont val="Times New Roman"/>
        <charset val="134"/>
      </rPr>
      <t>false life 
2nd</t>
    </r>
    <r>
      <rPr>
        <sz val="10"/>
        <color theme="1"/>
        <rFont val="宋体"/>
        <charset val="134"/>
      </rPr>
      <t>　　目盲／耳聋术</t>
    </r>
    <r>
      <rPr>
        <sz val="10"/>
        <color theme="1"/>
        <rFont val="Times New Roman"/>
        <charset val="134"/>
      </rPr>
      <t>blindness/deafness</t>
    </r>
    <r>
      <rPr>
        <sz val="10"/>
        <color theme="1"/>
        <rFont val="宋体"/>
        <charset val="134"/>
      </rPr>
      <t>，魅影之力</t>
    </r>
    <r>
      <rPr>
        <sz val="10"/>
        <color theme="1"/>
        <rFont val="Times New Roman"/>
        <charset val="134"/>
      </rPr>
      <t>phantasmal force  
3rd</t>
    </r>
    <r>
      <rPr>
        <sz val="10"/>
        <color theme="1"/>
        <rFont val="宋体"/>
        <charset val="134"/>
      </rPr>
      <t>　　魅影驹</t>
    </r>
    <r>
      <rPr>
        <sz val="10"/>
        <color theme="1"/>
        <rFont val="Times New Roman"/>
        <charset val="134"/>
      </rPr>
      <t>phantom steed</t>
    </r>
    <r>
      <rPr>
        <sz val="10"/>
        <color theme="1"/>
        <rFont val="宋体"/>
        <charset val="134"/>
      </rPr>
      <t>，死者交谈</t>
    </r>
    <r>
      <rPr>
        <sz val="10"/>
        <color theme="1"/>
        <rFont val="Times New Roman"/>
        <charset val="134"/>
      </rPr>
      <t>speak with dead  
4th</t>
    </r>
    <r>
      <rPr>
        <sz val="10"/>
        <color theme="1"/>
        <rFont val="宋体"/>
        <charset val="134"/>
      </rPr>
      <t>　　防死结界</t>
    </r>
    <r>
      <rPr>
        <sz val="10"/>
        <color theme="1"/>
        <rFont val="Times New Roman"/>
        <charset val="134"/>
      </rPr>
      <t>death ward</t>
    </r>
    <r>
      <rPr>
        <sz val="10"/>
        <color theme="1"/>
        <rFont val="宋体"/>
        <charset val="134"/>
      </rPr>
      <t>，高等隐形术</t>
    </r>
    <r>
      <rPr>
        <sz val="10"/>
        <color theme="1"/>
        <rFont val="Times New Roman"/>
        <charset val="134"/>
      </rPr>
      <t>,greater invisibility  
5th</t>
    </r>
    <r>
      <rPr>
        <sz val="10"/>
        <color theme="1"/>
        <rFont val="宋体"/>
        <charset val="134"/>
      </rPr>
      <t>　　防活物护罩</t>
    </r>
    <r>
      <rPr>
        <sz val="10"/>
        <color theme="1"/>
        <rFont val="Times New Roman"/>
        <charset val="134"/>
      </rPr>
      <t>antilife shell</t>
    </r>
    <r>
      <rPr>
        <sz val="10"/>
        <color theme="1"/>
        <rFont val="宋体"/>
        <charset val="134"/>
      </rPr>
      <t>，死云术</t>
    </r>
    <r>
      <rPr>
        <sz val="10"/>
        <color theme="1"/>
        <rFont val="Times New Roman"/>
        <charset val="134"/>
      </rPr>
      <t xml:space="preserve">cloudkill  </t>
    </r>
  </si>
  <si>
    <t>夜之珠</t>
  </si>
  <si>
    <r>
      <rPr>
        <sz val="10"/>
        <color theme="1"/>
        <rFont val="Times New Roman"/>
        <charset val="134"/>
      </rPr>
      <t>6</t>
    </r>
    <r>
      <rPr>
        <sz val="10"/>
        <color theme="1"/>
        <rFont val="宋体"/>
        <charset val="134"/>
      </rPr>
      <t>级起，你的暗影共生体可以扩展来帮助你躲避敌人。当一名生物对你进行攻击检定时，你能够以反应将自己包裹在半径</t>
    </r>
    <r>
      <rPr>
        <sz val="10"/>
        <color theme="1"/>
        <rFont val="Times New Roman"/>
        <charset val="134"/>
      </rPr>
      <t>10</t>
    </r>
    <r>
      <rPr>
        <sz val="10"/>
        <color theme="1"/>
        <rFont val="宋体"/>
        <charset val="134"/>
      </rPr>
      <t>尺的球状魔法黑暗中（若该生物无法看穿魔法黑暗，则其攻击具有劣势）。若触发目标以攻击命中你，则直至你完成长休你无法再对攻击者使用该特性。黑暗持续至你的下个回合开始。
你必须在知晓攻击命中或失手前决定是否使用该特性。不依赖视觉的生物免疫此特性。</t>
    </r>
  </si>
  <si>
    <r>
      <rPr>
        <sz val="10"/>
        <color theme="1"/>
        <rFont val="宋体"/>
        <charset val="134"/>
      </rPr>
      <t>救赎之誓</t>
    </r>
  </si>
  <si>
    <t>蝾螈再生</t>
  </si>
  <si>
    <r>
      <rPr>
        <sz val="10"/>
        <color theme="1"/>
        <rFont val="宋体"/>
        <charset val="134"/>
      </rPr>
      <t>你能够以附赠动作消耗</t>
    </r>
    <r>
      <rPr>
        <sz val="10"/>
        <color theme="1"/>
        <rFont val="Times New Roman"/>
        <charset val="134"/>
      </rPr>
      <t>2</t>
    </r>
    <r>
      <rPr>
        <sz val="10"/>
        <color theme="1"/>
        <rFont val="宋体"/>
        <charset val="134"/>
      </rPr>
      <t>或</t>
    </r>
    <r>
      <rPr>
        <sz val="10"/>
        <color theme="1"/>
        <rFont val="Times New Roman"/>
        <charset val="134"/>
      </rPr>
      <t>6</t>
    </r>
    <r>
      <rPr>
        <sz val="10"/>
        <color theme="1"/>
        <rFont val="宋体"/>
        <charset val="134"/>
      </rPr>
      <t>点战技点再生你的身躯。当你如此做时，你恢复</t>
    </r>
    <r>
      <rPr>
        <sz val="10"/>
        <color theme="1"/>
        <rFont val="Times New Roman"/>
        <charset val="134"/>
      </rPr>
      <t>1d12+</t>
    </r>
    <r>
      <rPr>
        <sz val="10"/>
        <color theme="1"/>
        <rFont val="宋体"/>
        <charset val="134"/>
      </rPr>
      <t>体质调整值的生命值。若你消耗了</t>
    </r>
    <r>
      <rPr>
        <sz val="10"/>
        <color theme="1"/>
        <rFont val="Times New Roman"/>
        <charset val="134"/>
      </rPr>
      <t>6</t>
    </r>
    <r>
      <rPr>
        <sz val="10"/>
        <color theme="1"/>
        <rFont val="宋体"/>
        <charset val="134"/>
      </rPr>
      <t>点，你还会再生一个你选择的失去的肢体或器官。</t>
    </r>
  </si>
  <si>
    <t>抛出硬币</t>
  </si>
  <si>
    <r>
      <rPr>
        <sz val="10"/>
        <color theme="1"/>
        <rFont val="宋体"/>
        <charset val="134"/>
      </rPr>
      <t>当你加入交易学院时，任何使用你给予的诗人激励骰的生物，可以选择放弃掷骰，用投掷一枚硬币代替。如果为正面，这个生物可以将该诗人激励骰视为掷出了最大值。如果是反面，</t>
    </r>
    <r>
      <rPr>
        <sz val="10"/>
        <color theme="1"/>
        <rFont val="Times New Roman"/>
        <charset val="134"/>
      </rPr>
      <t xml:space="preserve"> DM </t>
    </r>
    <r>
      <rPr>
        <sz val="10"/>
        <color theme="1"/>
        <rFont val="宋体"/>
        <charset val="134"/>
      </rPr>
      <t>将取走该诗人激励骰，并且可以在其他由</t>
    </r>
    <r>
      <rPr>
        <sz val="10"/>
        <color theme="1"/>
        <rFont val="Times New Roman"/>
        <charset val="134"/>
      </rPr>
      <t xml:space="preserve"> DM </t>
    </r>
    <r>
      <rPr>
        <sz val="10"/>
        <color theme="1"/>
        <rFont val="宋体"/>
        <charset val="134"/>
      </rPr>
      <t>选择的生物进行属性检定、攻击检定、豁免检定时使用该激励骰。</t>
    </r>
    <r>
      <rPr>
        <sz val="10"/>
        <color theme="1"/>
        <rFont val="Times New Roman"/>
        <charset val="134"/>
      </rPr>
      <t xml:space="preserve"> DM </t>
    </r>
    <r>
      <rPr>
        <sz val="10"/>
        <color theme="1"/>
        <rFont val="宋体"/>
        <charset val="134"/>
      </rPr>
      <t>可以以此方式拥有多个诗人激励骰，但每次检定时仍然只能添加其中一个。当你完成一次长休后，</t>
    </r>
    <r>
      <rPr>
        <sz val="10"/>
        <color theme="1"/>
        <rFont val="Times New Roman"/>
        <charset val="134"/>
      </rPr>
      <t xml:space="preserve"> DM </t>
    </r>
    <r>
      <rPr>
        <sz val="10"/>
        <color theme="1"/>
        <rFont val="宋体"/>
        <charset val="134"/>
      </rPr>
      <t>失去任何已取得的诗人激励骰。</t>
    </r>
  </si>
  <si>
    <t>暮眼锐瞳</t>
  </si>
  <si>
    <r>
      <rPr>
        <sz val="10"/>
        <color theme="1"/>
        <rFont val="宋体"/>
        <charset val="134"/>
      </rPr>
      <t>神圣的祝福赐予了你能清晰看破黑暗与微光环境的双瞳。你可以如同明亮环境一般看见你周围</t>
    </r>
    <r>
      <rPr>
        <sz val="10"/>
        <color theme="1"/>
        <rFont val="Times New Roman"/>
        <charset val="134"/>
      </rPr>
      <t>60</t>
    </r>
    <r>
      <rPr>
        <sz val="10"/>
        <color theme="1"/>
        <rFont val="宋体"/>
        <charset val="134"/>
      </rPr>
      <t>尺内微光环境中的事物；你可以如同微光环境一般看见你周围</t>
    </r>
    <r>
      <rPr>
        <sz val="10"/>
        <color theme="1"/>
        <rFont val="Times New Roman"/>
        <charset val="134"/>
      </rPr>
      <t>60</t>
    </r>
    <r>
      <rPr>
        <sz val="10"/>
        <color theme="1"/>
        <rFont val="宋体"/>
        <charset val="134"/>
      </rPr>
      <t>尺内的黑暗环境（不论是否魔法）中的事物。你无法以此在黑暗中分辨颜色，只能看到有灰度的黑白画面。
当你达到</t>
    </r>
    <r>
      <rPr>
        <sz val="10"/>
        <color theme="1"/>
        <rFont val="Times New Roman"/>
        <charset val="134"/>
      </rPr>
      <t>6</t>
    </r>
    <r>
      <rPr>
        <sz val="10"/>
        <color theme="1"/>
        <rFont val="宋体"/>
        <charset val="134"/>
      </rPr>
      <t>级后，你可以如同明亮环境一般看见你周围</t>
    </r>
    <r>
      <rPr>
        <sz val="10"/>
        <color theme="1"/>
        <rFont val="Times New Roman"/>
        <charset val="134"/>
      </rPr>
      <t>120</t>
    </r>
    <r>
      <rPr>
        <sz val="10"/>
        <color theme="1"/>
        <rFont val="宋体"/>
        <charset val="134"/>
      </rPr>
      <t>尺内微光环境中的事物；你可以如同微光环境一般看见你周围</t>
    </r>
    <r>
      <rPr>
        <sz val="10"/>
        <color theme="1"/>
        <rFont val="Times New Roman"/>
        <charset val="134"/>
      </rPr>
      <t>120</t>
    </r>
    <r>
      <rPr>
        <sz val="10"/>
        <color theme="1"/>
        <rFont val="宋体"/>
        <charset val="134"/>
      </rPr>
      <t>尺内的黑暗环境（不论是否魔法）中的事物。你无法以此在黑暗中分辨颜色，只能看到有灰度的黑白画面。
当你达到</t>
    </r>
    <r>
      <rPr>
        <sz val="10"/>
        <color theme="1"/>
        <rFont val="Times New Roman"/>
        <charset val="134"/>
      </rPr>
      <t>8</t>
    </r>
    <r>
      <rPr>
        <sz val="10"/>
        <color theme="1"/>
        <rFont val="宋体"/>
        <charset val="134"/>
      </rPr>
      <t>级后，你可以如同明亮环境一般看见你周围</t>
    </r>
    <r>
      <rPr>
        <sz val="10"/>
        <color theme="1"/>
        <rFont val="Times New Roman"/>
        <charset val="134"/>
      </rPr>
      <t>120</t>
    </r>
    <r>
      <rPr>
        <sz val="10"/>
        <color theme="1"/>
        <rFont val="宋体"/>
        <charset val="134"/>
      </rPr>
      <t>尺内的黑暗环境（不论是否魔法）下的事物。
最后，当你达到</t>
    </r>
    <r>
      <rPr>
        <sz val="10"/>
        <color theme="1"/>
        <rFont val="Times New Roman"/>
        <charset val="134"/>
      </rPr>
      <t>17</t>
    </r>
    <r>
      <rPr>
        <sz val="10"/>
        <color theme="1"/>
        <rFont val="宋体"/>
        <charset val="134"/>
      </rPr>
      <t>级后，你的双瞳能够看出掩盖在黑暗之下的真实。你可以呼唤你信仰的那位神祇的神力，让祂赋予你</t>
    </r>
    <r>
      <rPr>
        <sz val="10"/>
        <color theme="1"/>
        <rFont val="Times New Roman"/>
        <charset val="134"/>
      </rPr>
      <t>120</t>
    </r>
    <r>
      <rPr>
        <sz val="10"/>
        <color theme="1"/>
        <rFont val="宋体"/>
        <charset val="134"/>
      </rPr>
      <t>尺的真实视觉，持续等同于你的感知调整值分钟（至少</t>
    </r>
    <r>
      <rPr>
        <sz val="10"/>
        <color theme="1"/>
        <rFont val="Times New Roman"/>
        <charset val="134"/>
      </rPr>
      <t>1</t>
    </r>
    <r>
      <rPr>
        <sz val="10"/>
        <color theme="1"/>
        <rFont val="宋体"/>
        <charset val="134"/>
      </rPr>
      <t>分钟）。不过，以此获得的真实视觉只有观察处于黑暗环境（不论是否魔法）中的事物时才能发挥作用。
一旦你使用了这个特性，直到你完成一次长休前你都不能再次使用它。</t>
    </r>
  </si>
  <si>
    <t>恩护结社法术</t>
  </si>
  <si>
    <r>
      <rPr>
        <sz val="10"/>
        <color theme="1"/>
        <rFont val="宋体"/>
        <charset val="134"/>
      </rPr>
      <t>当你到达恩护结社法术表中特定的德鲁伊等级时，你就始终准备着表中对应的法术。</t>
    </r>
    <r>
      <rPr>
        <sz val="10"/>
        <color theme="1"/>
        <rFont val="Times New Roman"/>
        <charset val="134"/>
      </rPr>
      <t xml:space="preserve"> </t>
    </r>
    <r>
      <rPr>
        <sz val="10"/>
        <color theme="1"/>
        <rFont val="宋体"/>
        <charset val="134"/>
      </rPr>
      <t>德鲁伊等级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祝福术</t>
    </r>
    <r>
      <rPr>
        <sz val="10"/>
        <color theme="1"/>
        <rFont val="Times New Roman"/>
        <charset val="134"/>
      </rPr>
      <t>Bless</t>
    </r>
    <r>
      <rPr>
        <sz val="10"/>
        <color theme="1"/>
        <rFont val="宋体"/>
        <charset val="134"/>
      </rPr>
      <t>，次等复原术</t>
    </r>
    <r>
      <rPr>
        <sz val="10"/>
        <color theme="1"/>
        <rFont val="Times New Roman"/>
        <charset val="134"/>
      </rPr>
      <t>Lesser Restoration</t>
    </r>
    <r>
      <rPr>
        <sz val="10"/>
        <color theme="1"/>
        <rFont val="宋体"/>
        <charset val="134"/>
      </rPr>
      <t>，防护毒素</t>
    </r>
    <r>
      <rPr>
        <sz val="10"/>
        <color theme="1"/>
        <rFont val="Times New Roman"/>
        <charset val="134"/>
      </rPr>
      <t>Protection from Poison</t>
    </r>
    <r>
      <rPr>
        <sz val="10"/>
        <color theme="1"/>
        <rFont val="宋体"/>
        <charset val="134"/>
      </rPr>
      <t>，庇护术</t>
    </r>
    <r>
      <rPr>
        <sz val="10"/>
        <color theme="1"/>
        <rFont val="Times New Roman"/>
        <charset val="134"/>
      </rPr>
      <t xml:space="preserve">Sanctuary  
5 </t>
    </r>
    <r>
      <rPr>
        <sz val="10"/>
        <color theme="1"/>
        <rFont val="宋体"/>
        <charset val="134"/>
      </rPr>
      <t>希望信标</t>
    </r>
    <r>
      <rPr>
        <sz val="10"/>
        <color theme="1"/>
        <rFont val="Times New Roman"/>
        <charset val="134"/>
      </rPr>
      <t>Beacon of Hope</t>
    </r>
    <r>
      <rPr>
        <sz val="10"/>
        <color theme="1"/>
        <rFont val="宋体"/>
        <charset val="134"/>
      </rPr>
      <t>，植物滋长</t>
    </r>
    <r>
      <rPr>
        <sz val="10"/>
        <color theme="1"/>
        <rFont val="Times New Roman"/>
        <charset val="134"/>
      </rPr>
      <t xml:space="preserve">Plant Growth  
7 </t>
    </r>
    <r>
      <rPr>
        <sz val="10"/>
        <color theme="1"/>
        <rFont val="宋体"/>
        <charset val="134"/>
      </rPr>
      <t>生命灵光</t>
    </r>
    <r>
      <rPr>
        <sz val="10"/>
        <color theme="1"/>
        <rFont val="Times New Roman"/>
        <charset val="134"/>
      </rPr>
      <t>Aura of Life</t>
    </r>
    <r>
      <rPr>
        <sz val="10"/>
        <color theme="1"/>
        <rFont val="宋体"/>
        <charset val="134"/>
      </rPr>
      <t>，防死结界</t>
    </r>
    <r>
      <rPr>
        <sz val="10"/>
        <color theme="1"/>
        <rFont val="Times New Roman"/>
        <charset val="134"/>
      </rPr>
      <t xml:space="preserve">Death Ward  
9 </t>
    </r>
    <r>
      <rPr>
        <sz val="10"/>
        <color theme="1"/>
        <rFont val="宋体"/>
        <charset val="134"/>
      </rPr>
      <t>高等复原术</t>
    </r>
    <r>
      <rPr>
        <sz val="10"/>
        <color theme="1"/>
        <rFont val="Times New Roman"/>
        <charset val="134"/>
      </rPr>
      <t>Greater Restoration</t>
    </r>
    <r>
      <rPr>
        <sz val="10"/>
        <color theme="1"/>
        <rFont val="宋体"/>
        <charset val="134"/>
      </rPr>
      <t>，圣居</t>
    </r>
    <r>
      <rPr>
        <sz val="10"/>
        <color theme="1"/>
        <rFont val="Times New Roman"/>
        <charset val="134"/>
      </rPr>
      <t xml:space="preserve">Hallow  </t>
    </r>
  </si>
  <si>
    <r>
      <rPr>
        <sz val="10"/>
        <color theme="1"/>
        <rFont val="宋体"/>
        <charset val="134"/>
      </rPr>
      <t>回音化身</t>
    </r>
  </si>
  <si>
    <r>
      <rPr>
        <sz val="10"/>
        <color theme="1"/>
        <rFont val="宋体"/>
        <charset val="134"/>
      </rPr>
      <t>你能暂时地将你的意识转移到你的回音上。以一个动作，你在接下来的</t>
    </r>
    <r>
      <rPr>
        <sz val="10"/>
        <color theme="1"/>
        <rFont val="Times New Roman"/>
        <charset val="134"/>
      </rPr>
      <t>10</t>
    </r>
    <r>
      <rPr>
        <sz val="10"/>
        <color theme="1"/>
        <rFont val="宋体"/>
        <charset val="134"/>
      </rPr>
      <t>分钟内可以用你的回音的双眼视物，用回音的双耳来聆听。意识转移期间，你的本体将陷入</t>
    </r>
    <r>
      <rPr>
        <sz val="10"/>
        <color theme="1"/>
        <rFont val="Times New Roman"/>
        <charset val="134"/>
      </rPr>
      <t xml:space="preserve"> </t>
    </r>
    <r>
      <rPr>
        <sz val="10"/>
        <color theme="1"/>
        <rFont val="宋体"/>
        <charset val="134"/>
      </rPr>
      <t>目盲</t>
    </r>
    <r>
      <rPr>
        <sz val="10"/>
        <color theme="1"/>
        <rFont val="Times New Roman"/>
        <charset val="134"/>
      </rPr>
      <t xml:space="preserve">Deafened </t>
    </r>
    <r>
      <rPr>
        <sz val="10"/>
        <color theme="1"/>
        <rFont val="宋体"/>
        <charset val="134"/>
      </rPr>
      <t>和</t>
    </r>
    <r>
      <rPr>
        <sz val="10"/>
        <color theme="1"/>
        <rFont val="Times New Roman"/>
        <charset val="134"/>
      </rPr>
      <t xml:space="preserve"> </t>
    </r>
    <r>
      <rPr>
        <sz val="10"/>
        <color theme="1"/>
        <rFont val="宋体"/>
        <charset val="134"/>
      </rPr>
      <t>耳聋</t>
    </r>
    <r>
      <rPr>
        <sz val="10"/>
        <color theme="1"/>
        <rFont val="Times New Roman"/>
        <charset val="134"/>
      </rPr>
      <t xml:space="preserve">Blinded </t>
    </r>
    <r>
      <rPr>
        <sz val="10"/>
        <color theme="1"/>
        <rFont val="宋体"/>
        <charset val="134"/>
      </rPr>
      <t>状态，不过你可以随时终止意识转移（无需动作）。此外，以此利用你的回音期间，它能与你之间相隔至多</t>
    </r>
    <r>
      <rPr>
        <sz val="10"/>
        <color theme="1"/>
        <rFont val="Times New Roman"/>
        <charset val="134"/>
      </rPr>
      <t>1000</t>
    </r>
    <r>
      <rPr>
        <sz val="10"/>
        <color theme="1"/>
        <rFont val="宋体"/>
        <charset val="134"/>
      </rPr>
      <t>尺的距离而不会自动摧毁。</t>
    </r>
  </si>
  <si>
    <t>幽灵行者</t>
  </si>
  <si>
    <r>
      <rPr>
        <sz val="10"/>
        <color theme="1"/>
        <rFont val="宋体"/>
        <charset val="134"/>
      </rPr>
      <t>你明白了幽魂和来自边界以太的生物是如何融入物质位面的。你可以选择部分进入以太位面，从而获得以下特性：</t>
    </r>
    <r>
      <rPr>
        <sz val="10"/>
        <color theme="1"/>
        <rFont val="Times New Roman"/>
        <charset val="134"/>
      </rPr>
      <t xml:space="preserve"> 
</t>
    </r>
    <r>
      <rPr>
        <sz val="10"/>
        <color theme="1"/>
        <rFont val="宋体"/>
        <charset val="134"/>
      </rPr>
      <t>以太步</t>
    </r>
    <r>
      <rPr>
        <sz val="10"/>
        <color theme="1"/>
        <rFont val="Times New Roman"/>
        <charset val="134"/>
      </rPr>
      <t>Etherstep</t>
    </r>
    <r>
      <rPr>
        <sz val="10"/>
        <color theme="1"/>
        <rFont val="宋体"/>
        <charset val="134"/>
      </rPr>
      <t>。你可以使用一个附赠动作花费</t>
    </r>
    <r>
      <rPr>
        <sz val="10"/>
        <color theme="1"/>
        <rFont val="Times New Roman"/>
        <charset val="134"/>
      </rPr>
      <t>1</t>
    </r>
    <r>
      <rPr>
        <sz val="10"/>
        <color theme="1"/>
        <rFont val="宋体"/>
        <charset val="134"/>
      </rPr>
      <t>点气以变为隐形，直到你的下一回合结束，或是进行攻击或施展法术。</t>
    </r>
    <r>
      <rPr>
        <sz val="10"/>
        <color theme="1"/>
        <rFont val="Times New Roman"/>
        <charset val="134"/>
      </rPr>
      <t xml:space="preserve"> 
</t>
    </r>
    <r>
      <rPr>
        <sz val="10"/>
        <color theme="1"/>
        <rFont val="宋体"/>
        <charset val="134"/>
      </rPr>
      <t>或者你可以在使用飞檐走壁时花费额外的</t>
    </r>
    <r>
      <rPr>
        <sz val="10"/>
        <color theme="1"/>
        <rFont val="Times New Roman"/>
        <charset val="134"/>
      </rPr>
      <t>1</t>
    </r>
    <r>
      <rPr>
        <sz val="10"/>
        <color theme="1"/>
        <rFont val="宋体"/>
        <charset val="134"/>
      </rPr>
      <t>点气来获得此增益。当你如此做时，只要你仍保持隐形，还可以直接穿过敌对生物或是厚度不超过</t>
    </r>
    <r>
      <rPr>
        <sz val="10"/>
        <color theme="1"/>
        <rFont val="Times New Roman"/>
        <charset val="134"/>
      </rPr>
      <t>4</t>
    </r>
    <r>
      <rPr>
        <sz val="10"/>
        <color theme="1"/>
        <rFont val="宋体"/>
        <charset val="134"/>
      </rPr>
      <t>寸的固体物体。</t>
    </r>
    <r>
      <rPr>
        <sz val="10"/>
        <color theme="1"/>
        <rFont val="Times New Roman"/>
        <charset val="134"/>
      </rPr>
      <t xml:space="preserve"> 
</t>
    </r>
    <r>
      <rPr>
        <sz val="10"/>
        <color theme="1"/>
        <rFont val="宋体"/>
        <charset val="134"/>
      </rPr>
      <t>相位闪避</t>
    </r>
    <r>
      <rPr>
        <sz val="10"/>
        <color theme="1"/>
        <rFont val="Times New Roman"/>
        <charset val="134"/>
      </rPr>
      <t>Phase</t>
    </r>
    <r>
      <rPr>
        <sz val="10"/>
        <color theme="1"/>
        <rFont val="宋体"/>
        <charset val="134"/>
      </rPr>
      <t>。当你被一次攻击击中时，你可以使用反应来部分进入边界以太，进而减少此次攻击对你的伤害，减少数值等于你的武僧等级。你可以使用该特性的次数等于你的感知调整值（最低一次），完成一次长休后，你将重获所有消耗掉的相位闪避次数。</t>
    </r>
    <r>
      <rPr>
        <sz val="10"/>
        <color theme="1"/>
        <rFont val="Times New Roman"/>
        <charset val="134"/>
      </rPr>
      <t xml:space="preserve"> </t>
    </r>
  </si>
  <si>
    <t>护法打击</t>
  </si>
  <si>
    <t>当你看见位于你触及范围内的生物施展一道具有言语、姿势或材料成分的法术时，你能以反应对那名生物以武器或徒手打击发动一次近战攻击。</t>
  </si>
  <si>
    <t>强化守御蜡封</t>
  </si>
  <si>
    <t>13级起，你可以至多同时令三个守御蜡封同时生效，而非一个。</t>
  </si>
  <si>
    <t>亵渎，强化</t>
  </si>
  <si>
    <r>
      <rPr>
        <sz val="10"/>
        <color theme="1"/>
        <rFont val="宋体"/>
        <charset val="134"/>
      </rPr>
      <t>每回合一次，当你为你使用法术位施展的法术投掷伤害时，你可以汲取自己的生命能量来强化该法术。你投掷若干未消耗的生命骰，其数量最多不超过所消耗法术位环阶的一半（向上取整，至少一颗），随后将投出骰值之和加入到该法术的一次伤害掷骰中。那之后，你的这些生命骰将被消耗。</t>
    </r>
    <r>
      <rPr>
        <sz val="10"/>
        <color theme="1"/>
        <rFont val="Times New Roman"/>
        <charset val="134"/>
      </rPr>
      <t xml:space="preserve"> 
</t>
    </r>
    <r>
      <rPr>
        <sz val="10"/>
        <color theme="1"/>
        <rFont val="宋体"/>
        <charset val="134"/>
      </rPr>
      <t>生命窃取</t>
    </r>
    <r>
      <rPr>
        <sz val="10"/>
        <color theme="1"/>
        <rFont val="Times New Roman"/>
        <charset val="134"/>
      </rPr>
      <t>Life Steal</t>
    </r>
    <r>
      <rPr>
        <sz val="10"/>
        <color theme="1"/>
        <rFont val="宋体"/>
        <charset val="134"/>
      </rPr>
      <t>。</t>
    </r>
    <r>
      <rPr>
        <sz val="10"/>
        <color theme="1"/>
        <rFont val="Times New Roman"/>
        <charset val="134"/>
      </rPr>
      <t xml:space="preserve"> </t>
    </r>
    <r>
      <rPr>
        <sz val="10"/>
        <color theme="1"/>
        <rFont val="宋体"/>
        <charset val="134"/>
      </rPr>
      <t>使用本特性时，你可以作为</t>
    </r>
    <r>
      <rPr>
        <sz val="10"/>
        <color theme="1"/>
        <rFont val="Times New Roman"/>
        <charset val="134"/>
      </rPr>
      <t>"</t>
    </r>
    <r>
      <rPr>
        <sz val="10"/>
        <color theme="1"/>
        <rFont val="宋体"/>
        <charset val="134"/>
      </rPr>
      <t>汲取自己生命力</t>
    </r>
    <r>
      <rPr>
        <sz val="10"/>
        <color theme="1"/>
        <rFont val="Times New Roman"/>
        <charset val="134"/>
      </rPr>
      <t>"</t>
    </r>
    <r>
      <rPr>
        <sz val="10"/>
        <color theme="1"/>
        <rFont val="宋体"/>
        <charset val="134"/>
      </rPr>
      <t>的代替，尝试去窃取另一名你周围</t>
    </r>
    <r>
      <rPr>
        <sz val="10"/>
        <color theme="1"/>
        <rFont val="Times New Roman"/>
        <charset val="134"/>
      </rPr>
      <t>30</t>
    </r>
    <r>
      <rPr>
        <sz val="10"/>
        <color theme="1"/>
        <rFont val="宋体"/>
        <charset val="134"/>
      </rPr>
      <t>尺内可见的生物的生命力。所选生物需进行一次体质豁免对抗你的法术豁免</t>
    </r>
    <r>
      <rPr>
        <sz val="10"/>
        <color theme="1"/>
        <rFont val="Times New Roman"/>
        <charset val="134"/>
      </rPr>
      <t>DC</t>
    </r>
    <r>
      <rPr>
        <sz val="10"/>
        <color theme="1"/>
        <rFont val="宋体"/>
        <charset val="134"/>
      </rPr>
      <t>（免疫于力竭状态的生物自动通过此豁免）。豁免失败时，你用</t>
    </r>
    <r>
      <rPr>
        <sz val="10"/>
        <color theme="1"/>
        <rFont val="Times New Roman"/>
        <charset val="134"/>
      </rPr>
      <t>"</t>
    </r>
    <r>
      <rPr>
        <sz val="10"/>
        <color theme="1"/>
        <rFont val="宋体"/>
        <charset val="134"/>
      </rPr>
      <t>它的生命骰</t>
    </r>
    <r>
      <rPr>
        <sz val="10"/>
        <color theme="1"/>
        <rFont val="Times New Roman"/>
        <charset val="134"/>
      </rPr>
      <t>"</t>
    </r>
    <r>
      <rPr>
        <sz val="10"/>
        <color theme="1"/>
        <rFont val="宋体"/>
        <charset val="134"/>
      </rPr>
      <t>代替</t>
    </r>
    <r>
      <rPr>
        <sz val="10"/>
        <color theme="1"/>
        <rFont val="Times New Roman"/>
        <charset val="134"/>
      </rPr>
      <t>"</t>
    </r>
    <r>
      <rPr>
        <sz val="10"/>
        <color theme="1"/>
        <rFont val="宋体"/>
        <charset val="134"/>
      </rPr>
      <t>你自己的生命骰</t>
    </r>
    <r>
      <rPr>
        <sz val="10"/>
        <color theme="1"/>
        <rFont val="Times New Roman"/>
        <charset val="134"/>
      </rPr>
      <t>"</t>
    </r>
    <r>
      <rPr>
        <sz val="10"/>
        <color theme="1"/>
        <rFont val="宋体"/>
        <charset val="134"/>
      </rPr>
      <t>进行上述投掷，同样，至多不超过所消耗法术位环阶的一半（向下取整，至少一颗）；随后将投出骰值之和加入到该法术的一次伤害掷骰中，而它被投掷的这些生命骰将被消耗。</t>
    </r>
    <r>
      <rPr>
        <sz val="10"/>
        <color theme="1"/>
        <rFont val="Times New Roman"/>
        <charset val="134"/>
      </rPr>
      <t xml:space="preserve"> 
</t>
    </r>
    <r>
      <rPr>
        <sz val="10"/>
        <color theme="1"/>
        <rFont val="宋体"/>
        <charset val="134"/>
      </rPr>
      <t>一旦有生物失败于你生命窃取的豁免，你将直到完成长休前都无法再次使用生命窃取，除非你用</t>
    </r>
    <r>
      <rPr>
        <sz val="10"/>
        <color theme="1"/>
        <rFont val="Times New Roman"/>
        <charset val="134"/>
      </rPr>
      <t>3</t>
    </r>
    <r>
      <rPr>
        <sz val="10"/>
        <color theme="1"/>
        <rFont val="宋体"/>
        <charset val="134"/>
      </rPr>
      <t>点术法点（无需动作）重获生命窃取的使用权。</t>
    </r>
  </si>
  <si>
    <r>
      <rPr>
        <sz val="10"/>
        <color theme="1"/>
        <rFont val="宋体"/>
        <charset val="134"/>
      </rPr>
      <t>战栗形态</t>
    </r>
  </si>
  <si>
    <r>
      <rPr>
        <sz val="10"/>
        <color theme="1"/>
        <rFont val="宋体"/>
        <charset val="134"/>
      </rPr>
      <t>你显现出你宗主可怕力量的一个侧面。以一个附赠动作，你变身持续</t>
    </r>
    <r>
      <rPr>
        <sz val="10"/>
        <color theme="1"/>
        <rFont val="Times New Roman"/>
        <charset val="134"/>
      </rPr>
      <t>1</t>
    </r>
    <r>
      <rPr>
        <sz val="10"/>
        <color theme="1"/>
        <rFont val="宋体"/>
        <charset val="134"/>
      </rPr>
      <t xml:space="preserve">分钟。变身时你获得以下好处：
</t>
    </r>
    <r>
      <rPr>
        <sz val="10"/>
        <color theme="1"/>
        <rFont val="Times New Roman"/>
        <charset val="134"/>
      </rPr>
      <t xml:space="preserve">• </t>
    </r>
    <r>
      <rPr>
        <sz val="10"/>
        <color theme="1"/>
        <rFont val="宋体"/>
        <charset val="134"/>
      </rPr>
      <t>你获得等于</t>
    </r>
    <r>
      <rPr>
        <sz val="10"/>
        <color theme="1"/>
        <rFont val="Times New Roman"/>
        <charset val="134"/>
      </rPr>
      <t>1d10+</t>
    </r>
    <r>
      <rPr>
        <sz val="10"/>
        <color theme="1"/>
        <rFont val="宋体"/>
        <charset val="134"/>
      </rPr>
      <t xml:space="preserve">你的邪术师等级的临时生命。
</t>
    </r>
    <r>
      <rPr>
        <sz val="10"/>
        <color theme="1"/>
        <rFont val="Times New Roman"/>
        <charset val="134"/>
      </rPr>
      <t xml:space="preserve">• </t>
    </r>
    <r>
      <rPr>
        <sz val="10"/>
        <color theme="1"/>
        <rFont val="宋体"/>
        <charset val="134"/>
      </rPr>
      <t xml:space="preserve">在你的每个回合中一次，当你攻击检定命中一个生物时，你可以强迫其进行一次感知豁免。若失败，目标直到你的下一个回合结束陷入对你的恐慌。
</t>
    </r>
    <r>
      <rPr>
        <sz val="10"/>
        <color theme="1"/>
        <rFont val="Times New Roman"/>
        <charset val="134"/>
      </rPr>
      <t xml:space="preserve">• </t>
    </r>
    <r>
      <rPr>
        <sz val="10"/>
        <color theme="1"/>
        <rFont val="宋体"/>
        <charset val="134"/>
      </rPr>
      <t>你对恐慌状态免疫。
你可以变身的次数等于你的熟练值，当你完成长休后，你恢复所有已消耗的变身次数。
你战栗形态下的外观反映了你宗主的某些方面。例如，你的战栗形态可能披着阴影的纱幕，化作你的巫妖宗主王冠和长袍的形状，或者你的身体开始发光，现出古代葬礼仪式的符印，并被沙尘旋风所环绕，暗示着你的木乃伊宗主。</t>
    </r>
  </si>
  <si>
    <t>潜伏于影</t>
  </si>
  <si>
    <r>
      <rPr>
        <sz val="10"/>
        <color theme="1"/>
        <rFont val="宋体"/>
        <charset val="134"/>
      </rPr>
      <t>你的暗影共生体将为你伪装，让你能先发制人一击制敌。每当你身处微光光照或黑暗进行先攻检定时，你将自动对位于你至少</t>
    </r>
    <r>
      <rPr>
        <sz val="10"/>
        <color theme="1"/>
        <rFont val="Times New Roman"/>
        <charset val="134"/>
      </rPr>
      <t>10</t>
    </r>
    <r>
      <rPr>
        <sz val="10"/>
        <color theme="1"/>
        <rFont val="宋体"/>
        <charset val="134"/>
      </rPr>
      <t>尺内的所有生物躲藏。若你移动、发动攻击或施展法术，你将不再躲藏。</t>
    </r>
  </si>
  <si>
    <r>
      <rPr>
        <sz val="10"/>
        <color theme="1"/>
        <rFont val="宋体"/>
        <charset val="134"/>
      </rPr>
      <t>守望之誓</t>
    </r>
  </si>
  <si>
    <t>巨兽之形</t>
  </si>
  <si>
    <r>
      <rPr>
        <sz val="10"/>
        <color theme="1"/>
        <rFont val="宋体"/>
        <charset val="134"/>
      </rPr>
      <t>以一个动作，你可以消耗</t>
    </r>
    <r>
      <rPr>
        <sz val="10"/>
        <color theme="1"/>
        <rFont val="Times New Roman"/>
        <charset val="134"/>
      </rPr>
      <t>3</t>
    </r>
    <r>
      <rPr>
        <sz val="10"/>
        <color theme="1"/>
        <rFont val="宋体"/>
        <charset val="134"/>
      </rPr>
      <t>点战技点，获取自然界最巨大野兽的力量，持续</t>
    </r>
    <r>
      <rPr>
        <sz val="10"/>
        <color theme="1"/>
        <rFont val="Times New Roman"/>
        <charset val="134"/>
      </rPr>
      <t>1</t>
    </r>
    <r>
      <rPr>
        <sz val="10"/>
        <color theme="1"/>
        <rFont val="宋体"/>
        <charset val="134"/>
      </rPr>
      <t>分钟。当你如此做时，你的体型变大一级，至多增至大型。此外，变大期间，你的触及范围提升</t>
    </r>
    <r>
      <rPr>
        <sz val="10"/>
        <color theme="1"/>
        <rFont val="Times New Roman"/>
        <charset val="134"/>
      </rPr>
      <t>5</t>
    </r>
    <r>
      <rPr>
        <sz val="10"/>
        <color theme="1"/>
        <rFont val="宋体"/>
        <charset val="134"/>
      </rPr>
      <t>尺，你武器攻击额外造成</t>
    </r>
    <r>
      <rPr>
        <sz val="10"/>
        <color theme="1"/>
        <rFont val="Times New Roman"/>
        <charset val="134"/>
      </rPr>
      <t>1d6</t>
    </r>
    <r>
      <rPr>
        <sz val="10"/>
        <color theme="1"/>
        <rFont val="宋体"/>
        <charset val="134"/>
      </rPr>
      <t>伤害，你的每个回合开始时，你获得</t>
    </r>
    <r>
      <rPr>
        <sz val="10"/>
        <color theme="1"/>
        <rFont val="Times New Roman"/>
        <charset val="134"/>
      </rPr>
      <t>1d6</t>
    </r>
    <r>
      <rPr>
        <sz val="10"/>
        <color theme="1"/>
        <rFont val="宋体"/>
        <charset val="134"/>
      </rPr>
      <t>临时生命值。此战技在不再为此战技维持专注（如同专注于某个法术）时提前结束。</t>
    </r>
  </si>
  <si>
    <t>魔法硬币</t>
  </si>
  <si>
    <r>
      <rPr>
        <sz val="10"/>
        <color theme="1"/>
        <rFont val="宋体"/>
        <charset val="134"/>
      </rPr>
      <t>你意识到硬币可以和最具魅力的修辞一样强大。其他吟游诗人可能使用言语和歌声作为施法手段，而你则使用一枚简单的硬币。你可以使用任何至少价值</t>
    </r>
    <r>
      <rPr>
        <sz val="10"/>
        <color theme="1"/>
        <rFont val="Times New Roman"/>
        <charset val="134"/>
      </rPr>
      <t xml:space="preserve"> 1 </t>
    </r>
    <r>
      <rPr>
        <sz val="10"/>
        <color theme="1"/>
        <rFont val="宋体"/>
        <charset val="134"/>
      </rPr>
      <t>铜币的硬币作为你施展吟游诗人法术的法器。</t>
    </r>
    <r>
      <rPr>
        <sz val="10"/>
        <color theme="1"/>
        <rFont val="Times New Roman"/>
        <charset val="134"/>
      </rPr>
      <t xml:space="preserve"> 
</t>
    </r>
    <r>
      <rPr>
        <sz val="10"/>
        <color theme="1"/>
        <rFont val="宋体"/>
        <charset val="134"/>
      </rPr>
      <t>除此之外，你可以使用一个动作，魔法般的将一枚硬币从你手中投掷到</t>
    </r>
    <r>
      <rPr>
        <sz val="10"/>
        <color theme="1"/>
        <rFont val="Times New Roman"/>
        <charset val="134"/>
      </rPr>
      <t xml:space="preserve"> 60 </t>
    </r>
    <r>
      <rPr>
        <sz val="10"/>
        <color theme="1"/>
        <rFont val="宋体"/>
        <charset val="134"/>
      </rPr>
      <t>尺以内的目标上。使用你的魅力调整值来进行攻击掷骰。若攻击命中，目标将受到</t>
    </r>
    <r>
      <rPr>
        <sz val="10"/>
        <color theme="1"/>
        <rFont val="Times New Roman"/>
        <charset val="134"/>
      </rPr>
      <t xml:space="preserve"> 1 </t>
    </r>
    <r>
      <rPr>
        <sz val="10"/>
        <color theme="1"/>
        <rFont val="宋体"/>
        <charset val="134"/>
      </rPr>
      <t>点钝击伤害和</t>
    </r>
    <r>
      <rPr>
        <sz val="10"/>
        <color theme="1"/>
        <rFont val="Times New Roman"/>
        <charset val="134"/>
      </rPr>
      <t xml:space="preserve"> 1d12 </t>
    </r>
    <r>
      <rPr>
        <sz val="10"/>
        <color theme="1"/>
        <rFont val="宋体"/>
        <charset val="134"/>
      </rPr>
      <t>点雷鸣伤害。攻击后，硬币会立即返回你的手中。如果你在一次对敌对生物的攻击掷骰中掷出了</t>
    </r>
    <r>
      <rPr>
        <sz val="10"/>
        <color theme="1"/>
        <rFont val="Times New Roman"/>
        <charset val="134"/>
      </rPr>
      <t xml:space="preserve"> 20 </t>
    </r>
    <r>
      <rPr>
        <sz val="10"/>
        <color theme="1"/>
        <rFont val="宋体"/>
        <charset val="134"/>
      </rPr>
      <t>，并且使用的是非魔法的铜币、银币、银金币或金币，那么硬币在返回你手中时会被魔法复制。新硬币可以出现在你的手中、脚下，或是你身上的钱袋中（由你选择）。</t>
    </r>
    <r>
      <rPr>
        <sz val="10"/>
        <color theme="1"/>
        <rFont val="Times New Roman"/>
        <charset val="134"/>
      </rPr>
      <t xml:space="preserve"> 
</t>
    </r>
    <r>
      <rPr>
        <sz val="10"/>
        <color theme="1"/>
        <rFont val="宋体"/>
        <charset val="134"/>
      </rPr>
      <t>当你到达</t>
    </r>
    <r>
      <rPr>
        <sz val="10"/>
        <color theme="1"/>
        <rFont val="Times New Roman"/>
        <charset val="134"/>
      </rPr>
      <t xml:space="preserve"> 6 </t>
    </r>
    <r>
      <rPr>
        <sz val="10"/>
        <color theme="1"/>
        <rFont val="宋体"/>
        <charset val="134"/>
      </rPr>
      <t>级和</t>
    </r>
    <r>
      <rPr>
        <sz val="10"/>
        <color theme="1"/>
        <rFont val="Times New Roman"/>
        <charset val="134"/>
      </rPr>
      <t xml:space="preserve"> 14 </t>
    </r>
    <r>
      <rPr>
        <sz val="10"/>
        <color theme="1"/>
        <rFont val="宋体"/>
        <charset val="134"/>
      </rPr>
      <t>级时硬币的雷鸣伤害会增加</t>
    </r>
    <r>
      <rPr>
        <sz val="10"/>
        <color theme="1"/>
        <rFont val="Times New Roman"/>
        <charset val="134"/>
      </rPr>
      <t xml:space="preserve"> 1d12 </t>
    </r>
    <r>
      <rPr>
        <sz val="10"/>
        <color theme="1"/>
        <rFont val="宋体"/>
        <charset val="134"/>
      </rPr>
      <t>（</t>
    </r>
    <r>
      <rPr>
        <sz val="10"/>
        <color theme="1"/>
        <rFont val="Times New Roman"/>
        <charset val="134"/>
      </rPr>
      <t xml:space="preserve"> 6 </t>
    </r>
    <r>
      <rPr>
        <sz val="10"/>
        <color theme="1"/>
        <rFont val="宋体"/>
        <charset val="134"/>
      </rPr>
      <t>级</t>
    </r>
    <r>
      <rPr>
        <sz val="10"/>
        <color theme="1"/>
        <rFont val="Times New Roman"/>
        <charset val="134"/>
      </rPr>
      <t xml:space="preserve"> 2d12 </t>
    </r>
    <r>
      <rPr>
        <sz val="10"/>
        <color theme="1"/>
        <rFont val="宋体"/>
        <charset val="134"/>
      </rPr>
      <t>）（</t>
    </r>
    <r>
      <rPr>
        <sz val="10"/>
        <color theme="1"/>
        <rFont val="Times New Roman"/>
        <charset val="134"/>
      </rPr>
      <t xml:space="preserve"> 14 </t>
    </r>
    <r>
      <rPr>
        <sz val="10"/>
        <color theme="1"/>
        <rFont val="宋体"/>
        <charset val="134"/>
      </rPr>
      <t>级</t>
    </r>
    <r>
      <rPr>
        <sz val="10"/>
        <color theme="1"/>
        <rFont val="Times New Roman"/>
        <charset val="134"/>
      </rPr>
      <t xml:space="preserve"> 3d12 </t>
    </r>
    <r>
      <rPr>
        <sz val="10"/>
        <color theme="1"/>
        <rFont val="宋体"/>
        <charset val="134"/>
      </rPr>
      <t>）</t>
    </r>
  </si>
  <si>
    <t>圣影庇护</t>
  </si>
  <si>
    <r>
      <rPr>
        <sz val="10"/>
        <color theme="1"/>
        <rFont val="宋体"/>
        <charset val="134"/>
      </rPr>
      <t>你可以创造出一道由无数神圣阴影构成的防护罩，从向你攻击的敌人眼中隐藏自己的身姿。当你周围</t>
    </r>
    <r>
      <rPr>
        <sz val="10"/>
        <color theme="1"/>
        <rFont val="Times New Roman"/>
        <charset val="134"/>
      </rPr>
      <t>30</t>
    </r>
    <r>
      <rPr>
        <sz val="10"/>
        <color theme="1"/>
        <rFont val="宋体"/>
        <charset val="134"/>
      </rPr>
      <t>尺范围内的生物向你发起攻击时，你可以用反应呼唤圣影笼罩你的身躯，使本次攻击具有劣势。若攻击者无法陷入</t>
    </r>
    <r>
      <rPr>
        <sz val="10"/>
        <color theme="1"/>
        <rFont val="Times New Roman"/>
        <charset val="134"/>
      </rPr>
      <t xml:space="preserve"> </t>
    </r>
    <r>
      <rPr>
        <sz val="10"/>
        <color theme="1"/>
        <rFont val="宋体"/>
        <charset val="134"/>
      </rPr>
      <t>目盲</t>
    </r>
    <r>
      <rPr>
        <sz val="10"/>
        <color theme="1"/>
        <rFont val="Times New Roman"/>
        <charset val="134"/>
      </rPr>
      <t xml:space="preserve">Blinded </t>
    </r>
    <r>
      <rPr>
        <sz val="10"/>
        <color theme="1"/>
        <rFont val="宋体"/>
        <charset val="134"/>
      </rPr>
      <t>，其也免疫于此特性。
你可以使用此特性的次数等同于你的感知调整值次（至少</t>
    </r>
    <r>
      <rPr>
        <sz val="10"/>
        <color theme="1"/>
        <rFont val="Times New Roman"/>
        <charset val="134"/>
      </rPr>
      <t>1</t>
    </r>
    <r>
      <rPr>
        <sz val="10"/>
        <color theme="1"/>
        <rFont val="宋体"/>
        <charset val="134"/>
      </rPr>
      <t>次），在你完成一次长休后你重获全部已消耗的使用次数。</t>
    </r>
  </si>
  <si>
    <t>恩护之地</t>
  </si>
  <si>
    <r>
      <rPr>
        <sz val="10"/>
        <color theme="1"/>
        <rFont val="宋体"/>
        <charset val="134"/>
      </rPr>
      <t>以一个附赠动作，你可以消耗一次你的荒野变形使用次数指定距你</t>
    </r>
    <r>
      <rPr>
        <sz val="10"/>
        <color theme="1"/>
        <rFont val="Times New Roman"/>
        <charset val="134"/>
      </rPr>
      <t>120</t>
    </r>
    <r>
      <rPr>
        <sz val="10"/>
        <color theme="1"/>
        <rFont val="宋体"/>
        <charset val="134"/>
      </rPr>
      <t>尺内且你可见的地面上一点，使你的活力能量充盈于以此点为源点的</t>
    </r>
    <r>
      <rPr>
        <sz val="10"/>
        <color theme="1"/>
        <rFont val="Times New Roman"/>
        <charset val="134"/>
      </rPr>
      <t>15</t>
    </r>
    <r>
      <rPr>
        <sz val="10"/>
        <color theme="1"/>
        <rFont val="宋体"/>
        <charset val="134"/>
      </rPr>
      <t>尺立方区域内。此效应持续一分钟或直至你陷入失能状态、远离立方区域</t>
    </r>
    <r>
      <rPr>
        <sz val="10"/>
        <color theme="1"/>
        <rFont val="Times New Roman"/>
        <charset val="134"/>
      </rPr>
      <t>120</t>
    </r>
    <r>
      <rPr>
        <sz val="10"/>
        <color theme="1"/>
        <rFont val="宋体"/>
        <charset val="134"/>
      </rPr>
      <t>尺、死亡。</t>
    </r>
    <r>
      <rPr>
        <sz val="10"/>
        <color theme="1"/>
        <rFont val="Times New Roman"/>
        <charset val="134"/>
      </rPr>
      <t xml:space="preserve">
</t>
    </r>
    <r>
      <rPr>
        <sz val="10"/>
        <color theme="1"/>
        <rFont val="宋体"/>
        <charset val="134"/>
      </rPr>
      <t>无论何种生物（也包括你自己）在立方区域中结束回合，你都可以给予其以下好处之一：</t>
    </r>
    <r>
      <rPr>
        <sz val="10"/>
        <color theme="1"/>
        <rFont val="Times New Roman"/>
        <charset val="134"/>
      </rPr>
      <t xml:space="preserve">
</t>
    </r>
    <r>
      <rPr>
        <sz val="10"/>
        <color theme="1"/>
        <rFont val="宋体"/>
        <charset val="134"/>
      </rPr>
      <t>巩固</t>
    </r>
    <r>
      <rPr>
        <sz val="10"/>
        <color theme="1"/>
        <rFont val="Times New Roman"/>
        <charset val="134"/>
      </rPr>
      <t>Bolster</t>
    </r>
    <r>
      <rPr>
        <sz val="10"/>
        <color theme="1"/>
        <rFont val="宋体"/>
        <charset val="134"/>
      </rPr>
      <t>。</t>
    </r>
    <r>
      <rPr>
        <sz val="10"/>
        <color theme="1"/>
        <rFont val="Times New Roman"/>
        <charset val="134"/>
      </rPr>
      <t xml:space="preserve"> </t>
    </r>
    <r>
      <rPr>
        <sz val="10"/>
        <color theme="1"/>
        <rFont val="宋体"/>
        <charset val="134"/>
      </rPr>
      <t>该生物获得等同于</t>
    </r>
    <r>
      <rPr>
        <sz val="10"/>
        <color theme="1"/>
        <rFont val="Times New Roman"/>
        <charset val="134"/>
      </rPr>
      <t>1d4+</t>
    </r>
    <r>
      <rPr>
        <sz val="10"/>
        <color theme="1"/>
        <rFont val="宋体"/>
        <charset val="134"/>
      </rPr>
      <t>你的德鲁伊等级的临时生命值。</t>
    </r>
    <r>
      <rPr>
        <sz val="10"/>
        <color theme="1"/>
        <rFont val="Times New Roman"/>
        <charset val="134"/>
      </rPr>
      <t xml:space="preserve">
</t>
    </r>
    <r>
      <rPr>
        <sz val="10"/>
        <color theme="1"/>
        <rFont val="宋体"/>
        <charset val="134"/>
      </rPr>
      <t>净化</t>
    </r>
    <r>
      <rPr>
        <sz val="10"/>
        <color theme="1"/>
        <rFont val="Times New Roman"/>
        <charset val="134"/>
      </rPr>
      <t>Purify</t>
    </r>
    <r>
      <rPr>
        <sz val="10"/>
        <color theme="1"/>
        <rFont val="宋体"/>
        <charset val="134"/>
      </rPr>
      <t>。</t>
    </r>
    <r>
      <rPr>
        <sz val="10"/>
        <color theme="1"/>
        <rFont val="Times New Roman"/>
        <charset val="134"/>
      </rPr>
      <t xml:space="preserve"> </t>
    </r>
    <r>
      <rPr>
        <sz val="10"/>
        <color theme="1"/>
        <rFont val="宋体"/>
        <charset val="134"/>
      </rPr>
      <t>你终止该生物身上一个特定的效应，被结束的效应需为令该生物陷入恐慌或中毒状态的效应。（译注：例如，两个效果给你中毒，你只能解掉一个但是另一个仍然让你中毒）</t>
    </r>
    <r>
      <rPr>
        <sz val="10"/>
        <color theme="1"/>
        <rFont val="Times New Roman"/>
        <charset val="134"/>
      </rPr>
      <t xml:space="preserve"> 
</t>
    </r>
    <r>
      <rPr>
        <sz val="10"/>
        <color theme="1"/>
        <rFont val="宋体"/>
        <charset val="134"/>
      </rPr>
      <t>另外，非魔法的原生植被会在立方区域内生根发芽。这些植物会在效应结束时消失。</t>
    </r>
    <r>
      <rPr>
        <sz val="10"/>
        <color theme="1"/>
        <rFont val="Times New Roman"/>
        <charset val="134"/>
      </rPr>
      <t xml:space="preserve"> </t>
    </r>
    <r>
      <rPr>
        <sz val="10"/>
        <color theme="1"/>
        <rFont val="宋体"/>
        <charset val="134"/>
      </rPr>
      <t>（译注：这个是该特性带来</t>
    </r>
    <r>
      <rPr>
        <sz val="10"/>
        <color theme="1"/>
        <rFont val="Times New Roman"/>
        <charset val="134"/>
      </rPr>
      <t>/</t>
    </r>
    <r>
      <rPr>
        <sz val="10"/>
        <color theme="1"/>
        <rFont val="宋体"/>
        <charset val="134"/>
      </rPr>
      <t>带走的植被，不要拿来除草！）</t>
    </r>
    <r>
      <rPr>
        <sz val="10"/>
        <color theme="1"/>
        <rFont val="Times New Roman"/>
        <charset val="134"/>
      </rPr>
      <t xml:space="preserve">
</t>
    </r>
    <r>
      <rPr>
        <sz val="10"/>
        <color theme="1"/>
        <rFont val="宋体"/>
        <charset val="134"/>
      </rPr>
      <t>在接下来的回合中，以一个附赠动作，你可以将立方区域在你</t>
    </r>
    <r>
      <rPr>
        <sz val="10"/>
        <color theme="1"/>
        <rFont val="Times New Roman"/>
        <charset val="134"/>
      </rPr>
      <t>120</t>
    </r>
    <r>
      <rPr>
        <sz val="10"/>
        <color theme="1"/>
        <rFont val="宋体"/>
        <charset val="134"/>
      </rPr>
      <t>尺范围内移动至多</t>
    </r>
    <r>
      <rPr>
        <sz val="10"/>
        <color theme="1"/>
        <rFont val="Times New Roman"/>
        <charset val="134"/>
      </rPr>
      <t>30</t>
    </r>
    <r>
      <rPr>
        <sz val="10"/>
        <color theme="1"/>
        <rFont val="宋体"/>
        <charset val="134"/>
      </rPr>
      <t>尺距离。</t>
    </r>
  </si>
  <si>
    <r>
      <rPr>
        <sz val="10"/>
        <color theme="1"/>
        <rFont val="宋体"/>
        <charset val="134"/>
      </rPr>
      <t>阴影殉道者</t>
    </r>
  </si>
  <si>
    <r>
      <rPr>
        <sz val="10"/>
        <color theme="1"/>
        <rFont val="宋体"/>
        <charset val="134"/>
      </rPr>
      <t>若你可见的其他生物被指定为一次攻击的目标，你能操控你的回音，让它前去拦截这次攻击。在此次攻击检定掷骰前，你能用反应让回音传送到即将被攻击的那一生物周围</t>
    </r>
    <r>
      <rPr>
        <sz val="10"/>
        <color theme="1"/>
        <rFont val="Times New Roman"/>
        <charset val="134"/>
      </rPr>
      <t>5</t>
    </r>
    <r>
      <rPr>
        <sz val="10"/>
        <color theme="1"/>
        <rFont val="宋体"/>
        <charset val="134"/>
      </rPr>
      <t>尺范围内的一处未被占据的空间。而触发反应的那次攻击检定将由你的回音代为承受。
一旦你使用了本特性，直到你完成短休或长休前，你都无法再次使用它。</t>
    </r>
  </si>
  <si>
    <t>超越视界</t>
  </si>
  <si>
    <r>
      <rPr>
        <sz val="10"/>
        <color theme="1"/>
        <rFont val="宋体"/>
        <charset val="134"/>
      </rPr>
      <t>你开始能够清楚地看透这个世界，并使用以太与其中的灵魂建立联系。你获得</t>
    </r>
    <r>
      <rPr>
        <sz val="10"/>
        <color theme="1"/>
        <rFont val="Times New Roman"/>
        <charset val="134"/>
      </rPr>
      <t>60</t>
    </r>
    <r>
      <rPr>
        <sz val="10"/>
        <color theme="1"/>
        <rFont val="宋体"/>
        <charset val="134"/>
      </rPr>
      <t>尺的真实视觉和心灵感应。</t>
    </r>
    <r>
      <rPr>
        <sz val="10"/>
        <color theme="1"/>
        <rFont val="Times New Roman"/>
        <charset val="134"/>
      </rPr>
      <t xml:space="preserve"> 
</t>
    </r>
    <r>
      <rPr>
        <sz val="10"/>
        <color theme="1"/>
        <rFont val="宋体"/>
        <charset val="134"/>
      </rPr>
      <t>此外，你可以使用一个动作施展法术以太化</t>
    </r>
    <r>
      <rPr>
        <sz val="10"/>
        <color theme="1"/>
        <rFont val="Times New Roman"/>
        <charset val="134"/>
      </rPr>
      <t>Etherealness</t>
    </r>
    <r>
      <rPr>
        <sz val="10"/>
        <color theme="1"/>
        <rFont val="宋体"/>
        <charset val="134"/>
      </rPr>
      <t>。当你这样做时，该法术的持续时间为</t>
    </r>
    <r>
      <rPr>
        <sz val="10"/>
        <color theme="1"/>
        <rFont val="Times New Roman"/>
        <charset val="134"/>
      </rPr>
      <t>1</t>
    </r>
    <r>
      <rPr>
        <sz val="10"/>
        <color theme="1"/>
        <rFont val="宋体"/>
        <charset val="134"/>
      </rPr>
      <t>分钟。当你以此特性施展了该法术，便不能再次使用此特性，直至你完成一次长休。</t>
    </r>
    <r>
      <rPr>
        <sz val="10"/>
        <color theme="1"/>
        <rFont val="Times New Roman"/>
        <charset val="134"/>
      </rPr>
      <t xml:space="preserve"> </t>
    </r>
  </si>
  <si>
    <t>专注灵光</t>
  </si>
  <si>
    <t>你的守护灵光能促进精神集中。你和你的盟友若身处你的守护灵光内，你们为维持专注进行的体质豁免检定具有优势。</t>
  </si>
  <si>
    <t>强化蜡灵</t>
  </si>
  <si>
    <t>13级起，你可以以一个动作花费3点烛心点，而非2点，并同时召唤两个蜡灵。</t>
  </si>
  <si>
    <t>污染施术</t>
  </si>
  <si>
    <r>
      <rPr>
        <sz val="10"/>
        <color theme="1"/>
        <rFont val="宋体"/>
        <charset val="134"/>
      </rPr>
      <t>你深入研习了你体内深处的那些受污染的魔法，令你获得以下增益：</t>
    </r>
    <r>
      <rPr>
        <sz val="10"/>
        <color theme="1"/>
        <rFont val="Times New Roman"/>
        <charset val="134"/>
      </rPr>
      <t xml:space="preserve"> 
</t>
    </r>
    <r>
      <rPr>
        <sz val="10"/>
        <color theme="1"/>
        <rFont val="宋体"/>
        <charset val="134"/>
      </rPr>
      <t>亵渎者之护</t>
    </r>
    <r>
      <rPr>
        <sz val="10"/>
        <color theme="1"/>
        <rFont val="Times New Roman"/>
        <charset val="134"/>
      </rPr>
      <t>Defiler's Ward</t>
    </r>
    <r>
      <rPr>
        <sz val="10"/>
        <color theme="1"/>
        <rFont val="宋体"/>
        <charset val="134"/>
      </rPr>
      <t>。</t>
    </r>
    <r>
      <rPr>
        <sz val="10"/>
        <color theme="1"/>
        <rFont val="Times New Roman"/>
        <charset val="134"/>
      </rPr>
      <t xml:space="preserve"> </t>
    </r>
    <r>
      <rPr>
        <sz val="10"/>
        <color theme="1"/>
        <rFont val="宋体"/>
        <charset val="134"/>
      </rPr>
      <t>当你执行附赠动作来将术法点转化为法术位时，你可以用亵渎能量创造一圈环绕在身躯周围的保护魔法茧。投掷数量等同于所创造的法术位环阶的</t>
    </r>
    <r>
      <rPr>
        <sz val="10"/>
        <color theme="1"/>
        <rFont val="Times New Roman"/>
        <charset val="134"/>
      </rPr>
      <t>d6</t>
    </r>
    <r>
      <rPr>
        <sz val="10"/>
        <color theme="1"/>
        <rFont val="宋体"/>
        <charset val="134"/>
      </rPr>
      <t>骰，你获得掷出的骰值之和的临时生命值。</t>
    </r>
    <r>
      <rPr>
        <sz val="10"/>
        <color theme="1"/>
        <rFont val="Times New Roman"/>
        <charset val="134"/>
      </rPr>
      <t xml:space="preserve"> 
</t>
    </r>
    <r>
      <rPr>
        <sz val="10"/>
        <color theme="1"/>
        <rFont val="宋体"/>
        <charset val="134"/>
      </rPr>
      <t>在你拥有这些临时生命值期间，如果有生物以近战攻击检定命中了你，该生物将受到等同于你魅力调整值点的暗蚀或毒素（由你选择）伤害。</t>
    </r>
    <r>
      <rPr>
        <sz val="10"/>
        <color theme="1"/>
        <rFont val="Times New Roman"/>
        <charset val="134"/>
      </rPr>
      <t xml:space="preserve"> 
</t>
    </r>
    <r>
      <rPr>
        <sz val="10"/>
        <color theme="1"/>
        <rFont val="宋体"/>
        <charset val="134"/>
      </rPr>
      <t>极致溃败</t>
    </r>
    <r>
      <rPr>
        <sz val="10"/>
        <color theme="1"/>
        <rFont val="Times New Roman"/>
        <charset val="134"/>
      </rPr>
      <t>Strengthen Rot</t>
    </r>
    <r>
      <rPr>
        <sz val="10"/>
        <color theme="1"/>
        <rFont val="宋体"/>
        <charset val="134"/>
      </rPr>
      <t>。</t>
    </r>
    <r>
      <rPr>
        <sz val="10"/>
        <color theme="1"/>
        <rFont val="Times New Roman"/>
        <charset val="134"/>
      </rPr>
      <t xml:space="preserve"> </t>
    </r>
    <r>
      <rPr>
        <sz val="10"/>
        <color theme="1"/>
        <rFont val="宋体"/>
        <charset val="134"/>
      </rPr>
      <t>由你的术士法术或术士特性造成的伤害无视暗蚀伤害抗性与毒素伤害抗性。</t>
    </r>
    <r>
      <rPr>
        <sz val="10"/>
        <color theme="1"/>
        <rFont val="Times New Roman"/>
        <charset val="134"/>
      </rPr>
      <t xml:space="preserve"> </t>
    </r>
  </si>
  <si>
    <r>
      <rPr>
        <sz val="10"/>
        <color theme="1"/>
        <rFont val="宋体"/>
        <charset val="134"/>
      </rPr>
      <t>坟冢之触</t>
    </r>
  </si>
  <si>
    <r>
      <rPr>
        <sz val="10"/>
        <color theme="1"/>
        <rFont val="宋体"/>
        <charset val="134"/>
      </rPr>
      <t>你宗主的力量对你的身体和魔法产生了深远的影响。你不需要吃、喝、呼吸。
此外，每个你的回合中一次，当你用攻击检定命中一个生物并对该生物投掷伤害骰时，你可以将伤害类型替换为黯蚀伤害。当你使用战栗形态时，你可以在决定目标受到该黯蚀伤害的数值时，额外投掷一枚伤害骰。</t>
    </r>
  </si>
  <si>
    <t>第二皮肤</t>
  </si>
  <si>
    <r>
      <rPr>
        <sz val="10"/>
        <color theme="1"/>
        <rFont val="Times New Roman"/>
        <charset val="134"/>
      </rPr>
      <t>14</t>
    </r>
    <r>
      <rPr>
        <sz val="10"/>
        <color theme="1"/>
        <rFont val="宋体"/>
        <charset val="134"/>
      </rPr>
      <t>级起，你的暗影共生体与你共同承受苦难。若你身处微光光照或黑暗中，你的</t>
    </r>
    <r>
      <rPr>
        <sz val="10"/>
        <color theme="1"/>
        <rFont val="Times New Roman"/>
        <charset val="134"/>
      </rPr>
      <t>AC</t>
    </r>
    <r>
      <rPr>
        <sz val="10"/>
        <color theme="1"/>
        <rFont val="宋体"/>
        <charset val="134"/>
      </rPr>
      <t>获得</t>
    </r>
    <r>
      <rPr>
        <sz val="10"/>
        <color theme="1"/>
        <rFont val="Times New Roman"/>
        <charset val="134"/>
      </rPr>
      <t>+2</t>
    </r>
    <r>
      <rPr>
        <sz val="10"/>
        <color theme="1"/>
        <rFont val="宋体"/>
        <charset val="134"/>
      </rPr>
      <t>价值，且你获得对钝击、穿刺和挥砍伤害的抗性。</t>
    </r>
  </si>
  <si>
    <r>
      <rPr>
        <sz val="10"/>
        <color theme="1"/>
        <rFont val="宋体"/>
        <charset val="134"/>
      </rPr>
      <t>守护之誓</t>
    </r>
  </si>
  <si>
    <t>奔牛践踏</t>
  </si>
  <si>
    <r>
      <rPr>
        <sz val="10"/>
        <color theme="1"/>
        <rFont val="宋体"/>
        <charset val="134"/>
      </rPr>
      <t>你能够以附赠动作消耗</t>
    </r>
    <r>
      <rPr>
        <sz val="10"/>
        <color theme="1"/>
        <rFont val="Times New Roman"/>
        <charset val="134"/>
      </rPr>
      <t>3</t>
    </r>
    <r>
      <rPr>
        <sz val="10"/>
        <color theme="1"/>
        <rFont val="宋体"/>
        <charset val="134"/>
      </rPr>
      <t>点战技点联结奔牛，移动至多等于你速度的距离。以此移动期间，你可以移动穿越体型不超过你的生物占据的空间，但你必须在一处未占据空间结束移动。
空间被你穿越的每名生物必须成功通过一次力量豁免，否则应击倒地并受到</t>
    </r>
    <r>
      <rPr>
        <sz val="10"/>
        <color theme="1"/>
        <rFont val="Times New Roman"/>
        <charset val="134"/>
      </rPr>
      <t>1d8+</t>
    </r>
    <r>
      <rPr>
        <sz val="10"/>
        <color theme="1"/>
        <rFont val="宋体"/>
        <charset val="134"/>
      </rPr>
      <t>力量调整值的钝击伤害。</t>
    </r>
  </si>
  <si>
    <t>钱说了算</t>
  </si>
  <si>
    <r>
      <rPr>
        <sz val="10"/>
        <color theme="1"/>
        <rFont val="宋体"/>
        <charset val="134"/>
      </rPr>
      <t>你学会了如何使用预言魔法短暂的为硬币附魔。你可以使用一个动作，对你手中的普通铜币、银币、银金币、金币或铂金币进行此类附魔。持有该硬币且理解至少一种语言的生物可以理解你所说的任何一个单词的含义，并且当该生物开口说话时，你也能理解该生物说的内容。此外，在与持有或携带附魔硬币的生物商量商品或服务的价格时，你的第一次魅力（说服）检定可以获得优势。</t>
    </r>
    <r>
      <rPr>
        <sz val="10"/>
        <color theme="1"/>
        <rFont val="Times New Roman"/>
        <charset val="134"/>
      </rPr>
      <t xml:space="preserve"> 
</t>
    </r>
    <r>
      <rPr>
        <sz val="10"/>
        <color theme="1"/>
        <rFont val="宋体"/>
        <charset val="134"/>
      </rPr>
      <t>另外，你可以使用一个动作，直到你的下一个回合开始，通过附魔硬币来看和听，就像你处于硬币的位置一样。在此期间，你本体的感官则等同于陷入耳聋以及目盲状态。</t>
    </r>
    <r>
      <rPr>
        <sz val="10"/>
        <color theme="1"/>
        <rFont val="Times New Roman"/>
        <charset val="134"/>
      </rPr>
      <t xml:space="preserve"> 
</t>
    </r>
    <r>
      <rPr>
        <sz val="10"/>
        <color theme="1"/>
        <rFont val="宋体"/>
        <charset val="134"/>
      </rPr>
      <t>硬币会持续附魔</t>
    </r>
    <r>
      <rPr>
        <sz val="10"/>
        <color theme="1"/>
        <rFont val="Times New Roman"/>
        <charset val="134"/>
      </rPr>
      <t xml:space="preserve"> 10 </t>
    </r>
    <r>
      <rPr>
        <sz val="10"/>
        <color theme="1"/>
        <rFont val="宋体"/>
        <charset val="134"/>
      </rPr>
      <t>分钟，或者直到你提前结束该效果（不需要动作）。你可以使用该特性的次数等于你的魅力调整值（至少</t>
    </r>
    <r>
      <rPr>
        <sz val="10"/>
        <color theme="1"/>
        <rFont val="Times New Roman"/>
        <charset val="134"/>
      </rPr>
      <t xml:space="preserve"> 1 </t>
    </r>
    <r>
      <rPr>
        <sz val="10"/>
        <color theme="1"/>
        <rFont val="宋体"/>
        <charset val="134"/>
      </rPr>
      <t>次）。完成一次长休后，你重获全部已消耗的使用次数。</t>
    </r>
  </si>
  <si>
    <t>引导神力：圣夜祈唤</t>
  </si>
  <si>
    <r>
      <rPr>
        <sz val="10"/>
        <color theme="1"/>
        <rFont val="宋体"/>
        <charset val="134"/>
      </rPr>
      <t>你可以引导神力，驾驭夜幕之力，将敌人的视野笼罩在黑暗之下。
以一个动作，你展示自己的圣徽，使你周围</t>
    </r>
    <r>
      <rPr>
        <sz val="10"/>
        <color theme="1"/>
        <rFont val="Times New Roman"/>
        <charset val="134"/>
      </rPr>
      <t>30</t>
    </r>
    <r>
      <rPr>
        <sz val="10"/>
        <color theme="1"/>
        <rFont val="宋体"/>
        <charset val="134"/>
      </rPr>
      <t>尺内的任何光源（不论是平庸光源还是魔法光源）熄灭。此外，任何身处你周围</t>
    </r>
    <r>
      <rPr>
        <sz val="10"/>
        <color theme="1"/>
        <rFont val="Times New Roman"/>
        <charset val="134"/>
      </rPr>
      <t>30</t>
    </r>
    <r>
      <rPr>
        <sz val="10"/>
        <color theme="1"/>
        <rFont val="宋体"/>
        <charset val="134"/>
      </rPr>
      <t>尺范围内的敌对生物都必须各通过一次体质豁免。豁免失败的生物将陷入</t>
    </r>
    <r>
      <rPr>
        <sz val="10"/>
        <color theme="1"/>
        <rFont val="Times New Roman"/>
        <charset val="134"/>
      </rPr>
      <t xml:space="preserve"> </t>
    </r>
    <r>
      <rPr>
        <sz val="10"/>
        <color theme="1"/>
        <rFont val="宋体"/>
        <charset val="134"/>
      </rPr>
      <t>目盲</t>
    </r>
    <r>
      <rPr>
        <sz val="10"/>
        <color theme="1"/>
        <rFont val="Times New Roman"/>
        <charset val="134"/>
      </rPr>
      <t xml:space="preserve">Blinded </t>
    </r>
    <r>
      <rPr>
        <sz val="10"/>
        <color theme="1"/>
        <rFont val="宋体"/>
        <charset val="134"/>
      </rPr>
      <t>，持续等同于你的牧师等级轮。因此目盲的生物可以在每个自己的回合结束时重新进行此豁免，直至豁免成功结束自己的目盲状态。对你而言处于</t>
    </r>
    <r>
      <rPr>
        <sz val="10"/>
        <color theme="1"/>
        <rFont val="Times New Roman"/>
        <charset val="134"/>
      </rPr>
      <t xml:space="preserve"> </t>
    </r>
    <r>
      <rPr>
        <sz val="10"/>
        <color theme="1"/>
        <rFont val="宋体"/>
        <charset val="134"/>
      </rPr>
      <t>全身掩护</t>
    </r>
    <r>
      <rPr>
        <sz val="10"/>
        <color theme="1"/>
        <rFont val="Times New Roman"/>
        <charset val="134"/>
      </rPr>
      <t xml:space="preserve">Total Cover </t>
    </r>
    <r>
      <rPr>
        <sz val="10"/>
        <color theme="1"/>
        <rFont val="宋体"/>
        <charset val="134"/>
      </rPr>
      <t>的生物不会受到此特性的影响。</t>
    </r>
  </si>
  <si>
    <t>恩护学徒</t>
  </si>
  <si>
    <r>
      <rPr>
        <sz val="10"/>
        <color theme="1"/>
        <rFont val="宋体"/>
        <charset val="134"/>
      </rPr>
      <t>你经年累月的学习使你提高了对自然的秩序和自愈能力的理解。你获得以下好处：</t>
    </r>
    <r>
      <rPr>
        <sz val="10"/>
        <color theme="1"/>
        <rFont val="Times New Roman"/>
        <charset val="134"/>
      </rPr>
      <t xml:space="preserve">
</t>
    </r>
    <r>
      <rPr>
        <sz val="10"/>
        <color theme="1"/>
        <rFont val="宋体"/>
        <charset val="134"/>
      </rPr>
      <t>节能施法</t>
    </r>
    <r>
      <rPr>
        <sz val="10"/>
        <color theme="1"/>
        <rFont val="Times New Roman"/>
        <charset val="134"/>
      </rPr>
      <t>Frugal Casting</t>
    </r>
    <r>
      <rPr>
        <sz val="10"/>
        <color theme="1"/>
        <rFont val="宋体"/>
        <charset val="134"/>
      </rPr>
      <t>。</t>
    </r>
    <r>
      <rPr>
        <sz val="10"/>
        <color theme="1"/>
        <rFont val="Times New Roman"/>
        <charset val="134"/>
      </rPr>
      <t xml:space="preserve"> </t>
    </r>
    <r>
      <rPr>
        <sz val="10"/>
        <color theme="1"/>
        <rFont val="宋体"/>
        <charset val="134"/>
      </rPr>
      <t>当你施展德鲁伊法术时，你可以使其无需材料成分，除非该材料会被消耗或具有价值。</t>
    </r>
    <r>
      <rPr>
        <sz val="10"/>
        <color theme="1"/>
        <rFont val="Times New Roman"/>
        <charset val="134"/>
      </rPr>
      <t xml:space="preserve">
</t>
    </r>
    <r>
      <rPr>
        <sz val="10"/>
        <color theme="1"/>
        <rFont val="宋体"/>
        <charset val="134"/>
      </rPr>
      <t>另外，当你施展一道消耗材料成分的德鲁伊法术时，有</t>
    </r>
    <r>
      <rPr>
        <sz val="10"/>
        <color theme="1"/>
        <rFont val="Times New Roman"/>
        <charset val="134"/>
      </rPr>
      <t>10%</t>
    </r>
    <r>
      <rPr>
        <sz val="10"/>
        <color theme="1"/>
        <rFont val="宋体"/>
        <charset val="134"/>
      </rPr>
      <t>的几率，其不被消耗。</t>
    </r>
    <r>
      <rPr>
        <sz val="10"/>
        <color theme="1"/>
        <rFont val="Times New Roman"/>
        <charset val="134"/>
      </rPr>
      <t xml:space="preserve">
</t>
    </r>
    <r>
      <rPr>
        <sz val="10"/>
        <color theme="1"/>
        <rFont val="宋体"/>
        <charset val="134"/>
      </rPr>
      <t>工具熟练项</t>
    </r>
    <r>
      <rPr>
        <sz val="10"/>
        <color theme="1"/>
        <rFont val="Times New Roman"/>
        <charset val="134"/>
      </rPr>
      <t>Tool Proficiency</t>
    </r>
    <r>
      <rPr>
        <sz val="10"/>
        <color theme="1"/>
        <rFont val="宋体"/>
        <charset val="134"/>
      </rPr>
      <t>。</t>
    </r>
    <r>
      <rPr>
        <sz val="10"/>
        <color theme="1"/>
        <rFont val="Times New Roman"/>
        <charset val="134"/>
      </rPr>
      <t xml:space="preserve"> </t>
    </r>
    <r>
      <rPr>
        <sz val="10"/>
        <color theme="1"/>
        <rFont val="宋体"/>
        <charset val="134"/>
      </rPr>
      <t>你获得一种你所选择的工匠工具的熟练项。</t>
    </r>
  </si>
  <si>
    <r>
      <rPr>
        <sz val="10"/>
        <color theme="1"/>
        <rFont val="宋体"/>
        <charset val="134"/>
      </rPr>
      <t>回收潜能</t>
    </r>
  </si>
  <si>
    <r>
      <rPr>
        <sz val="10"/>
        <color theme="1"/>
        <rFont val="宋体"/>
        <charset val="134"/>
      </rPr>
      <t>你习得了如何吸收被摧毁的回音身上的残余魔力。当你的回音因承受伤害而被摧毁，你可以因此获得相当于</t>
    </r>
    <r>
      <rPr>
        <sz val="10"/>
        <color theme="1"/>
        <rFont val="Times New Roman"/>
        <charset val="134"/>
      </rPr>
      <t xml:space="preserve"> 2d6+</t>
    </r>
    <r>
      <rPr>
        <sz val="10"/>
        <color theme="1"/>
        <rFont val="宋体"/>
        <charset val="134"/>
      </rPr>
      <t>你的体质调整值</t>
    </r>
    <r>
      <rPr>
        <sz val="10"/>
        <color theme="1"/>
        <rFont val="Times New Roman"/>
        <charset val="134"/>
      </rPr>
      <t xml:space="preserve"> </t>
    </r>
    <r>
      <rPr>
        <sz val="10"/>
        <color theme="1"/>
        <rFont val="宋体"/>
        <charset val="134"/>
      </rPr>
      <t>点的临时生命值。你必须不具有任何临时生命值才能受益于这一特性。
你能使用此特性的次数等同于你的体质调整值次（至少</t>
    </r>
    <r>
      <rPr>
        <sz val="10"/>
        <color theme="1"/>
        <rFont val="Times New Roman"/>
        <charset val="134"/>
      </rPr>
      <t>1</t>
    </r>
    <r>
      <rPr>
        <sz val="10"/>
        <color theme="1"/>
        <rFont val="宋体"/>
        <charset val="134"/>
      </rPr>
      <t>次）。在你完成一次长休后，你重获全部已消耗的使用次数。</t>
    </r>
  </si>
  <si>
    <t>智明之语</t>
  </si>
  <si>
    <t>当你选择该宗派时，你获得表演和游说技能的熟练。此外，每当你以基于魅力属性的技能进行属性检定时，你能够以感知调整值替代你的魅力调整值。</t>
  </si>
  <si>
    <t>破法之刃</t>
  </si>
  <si>
    <r>
      <rPr>
        <sz val="10"/>
        <color theme="1"/>
        <rFont val="宋体"/>
        <charset val="134"/>
      </rPr>
      <t>在你以护法打击命中一名生物后，作为该反应的一部分，你可以立即施展法术反制</t>
    </r>
    <r>
      <rPr>
        <sz val="10"/>
        <color theme="1"/>
        <rFont val="Times New Roman"/>
        <charset val="134"/>
      </rPr>
      <t>Counterspell</t>
    </r>
    <r>
      <rPr>
        <sz val="10"/>
        <color theme="1"/>
        <rFont val="宋体"/>
        <charset val="134"/>
      </rPr>
      <t>。</t>
    </r>
    <r>
      <rPr>
        <sz val="10"/>
        <color theme="1"/>
        <rFont val="Times New Roman"/>
        <charset val="134"/>
      </rPr>
      <t xml:space="preserve">
</t>
    </r>
    <r>
      <rPr>
        <sz val="10"/>
        <color theme="1"/>
        <rFont val="宋体"/>
        <charset val="134"/>
      </rPr>
      <t>当你以环位施展法术反制</t>
    </r>
    <r>
      <rPr>
        <sz val="10"/>
        <color theme="1"/>
        <rFont val="Times New Roman"/>
        <charset val="134"/>
      </rPr>
      <t>Counterspell</t>
    </r>
    <r>
      <rPr>
        <sz val="10"/>
        <color theme="1"/>
        <rFont val="宋体"/>
        <charset val="134"/>
      </rPr>
      <t>时，若该法术未能打断一道法术，你的环位不会被消耗。</t>
    </r>
  </si>
  <si>
    <t>灵界烛焰</t>
  </si>
  <si>
    <t>你学会使用粉蜡制作一根特殊的蜡烛。以一个附赠动作，你可以引燃蜡烛，蜡烛将持续燃烧1分钟。只要你持有正在燃烧的蜡烛，你获得以下好处：
你使用魔艺花费的烛心点消耗减少1点。
你免疫于火焰伤害。
灵类生物对你发动的攻击检定具有劣势。
若你在持有点燃的蜡烛时陷入倒地，你必须成功通过一个DC15的敏捷豁免，否则蜡烛将提前熄灭。
一旦你使用了此特性，你不能再次使用此特性直到你完成一次长休。</t>
  </si>
  <si>
    <t>凋零灵光</t>
  </si>
  <si>
    <r>
      <rPr>
        <sz val="10"/>
        <color theme="1"/>
        <rFont val="宋体"/>
        <charset val="134"/>
      </rPr>
      <t>当你激活先天术法时，亵渎者魔法将充满在你的身周。在你先天术法激活期间，以你为源的</t>
    </r>
    <r>
      <rPr>
        <sz val="10"/>
        <color theme="1"/>
        <rFont val="Times New Roman"/>
        <charset val="134"/>
      </rPr>
      <t>15</t>
    </r>
    <r>
      <rPr>
        <sz val="10"/>
        <color theme="1"/>
        <rFont val="宋体"/>
        <charset val="134"/>
      </rPr>
      <t>尺光环区域内将充盈着亵渎者魔法，为你提供以下增益：</t>
    </r>
    <r>
      <rPr>
        <sz val="10"/>
        <color theme="1"/>
        <rFont val="Times New Roman"/>
        <charset val="134"/>
      </rPr>
      <t xml:space="preserve"> 
</t>
    </r>
    <r>
      <rPr>
        <sz val="10"/>
        <color theme="1"/>
        <rFont val="宋体"/>
        <charset val="134"/>
      </rPr>
      <t>亵渎环绕</t>
    </r>
    <r>
      <rPr>
        <sz val="10"/>
        <color theme="1"/>
        <rFont val="Times New Roman"/>
        <charset val="134"/>
      </rPr>
      <t>Defiling Surround</t>
    </r>
    <r>
      <rPr>
        <sz val="10"/>
        <color theme="1"/>
        <rFont val="宋体"/>
        <charset val="134"/>
      </rPr>
      <t>。</t>
    </r>
    <r>
      <rPr>
        <sz val="10"/>
        <color theme="1"/>
        <rFont val="Times New Roman"/>
        <charset val="134"/>
      </rPr>
      <t xml:space="preserve"> </t>
    </r>
    <r>
      <rPr>
        <sz val="10"/>
        <color theme="1"/>
        <rFont val="宋体"/>
        <charset val="134"/>
      </rPr>
      <t>当身处灵光内的敌人以攻击检定命中你时，你可以减少其对你造成的伤害总和。减少量等同于你的魅力调整值。</t>
    </r>
    <r>
      <rPr>
        <sz val="10"/>
        <color theme="1"/>
        <rFont val="Times New Roman"/>
        <charset val="134"/>
      </rPr>
      <t xml:space="preserve"> 
</t>
    </r>
    <r>
      <rPr>
        <sz val="10"/>
        <color theme="1"/>
        <rFont val="宋体"/>
        <charset val="134"/>
      </rPr>
      <t>命髓虹吸</t>
    </r>
    <r>
      <rPr>
        <sz val="10"/>
        <color theme="1"/>
        <rFont val="Times New Roman"/>
        <charset val="134"/>
      </rPr>
      <t>Essence Siphon</t>
    </r>
    <r>
      <rPr>
        <sz val="10"/>
        <color theme="1"/>
        <rFont val="宋体"/>
        <charset val="134"/>
      </rPr>
      <t>。</t>
    </r>
    <r>
      <rPr>
        <sz val="10"/>
        <color theme="1"/>
        <rFont val="Times New Roman"/>
        <charset val="134"/>
      </rPr>
      <t xml:space="preserve"> </t>
    </r>
    <r>
      <rPr>
        <sz val="10"/>
        <color theme="1"/>
        <rFont val="宋体"/>
        <charset val="134"/>
      </rPr>
      <t>当有敌人死在灵光内时，你重获</t>
    </r>
    <r>
      <rPr>
        <sz val="10"/>
        <color theme="1"/>
        <rFont val="Times New Roman"/>
        <charset val="134"/>
      </rPr>
      <t>1d4</t>
    </r>
    <r>
      <rPr>
        <sz val="10"/>
        <color theme="1"/>
        <rFont val="宋体"/>
        <charset val="134"/>
      </rPr>
      <t>术法点。此增益一旦生效后，在你下次激活先天术法后才能再次生效。</t>
    </r>
    <r>
      <rPr>
        <sz val="10"/>
        <color theme="1"/>
        <rFont val="Times New Roman"/>
        <charset val="134"/>
      </rPr>
      <t xml:space="preserve"> </t>
    </r>
  </si>
  <si>
    <r>
      <rPr>
        <sz val="10"/>
        <color theme="1"/>
        <rFont val="宋体"/>
        <charset val="134"/>
      </rPr>
      <t>死疽躯壳</t>
    </r>
  </si>
  <si>
    <r>
      <rPr>
        <sz val="10"/>
        <color theme="1"/>
        <rFont val="宋体"/>
        <charset val="134"/>
      </rPr>
      <t>你与亡灵和黯蚀能量的联系现在充斥着你的身体。你对黯蚀伤害具有抗性。如果你使用战栗形态变身，你改为会对黯蚀伤害免疫。
此外，当你的生命值降低到</t>
    </r>
    <r>
      <rPr>
        <sz val="10"/>
        <color theme="1"/>
        <rFont val="Times New Roman"/>
        <charset val="134"/>
      </rPr>
      <t>0</t>
    </r>
    <r>
      <rPr>
        <sz val="10"/>
        <color theme="1"/>
        <rFont val="宋体"/>
        <charset val="134"/>
      </rPr>
      <t>时，你可以使用反应，改为将生命值降低到</t>
    </r>
    <r>
      <rPr>
        <sz val="10"/>
        <color theme="1"/>
        <rFont val="Times New Roman"/>
        <charset val="134"/>
      </rPr>
      <t>1</t>
    </r>
    <r>
      <rPr>
        <sz val="10"/>
        <color theme="1"/>
        <rFont val="宋体"/>
        <charset val="134"/>
      </rPr>
      <t>，并使你的身体爆发出死亡能量。你周围</t>
    </r>
    <r>
      <rPr>
        <sz val="10"/>
        <color theme="1"/>
        <rFont val="Times New Roman"/>
        <charset val="134"/>
      </rPr>
      <t>30</t>
    </r>
    <r>
      <rPr>
        <sz val="10"/>
        <color theme="1"/>
        <rFont val="宋体"/>
        <charset val="134"/>
      </rPr>
      <t>英尺内的每个你选择的生物都会受到相当于</t>
    </r>
    <r>
      <rPr>
        <sz val="10"/>
        <color theme="1"/>
        <rFont val="Times New Roman"/>
        <charset val="134"/>
      </rPr>
      <t>2d10+</t>
    </r>
    <r>
      <rPr>
        <sz val="10"/>
        <color theme="1"/>
        <rFont val="宋体"/>
        <charset val="134"/>
      </rPr>
      <t>你的邪术师等级的黯蚀伤害。你获得</t>
    </r>
    <r>
      <rPr>
        <sz val="10"/>
        <color theme="1"/>
        <rFont val="Times New Roman"/>
        <charset val="134"/>
      </rPr>
      <t>1</t>
    </r>
    <r>
      <rPr>
        <sz val="10"/>
        <color theme="1"/>
        <rFont val="宋体"/>
        <charset val="134"/>
      </rPr>
      <t>级的力竭。一旦你使用该反应，直到你完成</t>
    </r>
    <r>
      <rPr>
        <sz val="10"/>
        <color theme="1"/>
        <rFont val="Times New Roman"/>
        <charset val="134"/>
      </rPr>
      <t>1d4</t>
    </r>
    <r>
      <rPr>
        <sz val="10"/>
        <color theme="1"/>
        <rFont val="宋体"/>
        <charset val="134"/>
      </rPr>
      <t>次长休为止你不能再次使用。</t>
    </r>
  </si>
  <si>
    <t>巫咒之誓</t>
  </si>
  <si>
    <t>猛犸凶獠</t>
  </si>
  <si>
    <r>
      <rPr>
        <sz val="10"/>
        <color theme="1"/>
        <rFont val="宋体"/>
        <charset val="134"/>
      </rPr>
      <t>你能够以动作消耗</t>
    </r>
    <r>
      <rPr>
        <sz val="10"/>
        <color theme="1"/>
        <rFont val="Times New Roman"/>
        <charset val="134"/>
      </rPr>
      <t>3</t>
    </r>
    <r>
      <rPr>
        <sz val="10"/>
        <color theme="1"/>
        <rFont val="宋体"/>
        <charset val="134"/>
      </rPr>
      <t>点战技点，如同狂暴的猛犸般以势不可当的力量冲撞敌人。当你如此做时，你对</t>
    </r>
    <r>
      <rPr>
        <sz val="10"/>
        <color theme="1"/>
        <rFont val="Times New Roman"/>
        <charset val="134"/>
      </rPr>
      <t>5</t>
    </r>
    <r>
      <rPr>
        <sz val="10"/>
        <color theme="1"/>
        <rFont val="宋体"/>
        <charset val="134"/>
      </rPr>
      <t>尺内的一名生物发动一次近战武器攻击。命中则除正常攻击伤害外额外造成</t>
    </r>
    <r>
      <rPr>
        <sz val="10"/>
        <color theme="1"/>
        <rFont val="Times New Roman"/>
        <charset val="134"/>
      </rPr>
      <t>3d12</t>
    </r>
    <r>
      <rPr>
        <sz val="10"/>
        <color theme="1"/>
        <rFont val="宋体"/>
        <charset val="134"/>
      </rPr>
      <t>伤害，若该生物体型不超过巨型，你将其击退</t>
    </r>
    <r>
      <rPr>
        <sz val="10"/>
        <color theme="1"/>
        <rFont val="Times New Roman"/>
        <charset val="134"/>
      </rPr>
      <t>15</t>
    </r>
    <r>
      <rPr>
        <sz val="10"/>
        <color theme="1"/>
        <rFont val="宋体"/>
        <charset val="134"/>
      </rPr>
      <t>尺。</t>
    </r>
  </si>
  <si>
    <t>精明买家</t>
  </si>
  <si>
    <r>
      <rPr>
        <sz val="10"/>
        <color theme="1"/>
        <rFont val="宋体"/>
        <charset val="134"/>
      </rPr>
      <t>每当你施展一个消耗材料成分的法术、饮用药水或使用价值不超过</t>
    </r>
    <r>
      <rPr>
        <sz val="10"/>
        <color theme="1"/>
        <rFont val="Times New Roman"/>
        <charset val="134"/>
      </rPr>
      <t xml:space="preserve"> 500GP </t>
    </r>
    <r>
      <rPr>
        <sz val="10"/>
        <color theme="1"/>
        <rFont val="宋体"/>
        <charset val="134"/>
      </rPr>
      <t>的法术卷轴时，都有</t>
    </r>
    <r>
      <rPr>
        <sz val="10"/>
        <color theme="1"/>
        <rFont val="Times New Roman"/>
        <charset val="134"/>
      </rPr>
      <t xml:space="preserve"> 50% </t>
    </r>
    <r>
      <rPr>
        <sz val="10"/>
        <color theme="1"/>
        <rFont val="宋体"/>
        <charset val="134"/>
      </rPr>
      <t>的机会使该材料、药水或卷轴不会被消耗。此外，你可以使用一个附赠动作进行</t>
    </r>
    <r>
      <rPr>
        <sz val="10"/>
        <color theme="1"/>
        <rFont val="宋体"/>
        <charset val="134"/>
      </rPr>
      <t>“</t>
    </r>
    <r>
      <rPr>
        <sz val="10"/>
        <color theme="1"/>
        <rFont val="宋体"/>
        <charset val="134"/>
      </rPr>
      <t>使用物件</t>
    </r>
    <r>
      <rPr>
        <sz val="10"/>
        <color theme="1"/>
        <rFont val="宋体"/>
        <charset val="134"/>
      </rPr>
      <t>‘</t>
    </r>
    <r>
      <rPr>
        <sz val="10"/>
        <color theme="1"/>
        <rFont val="宋体"/>
        <charset val="134"/>
      </rPr>
      <t>动作或饮用药水。</t>
    </r>
  </si>
  <si>
    <t>精通御影</t>
  </si>
  <si>
    <r>
      <rPr>
        <sz val="10"/>
        <color theme="1"/>
        <rFont val="宋体"/>
        <charset val="134"/>
      </rPr>
      <t>即使攻击目标是另一个生物，只要是你周围</t>
    </r>
    <r>
      <rPr>
        <sz val="10"/>
        <color theme="1"/>
        <rFont val="Times New Roman"/>
        <charset val="134"/>
      </rPr>
      <t>30</t>
    </r>
    <r>
      <rPr>
        <sz val="10"/>
        <color theme="1"/>
        <rFont val="宋体"/>
        <charset val="134"/>
      </rPr>
      <t>尺范围内的攻击者发动的攻击，你也可以对该攻击者使用你的</t>
    </r>
    <r>
      <rPr>
        <sz val="10"/>
        <color theme="1"/>
        <rFont val="Times New Roman"/>
        <charset val="134"/>
      </rPr>
      <t xml:space="preserve"> </t>
    </r>
    <r>
      <rPr>
        <sz val="10"/>
        <color theme="1"/>
        <rFont val="宋体"/>
        <charset val="134"/>
      </rPr>
      <t>圣影庇护</t>
    </r>
    <r>
      <rPr>
        <sz val="10"/>
        <color theme="1"/>
        <rFont val="Times New Roman"/>
        <charset val="134"/>
      </rPr>
      <t xml:space="preserve">Ward of Shadows </t>
    </r>
    <r>
      <rPr>
        <sz val="10"/>
        <color theme="1"/>
        <rFont val="宋体"/>
        <charset val="134"/>
      </rPr>
      <t>反应。</t>
    </r>
  </si>
  <si>
    <t>强效恩护</t>
  </si>
  <si>
    <r>
      <rPr>
        <sz val="10"/>
        <color theme="1"/>
        <rFont val="宋体"/>
        <charset val="134"/>
      </rPr>
      <t>你的恩护之地特性在以下方面变得更加强大：</t>
    </r>
    <r>
      <rPr>
        <sz val="10"/>
        <color theme="1"/>
        <rFont val="Times New Roman"/>
        <charset val="134"/>
      </rPr>
      <t xml:space="preserve"> 
</t>
    </r>
    <r>
      <rPr>
        <sz val="10"/>
        <color theme="1"/>
        <rFont val="宋体"/>
        <charset val="134"/>
      </rPr>
      <t>守护者之韧</t>
    </r>
    <r>
      <rPr>
        <sz val="10"/>
        <color theme="1"/>
        <rFont val="Times New Roman"/>
        <charset val="134"/>
      </rPr>
      <t>Fortify Protectors</t>
    </r>
    <r>
      <rPr>
        <sz val="10"/>
        <color theme="1"/>
        <rFont val="宋体"/>
        <charset val="134"/>
      </rPr>
      <t>。</t>
    </r>
    <r>
      <rPr>
        <sz val="10"/>
        <color theme="1"/>
        <rFont val="Times New Roman"/>
        <charset val="134"/>
      </rPr>
      <t xml:space="preserve"> </t>
    </r>
    <r>
      <rPr>
        <sz val="10"/>
        <color theme="1"/>
        <rFont val="宋体"/>
        <charset val="134"/>
      </rPr>
      <t>当身处你的恩护之地所创造的立方区域内时，你和你的盟友在体质豁免时获得等同于你的感知调整值的加值（至少加</t>
    </r>
    <r>
      <rPr>
        <sz val="10"/>
        <color theme="1"/>
        <rFont val="Times New Roman"/>
        <charset val="134"/>
      </rPr>
      <t>1</t>
    </r>
    <r>
      <rPr>
        <sz val="10"/>
        <color theme="1"/>
        <rFont val="宋体"/>
        <charset val="134"/>
      </rPr>
      <t>）。</t>
    </r>
    <r>
      <rPr>
        <sz val="10"/>
        <color theme="1"/>
        <rFont val="Times New Roman"/>
        <charset val="134"/>
      </rPr>
      <t xml:space="preserve">
</t>
    </r>
    <r>
      <rPr>
        <sz val="10"/>
        <color theme="1"/>
        <rFont val="宋体"/>
        <charset val="134"/>
      </rPr>
      <t>圣域斥逐</t>
    </r>
    <r>
      <rPr>
        <sz val="10"/>
        <color theme="1"/>
        <rFont val="Times New Roman"/>
        <charset val="134"/>
      </rPr>
      <t>Reject Desecrators</t>
    </r>
    <r>
      <rPr>
        <sz val="10"/>
        <color theme="1"/>
        <rFont val="宋体"/>
        <charset val="134"/>
      </rPr>
      <t>。</t>
    </r>
    <r>
      <rPr>
        <sz val="10"/>
        <color theme="1"/>
        <rFont val="Times New Roman"/>
        <charset val="134"/>
      </rPr>
      <t xml:space="preserve"> </t>
    </r>
    <r>
      <rPr>
        <sz val="10"/>
        <color theme="1"/>
        <rFont val="宋体"/>
        <charset val="134"/>
      </rPr>
      <t>无论何时当你的恩护之地创造的立方区域进入生物空间、生物进入区域或在其内结束回合时，该名敌人都要进行对抗你的</t>
    </r>
    <r>
      <rPr>
        <sz val="10"/>
        <color theme="1"/>
        <rFont val="Times New Roman"/>
        <charset val="134"/>
      </rPr>
      <t>DC</t>
    </r>
    <r>
      <rPr>
        <sz val="10"/>
        <color theme="1"/>
        <rFont val="宋体"/>
        <charset val="134"/>
      </rPr>
      <t>的感知豁免。若豁免失败，该名敌人受到</t>
    </r>
    <r>
      <rPr>
        <sz val="10"/>
        <color theme="1"/>
        <rFont val="Times New Roman"/>
        <charset val="134"/>
      </rPr>
      <t>2d10</t>
    </r>
    <r>
      <rPr>
        <sz val="10"/>
        <color theme="1"/>
        <rFont val="宋体"/>
        <charset val="134"/>
      </rPr>
      <t>光耀伤害，并且因新生长的植被的阻碍导致其速度减半，直到自己的下回合结束。豁免成功则只受到一半的伤害。一名生物每回合仅需进行一次该豁免检定。</t>
    </r>
    <r>
      <rPr>
        <sz val="10"/>
        <color theme="1"/>
        <rFont val="Times New Roman"/>
        <charset val="134"/>
      </rPr>
      <t xml:space="preserve"> </t>
    </r>
  </si>
  <si>
    <r>
      <rPr>
        <sz val="10"/>
        <color theme="1"/>
        <rFont val="宋体"/>
        <charset val="134"/>
      </rPr>
      <t>一人成军</t>
    </r>
  </si>
  <si>
    <r>
      <rPr>
        <sz val="10"/>
        <color theme="1"/>
        <rFont val="宋体"/>
        <charset val="134"/>
      </rPr>
      <t>你现在可以使用</t>
    </r>
    <r>
      <rPr>
        <sz val="10"/>
        <color theme="1"/>
        <rFont val="Times New Roman"/>
        <charset val="134"/>
      </rPr>
      <t xml:space="preserve"> </t>
    </r>
    <r>
      <rPr>
        <sz val="10"/>
        <color theme="1"/>
        <rFont val="宋体"/>
        <charset val="134"/>
      </rPr>
      <t>回音显现</t>
    </r>
    <r>
      <rPr>
        <sz val="10"/>
        <color theme="1"/>
        <rFont val="Times New Roman"/>
        <charset val="134"/>
      </rPr>
      <t xml:space="preserve"> Manifest Echo </t>
    </r>
    <r>
      <rPr>
        <sz val="10"/>
        <color theme="1"/>
        <rFont val="宋体"/>
        <charset val="134"/>
      </rPr>
      <t>特性，以一个附赠动作一次性创造出两个回音。这些回音能够共存，不过如果你尝试创造更多回音，那么之前的两个回音就会被摧毁。你能自由的使用这些回音，在其中一个回音的位置上进行的所有事情都能替换为用另一个回音进行。
此外，当你投掷先攻时，如果你没有剩余的</t>
    </r>
    <r>
      <rPr>
        <sz val="10"/>
        <color theme="1"/>
        <rFont val="Times New Roman"/>
        <charset val="134"/>
      </rPr>
      <t xml:space="preserve"> </t>
    </r>
    <r>
      <rPr>
        <sz val="10"/>
        <color theme="1"/>
        <rFont val="宋体"/>
        <charset val="134"/>
      </rPr>
      <t>释放化身</t>
    </r>
    <r>
      <rPr>
        <sz val="10"/>
        <color theme="1"/>
        <rFont val="Times New Roman"/>
        <charset val="134"/>
      </rPr>
      <t xml:space="preserve"> Unleash Incarnation </t>
    </r>
    <r>
      <rPr>
        <sz val="10"/>
        <color theme="1"/>
        <rFont val="宋体"/>
        <charset val="134"/>
      </rPr>
      <t>特性使用次数，你将重获一次该特性的使用次数。</t>
    </r>
  </si>
  <si>
    <t>魅惑灵光</t>
  </si>
  <si>
    <r>
      <rPr>
        <sz val="10"/>
        <color theme="1"/>
        <rFont val="宋体"/>
        <charset val="134"/>
      </rPr>
      <t>此外，你能够使用你的气复制特定的法术效应。以一个动作，你能够消耗</t>
    </r>
    <r>
      <rPr>
        <sz val="10"/>
        <color theme="1"/>
        <rFont val="Times New Roman"/>
        <charset val="134"/>
      </rPr>
      <t>1</t>
    </r>
    <r>
      <rPr>
        <sz val="10"/>
        <color theme="1"/>
        <rFont val="宋体"/>
        <charset val="134"/>
      </rPr>
      <t>点气施展法术魅惑类人</t>
    </r>
    <r>
      <rPr>
        <sz val="10"/>
        <color theme="1"/>
        <rFont val="Times New Roman"/>
        <charset val="134"/>
      </rPr>
      <t>Charm Person</t>
    </r>
    <r>
      <rPr>
        <sz val="10"/>
        <color theme="1"/>
        <rFont val="宋体"/>
        <charset val="134"/>
      </rPr>
      <t>或命令术</t>
    </r>
    <r>
      <rPr>
        <sz val="10"/>
        <color theme="1"/>
        <rFont val="Times New Roman"/>
        <charset val="134"/>
      </rPr>
      <t>Command</t>
    </r>
    <r>
      <rPr>
        <sz val="10"/>
        <color theme="1"/>
        <rFont val="宋体"/>
        <charset val="134"/>
      </rPr>
      <t>，或消耗</t>
    </r>
    <r>
      <rPr>
        <sz val="10"/>
        <color theme="1"/>
        <rFont val="Times New Roman"/>
        <charset val="134"/>
      </rPr>
      <t>2</t>
    </r>
    <r>
      <rPr>
        <sz val="10"/>
        <color theme="1"/>
        <rFont val="宋体"/>
        <charset val="134"/>
      </rPr>
      <t>点气施展暗示术</t>
    </r>
    <r>
      <rPr>
        <sz val="10"/>
        <color theme="1"/>
        <rFont val="Times New Roman"/>
        <charset val="134"/>
      </rPr>
      <t>Suggestion</t>
    </r>
    <r>
      <rPr>
        <sz val="10"/>
        <color theme="1"/>
        <rFont val="宋体"/>
        <charset val="134"/>
      </rPr>
      <t>。</t>
    </r>
  </si>
  <si>
    <t>永恒护法</t>
  </si>
  <si>
    <r>
      <rPr>
        <sz val="10"/>
        <color theme="1"/>
        <rFont val="宋体"/>
        <charset val="134"/>
      </rPr>
      <t>你能以附赠动作强化你的守护灵光，赋予其以下增益，持续</t>
    </r>
    <r>
      <rPr>
        <sz val="10"/>
        <color theme="1"/>
        <rFont val="Times New Roman"/>
        <charset val="134"/>
      </rPr>
      <t>1</t>
    </r>
    <r>
      <rPr>
        <sz val="10"/>
        <color theme="1"/>
        <rFont val="宋体"/>
        <charset val="134"/>
      </rPr>
      <t>分钟或在你终止时提前结束（无需动作）。此特性一经使用，直至长休完成你都无法再次使用。你也可以消耗一个五环法术位（无需动作）重置此特性的使用权。</t>
    </r>
    <r>
      <rPr>
        <sz val="10"/>
        <color theme="1"/>
        <rFont val="Times New Roman"/>
        <charset val="134"/>
      </rPr>
      <t xml:space="preserve">
</t>
    </r>
    <r>
      <rPr>
        <sz val="10"/>
        <color theme="1"/>
        <rFont val="宋体"/>
        <charset val="134"/>
      </rPr>
      <t>贴身护卫</t>
    </r>
    <r>
      <rPr>
        <sz val="10"/>
        <color theme="1"/>
        <rFont val="Times New Roman"/>
        <charset val="134"/>
      </rPr>
      <t>Bodyguard</t>
    </r>
    <r>
      <rPr>
        <sz val="10"/>
        <color theme="1"/>
        <rFont val="宋体"/>
        <charset val="134"/>
      </rPr>
      <t>。若你庇护之链的目标身处该灵光内，该生物具有对所有伤害的抗性。</t>
    </r>
    <r>
      <rPr>
        <sz val="10"/>
        <color theme="1"/>
        <rFont val="Times New Roman"/>
        <charset val="134"/>
      </rPr>
      <t xml:space="preserve">
</t>
    </r>
    <r>
      <rPr>
        <sz val="10"/>
        <color theme="1"/>
        <rFont val="宋体"/>
        <charset val="134"/>
      </rPr>
      <t>魔法防护</t>
    </r>
    <r>
      <rPr>
        <sz val="10"/>
        <color theme="1"/>
        <rFont val="Times New Roman"/>
        <charset val="134"/>
      </rPr>
      <t>Protectiob from Magic</t>
    </r>
    <r>
      <rPr>
        <sz val="10"/>
        <color theme="1"/>
        <rFont val="宋体"/>
        <charset val="134"/>
      </rPr>
      <t>。</t>
    </r>
    <r>
      <rPr>
        <sz val="10"/>
        <color theme="1"/>
        <rFont val="Times New Roman"/>
        <charset val="134"/>
      </rPr>
      <t xml:space="preserve"> </t>
    </r>
    <r>
      <rPr>
        <sz val="10"/>
        <color theme="1"/>
        <rFont val="宋体"/>
        <charset val="134"/>
      </rPr>
      <t>你和你位于该灵光内的盟友为对抗法术进行的豁免检定具有优势。</t>
    </r>
    <r>
      <rPr>
        <sz val="10"/>
        <color theme="1"/>
        <rFont val="Times New Roman"/>
        <charset val="134"/>
      </rPr>
      <t xml:space="preserve">
</t>
    </r>
    <r>
      <rPr>
        <sz val="10"/>
        <color theme="1"/>
        <rFont val="宋体"/>
        <charset val="134"/>
      </rPr>
      <t>法术卫士</t>
    </r>
    <r>
      <rPr>
        <sz val="10"/>
        <color theme="1"/>
        <rFont val="Times New Roman"/>
        <charset val="134"/>
      </rPr>
      <t>Spell Ward</t>
    </r>
    <r>
      <rPr>
        <sz val="10"/>
        <color theme="1"/>
        <rFont val="宋体"/>
        <charset val="134"/>
      </rPr>
      <t>。</t>
    </r>
    <r>
      <rPr>
        <sz val="10"/>
        <color theme="1"/>
        <rFont val="Times New Roman"/>
        <charset val="134"/>
      </rPr>
      <t xml:space="preserve"> </t>
    </r>
    <r>
      <rPr>
        <sz val="10"/>
        <color theme="1"/>
        <rFont val="宋体"/>
        <charset val="134"/>
      </rPr>
      <t>对你和你位于该灵光内的盟友进行的法术攻击检定具有劣势。</t>
    </r>
  </si>
  <si>
    <t>降咒客</t>
  </si>
  <si>
    <r>
      <rPr>
        <sz val="10"/>
        <color theme="1"/>
        <rFont val="宋体"/>
        <charset val="134"/>
      </rPr>
      <t>当你通过偷袭特性对一个生物造成伤害时，你可以释放厄运伎俩</t>
    </r>
    <r>
      <rPr>
        <sz val="10"/>
        <color theme="1"/>
        <rFont val="Times New Roman"/>
        <charset val="134"/>
      </rPr>
      <t xml:space="preserve">Jinxcraft </t>
    </r>
    <r>
      <rPr>
        <sz val="10"/>
        <color theme="1"/>
        <rFont val="宋体"/>
        <charset val="134"/>
      </rPr>
      <t>的力量。当你掷偷袭骰时，在掷骰前指定其中两枚骰子（单独投掷这两枚骰子或者使用两枚颜色不同的骰子）。查阅降咒客厄运表，这两枚骰子的掷骰总和决定了你厄运伎俩的效果。该特性的可用次数等于你的魅力调整值，你在完成一次短休后恢复所有已消耗的次数。</t>
    </r>
    <r>
      <rPr>
        <sz val="10"/>
        <color theme="1"/>
        <rFont val="Times New Roman"/>
        <charset val="134"/>
      </rPr>
      <t xml:space="preserve">
</t>
    </r>
    <r>
      <rPr>
        <sz val="10"/>
        <color theme="1"/>
        <rFont val="宋体"/>
        <charset val="134"/>
      </rPr>
      <t>降咒客厄运</t>
    </r>
    <r>
      <rPr>
        <sz val="10"/>
        <color theme="1"/>
        <rFont val="Times New Roman"/>
        <charset val="134"/>
      </rPr>
      <t xml:space="preserve">Hex Slinger Jinxes
2D6	</t>
    </r>
    <r>
      <rPr>
        <sz val="10"/>
        <color theme="1"/>
        <rFont val="宋体"/>
        <charset val="134"/>
      </rPr>
      <t>厄运</t>
    </r>
    <r>
      <rPr>
        <sz val="10"/>
        <color theme="1"/>
        <rFont val="Times New Roman"/>
        <charset val="134"/>
      </rPr>
      <t xml:space="preserve">
2	</t>
    </r>
    <r>
      <rPr>
        <sz val="10"/>
        <color theme="1"/>
        <rFont val="宋体"/>
        <charset val="134"/>
      </rPr>
      <t>蛇眼</t>
    </r>
    <r>
      <rPr>
        <sz val="10"/>
        <color theme="1"/>
        <rFont val="Times New Roman"/>
        <charset val="134"/>
      </rPr>
      <t>Snake Eyes</t>
    </r>
    <r>
      <rPr>
        <sz val="10"/>
        <color theme="1"/>
        <rFont val="宋体"/>
        <charset val="134"/>
      </rPr>
      <t>。</t>
    </r>
    <r>
      <rPr>
        <sz val="10"/>
        <color theme="1"/>
        <rFont val="Times New Roman"/>
        <charset val="134"/>
      </rPr>
      <t xml:space="preserve"> </t>
    </r>
    <r>
      <rPr>
        <sz val="10"/>
        <color theme="1"/>
        <rFont val="宋体"/>
        <charset val="134"/>
      </rPr>
      <t>在目标的下个回合中，其只能执行以下选项之一：移动、执行一个动作或执行一个附赠动作。如果目标在下一回合中，将你或你的盟友作为一次攻击的目标，它受到</t>
    </r>
    <r>
      <rPr>
        <sz val="10"/>
        <color theme="1"/>
        <rFont val="Times New Roman"/>
        <charset val="134"/>
      </rPr>
      <t>2d6</t>
    </r>
    <r>
      <rPr>
        <sz val="10"/>
        <color theme="1"/>
        <rFont val="宋体"/>
        <charset val="134"/>
      </rPr>
      <t>心灵伤害。</t>
    </r>
    <r>
      <rPr>
        <sz val="10"/>
        <color theme="1"/>
        <rFont val="Times New Roman"/>
        <charset val="134"/>
      </rPr>
      <t xml:space="preserve">
3-4	</t>
    </r>
    <r>
      <rPr>
        <sz val="10"/>
        <color theme="1"/>
        <rFont val="宋体"/>
        <charset val="134"/>
      </rPr>
      <t>梦魇</t>
    </r>
    <r>
      <rPr>
        <sz val="10"/>
        <color theme="1"/>
        <rFont val="Times New Roman"/>
        <charset val="134"/>
      </rPr>
      <t>The Nightmare</t>
    </r>
    <r>
      <rPr>
        <sz val="10"/>
        <color theme="1"/>
        <rFont val="宋体"/>
        <charset val="134"/>
      </rPr>
      <t>。</t>
    </r>
    <r>
      <rPr>
        <sz val="10"/>
        <color theme="1"/>
        <rFont val="Times New Roman"/>
        <charset val="134"/>
      </rPr>
      <t xml:space="preserve"> </t>
    </r>
    <r>
      <rPr>
        <sz val="10"/>
        <color theme="1"/>
        <rFont val="宋体"/>
        <charset val="134"/>
      </rPr>
      <t>目标陷入恐慌状态，直到其下一回合结束。目标必须立刻使用一个反应来使用自己的全部速度远离你。</t>
    </r>
    <r>
      <rPr>
        <sz val="10"/>
        <color theme="1"/>
        <rFont val="Times New Roman"/>
        <charset val="134"/>
      </rPr>
      <t xml:space="preserve">
5-6	</t>
    </r>
    <r>
      <rPr>
        <sz val="10"/>
        <color theme="1"/>
        <rFont val="宋体"/>
        <charset val="134"/>
      </rPr>
      <t>酒瓶脱手</t>
    </r>
    <r>
      <rPr>
        <sz val="10"/>
        <color theme="1"/>
        <rFont val="Times New Roman"/>
        <charset val="134"/>
      </rPr>
      <t>Whiskey Bottle</t>
    </r>
    <r>
      <rPr>
        <sz val="10"/>
        <color theme="1"/>
        <rFont val="宋体"/>
        <charset val="134"/>
      </rPr>
      <t>。</t>
    </r>
    <r>
      <rPr>
        <sz val="10"/>
        <color theme="1"/>
        <rFont val="Times New Roman"/>
        <charset val="134"/>
      </rPr>
      <t xml:space="preserve"> </t>
    </r>
    <r>
      <rPr>
        <sz val="10"/>
        <color theme="1"/>
        <rFont val="宋体"/>
        <charset val="134"/>
      </rPr>
      <t>目标丢弃正在持握的任何事物。当目标拾起一个物品时，它必须成功通过一次</t>
    </r>
    <r>
      <rPr>
        <sz val="10"/>
        <color theme="1"/>
        <rFont val="Times New Roman"/>
        <charset val="134"/>
      </rPr>
      <t>DC15</t>
    </r>
    <r>
      <rPr>
        <sz val="10"/>
        <color theme="1"/>
        <rFont val="宋体"/>
        <charset val="134"/>
      </rPr>
      <t>的敏捷豁免，否则立刻将其丢弃，直到其下一回合结束。</t>
    </r>
    <r>
      <rPr>
        <sz val="10"/>
        <color theme="1"/>
        <rFont val="Times New Roman"/>
        <charset val="134"/>
      </rPr>
      <t xml:space="preserve">
7	</t>
    </r>
    <r>
      <rPr>
        <sz val="10"/>
        <color theme="1"/>
        <rFont val="宋体"/>
        <charset val="134"/>
      </rPr>
      <t>卑鄙一击</t>
    </r>
    <r>
      <rPr>
        <sz val="10"/>
        <color theme="1"/>
        <rFont val="Times New Roman"/>
        <charset val="134"/>
      </rPr>
      <t>Cheap Shot</t>
    </r>
    <r>
      <rPr>
        <sz val="10"/>
        <color theme="1"/>
        <rFont val="宋体"/>
        <charset val="134"/>
      </rPr>
      <t>。</t>
    </r>
    <r>
      <rPr>
        <sz val="10"/>
        <color theme="1"/>
        <rFont val="Times New Roman"/>
        <charset val="134"/>
      </rPr>
      <t xml:space="preserve"> </t>
    </r>
    <r>
      <rPr>
        <sz val="10"/>
        <color theme="1"/>
        <rFont val="宋体"/>
        <charset val="134"/>
      </rPr>
      <t>目标的速度减半，直到其下一回合结束。持续时间内，对目标发动的攻击检定具有优势。</t>
    </r>
    <r>
      <rPr>
        <sz val="10"/>
        <color theme="1"/>
        <rFont val="Times New Roman"/>
        <charset val="134"/>
      </rPr>
      <t xml:space="preserve">
8-9	</t>
    </r>
    <r>
      <rPr>
        <sz val="10"/>
        <color theme="1"/>
        <rFont val="宋体"/>
        <charset val="134"/>
      </rPr>
      <t>萎缩手臂</t>
    </r>
    <r>
      <rPr>
        <sz val="10"/>
        <color theme="1"/>
        <rFont val="Times New Roman"/>
        <charset val="134"/>
      </rPr>
      <t>Withered Arm</t>
    </r>
    <r>
      <rPr>
        <sz val="10"/>
        <color theme="1"/>
        <rFont val="宋体"/>
        <charset val="134"/>
      </rPr>
      <t>。</t>
    </r>
    <r>
      <rPr>
        <sz val="10"/>
        <color theme="1"/>
        <rFont val="Times New Roman"/>
        <charset val="134"/>
      </rPr>
      <t xml:space="preserve"> </t>
    </r>
    <r>
      <rPr>
        <sz val="10"/>
        <color theme="1"/>
        <rFont val="宋体"/>
        <charset val="134"/>
      </rPr>
      <t>目标在依赖力量属性的</t>
    </r>
    <r>
      <rPr>
        <sz val="10"/>
        <color theme="1"/>
        <rFont val="Times New Roman"/>
        <charset val="134"/>
      </rPr>
      <t>D20</t>
    </r>
    <r>
      <rPr>
        <sz val="10"/>
        <color theme="1"/>
        <rFont val="宋体"/>
        <charset val="134"/>
      </rPr>
      <t>检定中具有劣势，直到其下一回合结束。</t>
    </r>
    <r>
      <rPr>
        <sz val="10"/>
        <color theme="1"/>
        <rFont val="Times New Roman"/>
        <charset val="134"/>
      </rPr>
      <t xml:space="preserve">
10-11	</t>
    </r>
    <r>
      <rPr>
        <sz val="10"/>
        <color theme="1"/>
        <rFont val="宋体"/>
        <charset val="134"/>
      </rPr>
      <t>厄运连连</t>
    </r>
    <r>
      <rPr>
        <sz val="10"/>
        <color theme="1"/>
        <rFont val="Times New Roman"/>
        <charset val="134"/>
      </rPr>
      <t>Bad Luck</t>
    </r>
    <r>
      <rPr>
        <sz val="10"/>
        <color theme="1"/>
        <rFont val="宋体"/>
        <charset val="134"/>
      </rPr>
      <t>。目直到其下一回合结束前，目标在攻击检定和豁免检定中遭受</t>
    </r>
    <r>
      <rPr>
        <sz val="10"/>
        <color theme="1"/>
        <rFont val="Times New Roman"/>
        <charset val="134"/>
      </rPr>
      <t>1d6</t>
    </r>
    <r>
      <rPr>
        <sz val="10"/>
        <color theme="1"/>
        <rFont val="宋体"/>
        <charset val="134"/>
      </rPr>
      <t>减值。</t>
    </r>
    <r>
      <rPr>
        <sz val="10"/>
        <color theme="1"/>
        <rFont val="Times New Roman"/>
        <charset val="134"/>
      </rPr>
      <t xml:space="preserve">
12	</t>
    </r>
    <r>
      <rPr>
        <sz val="10"/>
        <color theme="1"/>
        <rFont val="宋体"/>
        <charset val="134"/>
      </rPr>
      <t>死神来了</t>
    </r>
    <r>
      <rPr>
        <sz val="10"/>
        <color theme="1"/>
        <rFont val="Times New Roman"/>
        <charset val="134"/>
      </rPr>
      <t>Dead Man</t>
    </r>
    <r>
      <rPr>
        <sz val="10"/>
        <color theme="1"/>
        <rFont val="宋体"/>
        <charset val="134"/>
      </rPr>
      <t>。</t>
    </r>
    <r>
      <rPr>
        <sz val="10"/>
        <color theme="1"/>
        <rFont val="Times New Roman"/>
        <charset val="134"/>
      </rPr>
      <t xml:space="preserve"> </t>
    </r>
    <r>
      <rPr>
        <sz val="10"/>
        <color theme="1"/>
        <rFont val="宋体"/>
        <charset val="134"/>
      </rPr>
      <t>如果你在自身下个回合结束前发动的下一次攻击检定未命中，改为命中。如果该攻击检定命中，该攻击自动造成重击。如果你在该攻击检定中掷出</t>
    </r>
    <r>
      <rPr>
        <sz val="10"/>
        <color theme="1"/>
        <rFont val="Times New Roman"/>
        <charset val="134"/>
      </rPr>
      <t>20</t>
    </r>
    <r>
      <rPr>
        <sz val="10"/>
        <color theme="1"/>
        <rFont val="宋体"/>
        <charset val="134"/>
      </rPr>
      <t>，该攻击掷</t>
    </r>
    <r>
      <rPr>
        <sz val="10"/>
        <color theme="1"/>
        <rFont val="Times New Roman"/>
        <charset val="134"/>
      </rPr>
      <t>3</t>
    </r>
    <r>
      <rPr>
        <sz val="10"/>
        <color theme="1"/>
        <rFont val="宋体"/>
        <charset val="134"/>
      </rPr>
      <t>次伤害骰而非</t>
    </r>
    <r>
      <rPr>
        <sz val="10"/>
        <color theme="1"/>
        <rFont val="Times New Roman"/>
        <charset val="134"/>
      </rPr>
      <t>2</t>
    </r>
    <r>
      <rPr>
        <sz val="10"/>
        <color theme="1"/>
        <rFont val="宋体"/>
        <charset val="134"/>
      </rPr>
      <t>次。</t>
    </r>
    <r>
      <rPr>
        <sz val="10"/>
        <color theme="1"/>
        <rFont val="Times New Roman"/>
        <charset val="134"/>
      </rPr>
      <t xml:space="preserve">
</t>
    </r>
  </si>
  <si>
    <t>卓越亵渎者</t>
  </si>
  <si>
    <r>
      <rPr>
        <sz val="10"/>
        <color theme="1"/>
        <rFont val="宋体"/>
        <charset val="134"/>
      </rPr>
      <t>你对自己操控亵渎魔法的能力已研至登峰造极，令你获得以下增益：</t>
    </r>
    <r>
      <rPr>
        <sz val="10"/>
        <color theme="1"/>
        <rFont val="Times New Roman"/>
        <charset val="134"/>
      </rPr>
      <t xml:space="preserve"> 
</t>
    </r>
    <r>
      <rPr>
        <sz val="10"/>
        <color theme="1"/>
        <rFont val="宋体"/>
        <charset val="134"/>
      </rPr>
      <t>朽彻灵魂</t>
    </r>
    <r>
      <rPr>
        <sz val="10"/>
        <color theme="1"/>
        <rFont val="Times New Roman"/>
        <charset val="134"/>
      </rPr>
      <t>Fouled Soul</t>
    </r>
    <r>
      <rPr>
        <sz val="10"/>
        <color theme="1"/>
        <rFont val="宋体"/>
        <charset val="134"/>
      </rPr>
      <t>。</t>
    </r>
    <r>
      <rPr>
        <sz val="10"/>
        <color theme="1"/>
        <rFont val="Times New Roman"/>
        <charset val="134"/>
      </rPr>
      <t xml:space="preserve"> </t>
    </r>
    <r>
      <rPr>
        <sz val="10"/>
        <color theme="1"/>
        <rFont val="宋体"/>
        <charset val="134"/>
      </rPr>
      <t>你免疫于中毒状态与力竭</t>
    </r>
    <r>
      <rPr>
        <sz val="10"/>
        <color theme="1"/>
        <rFont val="Times New Roman"/>
        <charset val="134"/>
      </rPr>
      <t xml:space="preserve"> </t>
    </r>
    <r>
      <rPr>
        <sz val="10"/>
        <color theme="1"/>
        <rFont val="宋体"/>
        <charset val="134"/>
      </rPr>
      <t>状态。</t>
    </r>
    <r>
      <rPr>
        <sz val="10"/>
        <color theme="1"/>
        <rFont val="Times New Roman"/>
        <charset val="134"/>
      </rPr>
      <t xml:space="preserve"> 
</t>
    </r>
    <r>
      <rPr>
        <sz val="10"/>
        <color theme="1"/>
        <rFont val="宋体"/>
        <charset val="134"/>
      </rPr>
      <t>至远亵渎</t>
    </r>
    <r>
      <rPr>
        <sz val="10"/>
        <color theme="1"/>
        <rFont val="Times New Roman"/>
        <charset val="134"/>
      </rPr>
      <t>Furthered Defilement</t>
    </r>
    <r>
      <rPr>
        <sz val="10"/>
        <color theme="1"/>
        <rFont val="宋体"/>
        <charset val="134"/>
      </rPr>
      <t>。</t>
    </r>
    <r>
      <rPr>
        <sz val="10"/>
        <color theme="1"/>
        <rFont val="Times New Roman"/>
        <charset val="134"/>
      </rPr>
      <t xml:space="preserve"> </t>
    </r>
    <r>
      <rPr>
        <sz val="10"/>
        <color theme="1"/>
        <rFont val="宋体"/>
        <charset val="134"/>
      </rPr>
      <t>你的凋零灵光光环半径扩大至</t>
    </r>
    <r>
      <rPr>
        <sz val="10"/>
        <color theme="1"/>
        <rFont val="Times New Roman"/>
        <charset val="134"/>
      </rPr>
      <t>30</t>
    </r>
    <r>
      <rPr>
        <sz val="10"/>
        <color theme="1"/>
        <rFont val="宋体"/>
        <charset val="134"/>
      </rPr>
      <t>尺。此外，处于你的灵光内的敌人无法重获其生命值。</t>
    </r>
    <r>
      <rPr>
        <sz val="10"/>
        <color theme="1"/>
        <rFont val="Times New Roman"/>
        <charset val="134"/>
      </rPr>
      <t xml:space="preserve"> </t>
    </r>
  </si>
  <si>
    <r>
      <rPr>
        <sz val="10"/>
        <color theme="1"/>
        <rFont val="宋体"/>
        <charset val="134"/>
      </rPr>
      <t>灵魂投射</t>
    </r>
  </si>
  <si>
    <r>
      <rPr>
        <sz val="10"/>
        <color theme="1"/>
        <rFont val="宋体"/>
        <charset val="134"/>
      </rPr>
      <t>你的灵魂能脱离你物理形态的约束。作为一个动作，你可以从你的身体投射出你的灵魂。你留下的身体会陷入昏迷，并处于人事不省状态。
你的灵魂与你的正常形态各个方面高度相似，复制你的游戏数据，但不包括你的携带物。任何对你的灵魂或物理身体造成的伤害或其他效果会传递到另一方。你的灵魂可以在你的身体之外停留长达</t>
    </r>
    <r>
      <rPr>
        <sz val="10"/>
        <color theme="1"/>
        <rFont val="Times New Roman"/>
        <charset val="134"/>
      </rPr>
      <t>1</t>
    </r>
    <r>
      <rPr>
        <sz val="10"/>
        <color theme="1"/>
        <rFont val="宋体"/>
        <charset val="134"/>
      </rPr>
      <t xml:space="preserve">小时，或者直到你的专注中断（如同专注于一个法术）。当你的投射结束时，你的灵魂会回到你的身体，或者你的身体会魔法地的传送到你灵魂所在的空间（由你选择）。
当投射你的灵魂时，你获得以下好处：
</t>
    </r>
    <r>
      <rPr>
        <sz val="10"/>
        <color theme="1"/>
        <rFont val="Times New Roman"/>
        <charset val="134"/>
      </rPr>
      <t xml:space="preserve">• </t>
    </r>
    <r>
      <rPr>
        <sz val="10"/>
        <color theme="1"/>
        <rFont val="宋体"/>
        <charset val="134"/>
      </rPr>
      <t xml:space="preserve">你的灵魂和身体获得对钝击、穿刺和挥砍伤害的抗性。
</t>
    </r>
    <r>
      <rPr>
        <sz val="10"/>
        <color theme="1"/>
        <rFont val="Times New Roman"/>
        <charset val="134"/>
      </rPr>
      <t xml:space="preserve">• </t>
    </r>
    <r>
      <rPr>
        <sz val="10"/>
        <color theme="1"/>
        <rFont val="宋体"/>
        <charset val="134"/>
      </rPr>
      <t xml:space="preserve">当你施放一个咒法学派或死灵学派的法术时，该法术不再需要语言、姿势或不消耗金币的材料成分。
</t>
    </r>
    <r>
      <rPr>
        <sz val="10"/>
        <color theme="1"/>
        <rFont val="Times New Roman"/>
        <charset val="134"/>
      </rPr>
      <t xml:space="preserve">• </t>
    </r>
    <r>
      <rPr>
        <sz val="10"/>
        <color theme="1"/>
        <rFont val="宋体"/>
        <charset val="134"/>
      </rPr>
      <t>你获得等于你步行速度的飞行速度，并且可以在空中悬浮。你可以如同穿过困难地形一般穿过生物和物体，但如果你在生物或物件内结束自己回合，你会受到</t>
    </r>
    <r>
      <rPr>
        <sz val="10"/>
        <color theme="1"/>
        <rFont val="Times New Roman"/>
        <charset val="134"/>
      </rPr>
      <t>1d10</t>
    </r>
    <r>
      <rPr>
        <sz val="10"/>
        <color theme="1"/>
        <rFont val="宋体"/>
        <charset val="134"/>
      </rPr>
      <t xml:space="preserve">的力场伤害。
</t>
    </r>
    <r>
      <rPr>
        <sz val="10"/>
        <color theme="1"/>
        <rFont val="Times New Roman"/>
        <charset val="134"/>
      </rPr>
      <t xml:space="preserve">• </t>
    </r>
    <r>
      <rPr>
        <sz val="10"/>
        <color theme="1"/>
        <rFont val="宋体"/>
        <charset val="134"/>
      </rPr>
      <t>当你使用战栗形态时，在你的每个回合中只有一次，当你对一个生物造成黯蚀伤害时，你会恢复相当于黯蚀伤害量一半的生命值。
一旦你使用了这个特性，直到你完成了一次长休为止你无法再次使用它。</t>
    </r>
  </si>
  <si>
    <t>远洋之誓</t>
  </si>
  <si>
    <t>腐肉飨宴</t>
  </si>
  <si>
    <r>
      <rPr>
        <sz val="10"/>
        <color theme="1"/>
        <rFont val="宋体"/>
        <charset val="134"/>
      </rPr>
      <t>你能够以一个动作消耗</t>
    </r>
    <r>
      <rPr>
        <sz val="10"/>
        <color theme="1"/>
        <rFont val="Times New Roman"/>
        <charset val="134"/>
      </rPr>
      <t>4</t>
    </r>
    <r>
      <rPr>
        <sz val="10"/>
        <color theme="1"/>
        <rFont val="宋体"/>
        <charset val="134"/>
      </rPr>
      <t>点战技点噬咬敌人垂死之命。当你使用此战技时，发动一次近战武器攻击。命中时此次攻击额外造成</t>
    </r>
    <r>
      <rPr>
        <sz val="10"/>
        <color theme="1"/>
        <rFont val="Times New Roman"/>
        <charset val="134"/>
      </rPr>
      <t>5d6</t>
    </r>
    <r>
      <rPr>
        <sz val="10"/>
        <color theme="1"/>
        <rFont val="宋体"/>
        <charset val="134"/>
      </rPr>
      <t>暗蚀伤害，且你获得等于暗蚀伤害值的临时生命值。</t>
    </r>
  </si>
  <si>
    <t>舞动之影</t>
  </si>
  <si>
    <r>
      <rPr>
        <sz val="10"/>
        <color theme="1"/>
        <rFont val="宋体"/>
        <charset val="134"/>
      </rPr>
      <t>当你加入暗影学院时，你获得编织阴影之袋的能力。
以一个附赠动作，你可以消耗一枚诗人激励骰，以你为中心，创造一个由不断舞动的阴影组成的半径</t>
    </r>
    <r>
      <rPr>
        <sz val="10"/>
        <color theme="1"/>
        <rFont val="Times New Roman"/>
        <charset val="134"/>
      </rPr>
      <t>20</t>
    </r>
    <r>
      <rPr>
        <sz val="10"/>
        <color theme="1"/>
        <rFont val="宋体"/>
        <charset val="134"/>
      </rPr>
      <t>尺的球状区域。区域随你移动，且会绕过转角，区域持续</t>
    </r>
    <r>
      <rPr>
        <sz val="10"/>
        <color theme="1"/>
        <rFont val="Times New Roman"/>
        <charset val="134"/>
      </rPr>
      <t>1</t>
    </r>
    <r>
      <rPr>
        <sz val="10"/>
        <color theme="1"/>
        <rFont val="宋体"/>
        <charset val="134"/>
      </rPr>
      <t>分钟或在你失能或死亡时提前结束。
球状区域内的盟友生物（包括你）具有半身掩护，且区域外的生物为感知区域内的任何事物所进行的感知（察觉）检定具有劣势。黑暗视觉无法忽视该效应。不依赖视觉感知的生物忽视该效应。
若该区域与任何二环或更低环阶法术创造的光照区域重叠，则这些造光的法术将被解除。</t>
    </r>
  </si>
  <si>
    <t>幻梦之纱</t>
  </si>
  <si>
    <r>
      <rPr>
        <sz val="10"/>
        <color theme="1"/>
        <rFont val="宋体"/>
        <charset val="134"/>
      </rPr>
      <t>你完全精通了魔法睡眠的技艺。当你施展法术</t>
    </r>
    <r>
      <rPr>
        <sz val="10"/>
        <color theme="1"/>
        <rFont val="Times New Roman"/>
        <charset val="134"/>
      </rPr>
      <t xml:space="preserve"> </t>
    </r>
    <r>
      <rPr>
        <sz val="10"/>
        <color theme="1"/>
        <rFont val="宋体"/>
        <charset val="134"/>
      </rPr>
      <t>睡眠术</t>
    </r>
    <r>
      <rPr>
        <sz val="10"/>
        <color theme="1"/>
        <rFont val="Times New Roman"/>
        <charset val="134"/>
      </rPr>
      <t xml:space="preserve">Sleep </t>
    </r>
    <r>
      <rPr>
        <sz val="10"/>
        <color theme="1"/>
        <rFont val="宋体"/>
        <charset val="134"/>
      </rPr>
      <t>时，决定该法术能影响多少点生命值的生物的那次掷骰中，你可以加入你的牧师等级作为加值。
此外，你可以自由决定法术范围内生物受到该法术影响的顺序。如果由你选择的某个生物其的生命值过高，无法被法术影响，那么该法术将略过它，尝试去影响顺序内下一个生物，依此类推。
不仅如此，任何陷入睡眠的生物还将无法被唤醒，持续直到你下一回合开始。
除上述变化之外，法术</t>
    </r>
    <r>
      <rPr>
        <sz val="10"/>
        <color theme="1"/>
        <rFont val="Times New Roman"/>
        <charset val="134"/>
      </rPr>
      <t xml:space="preserve"> </t>
    </r>
    <r>
      <rPr>
        <sz val="10"/>
        <color theme="1"/>
        <rFont val="宋体"/>
        <charset val="134"/>
      </rPr>
      <t>睡眠术</t>
    </r>
    <r>
      <rPr>
        <sz val="10"/>
        <color theme="1"/>
        <rFont val="Times New Roman"/>
        <charset val="134"/>
      </rPr>
      <t xml:space="preserve">Sleep </t>
    </r>
    <r>
      <rPr>
        <sz val="10"/>
        <color theme="1"/>
        <rFont val="宋体"/>
        <charset val="134"/>
      </rPr>
      <t>的效应与原本相同。</t>
    </r>
  </si>
  <si>
    <t>便捷复原</t>
  </si>
  <si>
    <r>
      <rPr>
        <sz val="10"/>
        <color theme="1"/>
        <rFont val="宋体"/>
        <charset val="134"/>
      </rPr>
      <t>你可以无需法术位和任何法术成分地施展次等复原术</t>
    </r>
    <r>
      <rPr>
        <sz val="10"/>
        <color theme="1"/>
        <rFont val="Times New Roman"/>
        <charset val="134"/>
      </rPr>
      <t>Lesser Restoration</t>
    </r>
    <r>
      <rPr>
        <sz val="10"/>
        <color theme="1"/>
        <rFont val="宋体"/>
        <charset val="134"/>
      </rPr>
      <t>与高等复原术</t>
    </r>
    <r>
      <rPr>
        <sz val="10"/>
        <color theme="1"/>
        <rFont val="Times New Roman"/>
        <charset val="134"/>
      </rPr>
      <t>Greater Restoration</t>
    </r>
    <r>
      <rPr>
        <sz val="10"/>
        <color theme="1"/>
        <rFont val="宋体"/>
        <charset val="134"/>
      </rPr>
      <t>。你可以使用此特性来施展法术的次数等同于你的感知调整值（至少为</t>
    </r>
    <r>
      <rPr>
        <sz val="10"/>
        <color theme="1"/>
        <rFont val="Times New Roman"/>
        <charset val="134"/>
      </rPr>
      <t>1</t>
    </r>
    <r>
      <rPr>
        <sz val="10"/>
        <color theme="1"/>
        <rFont val="宋体"/>
        <charset val="134"/>
      </rPr>
      <t>次），并且你在长休后回复所有的使用次数。</t>
    </r>
    <r>
      <rPr>
        <sz val="10"/>
        <color theme="1"/>
        <rFont val="Times New Roman"/>
        <charset val="134"/>
      </rPr>
      <t xml:space="preserve"> </t>
    </r>
  </si>
  <si>
    <t>领袖修行</t>
  </si>
  <si>
    <t>你获得历史和游说技能的专精。</t>
  </si>
  <si>
    <t>正道打击</t>
  </si>
  <si>
    <r>
      <rPr>
        <sz val="10"/>
        <color theme="1"/>
        <rFont val="Times New Roman"/>
        <charset val="134"/>
      </rPr>
      <t>6</t>
    </r>
    <r>
      <rPr>
        <sz val="10"/>
        <color theme="1"/>
        <rFont val="宋体"/>
        <charset val="134"/>
      </rPr>
      <t>级起，当你以徒手打击命中一名目标时，你能够消耗</t>
    </r>
    <r>
      <rPr>
        <sz val="10"/>
        <color theme="1"/>
        <rFont val="Times New Roman"/>
        <charset val="134"/>
      </rPr>
      <t>1</t>
    </r>
    <r>
      <rPr>
        <sz val="10"/>
        <color theme="1"/>
        <rFont val="宋体"/>
        <charset val="134"/>
      </rPr>
      <t>点气使攻击造成光耀（若你属于善良或中立阵营）或暗蚀（若你属于邪恶阵营）伤害，伤害值等于你的熟练加值。你每回合仅可使用一次此特性。</t>
    </r>
  </si>
  <si>
    <t>厄艺傍身</t>
  </si>
  <si>
    <r>
      <rPr>
        <sz val="10"/>
        <color theme="1"/>
        <rFont val="宋体"/>
        <charset val="134"/>
      </rPr>
      <t>你学会了名为厄运伎俩的秘密技艺——从黑暗契约和罪恶交易中汲取魔法力量。你获得以下增益。</t>
    </r>
    <r>
      <rPr>
        <sz val="10"/>
        <color theme="1"/>
        <rFont val="Times New Roman"/>
        <charset val="134"/>
      </rPr>
      <t xml:space="preserve">
</t>
    </r>
    <r>
      <rPr>
        <sz val="10"/>
        <color theme="1"/>
        <rFont val="宋体"/>
        <charset val="134"/>
      </rPr>
      <t>牌骰双绝</t>
    </r>
    <r>
      <rPr>
        <sz val="10"/>
        <color theme="1"/>
        <rFont val="Times New Roman"/>
        <charset val="134"/>
      </rPr>
      <t>Cards and Bones</t>
    </r>
    <r>
      <rPr>
        <sz val="10"/>
        <color theme="1"/>
        <rFont val="宋体"/>
        <charset val="134"/>
      </rPr>
      <t>。</t>
    </r>
    <r>
      <rPr>
        <sz val="10"/>
        <color theme="1"/>
        <rFont val="Times New Roman"/>
        <charset val="134"/>
      </rPr>
      <t xml:space="preserve"> </t>
    </r>
    <r>
      <rPr>
        <sz val="10"/>
        <color theme="1"/>
        <rFont val="宋体"/>
        <charset val="134"/>
      </rPr>
      <t>你获得两种你选择的赌具的熟练项（建议选择纸牌和骰子）。</t>
    </r>
    <r>
      <rPr>
        <sz val="10"/>
        <color theme="1"/>
        <rFont val="Times New Roman"/>
        <charset val="134"/>
      </rPr>
      <t xml:space="preserve">
</t>
    </r>
    <r>
      <rPr>
        <sz val="10"/>
        <color theme="1"/>
        <rFont val="宋体"/>
        <charset val="134"/>
      </rPr>
      <t>厄运武器</t>
    </r>
    <r>
      <rPr>
        <sz val="10"/>
        <color theme="1"/>
        <rFont val="Times New Roman"/>
        <charset val="134"/>
      </rPr>
      <t>Jinx Weapon</t>
    </r>
    <r>
      <rPr>
        <sz val="10"/>
        <color theme="1"/>
        <rFont val="宋体"/>
        <charset val="134"/>
      </rPr>
      <t>。</t>
    </r>
    <r>
      <rPr>
        <sz val="10"/>
        <color theme="1"/>
        <rFont val="Times New Roman"/>
        <charset val="134"/>
      </rPr>
      <t xml:space="preserve"> </t>
    </r>
    <r>
      <rPr>
        <sz val="10"/>
        <color theme="1"/>
        <rFont val="宋体"/>
        <charset val="134"/>
      </rPr>
      <t>通过使用一套赌具进行</t>
    </r>
    <r>
      <rPr>
        <sz val="10"/>
        <color theme="1"/>
        <rFont val="Times New Roman"/>
        <charset val="134"/>
      </rPr>
      <t>1</t>
    </r>
    <r>
      <rPr>
        <sz val="10"/>
        <color theme="1"/>
        <rFont val="宋体"/>
        <charset val="134"/>
      </rPr>
      <t>小时的仪式，你通过魔法制作一件能够引导你的厄运伎俩的武器。该武器使用手铳或赌具的外观（均使用手铳</t>
    </r>
    <r>
      <rPr>
        <sz val="10"/>
        <color theme="1"/>
        <rFont val="Times New Roman"/>
        <charset val="134"/>
      </rPr>
      <t>Pistol</t>
    </r>
    <r>
      <rPr>
        <sz val="10"/>
        <color theme="1"/>
        <rFont val="宋体"/>
        <charset val="134"/>
      </rPr>
      <t>的数据），对你而言，厄运武器无视装填词条，可以自行创造造成力场伤害的弹药。在赌具形态下，你可以投掷卡牌、骰子或其他赌具，也可以通过它们施展诅咒魔法。此外，你也可以将厄运伎俩注入一件你具有熟练项的简易武器或军用武器，将其变为你的厄运武器。受影响的厄运武器造成力场伤害而不是通常的伤害类型。如果你制作第二件厄运武器，第一件诅咒武器消失或失去上面的厄运伎俩效果。</t>
    </r>
    <r>
      <rPr>
        <sz val="10"/>
        <color theme="1"/>
        <rFont val="Times New Roman"/>
        <charset val="134"/>
      </rPr>
      <t xml:space="preserve">
</t>
    </r>
    <r>
      <rPr>
        <sz val="10"/>
        <color theme="1"/>
        <rFont val="宋体"/>
        <charset val="134"/>
      </rPr>
      <t>魔术把戏</t>
    </r>
    <r>
      <rPr>
        <sz val="10"/>
        <color theme="1"/>
        <rFont val="Times New Roman"/>
        <charset val="134"/>
      </rPr>
      <t>Parlor Trick</t>
    </r>
    <r>
      <rPr>
        <sz val="10"/>
        <color theme="1"/>
        <rFont val="宋体"/>
        <charset val="134"/>
      </rPr>
      <t>。你选择并习得以下戏法之一：舞光术</t>
    </r>
    <r>
      <rPr>
        <sz val="10"/>
        <color theme="1"/>
        <rFont val="Times New Roman"/>
        <charset val="134"/>
      </rPr>
      <t>Dancing Lights</t>
    </r>
    <r>
      <rPr>
        <sz val="10"/>
        <color theme="1"/>
        <rFont val="宋体"/>
        <charset val="134"/>
      </rPr>
      <t>，法师之手</t>
    </r>
    <r>
      <rPr>
        <sz val="10"/>
        <color theme="1"/>
        <rFont val="Times New Roman"/>
        <charset val="134"/>
      </rPr>
      <t>Mage Hand</t>
    </r>
    <r>
      <rPr>
        <sz val="10"/>
        <color theme="1"/>
        <rFont val="宋体"/>
        <charset val="134"/>
      </rPr>
      <t>，次级幻象</t>
    </r>
    <r>
      <rPr>
        <sz val="10"/>
        <color theme="1"/>
        <rFont val="Times New Roman"/>
        <charset val="134"/>
      </rPr>
      <t>Minor Illusion</t>
    </r>
    <r>
      <rPr>
        <sz val="10"/>
        <color theme="1"/>
        <rFont val="宋体"/>
        <charset val="134"/>
      </rPr>
      <t>，莫测仪容</t>
    </r>
    <r>
      <rPr>
        <sz val="10"/>
        <color theme="1"/>
        <rFont val="Times New Roman"/>
        <charset val="134"/>
      </rPr>
      <t>Mysterious Presence*</t>
    </r>
    <r>
      <rPr>
        <sz val="10"/>
        <color theme="1"/>
        <rFont val="宋体"/>
        <charset val="134"/>
      </rPr>
      <t>或魔法伎俩</t>
    </r>
    <r>
      <rPr>
        <sz val="10"/>
        <color theme="1"/>
        <rFont val="Times New Roman"/>
        <charset val="134"/>
      </rPr>
      <t xml:space="preserve">Prestidigitation </t>
    </r>
    <r>
      <rPr>
        <sz val="10"/>
        <color theme="1"/>
        <rFont val="宋体"/>
        <charset val="134"/>
      </rPr>
      <t>。该戏法的施法属性为魅力。</t>
    </r>
  </si>
  <si>
    <r>
      <rPr>
        <sz val="10"/>
        <color theme="1"/>
        <rFont val="宋体"/>
        <charset val="134"/>
      </rPr>
      <t>猫咪法术</t>
    </r>
  </si>
  <si>
    <r>
      <rPr>
        <sz val="10"/>
        <color theme="1"/>
        <rFont val="宋体"/>
        <charset val="134"/>
      </rPr>
      <t>宗主赐予的魔法使你始终准备了特定的法术。当你到达猫咪法术</t>
    </r>
    <r>
      <rPr>
        <sz val="10"/>
        <color theme="1"/>
        <rFont val="Times New Roman"/>
        <charset val="134"/>
      </rPr>
      <t xml:space="preserve"> </t>
    </r>
    <r>
      <rPr>
        <sz val="10"/>
        <color theme="1"/>
        <rFont val="宋体"/>
        <charset val="134"/>
      </rPr>
      <t>表中特定的魔契师等级时，你就始终准备了表中对应的法术。
猫咪法术</t>
    </r>
    <r>
      <rPr>
        <sz val="10"/>
        <color theme="1"/>
        <rFont val="Times New Roman"/>
        <charset val="134"/>
      </rPr>
      <t xml:space="preserve">Feline Spells 
</t>
    </r>
    <r>
      <rPr>
        <sz val="10"/>
        <color theme="1"/>
        <rFont val="宋体"/>
        <charset val="134"/>
      </rPr>
      <t>魔契师等级</t>
    </r>
    <r>
      <rPr>
        <sz val="10"/>
        <color theme="1"/>
        <rFont val="Times New Roman"/>
        <charset val="134"/>
      </rPr>
      <t xml:space="preserve"> </t>
    </r>
    <r>
      <rPr>
        <sz val="10"/>
        <color theme="1"/>
        <rFont val="宋体"/>
        <charset val="134"/>
      </rPr>
      <t xml:space="preserve">法术
</t>
    </r>
    <r>
      <rPr>
        <sz val="10"/>
        <color theme="1"/>
        <rFont val="Times New Roman"/>
        <charset val="134"/>
      </rPr>
      <t xml:space="preserve">3 </t>
    </r>
    <r>
      <rPr>
        <sz val="10"/>
        <color theme="1"/>
        <rFont val="宋体"/>
        <charset val="134"/>
      </rPr>
      <t>猫之跃动</t>
    </r>
    <r>
      <rPr>
        <sz val="10"/>
        <color theme="1"/>
        <rFont val="Times New Roman"/>
        <charset val="134"/>
      </rPr>
      <t>Cat's Spring*</t>
    </r>
    <r>
      <rPr>
        <sz val="10"/>
        <color theme="1"/>
        <rFont val="宋体"/>
        <charset val="134"/>
      </rPr>
      <t>，化兽为友</t>
    </r>
    <r>
      <rPr>
        <sz val="10"/>
        <color theme="1"/>
        <rFont val="Times New Roman"/>
        <charset val="134"/>
      </rPr>
      <t>Animal Friendship</t>
    </r>
    <r>
      <rPr>
        <sz val="10"/>
        <color theme="1"/>
        <rFont val="宋体"/>
        <charset val="134"/>
      </rPr>
      <t>，羽落术</t>
    </r>
    <r>
      <rPr>
        <sz val="10"/>
        <color theme="1"/>
        <rFont val="Times New Roman"/>
        <charset val="134"/>
      </rPr>
      <t>Feather Fall</t>
    </r>
    <r>
      <rPr>
        <sz val="10"/>
        <color theme="1"/>
        <rFont val="宋体"/>
        <charset val="134"/>
      </rPr>
      <t>，动物交谈</t>
    </r>
    <r>
      <rPr>
        <sz val="10"/>
        <color theme="1"/>
        <rFont val="Times New Roman"/>
        <charset val="134"/>
      </rPr>
      <t xml:space="preserve"> Speak with Animals</t>
    </r>
    <r>
      <rPr>
        <sz val="10"/>
        <color theme="1"/>
        <rFont val="宋体"/>
        <charset val="134"/>
      </rPr>
      <t>，猫之优雅</t>
    </r>
    <r>
      <rPr>
        <sz val="10"/>
        <color theme="1"/>
        <rFont val="Times New Roman"/>
        <charset val="134"/>
      </rPr>
      <t>Feline Grace*</t>
    </r>
    <r>
      <rPr>
        <sz val="10"/>
        <color theme="1"/>
        <rFont val="宋体"/>
        <charset val="134"/>
      </rPr>
      <t>，迷踪步</t>
    </r>
    <r>
      <rPr>
        <sz val="10"/>
        <color theme="1"/>
        <rFont val="Times New Roman"/>
        <charset val="134"/>
      </rPr>
      <t xml:space="preserve">Misty Step
5 </t>
    </r>
    <r>
      <rPr>
        <sz val="10"/>
        <color theme="1"/>
        <rFont val="宋体"/>
        <charset val="134"/>
      </rPr>
      <t>加速术</t>
    </r>
    <r>
      <rPr>
        <sz val="10"/>
        <color theme="1"/>
        <rFont val="Times New Roman"/>
        <charset val="134"/>
      </rPr>
      <t>Haste</t>
    </r>
    <r>
      <rPr>
        <sz val="10"/>
        <color theme="1"/>
        <rFont val="宋体"/>
        <charset val="134"/>
      </rPr>
      <t>，幻影之豹</t>
    </r>
    <r>
      <rPr>
        <sz val="10"/>
        <color theme="1"/>
        <rFont val="Times New Roman"/>
        <charset val="134"/>
      </rPr>
      <t xml:space="preserve">Phantom Panther*
7 </t>
    </r>
    <r>
      <rPr>
        <sz val="10"/>
        <color theme="1"/>
        <rFont val="宋体"/>
        <charset val="134"/>
      </rPr>
      <t>行动自如</t>
    </r>
    <r>
      <rPr>
        <sz val="10"/>
        <color theme="1"/>
        <rFont val="Times New Roman"/>
        <charset val="134"/>
      </rPr>
      <t>Freedom of Movement</t>
    </r>
    <r>
      <rPr>
        <sz val="10"/>
        <color theme="1"/>
        <rFont val="宋体"/>
        <charset val="134"/>
      </rPr>
      <t>，任意门</t>
    </r>
    <r>
      <rPr>
        <sz val="10"/>
        <color theme="1"/>
        <rFont val="Times New Roman"/>
        <charset val="134"/>
      </rPr>
      <t xml:space="preserve">Dimension Door
9 </t>
    </r>
    <r>
      <rPr>
        <sz val="10"/>
        <color theme="1"/>
        <rFont val="宋体"/>
        <charset val="134"/>
      </rPr>
      <t>猫猫大混乱</t>
    </r>
    <r>
      <rPr>
        <sz val="10"/>
        <color theme="1"/>
        <rFont val="Times New Roman"/>
        <charset val="134"/>
      </rPr>
      <t>Feline Chaos*</t>
    </r>
    <r>
      <rPr>
        <sz val="10"/>
        <color theme="1"/>
        <rFont val="宋体"/>
        <charset val="134"/>
      </rPr>
      <t>，心灵遥控</t>
    </r>
    <r>
      <rPr>
        <sz val="10"/>
        <color theme="1"/>
        <rFont val="Times New Roman"/>
        <charset val="134"/>
      </rPr>
      <t xml:space="preserve">Telekinesis </t>
    </r>
  </si>
  <si>
    <t>狂欢之誓</t>
  </si>
  <si>
    <r>
      <rPr>
        <sz val="10"/>
        <color theme="1"/>
        <rFont val="宋体"/>
        <charset val="134"/>
      </rPr>
      <t>巅峰霸临（</t>
    </r>
    <r>
      <rPr>
        <sz val="10"/>
        <color theme="1"/>
        <rFont val="Times New Roman"/>
        <charset val="134"/>
      </rPr>
      <t>5</t>
    </r>
    <r>
      <rPr>
        <sz val="10"/>
        <color theme="1"/>
        <rFont val="宋体"/>
        <charset val="134"/>
      </rPr>
      <t>点）</t>
    </r>
  </si>
  <si>
    <r>
      <rPr>
        <sz val="10"/>
        <color theme="1"/>
        <rFont val="宋体"/>
        <charset val="134"/>
      </rPr>
      <t>你能够以一个动作消耗</t>
    </r>
    <r>
      <rPr>
        <sz val="10"/>
        <color theme="1"/>
        <rFont val="Times New Roman"/>
        <charset val="134"/>
      </rPr>
      <t>5</t>
    </r>
    <r>
      <rPr>
        <sz val="10"/>
        <color theme="1"/>
        <rFont val="宋体"/>
        <charset val="134"/>
      </rPr>
      <t>点战技点，尝试以巨力撕裂敌人。当你如此做时，你触及内的一名生物必须成功通过一次力量豁免。若其正受擒于你，则其进行此豁免时具有劣势。</t>
    </r>
    <r>
      <rPr>
        <sz val="10"/>
        <color theme="1"/>
        <rFont val="Times New Roman"/>
        <charset val="134"/>
      </rPr>
      <t xml:space="preserve"> 
</t>
    </r>
    <r>
      <rPr>
        <sz val="10"/>
        <color theme="1"/>
        <rFont val="宋体"/>
        <charset val="134"/>
      </rPr>
      <t>豁免失败则目标受到</t>
    </r>
    <r>
      <rPr>
        <sz val="10"/>
        <color theme="1"/>
        <rFont val="Times New Roman"/>
        <charset val="134"/>
      </rPr>
      <t>6d10</t>
    </r>
    <r>
      <rPr>
        <sz val="10"/>
        <color theme="1"/>
        <rFont val="宋体"/>
        <charset val="134"/>
      </rPr>
      <t>力场伤害。成功则目标受半伤。若一名生物因此战技造成的伤害生命值降至</t>
    </r>
    <r>
      <rPr>
        <sz val="10"/>
        <color theme="1"/>
        <rFont val="Times New Roman"/>
        <charset val="134"/>
      </rPr>
      <t>0</t>
    </r>
    <r>
      <rPr>
        <sz val="10"/>
        <color theme="1"/>
        <rFont val="宋体"/>
        <charset val="134"/>
      </rPr>
      <t>零，其立即被肢解而死亡。</t>
    </r>
  </si>
  <si>
    <t>深暗恐惧</t>
  </si>
  <si>
    <t>你对黑暗的深入了解让你能够最大限度的激发其令人恐惧的特性，并令你的伙伴保持平静。若身处微光光照或黑暗，你和任意你可见的盟友对抗恐慌效应时具有优势（译注：原文如此）。此外，任意可以看见你的敌对生物对抗恐慌效应时具有劣势。</t>
  </si>
  <si>
    <t>暗影之兽</t>
  </si>
  <si>
    <r>
      <rPr>
        <sz val="10"/>
        <color theme="1"/>
        <rFont val="宋体"/>
        <charset val="134"/>
      </rPr>
      <t>以一个动作，你可以激活一个象征着深夜的超自然光环。它将持续存在</t>
    </r>
    <r>
      <rPr>
        <sz val="10"/>
        <color theme="1"/>
        <rFont val="Times New Roman"/>
        <charset val="134"/>
      </rPr>
      <t>1</t>
    </r>
    <r>
      <rPr>
        <sz val="10"/>
        <color theme="1"/>
        <rFont val="宋体"/>
        <charset val="134"/>
      </rPr>
      <t>分钟，若你再用一个动作主动解除它它将提前结束。以你为中心，你将散发出半径</t>
    </r>
    <r>
      <rPr>
        <sz val="10"/>
        <color theme="1"/>
        <rFont val="Times New Roman"/>
        <charset val="134"/>
      </rPr>
      <t>30</t>
    </r>
    <r>
      <rPr>
        <sz val="10"/>
        <color theme="1"/>
        <rFont val="宋体"/>
        <charset val="134"/>
      </rPr>
      <t>尺的深邃</t>
    </r>
    <r>
      <rPr>
        <sz val="10"/>
        <color theme="1"/>
        <rFont val="Times New Roman"/>
        <charset val="134"/>
      </rPr>
      <t>*</t>
    </r>
    <r>
      <rPr>
        <sz val="10"/>
        <color theme="1"/>
        <rFont val="宋体"/>
        <charset val="134"/>
      </rPr>
      <t>黑暗，并在此外</t>
    </r>
    <r>
      <rPr>
        <sz val="10"/>
        <color theme="1"/>
        <rFont val="Times New Roman"/>
        <charset val="134"/>
      </rPr>
      <t>50</t>
    </r>
    <r>
      <rPr>
        <sz val="10"/>
        <color theme="1"/>
        <rFont val="宋体"/>
        <charset val="134"/>
      </rPr>
      <t>尺范围的幽暗</t>
    </r>
    <r>
      <rPr>
        <sz val="10"/>
        <color theme="1"/>
        <rFont val="Times New Roman"/>
        <charset val="134"/>
      </rPr>
      <t>*</t>
    </r>
    <r>
      <rPr>
        <sz val="10"/>
        <color theme="1"/>
        <rFont val="宋体"/>
        <charset val="134"/>
      </rPr>
      <t>阴影。黑暗和阴影会复盖并熄灭范围内的一切光源。只有</t>
    </r>
    <r>
      <rPr>
        <sz val="10"/>
        <color theme="1"/>
        <rFont val="Times New Roman"/>
        <charset val="134"/>
      </rPr>
      <t>9</t>
    </r>
    <r>
      <rPr>
        <sz val="10"/>
        <color theme="1"/>
        <rFont val="宋体"/>
        <charset val="134"/>
      </rPr>
      <t>环法术或类似的强大效应所制造的光亮才能驱散黑暗与阴影。
身处阴影与黑暗之中的敌人会感觉到有一群饥饿的掠食者在暗处注视着他们，它们将陷入</t>
    </r>
    <r>
      <rPr>
        <sz val="10"/>
        <color theme="1"/>
        <rFont val="Times New Roman"/>
        <charset val="134"/>
      </rPr>
      <t xml:space="preserve"> </t>
    </r>
    <r>
      <rPr>
        <sz val="10"/>
        <color theme="1"/>
        <rFont val="宋体"/>
        <charset val="134"/>
      </rPr>
      <t>恐慌</t>
    </r>
    <r>
      <rPr>
        <sz val="10"/>
        <color theme="1"/>
        <rFont val="Times New Roman"/>
        <charset val="134"/>
      </rPr>
      <t xml:space="preserve">Frightened </t>
    </r>
    <r>
      <rPr>
        <sz val="10"/>
        <color theme="1"/>
        <rFont val="宋体"/>
        <charset val="134"/>
      </rPr>
      <t>状态，持续直至它们离开阴影与黑暗的范围为止。
身处黑暗之中的敌人不仅会陷入恐慌，还会陷入</t>
    </r>
    <r>
      <rPr>
        <sz val="10"/>
        <color theme="1"/>
        <rFont val="Times New Roman"/>
        <charset val="134"/>
      </rPr>
      <t xml:space="preserve"> </t>
    </r>
    <r>
      <rPr>
        <sz val="10"/>
        <color theme="1"/>
        <rFont val="宋体"/>
        <charset val="134"/>
      </rPr>
      <t>目盲</t>
    </r>
    <r>
      <rPr>
        <sz val="10"/>
        <color theme="1"/>
        <rFont val="Times New Roman"/>
        <charset val="134"/>
      </rPr>
      <t xml:space="preserve">Blinded </t>
    </r>
    <r>
      <rPr>
        <sz val="10"/>
        <color theme="1"/>
        <rFont val="宋体"/>
        <charset val="134"/>
      </rPr>
      <t>状态，持续直至它们离开黑暗的范围为止。</t>
    </r>
  </si>
  <si>
    <t>神圣之地</t>
  </si>
  <si>
    <r>
      <rPr>
        <sz val="10"/>
        <color theme="1"/>
        <rFont val="宋体"/>
        <charset val="134"/>
      </rPr>
      <t>你的恩护之地创造的立方区域的尺寸增加至</t>
    </r>
    <r>
      <rPr>
        <sz val="10"/>
        <color theme="1"/>
        <rFont val="Times New Roman"/>
        <charset val="134"/>
      </rPr>
      <t>30</t>
    </r>
    <r>
      <rPr>
        <sz val="10"/>
        <color theme="1"/>
        <rFont val="宋体"/>
        <charset val="134"/>
      </rPr>
      <t>尺。</t>
    </r>
    <r>
      <rPr>
        <sz val="10"/>
        <color theme="1"/>
        <rFont val="Times New Roman"/>
        <charset val="134"/>
      </rPr>
      <t xml:space="preserve">
</t>
    </r>
    <r>
      <rPr>
        <sz val="10"/>
        <color theme="1"/>
        <rFont val="宋体"/>
        <charset val="134"/>
      </rPr>
      <t>另外，当该区域内一名你可见的生物被攻击检定命中时，你可以以一个反应使其受到的伤害减半。</t>
    </r>
    <r>
      <rPr>
        <sz val="10"/>
        <color theme="1"/>
        <rFont val="Times New Roman"/>
        <charset val="134"/>
      </rPr>
      <t xml:space="preserve"> </t>
    </r>
  </si>
  <si>
    <t>战斗指令</t>
  </si>
  <si>
    <t>你可以以一个附赠动作向一个120尺内能听见你的盟友下达战斗指令。从下列的指令中选择一条：
继续战斗！Fight On!
目标恢复等同于1d10＋你的战士职业等级的生命值。这个生物必须完成一次短休或长休才能再次从该指令中受益。
为了荣耀！For Glory! 
目标可以立即使用他们的反应来进行一次远程或近战武器攻击。
快动起来！Move It!
目标可以立即使用他们的反应移动等同于其速度的距离，此次移动     不会引发借机攻击。
绝不动摇！Never Falter! 
目标终止一个其身上的魅惑或恐慌状态。这个生物必须完成一次短休或长休才能再次从该指令中受益.</t>
  </si>
  <si>
    <t>受祝选民</t>
  </si>
  <si>
    <r>
      <rPr>
        <sz val="10"/>
        <color theme="1"/>
        <rFont val="宋体"/>
        <charset val="134"/>
      </rPr>
      <t>激励你完成使命的那股力量庇佑着你。若你的生命值降至</t>
    </r>
    <r>
      <rPr>
        <sz val="10"/>
        <color theme="1"/>
        <rFont val="Times New Roman"/>
        <charset val="134"/>
      </rPr>
      <t>0</t>
    </r>
    <r>
      <rPr>
        <sz val="10"/>
        <color theme="1"/>
        <rFont val="宋体"/>
        <charset val="134"/>
      </rPr>
      <t>，你立即恢复等于你武僧等级的生命值。或者，你能够以动作触碰一名死亡不超过</t>
    </r>
    <r>
      <rPr>
        <sz val="10"/>
        <color theme="1"/>
        <rFont val="Times New Roman"/>
        <charset val="134"/>
      </rPr>
      <t>10</t>
    </r>
    <r>
      <rPr>
        <sz val="10"/>
        <color theme="1"/>
        <rFont val="宋体"/>
        <charset val="134"/>
      </rPr>
      <t>分钟的已死生物，令其以等于你武僧等级的生命值复活。
你必须完成长休以再次使用该特性。</t>
    </r>
  </si>
  <si>
    <t>借来好运</t>
  </si>
  <si>
    <t>当你使用降咒客时，你会带走目标的部分运气。如果你没有英雄激励，你获得英雄激励。如果你具有英雄激励，你可以消耗英雄激励来代替消耗降咒客的使用次数。</t>
  </si>
  <si>
    <r>
      <rPr>
        <sz val="10"/>
        <color theme="1"/>
        <rFont val="宋体"/>
        <charset val="134"/>
      </rPr>
      <t>猫之宠爱</t>
    </r>
  </si>
  <si>
    <r>
      <rPr>
        <sz val="10"/>
        <color theme="1"/>
        <rFont val="宋体"/>
        <charset val="134"/>
      </rPr>
      <t>你获得与世界的真正显贵交流的能力。你可以无需法术位地施展法术动物交谈术。当你以此法施展该法术时，你只能与猫咪进行口头交谈，不过大多数猫咪不会愿意和你这样头脑简单的无趣家伙交流</t>
    </r>
  </si>
  <si>
    <t>川流之誓</t>
  </si>
  <si>
    <r>
      <rPr>
        <sz val="10"/>
        <color theme="1"/>
        <rFont val="宋体"/>
        <charset val="134"/>
      </rPr>
      <t>兽王召令（</t>
    </r>
    <r>
      <rPr>
        <sz val="10"/>
        <color theme="1"/>
        <rFont val="Times New Roman"/>
        <charset val="134"/>
      </rPr>
      <t>5</t>
    </r>
    <r>
      <rPr>
        <sz val="10"/>
        <color theme="1"/>
        <rFont val="宋体"/>
        <charset val="134"/>
      </rPr>
      <t>点）</t>
    </r>
  </si>
  <si>
    <r>
      <rPr>
        <sz val="10"/>
        <color theme="1"/>
        <rFont val="宋体"/>
        <charset val="134"/>
      </rPr>
      <t>你能够以一个动作消耗</t>
    </r>
    <r>
      <rPr>
        <sz val="10"/>
        <color theme="1"/>
        <rFont val="Times New Roman"/>
        <charset val="134"/>
      </rPr>
      <t>5</t>
    </r>
    <r>
      <rPr>
        <sz val="10"/>
        <color theme="1"/>
        <rFont val="宋体"/>
        <charset val="134"/>
      </rPr>
      <t>点战技点发出长啸，招来野兽精魂援助你。当你如此做时，选择任意一只挑战等级不高于你等级的野兽，显现在位于你</t>
    </r>
    <r>
      <rPr>
        <sz val="10"/>
        <color theme="1"/>
        <rFont val="Times New Roman"/>
        <charset val="134"/>
      </rPr>
      <t>60</t>
    </r>
    <r>
      <rPr>
        <sz val="10"/>
        <color theme="1"/>
        <rFont val="宋体"/>
        <charset val="134"/>
      </rPr>
      <t>尺内你选择的未占据空间中。</t>
    </r>
    <r>
      <rPr>
        <sz val="10"/>
        <color theme="1"/>
        <rFont val="Times New Roman"/>
        <charset val="134"/>
      </rPr>
      <t xml:space="preserve"> 
</t>
    </r>
    <r>
      <rPr>
        <sz val="10"/>
        <color theme="1"/>
        <rFont val="宋体"/>
        <charset val="134"/>
      </rPr>
      <t>以此法咒唤的野兽将在</t>
    </r>
    <r>
      <rPr>
        <sz val="10"/>
        <color theme="1"/>
        <rFont val="Times New Roman"/>
        <charset val="134"/>
      </rPr>
      <t>10</t>
    </r>
    <r>
      <rPr>
        <sz val="10"/>
        <color theme="1"/>
        <rFont val="宋体"/>
        <charset val="134"/>
      </rPr>
      <t>分钟后消失，或在其生命值降至</t>
    </r>
    <r>
      <rPr>
        <sz val="10"/>
        <color theme="1"/>
        <rFont val="Times New Roman"/>
        <charset val="134"/>
      </rPr>
      <t>0</t>
    </r>
    <r>
      <rPr>
        <sz val="10"/>
        <color theme="1"/>
        <rFont val="宋体"/>
        <charset val="134"/>
      </rPr>
      <t>或你不再为此战技维持专注（如同专注于某个法术）时提前消失。召唤的野兽对你和你的同伴友好。该生物使用你的先攻但在你的回合后立即执行回合。其服从你的言语命令（无需你的动作）。若你未下达任何指令则该生物执行回避动作以从敌人中自保。</t>
    </r>
  </si>
  <si>
    <t>阴影步</t>
  </si>
  <si>
    <r>
      <rPr>
        <sz val="10"/>
        <color theme="1"/>
        <rFont val="Times New Roman"/>
        <charset val="134"/>
      </rPr>
      <t xml:space="preserve"> </t>
    </r>
    <r>
      <rPr>
        <sz val="10"/>
        <color theme="1"/>
        <rFont val="宋体"/>
        <charset val="134"/>
      </rPr>
      <t>阴影聚集在你的激励对象周围。当一名生物将你的诗人激励骰加入其属性、攻击或豁免检定后，其可以立即魔法性的传送至多</t>
    </r>
    <r>
      <rPr>
        <sz val="10"/>
        <color theme="1"/>
        <rFont val="Times New Roman"/>
        <charset val="134"/>
      </rPr>
      <t>30</t>
    </r>
    <r>
      <rPr>
        <sz val="10"/>
        <color theme="1"/>
        <rFont val="宋体"/>
        <charset val="134"/>
      </rPr>
      <t>尺至一处其可见的未占据空间。以此方式移动不会引发借机攻击。</t>
    </r>
  </si>
  <si>
    <t>宴饮领域法术</t>
  </si>
  <si>
    <r>
      <rPr>
        <sz val="10"/>
        <color theme="1"/>
        <rFont val="宋体"/>
        <charset val="134"/>
      </rPr>
      <t>你将在到达特定牧师等级时，根据宴饮领域法术表习得对应的法术。关于领域法术的详细规则，请参见牧师的神圣领域职业特性。</t>
    </r>
    <r>
      <rPr>
        <sz val="10"/>
        <color theme="1"/>
        <rFont val="Times New Roman"/>
        <charset val="134"/>
      </rPr>
      <t xml:space="preserve">
</t>
    </r>
    <r>
      <rPr>
        <sz val="10"/>
        <color theme="1"/>
        <rFont val="宋体"/>
        <charset val="134"/>
      </rPr>
      <t>宴饮领域法术表</t>
    </r>
    <r>
      <rPr>
        <sz val="10"/>
        <color theme="1"/>
        <rFont val="Times New Roman"/>
        <charset val="134"/>
      </rPr>
      <t xml:space="preserve"> </t>
    </r>
    <r>
      <rPr>
        <sz val="10"/>
        <color theme="1"/>
        <rFont val="宋体"/>
        <charset val="134"/>
      </rPr>
      <t>牧师等级</t>
    </r>
    <r>
      <rPr>
        <sz val="10"/>
        <color theme="1"/>
        <rFont val="Times New Roman"/>
        <charset val="134"/>
      </rPr>
      <t xml:space="preserve"> </t>
    </r>
    <r>
      <rPr>
        <sz val="10"/>
        <color theme="1"/>
        <rFont val="宋体"/>
        <charset val="134"/>
      </rPr>
      <t>法术</t>
    </r>
    <r>
      <rPr>
        <sz val="10"/>
        <color theme="1"/>
        <rFont val="Times New Roman"/>
        <charset val="134"/>
      </rPr>
      <t xml:space="preserve"> 
1</t>
    </r>
    <r>
      <rPr>
        <sz val="10"/>
        <color theme="1"/>
        <rFont val="宋体"/>
        <charset val="134"/>
      </rPr>
      <t>级</t>
    </r>
    <r>
      <rPr>
        <sz val="10"/>
        <color theme="1"/>
        <rFont val="Times New Roman"/>
        <charset val="134"/>
      </rPr>
      <t xml:space="preserve"> </t>
    </r>
    <r>
      <rPr>
        <sz val="10"/>
        <color theme="1"/>
        <rFont val="宋体"/>
        <charset val="134"/>
      </rPr>
      <t>神莓术</t>
    </r>
    <r>
      <rPr>
        <sz val="10"/>
        <color theme="1"/>
        <rFont val="Times New Roman"/>
        <charset val="134"/>
      </rPr>
      <t xml:space="preserve"> Goodberry</t>
    </r>
    <r>
      <rPr>
        <sz val="10"/>
        <color theme="1"/>
        <rFont val="宋体"/>
        <charset val="134"/>
      </rPr>
      <t>，净化饮食</t>
    </r>
    <r>
      <rPr>
        <sz val="10"/>
        <color theme="1"/>
        <rFont val="Times New Roman"/>
        <charset val="134"/>
      </rPr>
      <t xml:space="preserve"> Purify Food and Drink  
3</t>
    </r>
    <r>
      <rPr>
        <sz val="10"/>
        <color theme="1"/>
        <rFont val="宋体"/>
        <charset val="134"/>
      </rPr>
      <t>级</t>
    </r>
    <r>
      <rPr>
        <sz val="10"/>
        <color theme="1"/>
        <rFont val="Times New Roman"/>
        <charset val="134"/>
      </rPr>
      <t xml:space="preserve"> </t>
    </r>
    <r>
      <rPr>
        <sz val="10"/>
        <color theme="1"/>
        <rFont val="宋体"/>
        <charset val="134"/>
      </rPr>
      <t>灼热金属</t>
    </r>
    <r>
      <rPr>
        <sz val="10"/>
        <color theme="1"/>
        <rFont val="Times New Roman"/>
        <charset val="134"/>
      </rPr>
      <t xml:space="preserve"> Heat Metal</t>
    </r>
    <r>
      <rPr>
        <sz val="10"/>
        <color theme="1"/>
        <rFont val="宋体"/>
        <charset val="134"/>
      </rPr>
      <t>，防护毒素</t>
    </r>
    <r>
      <rPr>
        <sz val="10"/>
        <color theme="1"/>
        <rFont val="Times New Roman"/>
        <charset val="134"/>
      </rPr>
      <t xml:space="preserve"> Protection from Poison  
5</t>
    </r>
    <r>
      <rPr>
        <sz val="10"/>
        <color theme="1"/>
        <rFont val="宋体"/>
        <charset val="134"/>
      </rPr>
      <t>级</t>
    </r>
    <r>
      <rPr>
        <sz val="10"/>
        <color theme="1"/>
        <rFont val="Times New Roman"/>
        <charset val="134"/>
      </rPr>
      <t xml:space="preserve"> </t>
    </r>
    <r>
      <rPr>
        <sz val="10"/>
        <color theme="1"/>
        <rFont val="宋体"/>
        <charset val="134"/>
      </rPr>
      <t>造粮术</t>
    </r>
    <r>
      <rPr>
        <sz val="10"/>
        <color theme="1"/>
        <rFont val="Times New Roman"/>
        <charset val="134"/>
      </rPr>
      <t xml:space="preserve"> Create Food and Water</t>
    </r>
    <r>
      <rPr>
        <sz val="10"/>
        <color theme="1"/>
        <rFont val="宋体"/>
        <charset val="134"/>
      </rPr>
      <t>，臭云术</t>
    </r>
    <r>
      <rPr>
        <sz val="10"/>
        <color theme="1"/>
        <rFont val="Times New Roman"/>
        <charset val="134"/>
      </rPr>
      <t xml:space="preserve"> Stingking Cloud  
7</t>
    </r>
    <r>
      <rPr>
        <sz val="10"/>
        <color theme="1"/>
        <rFont val="宋体"/>
        <charset val="134"/>
      </rPr>
      <t>级</t>
    </r>
    <r>
      <rPr>
        <sz val="10"/>
        <color theme="1"/>
        <rFont val="Times New Roman"/>
        <charset val="134"/>
      </rPr>
      <t xml:space="preserve"> </t>
    </r>
    <r>
      <rPr>
        <sz val="10"/>
        <color theme="1"/>
        <rFont val="宋体"/>
        <charset val="134"/>
      </rPr>
      <t>枯萎术</t>
    </r>
    <r>
      <rPr>
        <sz val="10"/>
        <color theme="1"/>
        <rFont val="Times New Roman"/>
        <charset val="134"/>
      </rPr>
      <t xml:space="preserve"> Blight </t>
    </r>
    <r>
      <rPr>
        <sz val="10"/>
        <color theme="1"/>
        <rFont val="宋体"/>
        <charset val="134"/>
      </rPr>
      <t>，操控水体</t>
    </r>
    <r>
      <rPr>
        <sz val="10"/>
        <color theme="1"/>
        <rFont val="Times New Roman"/>
        <charset val="134"/>
      </rPr>
      <t xml:space="preserve"> Control Water  
9</t>
    </r>
    <r>
      <rPr>
        <sz val="10"/>
        <color theme="1"/>
        <rFont val="宋体"/>
        <charset val="134"/>
      </rPr>
      <t>级</t>
    </r>
    <r>
      <rPr>
        <sz val="10"/>
        <color theme="1"/>
        <rFont val="Times New Roman"/>
        <charset val="134"/>
      </rPr>
      <t xml:space="preserve"> </t>
    </r>
    <r>
      <rPr>
        <sz val="10"/>
        <color theme="1"/>
        <rFont val="宋体"/>
        <charset val="134"/>
      </rPr>
      <t>死云术</t>
    </r>
    <r>
      <rPr>
        <sz val="10"/>
        <color theme="1"/>
        <rFont val="Times New Roman"/>
        <charset val="134"/>
      </rPr>
      <t xml:space="preserve"> Cloudkill</t>
    </r>
    <r>
      <rPr>
        <sz val="10"/>
        <color theme="1"/>
        <rFont val="宋体"/>
        <charset val="134"/>
      </rPr>
      <t>，疫病术</t>
    </r>
    <r>
      <rPr>
        <sz val="10"/>
        <color theme="1"/>
        <rFont val="Times New Roman"/>
        <charset val="134"/>
      </rPr>
      <t xml:space="preserve"> Contagion  </t>
    </r>
  </si>
  <si>
    <t>无畏司令</t>
  </si>
  <si>
    <t>你获得感知豁免的熟练项。且你对抗使你魅惑或恐慌的效应时进行的豁免检定具有优势。</t>
  </si>
  <si>
    <t>人格魅力</t>
  </si>
  <si>
    <t>每当任意生物在某个回合中首次尝试对你发动攻击时，你能够以反应进行一次魅力（游说或表演）检定。若你的检定总值高于该生物的感知属性值，其本回合无法对你发动攻击，且其必须为此次攻击选择新的目标，否则该次攻击被浪费。</t>
  </si>
  <si>
    <t>任君自取</t>
  </si>
  <si>
    <r>
      <rPr>
        <sz val="10"/>
        <color theme="1"/>
        <rFont val="宋体"/>
        <charset val="134"/>
      </rPr>
      <t>当你使用降咒客时，你可以将所指定的偷袭骰投掷两次，选择使用哪一次的掷骰总和。</t>
    </r>
    <r>
      <rPr>
        <sz val="10"/>
        <color theme="1"/>
        <rFont val="Times New Roman"/>
        <charset val="134"/>
      </rPr>
      <t xml:space="preserve">
</t>
    </r>
    <r>
      <rPr>
        <sz val="10"/>
        <color theme="1"/>
        <rFont val="宋体"/>
        <charset val="134"/>
      </rPr>
      <t>如果你所选的掷骰结果是两个骰子点数相同，则目标受到等于你等级一半的心灵伤害。如果你所选择的掷骰总和为</t>
    </r>
    <r>
      <rPr>
        <sz val="10"/>
        <color theme="1"/>
        <rFont val="Times New Roman"/>
        <charset val="134"/>
      </rPr>
      <t>2</t>
    </r>
    <r>
      <rPr>
        <sz val="10"/>
        <color theme="1"/>
        <rFont val="宋体"/>
        <charset val="134"/>
      </rPr>
      <t>或</t>
    </r>
    <r>
      <rPr>
        <sz val="10"/>
        <color theme="1"/>
        <rFont val="Times New Roman"/>
        <charset val="134"/>
      </rPr>
      <t>12</t>
    </r>
    <r>
      <rPr>
        <sz val="10"/>
        <color theme="1"/>
        <rFont val="宋体"/>
        <charset val="134"/>
      </rPr>
      <t>，你不会消耗该次降咒客的使用次数。</t>
    </r>
  </si>
  <si>
    <r>
      <rPr>
        <sz val="10"/>
        <color theme="1"/>
        <rFont val="宋体"/>
        <charset val="134"/>
      </rPr>
      <t>猫之形态</t>
    </r>
  </si>
  <si>
    <r>
      <rPr>
        <sz val="10"/>
        <color theme="1"/>
        <rFont val="宋体"/>
        <charset val="134"/>
      </rPr>
      <t>你的宗主对你赐下怜悯并令你能转换为更高贵且愉悦的形态。以一个附赠动作，你变形为一只猫，一名微型野兽。你能保持该形态数小时，时间等于你魔契师等级的一半（向下取整），或者在你你再次使用该特性，陷入失能或死亡时提前结束。你能够以附赠动作提前结束该形态。变形期间，你保持你的人格、记忆和说话的能力，并遵循以下规则：
游戏数据</t>
    </r>
    <r>
      <rPr>
        <sz val="10"/>
        <color theme="1"/>
        <rFont val="Times New Roman"/>
        <charset val="134"/>
      </rPr>
      <t>Game Statistics</t>
    </r>
    <r>
      <rPr>
        <sz val="10"/>
        <color theme="1"/>
        <rFont val="宋体"/>
        <charset val="134"/>
      </rPr>
      <t>。你的游戏数据被野兽的数据卡所替换，但你保留你的生物类型；生命值；生命骰；智力，感知和魅力值；职业特性；语言；专长。你同样保留你的技能和豁免熟练，并且在这些项目中使用你自己的熟练加值。如果变形的野兽在资料卡上的技能或豁免检定的调整值高于你的，使用资料卡的调整值。
施法</t>
    </r>
    <r>
      <rPr>
        <sz val="10"/>
        <color theme="1"/>
        <rFont val="Times New Roman"/>
        <charset val="134"/>
      </rPr>
      <t>Spellcasting</t>
    </r>
    <r>
      <rPr>
        <sz val="10"/>
        <color theme="1"/>
        <rFont val="宋体"/>
        <charset val="134"/>
      </rPr>
      <t>。处于猫形态期间，你仅可以施展猫咪法术表上的法术。你可以无需材料成分地施展这些法术。此外，若你具有躲藏动作赋予的隐形状态并施展一道未指定敌对生物为目标的法术，你维持隐形。变形不会打断你的专注，也不会打断你已经施展的法术。
装备</t>
    </r>
    <r>
      <rPr>
        <sz val="10"/>
        <color theme="1"/>
        <rFont val="Times New Roman"/>
        <charset val="134"/>
      </rPr>
      <t>Equipment</t>
    </r>
    <r>
      <rPr>
        <sz val="10"/>
        <color theme="1"/>
        <rFont val="宋体"/>
        <charset val="134"/>
      </rPr>
      <t>。你可以选择将你的装备丢在所处空间，或者将其融入新形态，又或者直接着装在身上。新形态直接着装的装备可以如常起作用，但</t>
    </r>
    <r>
      <rPr>
        <sz val="10"/>
        <color theme="1"/>
        <rFont val="Times New Roman"/>
        <charset val="134"/>
      </rPr>
      <t>DM</t>
    </r>
    <r>
      <rPr>
        <sz val="10"/>
        <color theme="1"/>
        <rFont val="宋体"/>
        <charset val="134"/>
      </rPr>
      <t>有权基于你微型野兽形态判断穿戴某件装备是否合理。你的装备不会改变尺寸或形状来搭配新的形态，新形态无法着装某装备时，该装备会掉落到你所处的空间或融入新形态中。融入新形态的装备失去其效应。
你能够使用此特性的次数等于你的魅力调整值（至少一次）。当你完成长休时，你重获所有已消耗的使用次数。</t>
    </r>
  </si>
  <si>
    <t>惩戒之誓</t>
  </si>
  <si>
    <r>
      <rPr>
        <sz val="10"/>
        <color theme="1"/>
        <rFont val="宋体"/>
        <charset val="134"/>
      </rPr>
      <t>冬眠熊愈（</t>
    </r>
    <r>
      <rPr>
        <sz val="10"/>
        <color theme="1"/>
        <rFont val="Times New Roman"/>
        <charset val="134"/>
      </rPr>
      <t>5</t>
    </r>
    <r>
      <rPr>
        <sz val="10"/>
        <color theme="1"/>
        <rFont val="宋体"/>
        <charset val="134"/>
      </rPr>
      <t>点）</t>
    </r>
  </si>
  <si>
    <r>
      <rPr>
        <sz val="10"/>
        <color theme="1"/>
        <rFont val="宋体"/>
        <charset val="134"/>
      </rPr>
      <t>你能够以一个动作消耗</t>
    </r>
    <r>
      <rPr>
        <sz val="10"/>
        <color theme="1"/>
        <rFont val="Times New Roman"/>
        <charset val="134"/>
      </rPr>
      <t>5</t>
    </r>
    <r>
      <rPr>
        <sz val="10"/>
        <color theme="1"/>
        <rFont val="宋体"/>
        <charset val="134"/>
      </rPr>
      <t>点战技点，进入</t>
    </r>
    <r>
      <rPr>
        <sz val="10"/>
        <color theme="1"/>
        <rFont val="Times New Roman"/>
        <charset val="134"/>
      </rPr>
      <t>10</t>
    </r>
    <r>
      <rPr>
        <sz val="10"/>
        <color theme="1"/>
        <rFont val="宋体"/>
        <charset val="134"/>
      </rPr>
      <t>分钟闲适幽静的深眠。深眠期间，你获得对除心灵伤害外所有伤害的抗性，当你受到伤害时，你可以选择继续沉睡或苏醒。若你沉睡完整</t>
    </r>
    <r>
      <rPr>
        <sz val="10"/>
        <color theme="1"/>
        <rFont val="Times New Roman"/>
        <charset val="134"/>
      </rPr>
      <t>10</t>
    </r>
    <r>
      <rPr>
        <sz val="10"/>
        <color theme="1"/>
        <rFont val="宋体"/>
        <charset val="134"/>
      </rPr>
      <t>分钟，你获得完成短休的增益、立即结束任意毒药对你的影响并消除一级力竭。</t>
    </r>
    <r>
      <rPr>
        <sz val="10"/>
        <color theme="1"/>
        <rFont val="Times New Roman"/>
        <charset val="134"/>
      </rPr>
      <t xml:space="preserve"> 
</t>
    </r>
    <r>
      <rPr>
        <sz val="10"/>
        <color theme="1"/>
        <rFont val="宋体"/>
        <charset val="134"/>
      </rPr>
      <t>在深眠结束时，你可以消耗并投掷任意数量生命骰，在每个生命骰的骰值加上你的体质调整值，你获得等于总值的临时生命值。</t>
    </r>
  </si>
  <si>
    <t>夜曲</t>
  </si>
  <si>
    <r>
      <rPr>
        <sz val="10"/>
        <color theme="1"/>
        <rFont val="宋体"/>
        <charset val="134"/>
      </rPr>
      <t>你可以将夜之力量与畏怖注入施法。当你施展法术时，你能够以反应选择一定数量的位于你</t>
    </r>
    <r>
      <rPr>
        <sz val="10"/>
        <color theme="1"/>
        <rFont val="Times New Roman"/>
        <charset val="134"/>
      </rPr>
      <t>60</t>
    </r>
    <r>
      <rPr>
        <sz val="10"/>
        <color theme="1"/>
        <rFont val="宋体"/>
        <charset val="134"/>
      </rPr>
      <t>尺内能够看见或听见你施法的生物，熟练至多等于你的魅力调整值。每名目标必须成功通过一次对抗你法术</t>
    </r>
    <r>
      <rPr>
        <sz val="10"/>
        <color theme="1"/>
        <rFont val="Times New Roman"/>
        <charset val="134"/>
      </rPr>
      <t>DC</t>
    </r>
    <r>
      <rPr>
        <sz val="10"/>
        <color theme="1"/>
        <rFont val="宋体"/>
        <charset val="134"/>
      </rPr>
      <t>的魅力豁免，否则陷入恐慌，持续</t>
    </r>
    <r>
      <rPr>
        <sz val="10"/>
        <color theme="1"/>
        <rFont val="Times New Roman"/>
        <charset val="134"/>
      </rPr>
      <t>1</t>
    </r>
    <r>
      <rPr>
        <sz val="10"/>
        <color theme="1"/>
        <rFont val="宋体"/>
        <charset val="134"/>
      </rPr>
      <t>分钟。生物可以在其每个回合结束时重复豁免，成功则终止其身上的该效应。
此特性一经使用，直至你完成短休或长休都无法再次使用。</t>
    </r>
  </si>
  <si>
    <t>自你选择此领域起，你获得重甲、军用武器、酿酒工具和厨师工具的熟练。</t>
  </si>
  <si>
    <t>协同指令</t>
  </si>
  <si>
    <t>当你在你的回合下达战斗指令时，你可以指定两个目标而非一个。你可以给每个盟友下达同样或不同的指令。两个目标都必须位于你的120尺内。</t>
  </si>
  <si>
    <t>你学会了如何施展法术。施法规则见《玩家手册》。下文将详述如何将这些规则应用于秘术武者。</t>
  </si>
  <si>
    <t>彼岸相助</t>
  </si>
  <si>
    <r>
      <rPr>
        <sz val="10"/>
        <color theme="1"/>
        <rFont val="宋体"/>
        <charset val="134"/>
      </rPr>
      <t>你可以呼唤自己在下层位面的异界朋友来改变对你有利之事的概率。你获得以下增益。</t>
    </r>
    <r>
      <rPr>
        <sz val="10"/>
        <color theme="1"/>
        <rFont val="Times New Roman"/>
        <charset val="134"/>
      </rPr>
      <t xml:space="preserve">
</t>
    </r>
    <r>
      <rPr>
        <sz val="10"/>
        <color theme="1"/>
        <rFont val="宋体"/>
        <charset val="134"/>
      </rPr>
      <t>岔路诈术</t>
    </r>
    <r>
      <rPr>
        <sz val="10"/>
        <color theme="1"/>
        <rFont val="Times New Roman"/>
        <charset val="134"/>
      </rPr>
      <t>Crossroads Devilry</t>
    </r>
    <r>
      <rPr>
        <sz val="10"/>
        <color theme="1"/>
        <rFont val="宋体"/>
        <charset val="134"/>
      </rPr>
      <t>。</t>
    </r>
    <r>
      <rPr>
        <sz val="10"/>
        <color theme="1"/>
        <rFont val="Times New Roman"/>
        <charset val="134"/>
      </rPr>
      <t xml:space="preserve"> </t>
    </r>
    <r>
      <rPr>
        <sz val="10"/>
        <color theme="1"/>
        <rFont val="宋体"/>
        <charset val="134"/>
      </rPr>
      <t>当你失手于一次攻击检定，或者失败于一次豁免检定时，你可以消耗并投掷任意数量的偷袭骰（在你投掷前选择数量），并将所掷总和加入该攻击或豁免，这可能将失手改为命中，或将失败变为成功。已消耗的骰子会在你下次使用你的偷袭后恢复。</t>
    </r>
    <r>
      <rPr>
        <sz val="10"/>
        <color theme="1"/>
        <rFont val="Times New Roman"/>
        <charset val="134"/>
      </rPr>
      <t xml:space="preserve">
</t>
    </r>
    <r>
      <rPr>
        <sz val="10"/>
        <color theme="1"/>
        <rFont val="宋体"/>
        <charset val="134"/>
      </rPr>
      <t>幸运女神在微笑</t>
    </r>
    <r>
      <rPr>
        <sz val="10"/>
        <color theme="1"/>
        <rFont val="Times New Roman"/>
        <charset val="134"/>
      </rPr>
      <t>Lady Luck’s Smiling</t>
    </r>
    <r>
      <rPr>
        <sz val="10"/>
        <color theme="1"/>
        <rFont val="宋体"/>
        <charset val="134"/>
      </rPr>
      <t>。</t>
    </r>
    <r>
      <rPr>
        <sz val="10"/>
        <color theme="1"/>
        <rFont val="Times New Roman"/>
        <charset val="134"/>
      </rPr>
      <t xml:space="preserve"> </t>
    </r>
    <r>
      <rPr>
        <sz val="10"/>
        <color theme="1"/>
        <rFont val="宋体"/>
        <charset val="134"/>
      </rPr>
      <t>当一个生物以一次攻击检定中命中你时，你可以消耗并投掷任意数量的偷袭骰（在你投掷前选择数量），并将所掷总和加入你对抗该次攻击的</t>
    </r>
    <r>
      <rPr>
        <sz val="10"/>
        <color theme="1"/>
        <rFont val="Times New Roman"/>
        <charset val="134"/>
      </rPr>
      <t>AC</t>
    </r>
    <r>
      <rPr>
        <sz val="10"/>
        <color theme="1"/>
        <rFont val="宋体"/>
        <charset val="134"/>
      </rPr>
      <t>中，这可能将命中改为失手。已消耗的骰子会在你下次使用你的偷袭后恢复。</t>
    </r>
  </si>
  <si>
    <r>
      <rPr>
        <sz val="10"/>
        <color theme="1"/>
        <rFont val="宋体"/>
        <charset val="134"/>
      </rPr>
      <t>魂牵梦萦心难静</t>
    </r>
  </si>
  <si>
    <r>
      <rPr>
        <sz val="10"/>
        <color theme="1"/>
        <rFont val="宋体"/>
        <charset val="134"/>
      </rPr>
      <t>处于猫咪形态期间，你可以将最具破坏力、令人恼火且扰人心绪的举止表现得可爱且迷人。
猫形态下以一个附赠动作，选择位于你</t>
    </r>
    <r>
      <rPr>
        <sz val="10"/>
        <color theme="1"/>
        <rFont val="Times New Roman"/>
        <charset val="134"/>
      </rPr>
      <t>5</t>
    </r>
    <r>
      <rPr>
        <sz val="10"/>
        <color theme="1"/>
        <rFont val="宋体"/>
        <charset val="134"/>
      </rPr>
      <t>尺内能看见或听见你的一名生物，目标必须成功进行一次对抗你法术豁免</t>
    </r>
    <r>
      <rPr>
        <sz val="10"/>
        <color theme="1"/>
        <rFont val="Times New Roman"/>
        <charset val="134"/>
      </rPr>
      <t>DC</t>
    </r>
    <r>
      <rPr>
        <sz val="10"/>
        <color theme="1"/>
        <rFont val="宋体"/>
        <charset val="134"/>
      </rPr>
      <t>的感知豁免，否则被你选择的以下效应之一影响：
嗔怒</t>
    </r>
    <r>
      <rPr>
        <sz val="10"/>
        <color theme="1"/>
        <rFont val="Times New Roman"/>
        <charset val="134"/>
      </rPr>
      <t>Annoy</t>
    </r>
    <r>
      <rPr>
        <sz val="10"/>
        <color theme="1"/>
        <rFont val="宋体"/>
        <charset val="134"/>
      </rPr>
      <t>。目标的</t>
    </r>
    <r>
      <rPr>
        <sz val="10"/>
        <color theme="1"/>
        <rFont val="Times New Roman"/>
        <charset val="134"/>
      </rPr>
      <t>D20</t>
    </r>
    <r>
      <rPr>
        <sz val="10"/>
        <color theme="1"/>
        <rFont val="宋体"/>
        <charset val="134"/>
      </rPr>
      <t>检定具有劣势直至你的下个回合结束。
困扰</t>
    </r>
    <r>
      <rPr>
        <sz val="10"/>
        <color theme="1"/>
        <rFont val="Times New Roman"/>
        <charset val="134"/>
      </rPr>
      <t>Confound</t>
    </r>
    <r>
      <rPr>
        <sz val="10"/>
        <color theme="1"/>
        <rFont val="宋体"/>
        <charset val="134"/>
      </rPr>
      <t>。目标的速度降至</t>
    </r>
    <r>
      <rPr>
        <sz val="10"/>
        <color theme="1"/>
        <rFont val="Times New Roman"/>
        <charset val="134"/>
      </rPr>
      <t>0</t>
    </r>
    <r>
      <rPr>
        <sz val="10"/>
        <color theme="1"/>
        <rFont val="宋体"/>
        <charset val="134"/>
      </rPr>
      <t>直至你的下个回合结束。
分心</t>
    </r>
    <r>
      <rPr>
        <sz val="10"/>
        <color theme="1"/>
        <rFont val="Times New Roman"/>
        <charset val="134"/>
      </rPr>
      <t>Distract</t>
    </r>
    <r>
      <rPr>
        <sz val="10"/>
        <color theme="1"/>
        <rFont val="宋体"/>
        <charset val="134"/>
      </rPr>
      <t>。你选择的一名生物对目标而言具有全身掩护直至你的下个回合结束。
你能够使用此特性的次数等于你的魅力调整值（至少一次）。当你完成长休时，你重获所有已消耗的使用次数。</t>
    </r>
  </si>
  <si>
    <t>狂热之誓</t>
  </si>
  <si>
    <t>兽形化身</t>
  </si>
  <si>
    <r>
      <rPr>
        <sz val="10"/>
        <color theme="1"/>
        <rFont val="宋体"/>
        <charset val="134"/>
      </rPr>
      <t>你能够以一个动作消耗</t>
    </r>
    <r>
      <rPr>
        <sz val="10"/>
        <color theme="1"/>
        <rFont val="Times New Roman"/>
        <charset val="134"/>
      </rPr>
      <t>8</t>
    </r>
    <r>
      <rPr>
        <sz val="10"/>
        <color theme="1"/>
        <rFont val="宋体"/>
        <charset val="134"/>
      </rPr>
      <t>点战技点对自身施展变形术</t>
    </r>
    <r>
      <rPr>
        <sz val="10"/>
        <color theme="1"/>
        <rFont val="Times New Roman"/>
        <charset val="134"/>
      </rPr>
      <t>Polymorph</t>
    </r>
    <r>
      <rPr>
        <sz val="10"/>
        <color theme="1"/>
        <rFont val="宋体"/>
        <charset val="134"/>
      </rPr>
      <t>，无需材料成分。但你仅能变形为挑战等级不高于你等级一半的野兽，你保留你的智力、感知、魅力属性。当你以此法施展该法术时，你的施法属性为体质。</t>
    </r>
  </si>
  <si>
    <t>明月激励</t>
  </si>
  <si>
    <r>
      <rPr>
        <sz val="10"/>
        <color theme="1"/>
        <rFont val="宋体"/>
        <charset val="134"/>
      </rPr>
      <t>源于明月，瞬息万变的原初力量在你体内流动，使你获得以下好处：</t>
    </r>
    <r>
      <rPr>
        <sz val="10"/>
        <color theme="1"/>
        <rFont val="Times New Roman"/>
        <charset val="134"/>
      </rPr>
      <t xml:space="preserve">
</t>
    </r>
    <r>
      <rPr>
        <sz val="10"/>
        <color theme="1"/>
        <rFont val="宋体"/>
        <charset val="134"/>
      </rPr>
      <t>月隐启迪</t>
    </r>
    <r>
      <rPr>
        <sz val="10"/>
        <color theme="1"/>
        <rFont val="Times New Roman"/>
        <charset val="134"/>
      </rPr>
      <t>Inspired Eclipse</t>
    </r>
    <r>
      <rPr>
        <sz val="10"/>
        <color theme="1"/>
        <rFont val="宋体"/>
        <charset val="134"/>
      </rPr>
      <t>。当你以一个附赠动作给予一名生物吟游诗人激励骰时，作为此附赠动作的一部分，你能够获得隐形状态并传送至</t>
    </r>
    <r>
      <rPr>
        <sz val="10"/>
        <color theme="1"/>
        <rFont val="Times New Roman"/>
        <charset val="134"/>
      </rPr>
      <t>30</t>
    </r>
    <r>
      <rPr>
        <sz val="10"/>
        <color theme="1"/>
        <rFont val="宋体"/>
        <charset val="134"/>
      </rPr>
      <t>尺内你能够看见的未被占据的空间。隐形状态会持续至你的下回合开始，或在你进行一次攻击检定、造成伤害或施展法术时立即终止。</t>
    </r>
    <r>
      <rPr>
        <sz val="10"/>
        <color theme="1"/>
        <rFont val="Times New Roman"/>
        <charset val="134"/>
      </rPr>
      <t xml:space="preserve">
</t>
    </r>
    <r>
      <rPr>
        <sz val="10"/>
        <color theme="1"/>
        <rFont val="宋体"/>
        <charset val="134"/>
      </rPr>
      <t>月辉活力</t>
    </r>
    <r>
      <rPr>
        <sz val="10"/>
        <color theme="1"/>
        <rFont val="Times New Roman"/>
        <charset val="134"/>
      </rPr>
      <t>Lunar Vitality</t>
    </r>
    <r>
      <rPr>
        <sz val="10"/>
        <color theme="1"/>
        <rFont val="宋体"/>
        <charset val="134"/>
      </rPr>
      <t>。每回合一次，当你使用法术恢复一个生物的生命值时，你可以消耗一枚吟游诗人激励骰，并使本次恢复的生命值增加等同于此吟游诗人激励骰的出目。且该生物的速度直到你下回合结束前都会提升</t>
    </r>
    <r>
      <rPr>
        <sz val="10"/>
        <color theme="1"/>
        <rFont val="Times New Roman"/>
        <charset val="134"/>
      </rPr>
      <t>10</t>
    </r>
    <r>
      <rPr>
        <sz val="10"/>
        <color theme="1"/>
        <rFont val="宋体"/>
        <charset val="134"/>
      </rPr>
      <t>尺。</t>
    </r>
  </si>
  <si>
    <t>止杓献杯</t>
  </si>
  <si>
    <r>
      <rPr>
        <sz val="10"/>
        <color theme="1"/>
        <rFont val="宋体"/>
        <charset val="134"/>
      </rPr>
      <t>你可以使攻击者的身体反过来对付自己。当一个位于你</t>
    </r>
    <r>
      <rPr>
        <sz val="10"/>
        <color theme="1"/>
        <rFont val="Times New Roman"/>
        <charset val="134"/>
      </rPr>
      <t>5</t>
    </r>
    <r>
      <rPr>
        <sz val="10"/>
        <color theme="1"/>
        <rFont val="宋体"/>
        <charset val="134"/>
      </rPr>
      <t>尺内且你能看见的生物发动一次攻击并命中你时，你可以用你的反应迫使该生物进行一次体质豁免（对抗你的牧师法术豁免</t>
    </r>
    <r>
      <rPr>
        <sz val="10"/>
        <color theme="1"/>
        <rFont val="Times New Roman"/>
        <charset val="134"/>
      </rPr>
      <t>DC</t>
    </r>
    <r>
      <rPr>
        <sz val="10"/>
        <color theme="1"/>
        <rFont val="宋体"/>
        <charset val="134"/>
      </rPr>
      <t>）。若其豁免失败，则其受到</t>
    </r>
    <r>
      <rPr>
        <sz val="10"/>
        <color theme="1"/>
        <rFont val="Times New Roman"/>
        <charset val="134"/>
      </rPr>
      <t>1d12</t>
    </r>
    <r>
      <rPr>
        <sz val="10"/>
        <color theme="1"/>
        <rFont val="宋体"/>
        <charset val="134"/>
      </rPr>
      <t>毒素伤害，并陷入中毒状态，持续到其下一个回合结束。若其豁免成功，则其只受到一半毒素伤害，且不会陷入中毒。
你可以使用此特性的次数等于你的感知调整值（最少为一次）。当你完成一次长休时，你将恢复所有已消耗的使用次数。</t>
    </r>
  </si>
  <si>
    <t>适应策略</t>
  </si>
  <si>
    <t>当你下达战斗指令时，目标在你下个回合结束前的下一次攻击或豁免检定具有优势。</t>
  </si>
  <si>
    <r>
      <rPr>
        <sz val="10"/>
        <color theme="1"/>
        <rFont val="宋体"/>
        <charset val="134"/>
      </rPr>
      <t>你从术士法术列表中选择并习得两道戏法。推荐选择剑刃防护</t>
    </r>
    <r>
      <rPr>
        <sz val="10"/>
        <color theme="1"/>
        <rFont val="Times New Roman"/>
        <charset val="134"/>
      </rPr>
      <t>Blade Ward</t>
    </r>
    <r>
      <rPr>
        <sz val="10"/>
        <color theme="1"/>
        <rFont val="宋体"/>
        <charset val="134"/>
      </rPr>
      <t>和鸣雷破</t>
    </r>
    <r>
      <rPr>
        <sz val="10"/>
        <color theme="1"/>
        <rFont val="Times New Roman"/>
        <charset val="134"/>
      </rPr>
      <t xml:space="preserve">Thunderclap </t>
    </r>
    <r>
      <rPr>
        <sz val="10"/>
        <color theme="1"/>
        <rFont val="宋体"/>
        <charset val="134"/>
      </rPr>
      <t>。每当你获得一个武僧等级时，你都能将这些戏法替换为另一道你从术士法术列表中选择的戏法。</t>
    </r>
    <r>
      <rPr>
        <sz val="10"/>
        <color theme="1"/>
        <rFont val="Times New Roman"/>
        <charset val="134"/>
      </rPr>
      <t xml:space="preserve">
</t>
    </r>
    <r>
      <rPr>
        <sz val="10"/>
        <color theme="1"/>
        <rFont val="宋体"/>
        <charset val="134"/>
      </rPr>
      <t>当你的武僧等级到达</t>
    </r>
    <r>
      <rPr>
        <sz val="10"/>
        <color theme="1"/>
        <rFont val="Times New Roman"/>
        <charset val="134"/>
      </rPr>
      <t>10</t>
    </r>
    <r>
      <rPr>
        <sz val="10"/>
        <color theme="1"/>
        <rFont val="宋体"/>
        <charset val="134"/>
      </rPr>
      <t>级时，你能选择并习得另一道术士戏法。</t>
    </r>
  </si>
  <si>
    <t>厄运</t>
  </si>
  <si>
    <r>
      <rPr>
        <sz val="10"/>
        <color theme="1"/>
        <rFont val="宋体"/>
        <charset val="134"/>
      </rPr>
      <t>在</t>
    </r>
    <r>
      <rPr>
        <sz val="10"/>
        <color theme="1"/>
        <rFont val="Times New Roman"/>
        <charset val="134"/>
      </rPr>
      <t>3</t>
    </r>
    <r>
      <rPr>
        <sz val="10"/>
        <color theme="1"/>
        <rFont val="宋体"/>
        <charset val="134"/>
      </rPr>
      <t>级起，你学会能够为被你的邪眼标记的生物带来厄运：</t>
    </r>
    <r>
      <rPr>
        <sz val="10"/>
        <color theme="1"/>
        <rFont val="Times New Roman"/>
        <charset val="134"/>
      </rPr>
      <t xml:space="preserve"> 
</t>
    </r>
    <r>
      <rPr>
        <sz val="10"/>
        <color theme="1"/>
        <rFont val="宋体"/>
        <charset val="134"/>
      </rPr>
      <t>厄运</t>
    </r>
    <r>
      <rPr>
        <sz val="10"/>
        <color theme="1"/>
        <rFont val="Times New Roman"/>
        <charset val="134"/>
      </rPr>
      <t>Misfortunes</t>
    </r>
    <r>
      <rPr>
        <sz val="10"/>
        <color theme="1"/>
        <rFont val="宋体"/>
        <charset val="134"/>
      </rPr>
      <t>。</t>
    </r>
    <r>
      <rPr>
        <sz val="10"/>
        <color theme="1"/>
        <rFont val="Times New Roman"/>
        <charset val="134"/>
      </rPr>
      <t xml:space="preserve"> </t>
    </r>
    <r>
      <rPr>
        <sz val="10"/>
        <color theme="1"/>
        <rFont val="宋体"/>
        <charset val="134"/>
      </rPr>
      <t>你学会两种你选择的厄运，详见下文的“厄运”部分。你在</t>
    </r>
    <r>
      <rPr>
        <sz val="10"/>
        <color theme="1"/>
        <rFont val="Times New Roman"/>
        <charset val="134"/>
      </rPr>
      <t>9</t>
    </r>
    <r>
      <rPr>
        <sz val="10"/>
        <color theme="1"/>
        <rFont val="宋体"/>
        <charset val="134"/>
      </rPr>
      <t>级、</t>
    </r>
    <r>
      <rPr>
        <sz val="10"/>
        <color theme="1"/>
        <rFont val="Times New Roman"/>
        <charset val="134"/>
      </rPr>
      <t>13</t>
    </r>
    <r>
      <rPr>
        <sz val="10"/>
        <color theme="1"/>
        <rFont val="宋体"/>
        <charset val="134"/>
      </rPr>
      <t>级和</t>
    </r>
    <r>
      <rPr>
        <sz val="10"/>
        <color theme="1"/>
        <rFont val="Times New Roman"/>
        <charset val="134"/>
      </rPr>
      <t>17</t>
    </r>
    <r>
      <rPr>
        <sz val="10"/>
        <color theme="1"/>
        <rFont val="宋体"/>
        <charset val="134"/>
      </rPr>
      <t>级时学会一种额外的厄运。当你结束一次长休时，你可以将一种你掌握的厄运换成另一种。</t>
    </r>
    <r>
      <rPr>
        <sz val="10"/>
        <color theme="1"/>
        <rFont val="Times New Roman"/>
        <charset val="134"/>
      </rPr>
      <t xml:space="preserve">
</t>
    </r>
    <r>
      <rPr>
        <sz val="10"/>
        <color theme="1"/>
        <rFont val="宋体"/>
        <charset val="134"/>
      </rPr>
      <t>灾厄点</t>
    </r>
    <r>
      <rPr>
        <sz val="10"/>
        <color theme="1"/>
        <rFont val="Times New Roman"/>
        <charset val="134"/>
      </rPr>
      <t>Jinx Points</t>
    </r>
    <r>
      <rPr>
        <sz val="10"/>
        <color theme="1"/>
        <rFont val="宋体"/>
        <charset val="134"/>
      </rPr>
      <t>。</t>
    </r>
    <r>
      <rPr>
        <sz val="10"/>
        <color theme="1"/>
        <rFont val="Times New Roman"/>
        <charset val="134"/>
      </rPr>
      <t xml:space="preserve"> </t>
    </r>
    <r>
      <rPr>
        <sz val="10"/>
        <color theme="1"/>
        <rFont val="宋体"/>
        <charset val="134"/>
      </rPr>
      <t>你具有</t>
    </r>
    <r>
      <rPr>
        <sz val="10"/>
        <color theme="1"/>
        <rFont val="Times New Roman"/>
        <charset val="134"/>
      </rPr>
      <t>3</t>
    </r>
    <r>
      <rPr>
        <sz val="10"/>
        <color theme="1"/>
        <rFont val="宋体"/>
        <charset val="134"/>
      </rPr>
      <t>个灾厄点，当你使用其中一个灾厄点时，直到你再次获得它为止，你无法再次使用。你在结束一次短休或长休后重获消耗的灾厄点。</t>
    </r>
    <r>
      <rPr>
        <sz val="10"/>
        <color theme="1"/>
        <rFont val="Times New Roman"/>
        <charset val="134"/>
      </rPr>
      <t xml:space="preserve"> 
</t>
    </r>
    <r>
      <rPr>
        <sz val="10"/>
        <color theme="1"/>
        <rFont val="宋体"/>
        <charset val="134"/>
      </rPr>
      <t>你在</t>
    </r>
    <r>
      <rPr>
        <sz val="10"/>
        <color theme="1"/>
        <rFont val="Times New Roman"/>
        <charset val="134"/>
      </rPr>
      <t>13</t>
    </r>
    <r>
      <rPr>
        <sz val="10"/>
        <color theme="1"/>
        <rFont val="宋体"/>
        <charset val="134"/>
      </rPr>
      <t>级时额外获得两个灾厄点。</t>
    </r>
    <r>
      <rPr>
        <sz val="10"/>
        <color theme="1"/>
        <rFont val="Times New Roman"/>
        <charset val="134"/>
      </rPr>
      <t xml:space="preserve"> 
</t>
    </r>
    <r>
      <rPr>
        <sz val="10"/>
        <color theme="1"/>
        <rFont val="宋体"/>
        <charset val="134"/>
      </rPr>
      <t>豁免</t>
    </r>
    <r>
      <rPr>
        <sz val="10"/>
        <color theme="1"/>
        <rFont val="Times New Roman"/>
        <charset val="134"/>
      </rPr>
      <t>Saving Throws</t>
    </r>
    <r>
      <rPr>
        <sz val="10"/>
        <color theme="1"/>
        <rFont val="宋体"/>
        <charset val="134"/>
      </rPr>
      <t>。</t>
    </r>
    <r>
      <rPr>
        <sz val="10"/>
        <color theme="1"/>
        <rFont val="Times New Roman"/>
        <charset val="134"/>
      </rPr>
      <t xml:space="preserve"> </t>
    </r>
    <r>
      <rPr>
        <sz val="10"/>
        <color theme="1"/>
        <rFont val="宋体"/>
        <charset val="134"/>
      </rPr>
      <t>你的邪眼，以及你的一部分厄运需要目标进行对抗其效应的豁免。豁免</t>
    </r>
    <r>
      <rPr>
        <sz val="10"/>
        <color theme="1"/>
        <rFont val="Times New Roman"/>
        <charset val="134"/>
      </rPr>
      <t>DC</t>
    </r>
    <r>
      <rPr>
        <sz val="10"/>
        <color theme="1"/>
        <rFont val="宋体"/>
        <charset val="134"/>
      </rPr>
      <t>计算方式如下：</t>
    </r>
    <r>
      <rPr>
        <sz val="10"/>
        <color theme="1"/>
        <rFont val="Times New Roman"/>
        <charset val="134"/>
      </rPr>
      <t xml:space="preserve">
</t>
    </r>
    <r>
      <rPr>
        <sz val="10"/>
        <color theme="1"/>
        <rFont val="宋体"/>
        <charset val="134"/>
      </rPr>
      <t>厄运豁免</t>
    </r>
    <r>
      <rPr>
        <sz val="10"/>
        <color theme="1"/>
        <rFont val="Times New Roman"/>
        <charset val="134"/>
      </rPr>
      <t>DC=8+</t>
    </r>
    <r>
      <rPr>
        <sz val="10"/>
        <color theme="1"/>
        <rFont val="宋体"/>
        <charset val="134"/>
      </rPr>
      <t>你的熟练加值</t>
    </r>
    <r>
      <rPr>
        <sz val="10"/>
        <color theme="1"/>
        <rFont val="Times New Roman"/>
        <charset val="134"/>
      </rPr>
      <t>+</t>
    </r>
    <r>
      <rPr>
        <sz val="10"/>
        <color theme="1"/>
        <rFont val="宋体"/>
        <charset val="134"/>
      </rPr>
      <t>你的魅力调整值</t>
    </r>
  </si>
  <si>
    <r>
      <rPr>
        <sz val="10"/>
        <color theme="1"/>
        <rFont val="宋体"/>
        <charset val="134"/>
      </rPr>
      <t>九命猫</t>
    </r>
  </si>
  <si>
    <r>
      <rPr>
        <sz val="10"/>
        <color theme="1"/>
        <rFont val="宋体"/>
        <charset val="134"/>
      </rPr>
      <t>你被赐予了不可思议的生存力，让你在危险的环境里安然无恙。你获得九条命，这些命将被以下方式消耗：
若你生命值为</t>
    </r>
    <r>
      <rPr>
        <sz val="10"/>
        <color theme="1"/>
        <rFont val="Times New Roman"/>
        <charset val="134"/>
      </rPr>
      <t>0</t>
    </r>
    <r>
      <rPr>
        <sz val="10"/>
        <color theme="1"/>
        <rFont val="宋体"/>
        <charset val="134"/>
      </rPr>
      <t>时受到伤害，你能够消耗一条命以不承受死亡豁免失败。若此伤害来自重击。你必须消耗两条命以避免两次死亡豁免失败。
若你被迫使进行死亡豁免，你能够消耗一条命使其改为成功。
若你被迫使进行死亡豁免，你能够消耗五条命使其骰值改为</t>
    </r>
    <r>
      <rPr>
        <sz val="10"/>
        <color theme="1"/>
        <rFont val="Times New Roman"/>
        <charset val="134"/>
      </rPr>
      <t>20</t>
    </r>
    <r>
      <rPr>
        <sz val="10"/>
        <color theme="1"/>
        <rFont val="宋体"/>
        <charset val="134"/>
      </rPr>
      <t>。
若你将因过量伤害被立即杀死，你能够消耗一条命改为降至</t>
    </r>
    <r>
      <rPr>
        <sz val="10"/>
        <color theme="1"/>
        <rFont val="Times New Roman"/>
        <charset val="134"/>
      </rPr>
      <t>0</t>
    </r>
    <r>
      <rPr>
        <sz val="10"/>
        <color theme="1"/>
        <rFont val="宋体"/>
        <charset val="134"/>
      </rPr>
      <t>生命值。
若你被指定为某个令你立即死亡的效应（如律令死亡</t>
    </r>
    <r>
      <rPr>
        <sz val="10"/>
        <color theme="1"/>
        <rFont val="Times New Roman"/>
        <charset val="134"/>
      </rPr>
      <t xml:space="preserve">Power Word Kill </t>
    </r>
    <r>
      <rPr>
        <sz val="10"/>
        <color theme="1"/>
        <rFont val="宋体"/>
        <charset val="134"/>
      </rPr>
      <t>），你能够消耗九条命忽视该效应。
当你完成长休时，你重获所有已消耗的命。</t>
    </r>
  </si>
  <si>
    <t>饮咒之誓</t>
  </si>
  <si>
    <t>鸦之魂</t>
  </si>
  <si>
    <r>
      <rPr>
        <sz val="10"/>
        <color theme="1"/>
        <rFont val="宋体"/>
        <charset val="134"/>
      </rPr>
      <t>你获得驯兽技能的熟练。若你已熟练于其，则改为选择获得以下一项技能的熟练：运动、自然或求生。</t>
    </r>
    <r>
      <rPr>
        <sz val="10"/>
        <color theme="1"/>
        <rFont val="Times New Roman"/>
        <charset val="134"/>
      </rPr>
      <t xml:space="preserve"> 
</t>
    </r>
    <r>
      <rPr>
        <sz val="10"/>
        <color theme="1"/>
        <rFont val="宋体"/>
        <charset val="134"/>
      </rPr>
      <t>此外，你能够以仪式施展动物交谈</t>
    </r>
    <r>
      <rPr>
        <sz val="10"/>
        <color theme="1"/>
        <rFont val="Times New Roman"/>
        <charset val="134"/>
      </rPr>
      <t xml:space="preserve">Speak With Animals </t>
    </r>
    <r>
      <rPr>
        <sz val="10"/>
        <color theme="1"/>
        <rFont val="宋体"/>
        <charset val="134"/>
      </rPr>
      <t>。</t>
    </r>
  </si>
  <si>
    <t>原初学识</t>
  </si>
  <si>
    <r>
      <rPr>
        <sz val="10"/>
        <color theme="1"/>
        <rFont val="宋体"/>
        <charset val="134"/>
      </rPr>
      <t>你习得德鲁伊语和一个位于德鲁伊法术列表中的戏法。它对你而言视为诗人法术，但是不计入你的已知戏法数量。每当你获得一个吟游诗人等级时，你都可以将此戏法更换为德鲁伊法术列表中的另一个戏法。</t>
    </r>
    <r>
      <rPr>
        <sz val="10"/>
        <color theme="1"/>
        <rFont val="Times New Roman"/>
        <charset val="134"/>
      </rPr>
      <t xml:space="preserve">
    </t>
    </r>
    <r>
      <rPr>
        <sz val="10"/>
        <color theme="1"/>
        <rFont val="宋体"/>
        <charset val="134"/>
      </rPr>
      <t>另外，从下列技能中任选其一：驯兽，洞悉，医药，自然，察觉和求生。你拥有你所选技能的熟练项。</t>
    </r>
  </si>
  <si>
    <t>引导神力：制造疗愈原浆</t>
  </si>
  <si>
    <r>
      <rPr>
        <sz val="10"/>
        <color theme="1"/>
        <rFont val="宋体"/>
        <charset val="134"/>
      </rPr>
      <t>你可以用一个动作，用你的引导神力特性制造出一小杯名为</t>
    </r>
    <r>
      <rPr>
        <sz val="10"/>
        <color theme="1"/>
        <rFont val="宋体"/>
        <charset val="134"/>
      </rPr>
      <t>“</t>
    </r>
    <r>
      <rPr>
        <sz val="10"/>
        <color theme="1"/>
        <rFont val="宋体"/>
        <charset val="134"/>
      </rPr>
      <t>疗愈原浆</t>
    </r>
    <r>
      <rPr>
        <sz val="10"/>
        <color theme="1"/>
        <rFont val="宋体"/>
        <charset val="134"/>
      </rPr>
      <t>”</t>
    </r>
    <r>
      <rPr>
        <sz val="10"/>
        <color theme="1"/>
        <rFont val="宋体"/>
        <charset val="134"/>
      </rPr>
      <t>的魔法浓缩药水。该药水将以小玻璃瓶装的形式出现在你的手中或脚边（由你决定）。药水呈深蓝色，其中翻腾着金色的亮粉。任何生物都可以用一个附赠动作喝下一剂该药水来为自己恢复</t>
    </r>
    <r>
      <rPr>
        <sz val="10"/>
        <color theme="1"/>
        <rFont val="宋体"/>
        <charset val="134"/>
      </rPr>
      <t>“</t>
    </r>
    <r>
      <rPr>
        <sz val="10"/>
        <color theme="1"/>
        <rFont val="Times New Roman"/>
        <charset val="134"/>
      </rPr>
      <t xml:space="preserve">2d6 + </t>
    </r>
    <r>
      <rPr>
        <sz val="10"/>
        <color theme="1"/>
        <rFont val="宋体"/>
        <charset val="134"/>
      </rPr>
      <t>你的牧师等级</t>
    </r>
    <r>
      <rPr>
        <sz val="10"/>
        <color theme="1"/>
        <rFont val="宋体"/>
        <charset val="134"/>
      </rPr>
      <t>”</t>
    </r>
    <r>
      <rPr>
        <sz val="10"/>
        <color theme="1"/>
        <rFont val="宋体"/>
        <charset val="134"/>
      </rPr>
      <t>点生命值。当你完成一次短休或长休时，以此法创造的玻璃瓶以及其中未喝下的疗愈原浆都会化作一阵粉尘并消失。</t>
    </r>
  </si>
  <si>
    <t>号召行动</t>
  </si>
  <si>
    <t>当你使用动作如潮特性时，你可以改为使你可见的一个盟友在你结束此回合后进行一个额外的回合，而非执行一个额外的动作。</t>
  </si>
  <si>
    <t>秘术武者施法表显示了你可用于施展一环及以上法术的法术位数量。你在完成一次长休时恢复所有已消耗的法术位。</t>
  </si>
  <si>
    <t>邪眼</t>
  </si>
  <si>
    <r>
      <rPr>
        <sz val="10"/>
        <color theme="1"/>
        <rFont val="宋体"/>
        <charset val="134"/>
      </rPr>
      <t>当获得这一范型时，你获得以注视施咒的能力。在你的回合内，你可以以一个附赠动作选择</t>
    </r>
    <r>
      <rPr>
        <sz val="10"/>
        <color theme="1"/>
        <rFont val="Times New Roman"/>
        <charset val="134"/>
      </rPr>
      <t>60</t>
    </r>
    <r>
      <rPr>
        <sz val="10"/>
        <color theme="1"/>
        <rFont val="宋体"/>
        <charset val="134"/>
      </rPr>
      <t>尺内你能看见的一个生物。被选择的生物必须成功通过对抗你的厄运豁免</t>
    </r>
    <r>
      <rPr>
        <sz val="10"/>
        <color theme="1"/>
        <rFont val="Times New Roman"/>
        <charset val="134"/>
      </rPr>
      <t>DC</t>
    </r>
    <r>
      <rPr>
        <sz val="10"/>
        <color theme="1"/>
        <rFont val="宋体"/>
        <charset val="134"/>
      </rPr>
      <t>的魅力豁免，否则被你的邪眼所标记。当一个生物被你的邪眼标记时，即便你对其进行攻击时不具备优势，你也能对其使用偷袭，但在你对其进行的攻击具有劣势时无法使用。</t>
    </r>
    <r>
      <rPr>
        <sz val="10"/>
        <color theme="1"/>
        <rFont val="Times New Roman"/>
        <charset val="134"/>
      </rPr>
      <t xml:space="preserve"> 
</t>
    </r>
    <r>
      <rPr>
        <sz val="10"/>
        <color theme="1"/>
        <rFont val="宋体"/>
        <charset val="134"/>
      </rPr>
      <t>邪眼的标记持续</t>
    </r>
    <r>
      <rPr>
        <sz val="10"/>
        <color theme="1"/>
        <rFont val="Times New Roman"/>
        <charset val="134"/>
      </rPr>
      <t>1</t>
    </r>
    <r>
      <rPr>
        <sz val="10"/>
        <color theme="1"/>
        <rFont val="宋体"/>
        <charset val="134"/>
      </rPr>
      <t>分钟，或者直到你标记另一个生物为止。</t>
    </r>
  </si>
  <si>
    <r>
      <rPr>
        <sz val="10"/>
        <color theme="1"/>
        <rFont val="宋体"/>
        <charset val="134"/>
      </rPr>
      <t>众臣归位</t>
    </r>
  </si>
  <si>
    <r>
      <rPr>
        <sz val="10"/>
        <color theme="1"/>
        <rFont val="宋体"/>
        <charset val="134"/>
      </rPr>
      <t>在为猫猫庭尽职尽责地表现出你的优雅、机灵和风度后，你终于获得了它们的青睐。当你受到位于你</t>
    </r>
    <r>
      <rPr>
        <sz val="10"/>
        <color theme="1"/>
        <rFont val="Times New Roman"/>
        <charset val="134"/>
      </rPr>
      <t>60</t>
    </r>
    <r>
      <rPr>
        <sz val="10"/>
        <color theme="1"/>
        <rFont val="宋体"/>
        <charset val="134"/>
      </rPr>
      <t>尺内的生物的伤害时，你能够以反应唤来猫猫庭的怒火。一大群嘶鸣的幽灵猫自异界天空浮现并向伤害你的生物俯冲而下。该生物受到</t>
    </r>
    <r>
      <rPr>
        <sz val="10"/>
        <color theme="1"/>
        <rFont val="Times New Roman"/>
        <charset val="134"/>
      </rPr>
      <t>5d10</t>
    </r>
    <r>
      <rPr>
        <sz val="10"/>
        <color theme="1"/>
        <rFont val="宋体"/>
        <charset val="134"/>
      </rPr>
      <t>力场伤害并陷入目盲与倒地状态持续至你的下个回合结束。
此特性一经使用，直至你完成长休你都无法再次使用。你也可以消耗一枚契约法术位（无需动作）以重置该特性的使用权。</t>
    </r>
  </si>
  <si>
    <t>巨灵贵族之誓</t>
  </si>
  <si>
    <t>凶残狂暴</t>
  </si>
  <si>
    <r>
      <rPr>
        <sz val="10"/>
        <color theme="1"/>
        <rFont val="宋体"/>
        <charset val="134"/>
      </rPr>
      <t>当你进入狂暴时，你选择的</t>
    </r>
    <r>
      <rPr>
        <sz val="10"/>
        <color theme="1"/>
        <rFont val="Times New Roman"/>
        <charset val="134"/>
      </rPr>
      <t>10</t>
    </r>
    <r>
      <rPr>
        <sz val="10"/>
        <color theme="1"/>
        <rFont val="宋体"/>
        <charset val="134"/>
      </rPr>
      <t>尺内能看见你的生物必须成功通过一次感知豁免对抗你的战技豁免</t>
    </r>
    <r>
      <rPr>
        <sz val="10"/>
        <color theme="1"/>
        <rFont val="Times New Roman"/>
        <charset val="134"/>
      </rPr>
      <t>DC</t>
    </r>
    <r>
      <rPr>
        <sz val="10"/>
        <color theme="1"/>
        <rFont val="宋体"/>
        <charset val="134"/>
      </rPr>
      <t>。豁免失败时，该生物陷入恐慌直至其下个回合结束。</t>
    </r>
  </si>
  <si>
    <t>月光祝福</t>
  </si>
  <si>
    <r>
      <rPr>
        <sz val="10"/>
        <color theme="1"/>
        <rFont val="宋体"/>
        <charset val="134"/>
      </rPr>
      <t>你总是准备着法术月华之光</t>
    </r>
    <r>
      <rPr>
        <sz val="10"/>
        <color theme="1"/>
        <rFont val="Times New Roman"/>
        <charset val="134"/>
      </rPr>
      <t>Moonbeam</t>
    </r>
    <r>
      <rPr>
        <sz val="10"/>
        <color theme="1"/>
        <rFont val="宋体"/>
        <charset val="134"/>
      </rPr>
      <t>。</t>
    </r>
    <r>
      <rPr>
        <sz val="10"/>
        <color theme="1"/>
        <rFont val="Times New Roman"/>
        <charset val="134"/>
      </rPr>
      <t xml:space="preserve">
    </t>
    </r>
    <r>
      <rPr>
        <sz val="10"/>
        <color theme="1"/>
        <rFont val="宋体"/>
        <charset val="134"/>
      </rPr>
      <t>当你施展法术月华之光</t>
    </r>
    <r>
      <rPr>
        <sz val="10"/>
        <color theme="1"/>
        <rFont val="Times New Roman"/>
        <charset val="134"/>
      </rPr>
      <t>Moonbeam</t>
    </r>
    <r>
      <rPr>
        <sz val="10"/>
        <color theme="1"/>
        <rFont val="宋体"/>
        <charset val="134"/>
      </rPr>
      <t>时，你可以调整该法术，使其月辉也在你身上浮现。你的身体散发出光芒，在此期间，你</t>
    </r>
    <r>
      <rPr>
        <sz val="10"/>
        <color theme="1"/>
        <rFont val="Times New Roman"/>
        <charset val="134"/>
      </rPr>
      <t>5</t>
    </r>
    <r>
      <rPr>
        <sz val="10"/>
        <color theme="1"/>
        <rFont val="宋体"/>
        <charset val="134"/>
      </rPr>
      <t>尺范围内散发出微光光照，并且每当有生物失败于你月华之光效应的豁免，你都可以选择一名你</t>
    </r>
    <r>
      <rPr>
        <sz val="10"/>
        <color theme="1"/>
        <rFont val="Times New Roman"/>
        <charset val="134"/>
      </rPr>
      <t>60</t>
    </r>
    <r>
      <rPr>
        <sz val="10"/>
        <color theme="1"/>
        <rFont val="宋体"/>
        <charset val="134"/>
      </rPr>
      <t>尺内的可见生物，令其恢复</t>
    </r>
    <r>
      <rPr>
        <sz val="10"/>
        <color theme="1"/>
        <rFont val="Times New Roman"/>
        <charset val="134"/>
      </rPr>
      <t>2d4</t>
    </r>
    <r>
      <rPr>
        <sz val="10"/>
        <color theme="1"/>
        <rFont val="宋体"/>
        <charset val="134"/>
      </rPr>
      <t>点生命值</t>
    </r>
    <r>
      <rPr>
        <sz val="10"/>
        <color theme="1"/>
        <rFont val="Times New Roman"/>
        <charset val="134"/>
      </rPr>
      <t xml:space="preserve">
    </t>
    </r>
    <r>
      <rPr>
        <sz val="10"/>
        <color theme="1"/>
        <rFont val="宋体"/>
        <charset val="134"/>
      </rPr>
      <t>一旦你使用了此特性调整月华之光</t>
    </r>
    <r>
      <rPr>
        <sz val="10"/>
        <color theme="1"/>
        <rFont val="Times New Roman"/>
        <charset val="134"/>
      </rPr>
      <t>Moonbeam</t>
    </r>
    <r>
      <rPr>
        <sz val="10"/>
        <color theme="1"/>
        <rFont val="宋体"/>
        <charset val="134"/>
      </rPr>
      <t>法术，你必须完成一次长休后才能再次使用此特性。</t>
    </r>
  </si>
  <si>
    <t>饮啖兼人</t>
  </si>
  <si>
    <r>
      <rPr>
        <sz val="10"/>
        <color theme="1"/>
        <rFont val="宋体"/>
        <charset val="134"/>
      </rPr>
      <t>你的神性以及你经由魔法强化的体质增强了你的自然防御。你为抵抗毒药或避免中毒而进行的豁免具有优势，且你对强酸和毒素伤害都具有抗性。
此外，每当你施展造粮术</t>
    </r>
    <r>
      <rPr>
        <sz val="10"/>
        <color theme="1"/>
        <rFont val="Times New Roman"/>
        <charset val="134"/>
      </rPr>
      <t>Create Food And Water</t>
    </r>
    <r>
      <rPr>
        <sz val="10"/>
        <color theme="1"/>
        <rFont val="宋体"/>
        <charset val="134"/>
      </rPr>
      <t>时，你能创造出更美味的食物和饮料。你可以将该法术创造出的至多</t>
    </r>
    <r>
      <rPr>
        <sz val="10"/>
        <color theme="1"/>
        <rFont val="Times New Roman"/>
        <charset val="134"/>
      </rPr>
      <t xml:space="preserve"> 5 </t>
    </r>
    <r>
      <rPr>
        <sz val="10"/>
        <color theme="1"/>
        <rFont val="宋体"/>
        <charset val="134"/>
      </rPr>
      <t>加仑水转化为麦芽酒或果酒。你还可以决定食物和酒饮的外观和口味。
最后，若你处于醉酒或中毒状态，你可以用一个动作来魔法性地将这些效果压制</t>
    </r>
    <r>
      <rPr>
        <sz val="10"/>
        <color theme="1"/>
        <rFont val="Times New Roman"/>
        <charset val="134"/>
      </rPr>
      <t>1</t>
    </r>
    <r>
      <rPr>
        <sz val="10"/>
        <color theme="1"/>
        <rFont val="宋体"/>
        <charset val="134"/>
      </rPr>
      <t>分钟。一旦你使用了这一特性后，你必须完成一次长休才能再次使用此特性。</t>
    </r>
  </si>
  <si>
    <t>破门突袭</t>
  </si>
  <si>
    <t>你在战斗的第一轮进行的攻击检定具有优势。</t>
  </si>
  <si>
    <r>
      <rPr>
        <sz val="10"/>
        <color theme="1"/>
        <rFont val="宋体"/>
        <charset val="134"/>
      </rPr>
      <t>你准备可供你以此特性施展的一环及更高环阶的法术列表。为此，选择三道来自术士法术列表的法术。推荐选择跳跃术</t>
    </r>
    <r>
      <rPr>
        <sz val="10"/>
        <color theme="1"/>
        <rFont val="Times New Roman"/>
        <charset val="134"/>
      </rPr>
      <t xml:space="preserve">Jump </t>
    </r>
    <r>
      <rPr>
        <sz val="10"/>
        <color theme="1"/>
        <rFont val="宋体"/>
        <charset val="134"/>
      </rPr>
      <t>、魔法飞弹</t>
    </r>
    <r>
      <rPr>
        <sz val="10"/>
        <color theme="1"/>
        <rFont val="Times New Roman"/>
        <charset val="134"/>
      </rPr>
      <t xml:space="preserve">Magic Missile </t>
    </r>
    <r>
      <rPr>
        <sz val="10"/>
        <color theme="1"/>
        <rFont val="宋体"/>
        <charset val="134"/>
      </rPr>
      <t>和护盾术</t>
    </r>
    <r>
      <rPr>
        <sz val="10"/>
        <color theme="1"/>
        <rFont val="Times New Roman"/>
        <charset val="134"/>
      </rPr>
      <t xml:space="preserve">Shield </t>
    </r>
    <r>
      <rPr>
        <sz val="10"/>
        <color theme="1"/>
        <rFont val="宋体"/>
        <charset val="134"/>
      </rPr>
      <t>。</t>
    </r>
    <r>
      <rPr>
        <sz val="10"/>
        <color theme="1"/>
        <rFont val="Times New Roman"/>
        <charset val="134"/>
      </rPr>
      <t xml:space="preserve">
</t>
    </r>
    <r>
      <rPr>
        <sz val="10"/>
        <color theme="1"/>
        <rFont val="宋体"/>
        <charset val="134"/>
      </rPr>
      <t>已准备法术数量会随你武僧等级的提升而增加，如秘术武者施法表中的准备法术一列所示。每当这一列的数字增加时，从术士法术列表中选择额外法术准备，直至法术列表中法术的数量与表格中的数字一致。你所选择法术的环阶必须是你所拥有法术位对应的环阶。</t>
    </r>
    <r>
      <rPr>
        <sz val="10"/>
        <color theme="1"/>
        <rFont val="Times New Roman"/>
        <charset val="134"/>
      </rPr>
      <t xml:space="preserve">
</t>
    </r>
    <r>
      <rPr>
        <sz val="10"/>
        <color theme="1"/>
        <rFont val="宋体"/>
        <charset val="134"/>
      </rPr>
      <t>例如，如果你是一位</t>
    </r>
    <r>
      <rPr>
        <sz val="10"/>
        <color theme="1"/>
        <rFont val="Times New Roman"/>
        <charset val="134"/>
      </rPr>
      <t>7</t>
    </r>
    <r>
      <rPr>
        <sz val="10"/>
        <color theme="1"/>
        <rFont val="宋体"/>
        <charset val="134"/>
      </rPr>
      <t>级武僧，则你的准备法术列表能包括五道一环或二环的术士法术，随意组合。</t>
    </r>
  </si>
  <si>
    <t>衰弱诅咒</t>
  </si>
  <si>
    <r>
      <rPr>
        <sz val="10"/>
        <color theme="1"/>
        <rFont val="宋体"/>
        <charset val="134"/>
      </rPr>
      <t>当一个被你的邪眼标记的生物受到伤害时，你可以使用你的反应并消耗</t>
    </r>
    <r>
      <rPr>
        <sz val="10"/>
        <color theme="1"/>
        <rFont val="Times New Roman"/>
        <charset val="134"/>
      </rPr>
      <t>1</t>
    </r>
    <r>
      <rPr>
        <sz val="10"/>
        <color theme="1"/>
        <rFont val="宋体"/>
        <charset val="134"/>
      </rPr>
      <t>灾厄点投掷</t>
    </r>
    <r>
      <rPr>
        <sz val="10"/>
        <color theme="1"/>
        <rFont val="Times New Roman"/>
        <charset val="134"/>
      </rPr>
      <t>1d12</t>
    </r>
    <r>
      <rPr>
        <sz val="10"/>
        <color theme="1"/>
        <rFont val="宋体"/>
        <charset val="134"/>
      </rPr>
      <t>，该生物受到等于结果的暗蚀伤害，并且其最大生命值降低相同数值。</t>
    </r>
  </si>
  <si>
    <t>域外天魔法术</t>
  </si>
  <si>
    <t>宗主赐予的魔法使你始终准备了特定的法术。当你到达域外天魔法术表中特定的魔契师等级时，你就始终准备了表中对应的法术。
域外天魔法术Fiend Spells 
魔契师等级 法术
3 魔法飞弹，妖火，月华之光，灼热射线
5 闪现术，灵体卫士
7 火焰护盾Fire Shield，火墙术Wall of Fire 
9 焰击术，高等复原术</t>
  </si>
  <si>
    <t>护法之誓</t>
  </si>
  <si>
    <t>死暴饥狂</t>
  </si>
  <si>
    <r>
      <rPr>
        <sz val="10"/>
        <color theme="1"/>
        <rFont val="宋体"/>
        <charset val="134"/>
      </rPr>
      <t>当你以武器攻击对一名生物造成伤害且伤害掷骰中的一枚掷出最大值时，你可以消耗</t>
    </r>
    <r>
      <rPr>
        <sz val="10"/>
        <color theme="1"/>
        <rFont val="Times New Roman"/>
        <charset val="134"/>
      </rPr>
      <t>1</t>
    </r>
    <r>
      <rPr>
        <sz val="10"/>
        <color theme="1"/>
        <rFont val="宋体"/>
        <charset val="134"/>
      </rPr>
      <t>战技点额外投掷一枚相同类型的骰子（译注：</t>
    </r>
    <r>
      <rPr>
        <sz val="10"/>
        <color theme="1"/>
        <rFont val="Times New Roman"/>
        <charset val="134"/>
      </rPr>
      <t>D8</t>
    </r>
    <r>
      <rPr>
        <sz val="10"/>
        <color theme="1"/>
        <rFont val="宋体"/>
        <charset val="134"/>
      </rPr>
      <t>出</t>
    </r>
    <r>
      <rPr>
        <sz val="10"/>
        <color theme="1"/>
        <rFont val="Times New Roman"/>
        <charset val="134"/>
      </rPr>
      <t>8</t>
    </r>
    <r>
      <rPr>
        <sz val="10"/>
        <color theme="1"/>
        <rFont val="宋体"/>
        <charset val="134"/>
      </rPr>
      <t>就额外骰个</t>
    </r>
    <r>
      <rPr>
        <sz val="10"/>
        <color theme="1"/>
        <rFont val="Times New Roman"/>
        <charset val="134"/>
      </rPr>
      <t>D8</t>
    </r>
    <r>
      <rPr>
        <sz val="10"/>
        <color theme="1"/>
        <rFont val="宋体"/>
        <charset val="134"/>
      </rPr>
      <t>）并将结果加入此次攻击造成的伤害中。每次攻击你仅能如此做一次。</t>
    </r>
  </si>
  <si>
    <t>暮色辉光</t>
  </si>
  <si>
    <r>
      <rPr>
        <sz val="10"/>
        <color theme="1"/>
        <rFont val="宋体"/>
        <charset val="134"/>
      </rPr>
      <t>你的身体中流转着月亮的力量，这使你以如下方式提升了你的明月激励特性：</t>
    </r>
    <r>
      <rPr>
        <sz val="10"/>
        <color theme="1"/>
        <rFont val="Times New Roman"/>
        <charset val="134"/>
      </rPr>
      <t xml:space="preserve">
    </t>
    </r>
    <r>
      <rPr>
        <sz val="10"/>
        <color theme="1"/>
        <rFont val="宋体"/>
        <charset val="134"/>
      </rPr>
      <t>新月之影</t>
    </r>
    <r>
      <rPr>
        <sz val="10"/>
        <color theme="1"/>
        <rFont val="Times New Roman"/>
        <charset val="134"/>
      </rPr>
      <t>Shadow of the New Moon</t>
    </r>
    <r>
      <rPr>
        <sz val="10"/>
        <color theme="1"/>
        <rFont val="宋体"/>
        <charset val="134"/>
      </rPr>
      <t>。当你使用诗人激励时，获得你的吟游诗人激励骰的生物也可以获得隐形状态，并且立刻以一个反应传送至</t>
    </r>
    <r>
      <rPr>
        <sz val="10"/>
        <color theme="1"/>
        <rFont val="Times New Roman"/>
        <charset val="134"/>
      </rPr>
      <t>30</t>
    </r>
    <r>
      <rPr>
        <sz val="10"/>
        <color theme="1"/>
        <rFont val="宋体"/>
        <charset val="134"/>
      </rPr>
      <t>尺内它可以看见的一处未被占据的空间。该生物的隐形状态持续至其下回合开始。</t>
    </r>
    <r>
      <rPr>
        <sz val="10"/>
        <color theme="1"/>
        <rFont val="Times New Roman"/>
        <charset val="134"/>
      </rPr>
      <t xml:space="preserve">
    </t>
    </r>
    <r>
      <rPr>
        <sz val="10"/>
        <color theme="1"/>
        <rFont val="宋体"/>
        <charset val="134"/>
      </rPr>
      <t>满月之辉</t>
    </r>
    <r>
      <rPr>
        <sz val="10"/>
        <color theme="1"/>
        <rFont val="Times New Roman"/>
        <charset val="134"/>
      </rPr>
      <t>Vibrance of the Full Moon</t>
    </r>
    <r>
      <rPr>
        <sz val="10"/>
        <color theme="1"/>
        <rFont val="宋体"/>
        <charset val="134"/>
      </rPr>
      <t>。当你使用月辉活力特性时，你可以不消耗你的吟游诗人激励骰，而是掷</t>
    </r>
    <r>
      <rPr>
        <sz val="10"/>
        <color theme="1"/>
        <rFont val="Times New Roman"/>
        <charset val="134"/>
      </rPr>
      <t>1d6</t>
    </r>
    <r>
      <rPr>
        <sz val="10"/>
        <color theme="1"/>
        <rFont val="宋体"/>
        <charset val="134"/>
      </rPr>
      <t>并使用结果作为代替。</t>
    </r>
  </si>
  <si>
    <t>餍口嘉肴</t>
  </si>
  <si>
    <r>
      <rPr>
        <sz val="10"/>
        <color theme="1"/>
        <rFont val="宋体"/>
        <charset val="134"/>
      </rPr>
      <t>你可以在用餐前念诵一段特殊的祷言，来为由你选择的距你</t>
    </r>
    <r>
      <rPr>
        <sz val="10"/>
        <color theme="1"/>
        <rFont val="Times New Roman"/>
        <charset val="134"/>
      </rPr>
      <t>30</t>
    </r>
    <r>
      <rPr>
        <sz val="10"/>
        <color theme="1"/>
        <rFont val="宋体"/>
        <charset val="134"/>
      </rPr>
      <t>尺以内任意数量的食物施加独特的保护性魔法。在接下来的</t>
    </r>
    <r>
      <rPr>
        <sz val="10"/>
        <color theme="1"/>
        <rFont val="Times New Roman"/>
        <charset val="134"/>
      </rPr>
      <t>10</t>
    </r>
    <r>
      <rPr>
        <sz val="10"/>
        <color theme="1"/>
        <rFont val="宋体"/>
        <charset val="134"/>
      </rPr>
      <t>分钟内，吃过这些食物的生物都将获得</t>
    </r>
    <r>
      <rPr>
        <sz val="10"/>
        <color theme="1"/>
        <rFont val="Times New Roman"/>
        <charset val="134"/>
      </rPr>
      <t>2d6+10</t>
    </r>
    <r>
      <rPr>
        <sz val="10"/>
        <color theme="1"/>
        <rFont val="宋体"/>
        <charset val="134"/>
      </rPr>
      <t>临时生命值，且不会被魅惑，也不会因魔法效应而入睡。上述增益将持续</t>
    </r>
    <r>
      <rPr>
        <sz val="10"/>
        <color theme="1"/>
        <rFont val="Times New Roman"/>
        <charset val="134"/>
      </rPr>
      <t>8</t>
    </r>
    <r>
      <rPr>
        <sz val="10"/>
        <color theme="1"/>
        <rFont val="宋体"/>
        <charset val="134"/>
      </rPr>
      <t>小时，自这</t>
    </r>
    <r>
      <rPr>
        <sz val="10"/>
        <color theme="1"/>
        <rFont val="Times New Roman"/>
        <charset val="134"/>
      </rPr>
      <t>10</t>
    </r>
    <r>
      <rPr>
        <sz val="10"/>
        <color theme="1"/>
        <rFont val="宋体"/>
        <charset val="134"/>
      </rPr>
      <t>分钟结束时开始生效。只有你以及除你以外的至多六名由你选择的自愿生物才能通过食用这一餐饭来获得上述增益。一旦你使用了这一特性后，你必须完成一次长休才能再次使用此特性。</t>
    </r>
  </si>
  <si>
    <t>英雄迷信</t>
  </si>
  <si>
    <t>当你做以下任何一项时，你获得一个英雄激励。
伤害易伤Damage Vulnerability。 对一个生物造成其具有易伤类型的伤害。
发现弱点Find Weakness。触发一个生物的特定弱点，例如幽影Shadow的日照弱点Sunlight Weakness，或者造成阻止生物再生Regeneration类型的伤害。
猜测怪物Guess the Monster。 在看到一个生物之前，猜测其特定种类（例如拟身怪Mimic或巫妖Lich）。当生物揭示时，DM确认你的猜测是否正确。你不能猜测类人Humanoids的身份。
隐密之门Secret Doors。 发现一扇密门。
陷阱搜寻Trapfinder。侦测或解除一个陷阱。
宝藏囤积Treasure Hoard。 找到一件非普通、珍稀、极珍稀或传说魔法物品或价值100+GP的宝藏。</t>
  </si>
  <si>
    <t>每当你获得一个武僧等级，就可以将你列表中的一道法术替换为另一道术士法术，你必须拥有替换后法术对应环阶的法术位才可以替换。</t>
  </si>
  <si>
    <t>命定诅咒</t>
  </si>
  <si>
    <r>
      <rPr>
        <sz val="10"/>
        <color theme="1"/>
        <rFont val="宋体"/>
        <charset val="134"/>
      </rPr>
      <t>当你对被你邪眼标记的生物的攻击未命中时，你可以使用你的反应消耗</t>
    </r>
    <r>
      <rPr>
        <sz val="10"/>
        <color theme="1"/>
        <rFont val="Times New Roman"/>
        <charset val="134"/>
      </rPr>
      <t>1</t>
    </r>
    <r>
      <rPr>
        <sz val="10"/>
        <color theme="1"/>
        <rFont val="宋体"/>
        <charset val="134"/>
      </rPr>
      <t>灾厄点作为同一动作的一部分对其进行一次额外的武器攻击。</t>
    </r>
  </si>
  <si>
    <t>流星</t>
  </si>
  <si>
    <t>你习得戏法魔能爆如果你尚未习得，它不计入你的邪术师可知戏法总数中。当你施展魔能爆时，你可以令其造成光耀伤害而非力场伤害。</t>
  </si>
  <si>
    <r>
      <rPr>
        <sz val="10"/>
        <color theme="1"/>
        <rFont val="宋体"/>
        <charset val="134"/>
      </rPr>
      <t>驯兽师</t>
    </r>
  </si>
  <si>
    <t>狱火利爪</t>
  </si>
  <si>
    <t>从你选择此道途开始，你进入狂暴时你的一只手会变成一只巨大的火焰利爪。在你的狂暴期间利爪会一直存在。如果你正在使用变成利爪的手持有武器，火焰会无害地蔓延到你持有的武器上并将其包裹在魔法火焰中。在你的每个回合内被你用这把火焰武器第一次命中的目标，会额外受到1d6点火焰伤害。 
若你在回合内不以武器攻击造成此次火焰伤害，你可以使用一个附赠动作，在利爪不持有任何物品的情况下使用其发动一次徒手攻击，目标将如常受到徒手攻击造成的钝击或挥砍伤害（类型由你选择），和额外的1d6点火焰伤害。 
利爪的火焰伤害会随着你在此职业达到特定等级时增加， 6级时增加为1d8,10级增加时为1d10,14级时增加为1d12。</t>
  </si>
  <si>
    <t>监管领域法术</t>
  </si>
  <si>
    <r>
      <rPr>
        <sz val="10"/>
        <color theme="1"/>
        <rFont val="宋体"/>
        <charset val="134"/>
      </rPr>
      <t>牧师等级</t>
    </r>
    <r>
      <rPr>
        <sz val="10"/>
        <color theme="1"/>
        <rFont val="Times New Roman"/>
        <charset val="134"/>
      </rPr>
      <t xml:space="preserve"> </t>
    </r>
    <r>
      <rPr>
        <sz val="10"/>
        <color theme="1"/>
        <rFont val="宋体"/>
        <charset val="134"/>
      </rPr>
      <t>法术</t>
    </r>
    <r>
      <rPr>
        <sz val="10"/>
        <color theme="1"/>
        <rFont val="Times New Roman"/>
        <charset val="134"/>
      </rPr>
      <t xml:space="preserve"> 
1</t>
    </r>
    <r>
      <rPr>
        <sz val="10"/>
        <color theme="1"/>
        <rFont val="宋体"/>
        <charset val="134"/>
      </rPr>
      <t>级</t>
    </r>
    <r>
      <rPr>
        <sz val="10"/>
        <color theme="1"/>
        <rFont val="Times New Roman"/>
        <charset val="134"/>
      </rPr>
      <t xml:space="preserve"> </t>
    </r>
    <r>
      <rPr>
        <sz val="10"/>
        <color theme="1"/>
        <rFont val="宋体"/>
        <charset val="134"/>
      </rPr>
      <t>命令术</t>
    </r>
    <r>
      <rPr>
        <sz val="10"/>
        <color theme="1"/>
        <rFont val="Times New Roman"/>
        <charset val="134"/>
      </rPr>
      <t>Command</t>
    </r>
    <r>
      <rPr>
        <sz val="10"/>
        <color theme="1"/>
        <rFont val="宋体"/>
        <charset val="134"/>
      </rPr>
      <t>，猎人印记</t>
    </r>
    <r>
      <rPr>
        <sz val="10"/>
        <color theme="1"/>
        <rFont val="Times New Roman"/>
        <charset val="134"/>
      </rPr>
      <t>Hunter's Mark  
3</t>
    </r>
    <r>
      <rPr>
        <sz val="10"/>
        <color theme="1"/>
        <rFont val="宋体"/>
        <charset val="134"/>
      </rPr>
      <t>级</t>
    </r>
    <r>
      <rPr>
        <sz val="10"/>
        <color theme="1"/>
        <rFont val="Times New Roman"/>
        <charset val="134"/>
      </rPr>
      <t xml:space="preserve"> </t>
    </r>
    <r>
      <rPr>
        <sz val="10"/>
        <color theme="1"/>
        <rFont val="宋体"/>
        <charset val="134"/>
      </rPr>
      <t>安定心神</t>
    </r>
    <r>
      <rPr>
        <sz val="10"/>
        <color theme="1"/>
        <rFont val="Times New Roman"/>
        <charset val="134"/>
      </rPr>
      <t>Calm Emotions</t>
    </r>
    <r>
      <rPr>
        <sz val="10"/>
        <color theme="1"/>
        <rFont val="宋体"/>
        <charset val="134"/>
      </rPr>
      <t>，守护之链</t>
    </r>
    <r>
      <rPr>
        <sz val="10"/>
        <color theme="1"/>
        <rFont val="Times New Roman"/>
        <charset val="134"/>
      </rPr>
      <t>Warding Bond  
5</t>
    </r>
    <r>
      <rPr>
        <sz val="10"/>
        <color theme="1"/>
        <rFont val="宋体"/>
        <charset val="134"/>
      </rPr>
      <t>级</t>
    </r>
    <r>
      <rPr>
        <sz val="10"/>
        <color theme="1"/>
        <rFont val="Times New Roman"/>
        <charset val="134"/>
      </rPr>
      <t xml:space="preserve"> </t>
    </r>
    <r>
      <rPr>
        <sz val="10"/>
        <color theme="1"/>
        <rFont val="宋体"/>
        <charset val="134"/>
      </rPr>
      <t>希望信标</t>
    </r>
    <r>
      <rPr>
        <sz val="10"/>
        <color theme="1"/>
        <rFont val="Times New Roman"/>
        <charset val="134"/>
      </rPr>
      <t>Beacon of Hope</t>
    </r>
    <r>
      <rPr>
        <sz val="10"/>
        <color theme="1"/>
        <rFont val="宋体"/>
        <charset val="134"/>
      </rPr>
      <t>，灵体卫士</t>
    </r>
    <r>
      <rPr>
        <sz val="10"/>
        <color theme="1"/>
        <rFont val="Times New Roman"/>
        <charset val="134"/>
      </rPr>
      <t>Spirit Guardians  
7</t>
    </r>
    <r>
      <rPr>
        <sz val="10"/>
        <color theme="1"/>
        <rFont val="宋体"/>
        <charset val="134"/>
      </rPr>
      <t>级</t>
    </r>
    <r>
      <rPr>
        <sz val="10"/>
        <color theme="1"/>
        <rFont val="Times New Roman"/>
        <charset val="134"/>
      </rPr>
      <t xml:space="preserve"> </t>
    </r>
    <r>
      <rPr>
        <sz val="10"/>
        <color theme="1"/>
        <rFont val="宋体"/>
        <charset val="134"/>
      </rPr>
      <t>防死结界</t>
    </r>
    <r>
      <rPr>
        <sz val="10"/>
        <color theme="1"/>
        <rFont val="Times New Roman"/>
        <charset val="134"/>
      </rPr>
      <t>Death Ward</t>
    </r>
    <r>
      <rPr>
        <sz val="10"/>
        <color theme="1"/>
        <rFont val="宋体"/>
        <charset val="134"/>
      </rPr>
      <t>，信仰守卫</t>
    </r>
    <r>
      <rPr>
        <sz val="10"/>
        <color theme="1"/>
        <rFont val="Times New Roman"/>
        <charset val="134"/>
      </rPr>
      <t>Guardian of Faith  
9</t>
    </r>
    <r>
      <rPr>
        <sz val="10"/>
        <color theme="1"/>
        <rFont val="宋体"/>
        <charset val="134"/>
      </rPr>
      <t>级</t>
    </r>
    <r>
      <rPr>
        <sz val="10"/>
        <color theme="1"/>
        <rFont val="Times New Roman"/>
        <charset val="134"/>
      </rPr>
      <t xml:space="preserve"> </t>
    </r>
    <r>
      <rPr>
        <sz val="10"/>
        <color theme="1"/>
        <rFont val="宋体"/>
        <charset val="134"/>
      </rPr>
      <t>圣居</t>
    </r>
    <r>
      <rPr>
        <sz val="10"/>
        <color theme="1"/>
        <rFont val="Times New Roman"/>
        <charset val="134"/>
      </rPr>
      <t>Hallow</t>
    </r>
    <r>
      <rPr>
        <sz val="10"/>
        <color theme="1"/>
        <rFont val="宋体"/>
        <charset val="134"/>
      </rPr>
      <t>，拉瑞心灵联结</t>
    </r>
    <r>
      <rPr>
        <sz val="10"/>
        <color theme="1"/>
        <rFont val="Times New Roman"/>
        <charset val="134"/>
      </rPr>
      <t xml:space="preserve">Rary's Telepathic Bond  </t>
    </r>
  </si>
  <si>
    <t>地城预防措施</t>
  </si>
  <si>
    <t>你可以施展以下任何法术，无需消耗法术位：警报术Alarm、通晓语言Comprehend Languages、侦测魔法Detect Magic、侦测毒素和疾病Detect Poison and Disease、寻找陷阱Find Traps、鉴定术Identify以及净化食粮Purify Food and Drink 。你施展这些法术时，可以使用智力、感知或魅力作为你的施法属性（在施展法术时选择）。
你可以使用此特性五次，并在完成一次长休时恢复所有已消耗的使用次数。</t>
  </si>
  <si>
    <t>你术士法术的施法属性是感知。</t>
  </si>
  <si>
    <t>无能诅咒</t>
  </si>
  <si>
    <r>
      <rPr>
        <sz val="10"/>
        <color theme="1"/>
        <rFont val="宋体"/>
        <charset val="134"/>
      </rPr>
      <t>当一个被你的邪眼标记的生物进行属性检定或攻击检定时，</t>
    </r>
    <r>
      <rPr>
        <sz val="10"/>
        <color theme="1"/>
        <rFont val="Times New Roman"/>
        <charset val="134"/>
      </rPr>
      <t>DM</t>
    </r>
    <r>
      <rPr>
        <sz val="10"/>
        <color theme="1"/>
        <rFont val="宋体"/>
        <charset val="134"/>
      </rPr>
      <t>宣布其结果之前，</t>
    </r>
    <r>
      <rPr>
        <sz val="10"/>
        <color theme="1"/>
        <rFont val="Times New Roman"/>
        <charset val="134"/>
      </rPr>
      <t xml:space="preserve"> </t>
    </r>
    <r>
      <rPr>
        <sz val="10"/>
        <color theme="1"/>
        <rFont val="宋体"/>
        <charset val="134"/>
      </rPr>
      <t>你可以使用你的反应消耗</t>
    </r>
    <r>
      <rPr>
        <sz val="10"/>
        <color theme="1"/>
        <rFont val="Times New Roman"/>
        <charset val="134"/>
      </rPr>
      <t>1</t>
    </r>
    <r>
      <rPr>
        <sz val="10"/>
        <color theme="1"/>
        <rFont val="宋体"/>
        <charset val="134"/>
      </rPr>
      <t>灾厄点让该生物重骰并使用两次中较低的结果。</t>
    </r>
  </si>
  <si>
    <t>宇宙指南</t>
  </si>
  <si>
    <t>你可以说、读、写天界语和深潜语。此外，你习得戏法神导术，它不计入你的邪术师可知戏法总数中。
你还可以施展一次卜筮术而不用消耗法术位。你在完成一次长休后才能再次以此法施展此法术。</t>
  </si>
  <si>
    <r>
      <rPr>
        <sz val="10"/>
        <color theme="1"/>
        <rFont val="宋体"/>
        <charset val="134"/>
      </rPr>
      <t>妖精漫游者</t>
    </r>
  </si>
  <si>
    <t>地狱之子</t>
  </si>
  <si>
    <t>你学会说，读，写深渊语或炼狱语（由你选择）。此外，当你与邪魔互动时，你可以将你的力量调整值加入到进行的任何魅力（威吓）或魅力（游说）检定中。 
当你在此职业达到10级时，你可以在与任何生物互动时，将力量调整值加入到任何魅力（威吓）鉴定中，而不仅限于邪魔。</t>
  </si>
  <si>
    <t>天选赐福</t>
  </si>
  <si>
    <r>
      <rPr>
        <sz val="10"/>
        <color theme="1"/>
        <rFont val="宋体"/>
        <charset val="134"/>
      </rPr>
      <t>你能够以神圣意志的宣言保护盟友。当位于你</t>
    </r>
    <r>
      <rPr>
        <sz val="10"/>
        <color theme="1"/>
        <rFont val="Times New Roman"/>
        <charset val="134"/>
      </rPr>
      <t>30</t>
    </r>
    <r>
      <rPr>
        <sz val="10"/>
        <color theme="1"/>
        <rFont val="宋体"/>
        <charset val="134"/>
      </rPr>
      <t>尺内你可见的敌人对一名你的盟友发动攻击时，你能够以反应在攻击命中或失手前，令此次攻击具有劣势。</t>
    </r>
  </si>
  <si>
    <t>怪物猎杀</t>
  </si>
  <si>
    <t>每回合一次，当你使用武器攻击命中一个异怪Aberration、龙类Dragon、妖精Fey、邪魔Fiend、怪兽Monstrosity、泥怪Ooze或亡灵Undead时，你可以对目标造成额外1d10伤害。此伤害的类型与武器造成的伤害类型相同。</t>
  </si>
  <si>
    <t>你可以使用奥术法器作为你术士法术的施法法器。</t>
  </si>
  <si>
    <t>灾疫诅咒</t>
  </si>
  <si>
    <r>
      <rPr>
        <sz val="10"/>
        <color theme="1"/>
        <rFont val="宋体"/>
        <charset val="134"/>
      </rPr>
      <t>当一个被你邪眼标记的生物恢复生命值时，你可以使用你的反应并消耗</t>
    </r>
    <r>
      <rPr>
        <sz val="10"/>
        <color theme="1"/>
        <rFont val="Times New Roman"/>
        <charset val="134"/>
      </rPr>
      <t>1</t>
    </r>
    <r>
      <rPr>
        <sz val="10"/>
        <color theme="1"/>
        <rFont val="宋体"/>
        <charset val="134"/>
      </rPr>
      <t>灾厄点让其恢复的生命值减半。当你这么做之后，直到下个回合开始，该生物无法恢复生命值。</t>
    </r>
  </si>
  <si>
    <t>天测轨道</t>
  </si>
  <si>
    <t>每回合一次，当你使用魔能爆未命中一个生物时，射线会折回到你身边，像是一个彗星一样环绕你的脑袋。
当你拥有一枚环绕的彗星时，你可以用以下方法使用它：
宇宙能量Cosmic Power。当你于自己回合中施展魔能爆时，你可以消耗一枚环绕的彗星，发射一条额外的射线。
截击Interception。当你被一次近战攻击或远程攻击命中时，你可以以一个反应，获得对此次攻击所造成的伤害的抗性。
光速Lightspeed。以一个附赠动作，你可以消耗一枚环绕的彗星，传送到至多30尺内一处你能看见且未被占据的位置。
你最多能保存环绕的彗星的数量等于你的熟练加值。当你拥有一枚或更多环绕的彗星时，你为周围20尺提供明亮光照，以及额外10尺微光光照。彗星持续至你完成一次短休或长休，或者你想让它们消失（不需要动作）。</t>
  </si>
  <si>
    <r>
      <rPr>
        <sz val="10"/>
        <color theme="1"/>
        <rFont val="宋体"/>
        <charset val="134"/>
      </rPr>
      <t>幽域追踪者</t>
    </r>
  </si>
  <si>
    <t>炼狱战士</t>
  </si>
  <si>
    <t>你体内的地狱火即使在非狂暴状态下也依然炽热。你获得对火焰伤害的抗性。
此外，当你在狂暴状态下使用攻击动作对生物进行擒抱时，如果你的擒抱检定成功，目标会立即受到你的狱火利爪的火焰伤害，并且只要该生物保持被受擒状态，在其每次回合结束时再次受到该伤害。</t>
  </si>
  <si>
    <t>你获得军用武器熟练。你还会获得游说技能熟练。</t>
  </si>
  <si>
    <t>完美规避</t>
  </si>
  <si>
    <t>当你受到一个允许你进行一次力量、敏捷或体质豁免以只受一半伤害的效应时，若你豁免成功，则你不会受到伤害；若你豁免失败，则仅受一半伤害。如果你处于失能状态，则无法使用此特性。</t>
  </si>
  <si>
    <t>秘法专注</t>
  </si>
  <si>
    <r>
      <rPr>
        <sz val="10"/>
        <color theme="1"/>
        <rFont val="宋体"/>
        <charset val="134"/>
      </rPr>
      <t>你使自己的魔力与武道专注保持着完美平衡，使得你能够将法术位转换为功力或将功力转换为法术位。</t>
    </r>
    <r>
      <rPr>
        <sz val="10"/>
        <color theme="1"/>
        <rFont val="Times New Roman"/>
        <charset val="134"/>
      </rPr>
      <t xml:space="preserve">
</t>
    </r>
    <r>
      <rPr>
        <sz val="10"/>
        <color theme="1"/>
        <rFont val="宋体"/>
        <charset val="134"/>
      </rPr>
      <t>法术位转换为功力</t>
    </r>
    <r>
      <rPr>
        <sz val="10"/>
        <color theme="1"/>
        <rFont val="Times New Roman"/>
        <charset val="134"/>
      </rPr>
      <t>Converting Spell Slots to Focus Points</t>
    </r>
    <r>
      <rPr>
        <sz val="10"/>
        <color theme="1"/>
        <rFont val="宋体"/>
        <charset val="134"/>
      </rPr>
      <t>。</t>
    </r>
    <r>
      <rPr>
        <sz val="10"/>
        <color theme="1"/>
        <rFont val="Times New Roman"/>
        <charset val="134"/>
      </rPr>
      <t xml:space="preserve"> </t>
    </r>
    <r>
      <rPr>
        <sz val="10"/>
        <color theme="1"/>
        <rFont val="宋体"/>
        <charset val="134"/>
      </rPr>
      <t>你可以消耗一个法术位，来恢复等于该法术位环阶数量点已消耗功力（无需动作）。</t>
    </r>
    <r>
      <rPr>
        <sz val="10"/>
        <color theme="1"/>
        <rFont val="Times New Roman"/>
        <charset val="134"/>
      </rPr>
      <t xml:space="preserve">
</t>
    </r>
    <r>
      <rPr>
        <sz val="10"/>
        <color theme="1"/>
        <rFont val="宋体"/>
        <charset val="134"/>
      </rPr>
      <t>恢复法术位</t>
    </r>
    <r>
      <rPr>
        <sz val="10"/>
        <color theme="1"/>
        <rFont val="Times New Roman"/>
        <charset val="134"/>
      </rPr>
      <t>Recovering Spell Slots</t>
    </r>
    <r>
      <rPr>
        <sz val="10"/>
        <color theme="1"/>
        <rFont val="宋体"/>
        <charset val="134"/>
      </rPr>
      <t>。</t>
    </r>
    <r>
      <rPr>
        <sz val="10"/>
        <color theme="1"/>
        <rFont val="Times New Roman"/>
        <charset val="134"/>
      </rPr>
      <t xml:space="preserve"> </t>
    </r>
    <r>
      <rPr>
        <sz val="10"/>
        <color theme="1"/>
        <rFont val="宋体"/>
        <charset val="134"/>
      </rPr>
      <t>以一个附赠动作，你可以通过转换未消耗的功力来恢复一个已消耗的法术位。法术位恢复表列出了恢复特定环阶法术位的消耗，并列出了恢复该法术位所需的最低武僧等级。你最高只能恢复四环法术位。</t>
    </r>
    <r>
      <rPr>
        <sz val="10"/>
        <color theme="1"/>
        <rFont val="Times New Roman"/>
        <charset val="134"/>
      </rPr>
      <t xml:space="preserve">
</t>
    </r>
    <r>
      <rPr>
        <sz val="10"/>
        <color theme="1"/>
        <rFont val="宋体"/>
        <charset val="134"/>
      </rPr>
      <t>恢复法术位</t>
    </r>
    <r>
      <rPr>
        <sz val="10"/>
        <color theme="1"/>
        <rFont val="Times New Roman"/>
        <charset val="134"/>
      </rPr>
      <t xml:space="preserve">Recovering Spell Slots </t>
    </r>
    <r>
      <rPr>
        <sz val="10"/>
        <color theme="1"/>
        <rFont val="宋体"/>
        <charset val="134"/>
      </rPr>
      <t>法术位环阶</t>
    </r>
    <r>
      <rPr>
        <sz val="10"/>
        <color theme="1"/>
        <rFont val="Times New Roman"/>
        <charset val="134"/>
      </rPr>
      <t xml:space="preserve"> </t>
    </r>
    <r>
      <rPr>
        <sz val="10"/>
        <color theme="1"/>
        <rFont val="宋体"/>
        <charset val="134"/>
      </rPr>
      <t>功力消耗</t>
    </r>
    <r>
      <rPr>
        <sz val="10"/>
        <color theme="1"/>
        <rFont val="Times New Roman"/>
        <charset val="134"/>
      </rPr>
      <t xml:space="preserve"> </t>
    </r>
    <r>
      <rPr>
        <sz val="10"/>
        <color theme="1"/>
        <rFont val="宋体"/>
        <charset val="134"/>
      </rPr>
      <t>最低武僧等级</t>
    </r>
    <r>
      <rPr>
        <sz val="10"/>
        <color theme="1"/>
        <rFont val="Times New Roman"/>
        <charset val="134"/>
      </rPr>
      <t xml:space="preserve"> 
1 2 6 
2 3 7 
3 5 13 
4 6 19</t>
    </r>
  </si>
  <si>
    <t>惑心诅咒</t>
  </si>
  <si>
    <r>
      <rPr>
        <sz val="10"/>
        <color theme="1"/>
        <rFont val="宋体"/>
        <charset val="134"/>
      </rPr>
      <t>以一个动作，你可以消耗</t>
    </r>
    <r>
      <rPr>
        <sz val="10"/>
        <color theme="1"/>
        <rFont val="Times New Roman"/>
        <charset val="134"/>
      </rPr>
      <t>2</t>
    </r>
    <r>
      <rPr>
        <sz val="10"/>
        <color theme="1"/>
        <rFont val="宋体"/>
        <charset val="134"/>
      </rPr>
      <t>灾厄点，令被你的邪眼标记的生物被魅惑</t>
    </r>
    <r>
      <rPr>
        <sz val="10"/>
        <color theme="1"/>
        <rFont val="Times New Roman"/>
        <charset val="134"/>
      </rPr>
      <t>10</t>
    </r>
    <r>
      <rPr>
        <sz val="10"/>
        <color theme="1"/>
        <rFont val="宋体"/>
        <charset val="134"/>
      </rPr>
      <t>分钟。当你这么做后，该生物不再被你的邪眼所标记，如果你或你的盟友对该生物造成伤害或迫使其进行豁免，则魅惑状态提前结束。</t>
    </r>
    <r>
      <rPr>
        <sz val="10"/>
        <color theme="1"/>
        <rFont val="Times New Roman"/>
        <charset val="134"/>
      </rPr>
      <t>10</t>
    </r>
    <r>
      <rPr>
        <sz val="10"/>
        <color theme="1"/>
        <rFont val="宋体"/>
        <charset val="134"/>
      </rPr>
      <t>分钟后，该生物会知晓你使用了魔法来影响它对你的情绪和倾向。</t>
    </r>
  </si>
  <si>
    <t>流星冲击</t>
  </si>
  <si>
    <t>每回合一次，当你使用魔能爆命中一个生物时，你可以使射线爆炸。目标周围10尺的每个生物都必须通过一个敏捷豁免检定，否则受到3d6火焰伤害。
这个伤害在14级时变为4d6，在17级时变为5d6。</t>
  </si>
  <si>
    <r>
      <rPr>
        <sz val="10"/>
        <color theme="1"/>
        <rFont val="宋体"/>
        <charset val="134"/>
      </rPr>
      <t>猎人</t>
    </r>
  </si>
  <si>
    <t>异界密谋者</t>
  </si>
  <si>
    <t>你可以与某个感兴趣的大邪魔 archfiend 或类似的强大存在达成小交易，以窥探其他生物的内心并利用他们的恐惧。你可以使用一个动作，消耗2个生命骰，不回复任何生命值，来施放法术侦测思想detect thoughts 。该法术的豁免DC等于8+你的熟练价值+你的体质调整值。</t>
  </si>
  <si>
    <t>引导神力：神圣引导</t>
  </si>
  <si>
    <r>
      <rPr>
        <sz val="10"/>
        <color theme="1"/>
        <rFont val="宋体"/>
        <charset val="134"/>
      </rPr>
      <t>你可以使用引导神力增强盟友的潜能。
以一个动作，你展示圣徽，选择位于你</t>
    </r>
    <r>
      <rPr>
        <sz val="10"/>
        <color theme="1"/>
        <rFont val="Times New Roman"/>
        <charset val="134"/>
      </rPr>
      <t>60</t>
    </r>
    <r>
      <rPr>
        <sz val="10"/>
        <color theme="1"/>
        <rFont val="宋体"/>
        <charset val="134"/>
      </rPr>
      <t>尺内一定数量你可见且能看见你的生物，至多等于你的感知调整值名（至少</t>
    </r>
    <r>
      <rPr>
        <sz val="10"/>
        <color theme="1"/>
        <rFont val="Times New Roman"/>
        <charset val="134"/>
      </rPr>
      <t>1</t>
    </r>
    <r>
      <rPr>
        <sz val="10"/>
        <color theme="1"/>
        <rFont val="宋体"/>
        <charset val="134"/>
      </rPr>
      <t>名）。每个生物获得</t>
    </r>
    <r>
      <rPr>
        <sz val="10"/>
        <color theme="1"/>
        <rFont val="Times New Roman"/>
        <charset val="134"/>
      </rPr>
      <t>5</t>
    </r>
    <r>
      <rPr>
        <sz val="10"/>
        <color theme="1"/>
        <rFont val="宋体"/>
        <charset val="134"/>
      </rPr>
      <t>临时生命值。且当目标获得此临时生命值时，其能够立即以反应发动一次武器攻击。</t>
    </r>
  </si>
  <si>
    <t>资深英雄</t>
  </si>
  <si>
    <t>你的地城探险专长为你带来以下益处。
无双气概Peerless Heroism。 每回合一次，当你进行一次D20检定时，你可以消耗英雄激励将掷骰结果变为20，而非重掷d20。
双重激励Double Inspiration。 你可以同时拥有两个英雄激励。但每次掷骰你只能使用一个英雄激励。</t>
  </si>
  <si>
    <t>秘法战斗风格</t>
  </si>
  <si>
    <t>当你在自己回合执行攻击动作时，你可以将该动作攻击中的一次攻击替换为施展一道施法时间为动作的你的术士戏法。</t>
  </si>
  <si>
    <t>灭亡诅咒</t>
  </si>
  <si>
    <r>
      <rPr>
        <sz val="10"/>
        <color theme="1"/>
        <rFont val="宋体"/>
        <charset val="134"/>
      </rPr>
      <t>当一个被你邪眼标记的生物进行豁免检定时，</t>
    </r>
    <r>
      <rPr>
        <sz val="10"/>
        <color theme="1"/>
        <rFont val="Times New Roman"/>
        <charset val="134"/>
      </rPr>
      <t>DM</t>
    </r>
    <r>
      <rPr>
        <sz val="10"/>
        <color theme="1"/>
        <rFont val="宋体"/>
        <charset val="134"/>
      </rPr>
      <t>宣布其结果之前，你可以使用你的反应消耗</t>
    </r>
    <r>
      <rPr>
        <sz val="10"/>
        <color theme="1"/>
        <rFont val="Times New Roman"/>
        <charset val="134"/>
      </rPr>
      <t>2</t>
    </r>
    <r>
      <rPr>
        <sz val="10"/>
        <color theme="1"/>
        <rFont val="宋体"/>
        <charset val="134"/>
      </rPr>
      <t>灾厄点让该生物重骰并使用两次中较低的结果。</t>
    </r>
  </si>
  <si>
    <t>超新星</t>
  </si>
  <si>
    <t>通过汲取恒星的能量，你从隐藏在太空深处的超然存在那里获得了额外的好处。
·当你施展魔能爆时，你可以额外发射一条射线。
·当你的魔能爆造成一次重击时，你在本回合中可以额外使用一次流星冲击Meteoric Impact能力。</t>
  </si>
  <si>
    <r>
      <rPr>
        <sz val="10"/>
        <color theme="1"/>
        <rFont val="宋体"/>
        <charset val="134"/>
      </rPr>
      <t>边界行者</t>
    </r>
  </si>
  <si>
    <t>焚烧怒火</t>
  </si>
  <si>
    <t>当你在狂暴状态下受到来自一个60尺内你能看见的生物的伤害时，你可以用反应从你的利爪中释放惩罚之火向他们袭去，模仿法术炼狱叱喝hellish rebuke 的效果（3环版本，豁免DC为8+你的熟练加值+你的体质调整值。）。每次狂暴你可以使用此能力两次。</t>
  </si>
  <si>
    <t>角斗场</t>
  </si>
  <si>
    <r>
      <rPr>
        <sz val="10"/>
        <color theme="1"/>
        <rFont val="宋体"/>
        <charset val="134"/>
      </rPr>
      <t>你能够作为你盟友的后备力量支撑他们。以一个反应，当你或一名位于你</t>
    </r>
    <r>
      <rPr>
        <sz val="10"/>
        <color theme="1"/>
        <rFont val="Times New Roman"/>
        <charset val="134"/>
      </rPr>
      <t>30</t>
    </r>
    <r>
      <rPr>
        <sz val="10"/>
        <color theme="1"/>
        <rFont val="宋体"/>
        <charset val="134"/>
      </rPr>
      <t>尺内你可见的盟友陷入魅咒、恐慌、麻痹或震慑时，你移除该状态。
你能够使用该特性的次数等于你的感知调整值（至少</t>
    </r>
    <r>
      <rPr>
        <sz val="10"/>
        <color theme="1"/>
        <rFont val="Times New Roman"/>
        <charset val="134"/>
      </rPr>
      <t>1</t>
    </r>
    <r>
      <rPr>
        <sz val="10"/>
        <color theme="1"/>
        <rFont val="宋体"/>
        <charset val="134"/>
      </rPr>
      <t>次）。当你完成长休时你重获所有已消耗的使用次数。</t>
    </r>
  </si>
  <si>
    <t>引精注灵</t>
  </si>
  <si>
    <t>你获得了将灵之能量注入攻击的能力。你拥有四枚d6骰，这些骰子被称为精华骰。
当你对生物进行武器攻击检定时，你可以消耗池中的一枚骰子并将其加到攻击检定上。或者，你也可以消耗一枚骰子来将其加到攻击的伤害上。你可以在进行攻击检定前或之后选择这么做，但必须在任何攻击结果生效之前决定。
当你完成一次短休或长休后，你恢复所有已消耗的精华骰。
在本职业的特定等级，你的会获得额外的d6精华骰：7级（5d6），10级（6d6），15级（7d6），以及18级（8d6）。</t>
  </si>
  <si>
    <t>凝神专注</t>
  </si>
  <si>
    <t>每当你消耗功力使用疾风连击、坚强防御或疾步如风时，直到你的下个回合开始前，你在为维持专注的所做的任何豁免都具有优势。</t>
  </si>
  <si>
    <t>恐惧诅咒</t>
  </si>
  <si>
    <r>
      <rPr>
        <sz val="10"/>
        <color theme="1"/>
        <rFont val="宋体"/>
        <charset val="134"/>
      </rPr>
      <t>以一个动作，你可以消耗</t>
    </r>
    <r>
      <rPr>
        <sz val="10"/>
        <color theme="1"/>
        <rFont val="Times New Roman"/>
        <charset val="134"/>
      </rPr>
      <t>2</t>
    </r>
    <r>
      <rPr>
        <sz val="10"/>
        <color theme="1"/>
        <rFont val="宋体"/>
        <charset val="134"/>
      </rPr>
      <t>灾厄点，令被你邪眼所标记的生物陷入恐慌</t>
    </r>
    <r>
      <rPr>
        <sz val="10"/>
        <color theme="1"/>
        <rFont val="Times New Roman"/>
        <charset val="134"/>
      </rPr>
      <t>1</t>
    </r>
    <r>
      <rPr>
        <sz val="10"/>
        <color theme="1"/>
        <rFont val="宋体"/>
        <charset val="134"/>
      </rPr>
      <t>分钟。当你这么做后，该生物不再被你的邪眼所标记。当每个其回合结束时，该生物都可以进行一次感知豁免，成功则提前结束这一厄运。</t>
    </r>
  </si>
  <si>
    <t>畸变血肉法术</t>
  </si>
  <si>
    <t>宗主赐予的魔法使你始终准备了特定的法术。当你到达畸变血肉法术表中特定的魔契师等级时，你就始终准备了表中对应的法术。
畸变血肉者法术Great Old One Spells 
魔契师等级 法术
3 跳跃术，护盾术，强化属性，变巨术/缩小术
5 加速术，缓慢术
7 黑触手，变形术
9 高等复原术，转生术</t>
  </si>
  <si>
    <r>
      <rPr>
        <sz val="10"/>
        <color theme="1"/>
        <rFont val="宋体"/>
        <charset val="134"/>
      </rPr>
      <t>怪物杀手</t>
    </r>
  </si>
  <si>
    <t>暗影之霾</t>
  </si>
  <si>
    <t>你狂暴期间会散发出暗影之霾。影霾充斥你10尺内。任何在影霾中开始其回合的生物（除你以外）的下次攻击检定具有劣势。</t>
  </si>
  <si>
    <t>责不容死</t>
  </si>
  <si>
    <r>
      <rPr>
        <sz val="10"/>
        <color theme="1"/>
        <rFont val="宋体"/>
        <charset val="134"/>
      </rPr>
      <t>你可以运用你的力量将伙伴自死亡中拉回。当一名位于你</t>
    </r>
    <r>
      <rPr>
        <sz val="10"/>
        <color theme="1"/>
        <rFont val="Times New Roman"/>
        <charset val="134"/>
      </rPr>
      <t>60</t>
    </r>
    <r>
      <rPr>
        <sz val="10"/>
        <color theme="1"/>
        <rFont val="宋体"/>
        <charset val="134"/>
      </rPr>
      <t>尺内你可见的盟友生命值降至</t>
    </r>
    <r>
      <rPr>
        <sz val="10"/>
        <color theme="1"/>
        <rFont val="Times New Roman"/>
        <charset val="134"/>
      </rPr>
      <t>0</t>
    </r>
    <r>
      <rPr>
        <sz val="10"/>
        <color theme="1"/>
        <rFont val="宋体"/>
        <charset val="134"/>
      </rPr>
      <t>且没有被直接杀死时，其保持清醒且恢复等于其生命值上限一半的生命值。失能期间，你无法使用该特性。此特性一经使用，直至你完成短休或长休都无法再次使用。</t>
    </r>
  </si>
  <si>
    <t>引灵御物</t>
  </si>
  <si>
    <t>你获得了将体内灵之能量注入物体的能力，能够产生各种效果。你学会一个你所选择的引灵选项（见下文"引灵选项"）。此外，你获得一件可以用来引导该选项的自选物品。
使用此特性后，你必须完成一次短休或长休才能再次使用它。
你同时获得回收技能的熟练。</t>
  </si>
  <si>
    <t>精通秘法战斗风格</t>
  </si>
  <si>
    <t>当你在自己回合执行攻击动作时，你可以该动作攻击中的两次攻击替换为施展一道施法时间为动作，环阶为一环或二环的你的术士法术。</t>
  </si>
  <si>
    <t>重伤诅咒</t>
  </si>
  <si>
    <r>
      <rPr>
        <sz val="10"/>
        <color theme="1"/>
        <rFont val="宋体"/>
        <charset val="134"/>
      </rPr>
      <t>当你以武器命中一个被你邪眼标记的生物，并且掷骰结果为</t>
    </r>
    <r>
      <rPr>
        <sz val="10"/>
        <color theme="1"/>
        <rFont val="Times New Roman"/>
        <charset val="134"/>
      </rPr>
      <t>18</t>
    </r>
    <r>
      <rPr>
        <sz val="10"/>
        <color theme="1"/>
        <rFont val="宋体"/>
        <charset val="134"/>
      </rPr>
      <t>或</t>
    </r>
    <r>
      <rPr>
        <sz val="10"/>
        <color theme="1"/>
        <rFont val="Times New Roman"/>
        <charset val="134"/>
      </rPr>
      <t>19</t>
    </r>
    <r>
      <rPr>
        <sz val="10"/>
        <color theme="1"/>
        <rFont val="宋体"/>
        <charset val="134"/>
      </rPr>
      <t>时，你可以使用你的反应并消耗</t>
    </r>
    <r>
      <rPr>
        <sz val="10"/>
        <color theme="1"/>
        <rFont val="Times New Roman"/>
        <charset val="134"/>
      </rPr>
      <t>2</t>
    </r>
    <r>
      <rPr>
        <sz val="10"/>
        <color theme="1"/>
        <rFont val="宋体"/>
        <charset val="134"/>
      </rPr>
      <t>灾厄点将这次命中变为重击。</t>
    </r>
  </si>
  <si>
    <t>无甲防御</t>
  </si>
  <si>
    <t>当你未着装任何护甲也没持用盾牌时，你的AC值等于10＋你的敏捷调整值＋你的体质调整值。</t>
  </si>
  <si>
    <r>
      <rPr>
        <sz val="10"/>
        <color theme="1"/>
        <rFont val="宋体"/>
        <charset val="134"/>
      </rPr>
      <t>集群牧者</t>
    </r>
  </si>
  <si>
    <t>蔓延之雾</t>
  </si>
  <si>
    <r>
      <rPr>
        <sz val="10"/>
        <color theme="1"/>
        <rFont val="宋体"/>
        <charset val="134"/>
      </rPr>
      <t>你可以暴散成一片原始暗影的薄雾，然后在其他地方重组。以一个动作，你魔法性的传送至多</t>
    </r>
    <r>
      <rPr>
        <sz val="10"/>
        <color theme="1"/>
        <rFont val="Times New Roman"/>
        <charset val="134"/>
      </rPr>
      <t>60</t>
    </r>
    <r>
      <rPr>
        <sz val="10"/>
        <color theme="1"/>
        <rFont val="宋体"/>
        <charset val="134"/>
      </rPr>
      <t>尺，连同你穿着或携带的任何装备，至一处你可见的未占据空间。你可以在传送前或传送后发动一次近战攻击。</t>
    </r>
  </si>
  <si>
    <r>
      <rPr>
        <sz val="10"/>
        <color theme="1"/>
        <rFont val="宋体"/>
        <charset val="134"/>
      </rPr>
      <t>牧师等级</t>
    </r>
    <r>
      <rPr>
        <sz val="10"/>
        <color theme="1"/>
        <rFont val="Times New Roman"/>
        <charset val="134"/>
      </rPr>
      <t xml:space="preserve"> </t>
    </r>
    <r>
      <rPr>
        <sz val="10"/>
        <color theme="1"/>
        <rFont val="宋体"/>
        <charset val="134"/>
      </rPr>
      <t>法术</t>
    </r>
    <r>
      <rPr>
        <sz val="10"/>
        <color theme="1"/>
        <rFont val="Times New Roman"/>
        <charset val="134"/>
      </rPr>
      <t xml:space="preserve"> 
1</t>
    </r>
    <r>
      <rPr>
        <sz val="10"/>
        <color theme="1"/>
        <rFont val="宋体"/>
        <charset val="134"/>
      </rPr>
      <t>级</t>
    </r>
    <r>
      <rPr>
        <sz val="10"/>
        <color theme="1"/>
        <rFont val="Times New Roman"/>
        <charset val="134"/>
      </rPr>
      <t xml:space="preserve"> </t>
    </r>
    <r>
      <rPr>
        <sz val="10"/>
        <color theme="1"/>
        <rFont val="宋体"/>
        <charset val="134"/>
      </rPr>
      <t>灾祸术</t>
    </r>
    <r>
      <rPr>
        <sz val="10"/>
        <color theme="1"/>
        <rFont val="Times New Roman"/>
        <charset val="134"/>
      </rPr>
      <t>Bane</t>
    </r>
    <r>
      <rPr>
        <sz val="10"/>
        <color theme="1"/>
        <rFont val="宋体"/>
        <charset val="134"/>
      </rPr>
      <t>，虚假生命</t>
    </r>
    <r>
      <rPr>
        <sz val="10"/>
        <color theme="1"/>
        <rFont val="Times New Roman"/>
        <charset val="134"/>
      </rPr>
      <t>False Life 
3</t>
    </r>
    <r>
      <rPr>
        <sz val="10"/>
        <color theme="1"/>
        <rFont val="宋体"/>
        <charset val="134"/>
      </rPr>
      <t>级</t>
    </r>
    <r>
      <rPr>
        <sz val="10"/>
        <color theme="1"/>
        <rFont val="Times New Roman"/>
        <charset val="134"/>
      </rPr>
      <t xml:space="preserve"> </t>
    </r>
    <r>
      <rPr>
        <sz val="10"/>
        <color theme="1"/>
        <rFont val="宋体"/>
        <charset val="134"/>
      </rPr>
      <t>目盲术</t>
    </r>
    <r>
      <rPr>
        <sz val="10"/>
        <color theme="1"/>
        <rFont val="Times New Roman"/>
        <charset val="134"/>
      </rPr>
      <t>/</t>
    </r>
    <r>
      <rPr>
        <sz val="10"/>
        <color theme="1"/>
        <rFont val="宋体"/>
        <charset val="134"/>
      </rPr>
      <t>耳聋术</t>
    </r>
    <r>
      <rPr>
        <sz val="10"/>
        <color theme="1"/>
        <rFont val="Times New Roman"/>
        <charset val="134"/>
      </rPr>
      <t>Blindness/Deafness</t>
    </r>
    <r>
      <rPr>
        <sz val="10"/>
        <color theme="1"/>
        <rFont val="宋体"/>
        <charset val="134"/>
      </rPr>
      <t>，黑暗术</t>
    </r>
    <r>
      <rPr>
        <sz val="10"/>
        <color theme="1"/>
        <rFont val="Times New Roman"/>
        <charset val="134"/>
      </rPr>
      <t>Darkness  
5</t>
    </r>
    <r>
      <rPr>
        <sz val="10"/>
        <color theme="1"/>
        <rFont val="宋体"/>
        <charset val="134"/>
      </rPr>
      <t>级</t>
    </r>
    <r>
      <rPr>
        <sz val="10"/>
        <color theme="1"/>
        <rFont val="Times New Roman"/>
        <charset val="134"/>
      </rPr>
      <t xml:space="preserve"> </t>
    </r>
    <r>
      <rPr>
        <sz val="10"/>
        <color theme="1"/>
        <rFont val="宋体"/>
        <charset val="134"/>
      </rPr>
      <t>闪烁术</t>
    </r>
    <r>
      <rPr>
        <sz val="10"/>
        <color theme="1"/>
        <rFont val="Times New Roman"/>
        <charset val="134"/>
      </rPr>
      <t>Blink</t>
    </r>
    <r>
      <rPr>
        <sz val="10"/>
        <color theme="1"/>
        <rFont val="宋体"/>
        <charset val="134"/>
      </rPr>
      <t>，恐惧术</t>
    </r>
    <r>
      <rPr>
        <sz val="10"/>
        <color theme="1"/>
        <rFont val="Times New Roman"/>
        <charset val="134"/>
      </rPr>
      <t>Fear 
7</t>
    </r>
    <r>
      <rPr>
        <sz val="10"/>
        <color theme="1"/>
        <rFont val="宋体"/>
        <charset val="134"/>
      </rPr>
      <t>级</t>
    </r>
    <r>
      <rPr>
        <sz val="10"/>
        <color theme="1"/>
        <rFont val="Times New Roman"/>
        <charset val="134"/>
      </rPr>
      <t xml:space="preserve"> </t>
    </r>
    <r>
      <rPr>
        <sz val="10"/>
        <color theme="1"/>
        <rFont val="宋体"/>
        <charset val="134"/>
      </rPr>
      <t>艾伐黑触手</t>
    </r>
    <r>
      <rPr>
        <sz val="10"/>
        <color theme="1"/>
        <rFont val="Times New Roman"/>
        <charset val="134"/>
      </rPr>
      <t>Evard's Black Tentacles</t>
    </r>
    <r>
      <rPr>
        <sz val="10"/>
        <color theme="1"/>
        <rFont val="宋体"/>
        <charset val="134"/>
      </rPr>
      <t>，高等隐形术</t>
    </r>
    <r>
      <rPr>
        <sz val="10"/>
        <color theme="1"/>
        <rFont val="Times New Roman"/>
        <charset val="134"/>
      </rPr>
      <t>Greater Invisibility  
9</t>
    </r>
    <r>
      <rPr>
        <sz val="10"/>
        <color theme="1"/>
        <rFont val="宋体"/>
        <charset val="134"/>
      </rPr>
      <t>级</t>
    </r>
    <r>
      <rPr>
        <sz val="10"/>
        <color theme="1"/>
        <rFont val="Times New Roman"/>
        <charset val="134"/>
      </rPr>
      <t xml:space="preserve"> </t>
    </r>
    <r>
      <rPr>
        <sz val="10"/>
        <color theme="1"/>
        <rFont val="宋体"/>
        <charset val="134"/>
      </rPr>
      <t>寒冰锥</t>
    </r>
    <r>
      <rPr>
        <sz val="10"/>
        <color theme="1"/>
        <rFont val="Times New Roman"/>
        <charset val="134"/>
      </rPr>
      <t>Cone of Cold</t>
    </r>
    <r>
      <rPr>
        <sz val="10"/>
        <color theme="1"/>
        <rFont val="宋体"/>
        <charset val="134"/>
      </rPr>
      <t>，托梦术</t>
    </r>
    <r>
      <rPr>
        <sz val="10"/>
        <color theme="1"/>
        <rFont val="Times New Roman"/>
        <charset val="134"/>
      </rPr>
      <t xml:space="preserve">Dream </t>
    </r>
  </si>
  <si>
    <t>气囊包裹</t>
  </si>
  <si>
    <t>你可以使用附赠动作，使一个你正持有或随身携带的包袋（如帆布袋、背包、腰包或挎包）迅速充满空气。该包袋随后向上漂浮，将你提离地面并向正上方漂浮最多30尺。你将在该处悬停，直到你放开包袋（无需动作）或直到你下回合开始，此时包袋会缓慢飘回地面。
另外，当坠落时，你可以使用反应使包袋膨胀，获得羽落术Feather Fall的效果。</t>
  </si>
  <si>
    <t>标记诅咒</t>
  </si>
  <si>
    <r>
      <rPr>
        <sz val="10"/>
        <color theme="1"/>
        <rFont val="宋体"/>
        <charset val="134"/>
      </rPr>
      <t>在你的回合中，以一个附赠动作，你可以消耗</t>
    </r>
    <r>
      <rPr>
        <sz val="10"/>
        <color theme="1"/>
        <rFont val="Times New Roman"/>
        <charset val="134"/>
      </rPr>
      <t>2</t>
    </r>
    <r>
      <rPr>
        <sz val="10"/>
        <color theme="1"/>
        <rFont val="宋体"/>
        <charset val="134"/>
      </rPr>
      <t>灾厄点来增强你的邪眼对被标记生物的影响。当你这么做时，邪眼的持续时间增加到</t>
    </r>
    <r>
      <rPr>
        <sz val="10"/>
        <color theme="1"/>
        <rFont val="Times New Roman"/>
        <charset val="134"/>
      </rPr>
      <t>24</t>
    </r>
    <r>
      <rPr>
        <sz val="10"/>
        <color theme="1"/>
        <rFont val="宋体"/>
        <charset val="134"/>
      </rPr>
      <t>小时，或者直到你以邪眼标记另一个生物位置。此外，当被你的邪眼所标记的生物和你位于同一位面时，你总是知晓其方向和距离。</t>
    </r>
  </si>
  <si>
    <t>血肉改造</t>
  </si>
  <si>
    <t>以一个动作，你可以进行一次血肉改造，持续直至你失能或者你以一个动作变回来，或者你再次使用此能力。当你这么做时，从以下改造选项中选择一个执行：
逆转髌骨Inverse Kneecaps。你的腿变得更加有力，并且你的膝盖现在向相反的方向弯曲。当你执行此选项时，你的步行速度增加10尺，并且你跳跃的距离和高度变成两倍。
水下适应Aquatic Attributes。你长出了鳃，你的皮肤变得黏糊糊，并且你的手指和脚趾之间长出了蹼。当你执行此选项时，你可以在水下呼吸，并且你获得等于你步行速度的游泳速度。
天生武器Natural Weapons.。你长出了牙爪刺角或者其他你选择的不同类型的天生武器。你的徒手打击现在造成1D6挥砍、穿刺或者钝击伤害，在你执行此选项时选择，并且你熟练于你的徒手打击。你可以使用魅力而不是原本的属性来进行徒手打击的命中与伤害掷骰。
此伤害会在你达到特定等级时获得提升：10级时变为2D6，14级时变为3D6。</t>
  </si>
  <si>
    <r>
      <rPr>
        <sz val="10"/>
        <color theme="1"/>
        <rFont val="宋体"/>
        <charset val="134"/>
      </rPr>
      <t>龙兽守卫</t>
    </r>
  </si>
  <si>
    <t>吞噬众暗</t>
  </si>
  <si>
    <r>
      <rPr>
        <sz val="10"/>
        <color theme="1"/>
        <rFont val="宋体"/>
        <charset val="134"/>
      </rPr>
      <t>狂暴期间，你可以吞噬暗影来恢复活力。若你身处微光光照或黑暗下，你能够以附赠动作恢复生命值，数值等于</t>
    </r>
    <r>
      <rPr>
        <sz val="10"/>
        <color theme="1"/>
        <rFont val="Times New Roman"/>
        <charset val="134"/>
      </rPr>
      <t>1d12+</t>
    </r>
    <r>
      <rPr>
        <sz val="10"/>
        <color theme="1"/>
        <rFont val="宋体"/>
        <charset val="134"/>
      </rPr>
      <t>你的体质调整值。在你的狂暴持续时间内（至多</t>
    </r>
    <r>
      <rPr>
        <sz val="10"/>
        <color theme="1"/>
        <rFont val="Times New Roman"/>
        <charset val="134"/>
      </rPr>
      <t>1</t>
    </r>
    <r>
      <rPr>
        <sz val="10"/>
        <color theme="1"/>
        <rFont val="宋体"/>
        <charset val="134"/>
      </rPr>
      <t>分钟），你在你的回合开始时恢复</t>
    </r>
    <r>
      <rPr>
        <sz val="10"/>
        <color theme="1"/>
        <rFont val="Times New Roman"/>
        <charset val="134"/>
      </rPr>
      <t>1</t>
    </r>
    <r>
      <rPr>
        <sz val="10"/>
        <color theme="1"/>
        <rFont val="宋体"/>
        <charset val="134"/>
      </rPr>
      <t>生命值。
此特性一经使用，直至你完成短休或长休都无法再次使用。</t>
    </r>
  </si>
  <si>
    <t>夜幕将临</t>
  </si>
  <si>
    <t>当你选择该领域时，你获得隐匿技能熟练与60尺黑暗视觉。若你已拥有黑暗视觉，其范围增加30尺。此外，当你身处微光光照或黑暗中时，你能够以附赠动作执行躲藏。</t>
  </si>
  <si>
    <t>缠绕绳索</t>
  </si>
  <si>
    <t>当进行攻击动作时，你可以选择用一次缠绕打击替代其中一次攻击。选择一个具有卷须状特征的物品（如卷尺、游戏手柄、延长线、绳索或锁链）。该物品可以在你身上或在你能看见的30尺范围内。
当你这样做时，该物品会活化并向你能看见的一个位于其15尺内的生物伸展。使用你的体质调整值加你的熟练加值进行一次远程攻击。若命中，目标被拉向该物品最多15尺。</t>
  </si>
  <si>
    <t>笨拙诅咒</t>
  </si>
  <si>
    <r>
      <rPr>
        <sz val="10"/>
        <color theme="1"/>
        <rFont val="宋体"/>
        <charset val="134"/>
      </rPr>
      <t>当一个被你的邪眼标记的生物移动</t>
    </r>
    <r>
      <rPr>
        <sz val="10"/>
        <color theme="1"/>
        <rFont val="Times New Roman"/>
        <charset val="134"/>
      </rPr>
      <t>5</t>
    </r>
    <r>
      <rPr>
        <sz val="10"/>
        <color theme="1"/>
        <rFont val="宋体"/>
        <charset val="134"/>
      </rPr>
      <t>尺及以上时，你可以使用你的反应并消耗</t>
    </r>
    <r>
      <rPr>
        <sz val="10"/>
        <color theme="1"/>
        <rFont val="Times New Roman"/>
        <charset val="134"/>
      </rPr>
      <t>3</t>
    </r>
    <r>
      <rPr>
        <sz val="10"/>
        <color theme="1"/>
        <rFont val="宋体"/>
        <charset val="134"/>
      </rPr>
      <t>灾厄点来让该生物倒地并且直到其回合结束速度降低为</t>
    </r>
    <r>
      <rPr>
        <sz val="10"/>
        <color theme="1"/>
        <rFont val="Times New Roman"/>
        <charset val="134"/>
      </rPr>
      <t>0</t>
    </r>
    <r>
      <rPr>
        <sz val="10"/>
        <color theme="1"/>
        <rFont val="宋体"/>
        <charset val="134"/>
      </rPr>
      <t>。当你这么做后，该生物不再被你的邪眼所标记。</t>
    </r>
  </si>
  <si>
    <t>肉体修饰</t>
  </si>
  <si>
    <t>当你执行血肉改造时，你可以同时执行两个选项。并且你还可以执行以下选项：
胶制骨骼Gelatin Bones。如果你愿意，你可以像泥怪一样变得形体不定。你能够轻松穿过最窄1寸宽的狭窄空间而不用挤进去，并且你在潜行检定上具有优势。
改变外貌Change Appearance。你改变你的外在形象。你决定你现在看起来是什么样，包括你的身高、体重、面貌、嗓音、发长、肤色以及突出的人物特质，如果有的话。你可以让你看起来像是另一个种族的成员，尽管你的数据不会改变。你不能变成一个大小不同的生物，并且你的基本形状不会改变。举例而言，如果你是双足直立行走的生物，你不能用这个能力变成四足行走的。
战斗直觉Combat Instincts。当你在自己回合内执行攻击动作时，可以发动两次攻击而非一次。此外，攻击对非魔法攻击或伤害具有抗性的目标时，你的天生武器与徒手打击视为魔法攻击。（译注：只能穿透抗性，不能穿透免疫，别问我为什么，原文如此。）
蜘蛛之爪Spider Claws。你的手和脚分泌出奇怪的黏液或者具有类似昆虫的结构，让你可以攀附上竖直表面。你获得等于你步行速度的攀爬速度，你甚至可以倒立着悬挂在天花板上而不需要任何属性检定。</t>
  </si>
  <si>
    <r>
      <rPr>
        <sz val="10"/>
        <color theme="1"/>
        <rFont val="宋体"/>
        <charset val="134"/>
      </rPr>
      <t>荒径守护者</t>
    </r>
  </si>
  <si>
    <t>腐蚀雾霭</t>
  </si>
  <si>
    <r>
      <rPr>
        <sz val="10"/>
        <color theme="1"/>
        <rFont val="Times New Roman"/>
        <charset val="134"/>
      </rPr>
      <t>14</t>
    </r>
    <r>
      <rPr>
        <sz val="10"/>
        <color theme="1"/>
        <rFont val="宋体"/>
        <charset val="134"/>
      </rPr>
      <t>级起，你的暗影之霾的效果更加强大。任何进入或在影霾中开始其回合的敌对生物必须成功通过一次体质检定，否则陷入目盲直至其下个回合开始。豁免</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你的熟练加值</t>
    </r>
    <r>
      <rPr>
        <sz val="10"/>
        <color theme="1"/>
        <rFont val="Times New Roman"/>
        <charset val="134"/>
      </rPr>
      <t>+</t>
    </r>
    <r>
      <rPr>
        <sz val="10"/>
        <color theme="1"/>
        <rFont val="宋体"/>
        <charset val="134"/>
      </rPr>
      <t>你的体质调整值。不依赖视觉的生物免疫此效应。</t>
    </r>
  </si>
  <si>
    <t>阴影延展</t>
  </si>
  <si>
    <r>
      <rPr>
        <sz val="10"/>
        <color theme="1"/>
        <rFont val="宋体"/>
        <charset val="134"/>
      </rPr>
      <t>你可以操纵影子来延长你的触及范围。当你施展施法距离为触碰的法术时，你的影子可以如同你一般施展该法术。目标必须位于你</t>
    </r>
    <r>
      <rPr>
        <sz val="10"/>
        <color theme="1"/>
        <rFont val="Times New Roman"/>
        <charset val="134"/>
      </rPr>
      <t>15</t>
    </r>
    <r>
      <rPr>
        <sz val="10"/>
        <color theme="1"/>
        <rFont val="宋体"/>
        <charset val="134"/>
      </rPr>
      <t>尺内且你必须能看见目标。即使你所在的区域没有影子，你也可以使用此特性。</t>
    </r>
  </si>
  <si>
    <t>寻物感知</t>
  </si>
  <si>
    <t>以一个动作，你通过导航物品（如罗盘、GPS或地图）引灵。这让你能够施展寻物术Locate Object ，但有以下改动：
该法术无需专注。
法术持续时间为1小时。
法术可以探测1里内的物品，而非1000尺。</t>
  </si>
  <si>
    <t>丧感诅咒</t>
  </si>
  <si>
    <r>
      <rPr>
        <sz val="10"/>
        <color theme="1"/>
        <rFont val="宋体"/>
        <charset val="134"/>
      </rPr>
      <t>以一个动作，你可以消耗</t>
    </r>
    <r>
      <rPr>
        <sz val="10"/>
        <color theme="1"/>
        <rFont val="Times New Roman"/>
        <charset val="134"/>
      </rPr>
      <t>3</t>
    </r>
    <r>
      <rPr>
        <sz val="10"/>
        <color theme="1"/>
        <rFont val="宋体"/>
        <charset val="134"/>
      </rPr>
      <t>灾厄点，令被你邪眼所标记的生物陷入目盲和耳聋</t>
    </r>
    <r>
      <rPr>
        <sz val="10"/>
        <color theme="1"/>
        <rFont val="Times New Roman"/>
        <charset val="134"/>
      </rPr>
      <t>1</t>
    </r>
    <r>
      <rPr>
        <sz val="10"/>
        <color theme="1"/>
        <rFont val="宋体"/>
        <charset val="134"/>
      </rPr>
      <t>分钟。当你这么做后，该生物不再被你的邪眼所标记。当每个其回合结束时，该生物都可以进行一次体质豁免，成功则提前结束这一厄运。</t>
    </r>
  </si>
  <si>
    <t>生理掌控</t>
  </si>
  <si>
    <t>当你执行血肉改造时，你还可以执行以下选项：
空中适应Aerial Adaptation。你的背上长出羽翼或者蝙蝠翅膀。你获得等于你步行速度的飞行速度。
剧毒烟云Toxic Fumes。你呈现出病态的外表，绿色的黏液与有毒的气体从你的毛孔渗出。你进行魅力检定具有劣势，但是任意你身边10尺的生物在开始它们的回合时，会受到2D6毒素伤害，并且它们对你进行的攻击检定具有劣势。
坚韧外皮Hardened Skin。你对非魔法攻击的钝击，穿刺，挥砍伤害有抗性。</t>
  </si>
  <si>
    <t>城市游侠</t>
  </si>
  <si>
    <t>引导神力：影之擒缚</t>
  </si>
  <si>
    <r>
      <rPr>
        <sz val="10"/>
        <color theme="1"/>
        <rFont val="宋体"/>
        <charset val="134"/>
      </rPr>
      <t>你能够令生物的影子转而攻击他自身。以一个动作，选择一名位于你</t>
    </r>
    <r>
      <rPr>
        <sz val="10"/>
        <color theme="1"/>
        <rFont val="Times New Roman"/>
        <charset val="134"/>
      </rPr>
      <t>30</t>
    </r>
    <r>
      <rPr>
        <sz val="10"/>
        <color theme="1"/>
        <rFont val="宋体"/>
        <charset val="134"/>
      </rPr>
      <t>尺内你可见的生物。该生物必须进行一次力量豁免。豁免失败则该生物被影子束缚，直至你的下个回合结束。豁免成功则其被影子擒抱，直至你的下个回合结束。即使目标所在的区域没有他的影子，你也可以使用此特性。</t>
    </r>
  </si>
  <si>
    <t>初代坐骑</t>
  </si>
  <si>
    <t>你执行一个仪式，与一件特殊的自选载具（如自行车、助力车或类似可乘坐物品）建立联系。此载具只能承载一个生物，具有60尺的步行速度，且没有飞行速度。
以一个动作，你可以召唤该载具到你身边。被召唤时，载具处于无法破坏状态，1小时后会在一阵烟雾中消失。</t>
  </si>
  <si>
    <t>困倦诅咒</t>
  </si>
  <si>
    <r>
      <rPr>
        <sz val="10"/>
        <color theme="1"/>
        <rFont val="宋体"/>
        <charset val="134"/>
      </rPr>
      <t>以一个动作，你可以消耗</t>
    </r>
    <r>
      <rPr>
        <sz val="10"/>
        <color theme="1"/>
        <rFont val="Times New Roman"/>
        <charset val="134"/>
      </rPr>
      <t>3</t>
    </r>
    <r>
      <rPr>
        <sz val="10"/>
        <color theme="1"/>
        <rFont val="宋体"/>
        <charset val="134"/>
      </rPr>
      <t>灾厄点，令被你邪眼所标记的生物会变得昏昏欲睡。投一个等于你这一职业等级数量的</t>
    </r>
    <r>
      <rPr>
        <sz val="10"/>
        <color theme="1"/>
        <rFont val="Times New Roman"/>
        <charset val="134"/>
      </rPr>
      <t>d10</t>
    </r>
    <r>
      <rPr>
        <sz val="10"/>
        <color theme="1"/>
        <rFont val="宋体"/>
        <charset val="134"/>
      </rPr>
      <t>，再加上</t>
    </r>
    <r>
      <rPr>
        <sz val="10"/>
        <color theme="1"/>
        <rFont val="Times New Roman"/>
        <charset val="134"/>
      </rPr>
      <t>15</t>
    </r>
    <r>
      <rPr>
        <sz val="10"/>
        <color theme="1"/>
        <rFont val="宋体"/>
        <charset val="134"/>
      </rPr>
      <t>。如果该生物当前生命值小于结果，则其陷入失能。目标会</t>
    </r>
    <r>
      <rPr>
        <sz val="10"/>
        <color theme="1"/>
        <rFont val="Times New Roman"/>
        <charset val="134"/>
      </rPr>
      <t>10</t>
    </r>
    <r>
      <rPr>
        <sz val="10"/>
        <color theme="1"/>
        <rFont val="宋体"/>
        <charset val="134"/>
      </rPr>
      <t>分钟后醒来，或者如果其受到伤害，另一个生物使用一个动作唤醒它，它也会提前醒来。</t>
    </r>
  </si>
  <si>
    <t>不可名状之恐怖</t>
  </si>
  <si>
    <t>当你执行血肉改造时，你可以同时执行三个选项。此外，如果你愿意，你可以免疫任何可以改变其形态的法术或效应。</t>
  </si>
  <si>
    <t>侵蚀行者</t>
  </si>
  <si>
    <t>隐匿于暗</t>
  </si>
  <si>
    <r>
      <rPr>
        <sz val="10"/>
        <color theme="1"/>
        <rFont val="宋体"/>
        <charset val="134"/>
      </rPr>
      <t>你可以将自身隐藏在阴影之中。当你身处微光光照或黑暗中时，以一个附赠动作，你可以魔法地隐形</t>
    </r>
    <r>
      <rPr>
        <sz val="10"/>
        <color theme="1"/>
        <rFont val="Times New Roman"/>
        <charset val="134"/>
      </rPr>
      <t>1</t>
    </r>
    <r>
      <rPr>
        <sz val="10"/>
        <color theme="1"/>
        <rFont val="宋体"/>
        <charset val="134"/>
      </rPr>
      <t>分钟。若你发动攻击或施展法术，此效应提前结束。你能够使用此特性的次数等于你的熟练加值。当你完成长休时，你重获所有已使用的次数。</t>
    </r>
  </si>
  <si>
    <t>护镜视觉</t>
  </si>
  <si>
    <t>当戴着眼部遮蔽物（如滑雪镜、眼镜、太阳镜或焊接面罩）时，你可以使用一个动作在60尺范围内，将微光视作明亮光照，将黑暗视作微光。在黑暗中你无法分辨颜色，只能看到灰度。
此外，你在进行智力（调查）检定判断是否为幻象时具有优势。这些效果持续1小时。</t>
  </si>
  <si>
    <t>不幸诅咒</t>
  </si>
  <si>
    <r>
      <rPr>
        <sz val="10"/>
        <color theme="1"/>
        <rFont val="宋体"/>
        <charset val="134"/>
      </rPr>
      <t>以一个附赠动作，你可以花费</t>
    </r>
    <r>
      <rPr>
        <sz val="10"/>
        <color theme="1"/>
        <rFont val="Times New Roman"/>
        <charset val="134"/>
      </rPr>
      <t>2</t>
    </r>
    <r>
      <rPr>
        <sz val="10"/>
        <color theme="1"/>
        <rFont val="宋体"/>
        <charset val="134"/>
      </rPr>
      <t>灾厄点让被你邪眼标记的生物身上发疹子。每当该生物进行攻击检定或豁免检定时，你投一个</t>
    </r>
    <r>
      <rPr>
        <sz val="10"/>
        <color theme="1"/>
        <rFont val="Times New Roman"/>
        <charset val="134"/>
      </rPr>
      <t>d4</t>
    </r>
    <r>
      <rPr>
        <sz val="10"/>
        <color theme="1"/>
        <rFont val="宋体"/>
        <charset val="134"/>
      </rPr>
      <t>并从结果中减去该数值。当该生物不再被你的邪眼所标记，这些疹子也会消失。</t>
    </r>
  </si>
  <si>
    <t>未来的你扩展法术</t>
  </si>
  <si>
    <t>宗主赐予的魔法使你始终准备着特定的法术。当你到达未来的你法术表中特定的魔契师等级时，你就始终准备着表中对应的法术。新法术以星号*标记。
未来的你扩展法术表
魔契师等级	法术
3 思忖一瞬Moment to Think*、增能术/缓能术Accelerate/Decelerate*、回溯Recall*、延迟术Delay*、强化属性Enhance Ability
5 防护能量Protection from Energy、缓慢术Slow
7 防死结界Death Ward、凶兆预警Dire Warning*
9 拉瑞心灵联结Rary's Telepathic Bond、通晓传奇Legend Lore</t>
  </si>
  <si>
    <t>噩兆先驱</t>
  </si>
  <si>
    <t>暗影军团</t>
  </si>
  <si>
    <t>你可以同时操纵多个影子。当你使用影之擒缚时，你可以影响等于你熟练加值名生物。</t>
  </si>
  <si>
    <t>跃进球鞋</t>
  </si>
  <si>
    <t>当穿着一双鞋时，你可以使用附赠动作为你的脚步注入弹性。1小时内，你获得跳跃术Jump 的效果。</t>
  </si>
  <si>
    <t>偷窃幸运</t>
  </si>
  <si>
    <r>
      <rPr>
        <sz val="10"/>
        <color theme="1"/>
        <rFont val="宋体"/>
        <charset val="134"/>
      </rPr>
      <t>当</t>
    </r>
    <r>
      <rPr>
        <sz val="10"/>
        <color theme="1"/>
        <rFont val="Times New Roman"/>
        <charset val="134"/>
      </rPr>
      <t>30</t>
    </r>
    <r>
      <rPr>
        <sz val="10"/>
        <color theme="1"/>
        <rFont val="宋体"/>
        <charset val="134"/>
      </rPr>
      <t>尺内一个你可见的生物进行一次具有优势的属性检定、攻击检定或豁免检定时，你可以使用你的反应从这次掷骰中消去优势。如果你这么做，你恢复一个已经消耗的灾厄点。当你使用这一特性后，直到完成一次短休或长休为止，你无法再次使用。</t>
    </r>
    <r>
      <rPr>
        <sz val="10"/>
        <color theme="1"/>
        <rFont val="Times New Roman"/>
        <charset val="134"/>
      </rPr>
      <t xml:space="preserve"> 
17</t>
    </r>
    <r>
      <rPr>
        <sz val="10"/>
        <color theme="1"/>
        <rFont val="宋体"/>
        <charset val="134"/>
      </rPr>
      <t>级起，你可以使用这项特性</t>
    </r>
    <r>
      <rPr>
        <sz val="10"/>
        <color theme="1"/>
        <rFont val="Times New Roman"/>
        <charset val="134"/>
      </rPr>
      <t>3</t>
    </r>
    <r>
      <rPr>
        <sz val="10"/>
        <color theme="1"/>
        <rFont val="宋体"/>
        <charset val="134"/>
      </rPr>
      <t>次，在完成一次短休或长休后，你获得所有消耗的使用次数。</t>
    </r>
  </si>
  <si>
    <t>事情是这样发生的</t>
  </si>
  <si>
    <t>你与未来自己的交流使得你对未来的发展略知一二。每当你完成一次短休或长休时，DM会暗骰一个d20和一个d4，并记录下d20的结果。除非d4的结果掷出4，否则DM会如实告诉你所记录的d20点数；如果d4的结果是4，则DM谎报这个点数。
你可以将你自己或你可见的一个生物进行的任意D20检定，替换为这个被记录的d20掷骰（无需动作）。你必须在掷骰前选择是否替换，并且这个数字只能使用一次。
如果DM之前对你说了谎，只有在你替换检定之后才会告知你真实的记录结果。</t>
  </si>
  <si>
    <t>天鹏旅人</t>
  </si>
  <si>
    <t>知识祝福</t>
  </si>
  <si>
    <t>你获得你选择的一个工匠工具熟练，以及下述技能中你选择的两个技能熟练：奥秘、历史、自然、宗教。你还会获得那两个技能的专精。</t>
  </si>
  <si>
    <t>口袋声音</t>
  </si>
  <si>
    <t>你花费1分钟执行仪式，将你的声音绑定到一个你能看见的、看起来能发出声音的物品上（如音响、耳机、带嘴的雕像、人像画、收音机或首饰盒）。
你的声音会与该物品保持绑定1小时，或直到你以附赠动作解除效果。绑定期间，你说的每句话都能从该物品中被听到。</t>
  </si>
  <si>
    <t>诅咒使者</t>
  </si>
  <si>
    <r>
      <rPr>
        <sz val="10"/>
        <color theme="1"/>
        <rFont val="宋体"/>
        <charset val="134"/>
      </rPr>
      <t>你可以以一个动作消耗</t>
    </r>
    <r>
      <rPr>
        <sz val="10"/>
        <color theme="1"/>
        <rFont val="Times New Roman"/>
        <charset val="134"/>
      </rPr>
      <t>3</t>
    </r>
    <r>
      <rPr>
        <sz val="10"/>
        <color theme="1"/>
        <rFont val="宋体"/>
        <charset val="134"/>
      </rPr>
      <t>厄运点施展法术降咒</t>
    </r>
    <r>
      <rPr>
        <sz val="10"/>
        <color theme="1"/>
        <rFont val="Times New Roman"/>
        <charset val="134"/>
      </rPr>
      <t>bestow curse</t>
    </r>
    <r>
      <rPr>
        <sz val="10"/>
        <color theme="1"/>
        <rFont val="宋体"/>
        <charset val="134"/>
      </rPr>
      <t>。魅力为你施展该法术的施法关键属性。</t>
    </r>
  </si>
  <si>
    <t>我可不想再多几道伤疤</t>
  </si>
  <si>
    <t>未来的你自己经常会提醒你注意某些特定的攻击。当一个你可见的生物用一次攻击检定命中你时，你可以使用一个反应动作，使你的AC在抵挡这次攻击时获得+10加值，从而有可能使该攻击落空。
你可以使用此特性两次。你可以在完成一次短休后恢复1次已消耗的使用次数，完成一次长休后恢复所有已消耗的使用次数。</t>
  </si>
  <si>
    <t>凛冬行者</t>
  </si>
  <si>
    <t>知识领域法术</t>
  </si>
  <si>
    <r>
      <rPr>
        <sz val="10"/>
        <color theme="1"/>
        <rFont val="宋体"/>
        <charset val="134"/>
      </rPr>
      <t>当你到达知识领域法术表中特定的牧师等级时，你就始终准备了表中对应的法术。</t>
    </r>
    <r>
      <rPr>
        <sz val="10"/>
        <color theme="1"/>
        <rFont val="Times New Roman"/>
        <charset val="134"/>
      </rPr>
      <t xml:space="preserve">
</t>
    </r>
    <r>
      <rPr>
        <sz val="10"/>
        <color theme="1"/>
        <rFont val="宋体"/>
        <charset val="134"/>
      </rPr>
      <t>知识领域法术</t>
    </r>
    <r>
      <rPr>
        <sz val="10"/>
        <color theme="1"/>
        <rFont val="Times New Roman"/>
        <charset val="134"/>
      </rPr>
      <t xml:space="preserve">Knowledge Domain Spells
</t>
    </r>
    <r>
      <rPr>
        <sz val="10"/>
        <color theme="1"/>
        <rFont val="宋体"/>
        <charset val="134"/>
      </rPr>
      <t>牧师等级</t>
    </r>
    <r>
      <rPr>
        <sz val="10"/>
        <color theme="1"/>
        <rFont val="Times New Roman"/>
        <charset val="134"/>
      </rPr>
      <t xml:space="preserve">	</t>
    </r>
    <r>
      <rPr>
        <sz val="10"/>
        <color theme="1"/>
        <rFont val="宋体"/>
        <charset val="134"/>
      </rPr>
      <t>准备法术</t>
    </r>
    <r>
      <rPr>
        <sz val="10"/>
        <color theme="1"/>
        <rFont val="Times New Roman"/>
        <charset val="134"/>
      </rPr>
      <t xml:space="preserve">
3	</t>
    </r>
    <r>
      <rPr>
        <sz val="10"/>
        <color theme="1"/>
        <rFont val="宋体"/>
        <charset val="134"/>
      </rPr>
      <t>命令术</t>
    </r>
    <r>
      <rPr>
        <sz val="10"/>
        <color theme="1"/>
        <rFont val="Times New Roman"/>
        <charset val="134"/>
      </rPr>
      <t>Command</t>
    </r>
    <r>
      <rPr>
        <sz val="10"/>
        <color theme="1"/>
        <rFont val="宋体"/>
        <charset val="134"/>
      </rPr>
      <t>，通晓语言</t>
    </r>
    <r>
      <rPr>
        <sz val="10"/>
        <color theme="1"/>
        <rFont val="Times New Roman"/>
        <charset val="134"/>
      </rPr>
      <t>*Comprehend Languages</t>
    </r>
    <r>
      <rPr>
        <sz val="10"/>
        <color theme="1"/>
        <rFont val="宋体"/>
        <charset val="134"/>
      </rPr>
      <t>，侦测魔法</t>
    </r>
    <r>
      <rPr>
        <sz val="10"/>
        <color theme="1"/>
        <rFont val="Times New Roman"/>
        <charset val="134"/>
      </rPr>
      <t>*Detect Magic</t>
    </r>
    <r>
      <rPr>
        <sz val="10"/>
        <color theme="1"/>
        <rFont val="宋体"/>
        <charset val="134"/>
      </rPr>
      <t>，侦测思想</t>
    </r>
    <r>
      <rPr>
        <sz val="10"/>
        <color theme="1"/>
        <rFont val="Times New Roman"/>
        <charset val="134"/>
      </rPr>
      <t>*Detect Thoughts</t>
    </r>
    <r>
      <rPr>
        <sz val="10"/>
        <color theme="1"/>
        <rFont val="宋体"/>
        <charset val="134"/>
      </rPr>
      <t>，鉴定术</t>
    </r>
    <r>
      <rPr>
        <sz val="10"/>
        <color theme="1"/>
        <rFont val="Times New Roman"/>
        <charset val="134"/>
      </rPr>
      <t>*Identify</t>
    </r>
    <r>
      <rPr>
        <sz val="10"/>
        <color theme="1"/>
        <rFont val="宋体"/>
        <charset val="134"/>
      </rPr>
      <t>，心灵尖刺</t>
    </r>
    <r>
      <rPr>
        <sz val="10"/>
        <color theme="1"/>
        <rFont val="Times New Roman"/>
        <charset val="134"/>
      </rPr>
      <t xml:space="preserve">*Mind Spike
5	</t>
    </r>
    <r>
      <rPr>
        <sz val="10"/>
        <color theme="1"/>
        <rFont val="宋体"/>
        <charset val="134"/>
      </rPr>
      <t>解除魔法</t>
    </r>
    <r>
      <rPr>
        <sz val="10"/>
        <color theme="1"/>
        <rFont val="Times New Roman"/>
        <charset val="134"/>
      </rPr>
      <t>Dispel Magic</t>
    </r>
    <r>
      <rPr>
        <sz val="10"/>
        <color theme="1"/>
        <rFont val="宋体"/>
        <charset val="134"/>
      </rPr>
      <t>，回避侦测</t>
    </r>
    <r>
      <rPr>
        <sz val="10"/>
        <color theme="1"/>
        <rFont val="Times New Roman"/>
        <charset val="134"/>
      </rPr>
      <t>Nondetection</t>
    </r>
    <r>
      <rPr>
        <sz val="10"/>
        <color theme="1"/>
        <rFont val="宋体"/>
        <charset val="134"/>
      </rPr>
      <t>，巧言术</t>
    </r>
    <r>
      <rPr>
        <sz val="10"/>
        <color theme="1"/>
        <rFont val="Times New Roman"/>
        <charset val="134"/>
      </rPr>
      <t xml:space="preserve">*Tongues
7	</t>
    </r>
    <r>
      <rPr>
        <sz val="10"/>
        <color theme="1"/>
        <rFont val="宋体"/>
        <charset val="134"/>
      </rPr>
      <t>秘法眼</t>
    </r>
    <r>
      <rPr>
        <sz val="10"/>
        <color theme="1"/>
        <rFont val="Times New Roman"/>
        <charset val="134"/>
      </rPr>
      <t>* Arcane Eye</t>
    </r>
    <r>
      <rPr>
        <sz val="10"/>
        <color theme="1"/>
        <rFont val="宋体"/>
        <charset val="134"/>
      </rPr>
      <t>，放逐术</t>
    </r>
    <r>
      <rPr>
        <sz val="10"/>
        <color theme="1"/>
        <rFont val="Times New Roman"/>
        <charset val="134"/>
      </rPr>
      <t>Banishment</t>
    </r>
    <r>
      <rPr>
        <sz val="10"/>
        <color theme="1"/>
        <rFont val="宋体"/>
        <charset val="134"/>
      </rPr>
      <t>，困惑术</t>
    </r>
    <r>
      <rPr>
        <sz val="10"/>
        <color theme="1"/>
        <rFont val="Times New Roman"/>
        <charset val="134"/>
      </rPr>
      <t xml:space="preserve">Confusion
9	</t>
    </r>
    <r>
      <rPr>
        <sz val="10"/>
        <color theme="1"/>
        <rFont val="宋体"/>
        <charset val="134"/>
      </rPr>
      <t>通晓传奇</t>
    </r>
    <r>
      <rPr>
        <sz val="10"/>
        <color theme="1"/>
        <rFont val="Times New Roman"/>
        <charset val="134"/>
      </rPr>
      <t>*Legend Lore</t>
    </r>
    <r>
      <rPr>
        <sz val="10"/>
        <color theme="1"/>
        <rFont val="宋体"/>
        <charset val="134"/>
      </rPr>
      <t>，探知术</t>
    </r>
    <r>
      <rPr>
        <sz val="10"/>
        <color theme="1"/>
        <rFont val="Times New Roman"/>
        <charset val="134"/>
      </rPr>
      <t>*Scrying</t>
    </r>
    <r>
      <rPr>
        <sz val="10"/>
        <color theme="1"/>
        <rFont val="宋体"/>
        <charset val="134"/>
      </rPr>
      <t>，突触静止</t>
    </r>
    <r>
      <rPr>
        <sz val="10"/>
        <color theme="1"/>
        <rFont val="Times New Roman"/>
        <charset val="134"/>
      </rPr>
      <t>Synaptic Static</t>
    </r>
  </si>
  <si>
    <t>喷射推进</t>
  </si>
  <si>
    <t>以一个附赠动作，你从随身携带的容器（如水袋、汽水罐、喷水瓶或喷雾瓶）中喷出水雾。这会使你沿直线向后移动10尺，并获得撤离动作的效果。</t>
  </si>
  <si>
    <t>医者</t>
  </si>
  <si>
    <r>
      <rPr>
        <sz val="10"/>
        <color theme="1"/>
        <rFont val="宋体"/>
        <charset val="134"/>
      </rPr>
      <t>当你选择此职业范型时，若你尚未拥有医药技能熟练，则立即获得该技能的熟练。你使用此技能进行的所有属性检定，其熟练加值翻倍。</t>
    </r>
    <r>
      <rPr>
        <sz val="10"/>
        <color theme="1"/>
        <rFont val="Times New Roman"/>
        <charset val="134"/>
      </rPr>
      <t xml:space="preserve"> 
</t>
    </r>
    <r>
      <rPr>
        <sz val="10"/>
        <color theme="1"/>
        <rFont val="宋体"/>
        <charset val="134"/>
      </rPr>
      <t>此外，你对鲜血的认知已与魔法交融，使你对其产生某种程度的掌控。因此，你可以通过一个附赠动作，魔法地稳定</t>
    </r>
    <r>
      <rPr>
        <sz val="10"/>
        <color theme="1"/>
        <rFont val="Times New Roman"/>
        <charset val="134"/>
      </rPr>
      <t>5</t>
    </r>
    <r>
      <rPr>
        <sz val="10"/>
        <color theme="1"/>
        <rFont val="宋体"/>
        <charset val="134"/>
      </rPr>
      <t>尺范围内一名陷入昏迷的生物的伤势。</t>
    </r>
    <r>
      <rPr>
        <sz val="10"/>
        <color theme="1"/>
        <rFont val="Times New Roman"/>
        <charset val="134"/>
      </rPr>
      <t xml:space="preserve"> 
</t>
    </r>
    <r>
      <rPr>
        <sz val="10"/>
        <color theme="1"/>
        <rFont val="宋体"/>
        <charset val="134"/>
      </rPr>
      <t>当你运用传统治疗手段时，你也可以利用这种魔法</t>
    </r>
    <r>
      <rPr>
        <sz val="10"/>
        <color theme="1"/>
        <rFont val="宋体"/>
        <charset val="134"/>
      </rPr>
      <t>——</t>
    </r>
    <r>
      <rPr>
        <sz val="10"/>
        <color theme="1"/>
        <rFont val="宋体"/>
        <charset val="134"/>
      </rPr>
      <t>你能以附赠动作消耗一次医疗包的使用次数来将其作用于某生物。当你这么做时，该生物恢复</t>
    </r>
    <r>
      <rPr>
        <sz val="10"/>
        <color theme="1"/>
        <rFont val="Times New Roman"/>
        <charset val="134"/>
      </rPr>
      <t>1d4+</t>
    </r>
    <r>
      <rPr>
        <sz val="10"/>
        <color theme="1"/>
        <rFont val="宋体"/>
        <charset val="134"/>
      </rPr>
      <t>你熟练加值的生命值。该生物必须在完成一次短休或长休后，才能再次通过此特性恢复生命值。</t>
    </r>
  </si>
  <si>
    <t>小心埋伏</t>
  </si>
  <si>
    <t>你在进行先攻检定时具有优势，并且在战斗的第一轮获得对所有伤害的抗性。</t>
  </si>
  <si>
    <t>思维魔法</t>
  </si>
  <si>
    <t>以一个魔法动作，你可以通过消耗一次引导神力来具象化你的魔法学识。从知识领域法术表中选择一个你已经准备的预言学派法术。作为该动作的一部分，你无需法术位以及材料成分的施展该法术。</t>
  </si>
  <si>
    <t>聚灵之躯</t>
  </si>
  <si>
    <t>你习得戏法电击术Jolt，但有以下改动：
当你以机器为目标施展此法术时，机器的供能时间为1小时而非18秒。
你的法术攻击调整值等于你的体质调整值+你的熟练加值。
另外，在你的每个回合中，当你以攻击动作进行武器攻击并命中目标时，你可以用电击术的伤害替代武器伤害，每回合限一次。当你这样做时，你用电击术的伤害骰（造成闪电伤害）代替武器的伤害骰，且你不能从其他特性或法术获得任何额外的攻击伤害加成。
你的生物类型被视为灵类spirit。</t>
  </si>
  <si>
    <t>汲血</t>
  </si>
  <si>
    <r>
      <rPr>
        <sz val="10"/>
        <color theme="1"/>
        <rFont val="宋体"/>
        <charset val="134"/>
      </rPr>
      <t>每个你的回合中，当你对非构装或亡灵的生物造成偷袭时，你获得等同于你感知调整值的临时生命值（至少为</t>
    </r>
    <r>
      <rPr>
        <sz val="10"/>
        <color theme="1"/>
        <rFont val="Times New Roman"/>
        <charset val="134"/>
      </rPr>
      <t>1</t>
    </r>
    <r>
      <rPr>
        <sz val="10"/>
        <color theme="1"/>
        <rFont val="宋体"/>
        <charset val="134"/>
      </rPr>
      <t>）。达到</t>
    </r>
    <r>
      <rPr>
        <sz val="10"/>
        <color theme="1"/>
        <rFont val="Times New Roman"/>
        <charset val="134"/>
      </rPr>
      <t>13</t>
    </r>
    <r>
      <rPr>
        <sz val="10"/>
        <color theme="1"/>
        <rFont val="宋体"/>
        <charset val="134"/>
      </rPr>
      <t>级后，你获得的临时生命值等同于你的感知调整值的两倍。这些临时生命值持续至你的下个回合开始。</t>
    </r>
  </si>
  <si>
    <t>祖父悖论</t>
  </si>
  <si>
    <t>你可以用一个动作挑衅一个你60尺范围内能看见且能听见你的生物，使其引发一次悖论。该生物必须进行一次智力豁免，对抗你的法术豁免DC。豁免失败时，该生物会受到10d6心灵伤害，并因被困于相互冲突的时间线之间而陷入震慑状态，持续1分钟。豁免成功则目标仅受半伤。被震慑的生物可以在其每回合结束时重复该豁免，豁免成功则结束该效应。
此特性一经使用，直至完成长休你都无法再次使用。</t>
  </si>
  <si>
    <r>
      <rPr>
        <sz val="10"/>
        <color theme="1"/>
        <rFont val="宋体"/>
        <charset val="134"/>
      </rPr>
      <t>刺客</t>
    </r>
  </si>
  <si>
    <t>无拘心智</t>
  </si>
  <si>
    <r>
      <rPr>
        <sz val="10"/>
        <color theme="1"/>
        <rFont val="宋体"/>
        <charset val="134"/>
      </rPr>
      <t>你获得</t>
    </r>
    <r>
      <rPr>
        <sz val="10"/>
        <color theme="1"/>
        <rFont val="Times New Roman"/>
        <charset val="134"/>
      </rPr>
      <t>60</t>
    </r>
    <r>
      <rPr>
        <sz val="10"/>
        <color theme="1"/>
        <rFont val="宋体"/>
        <charset val="134"/>
      </rPr>
      <t>尺心灵感应。当你使用此心灵感应时，你可以同时联结数量等同于你感知调整值的生物（最少为</t>
    </r>
    <r>
      <rPr>
        <sz val="10"/>
        <color theme="1"/>
        <rFont val="Times New Roman"/>
        <charset val="134"/>
      </rPr>
      <t>1</t>
    </r>
    <r>
      <rPr>
        <sz val="10"/>
        <color theme="1"/>
        <rFont val="宋体"/>
        <charset val="134"/>
      </rPr>
      <t>）。</t>
    </r>
    <r>
      <rPr>
        <sz val="10"/>
        <color theme="1"/>
        <rFont val="Times New Roman"/>
        <charset val="134"/>
      </rPr>
      <t xml:space="preserve">
</t>
    </r>
    <r>
      <rPr>
        <sz val="10"/>
        <color theme="1"/>
        <rFont val="宋体"/>
        <charset val="134"/>
      </rPr>
      <t>此外，你获得智力豁免熟练。如果你已经拥有了该熟练，你获得一个你尚未拥有的豁免熟练作为代替。</t>
    </r>
  </si>
  <si>
    <t>强效引灵</t>
  </si>
  <si>
    <t>你学会一个额外的引灵选项，且现在可以使用等同于你熟练加值次数的引灵御物特性。当你完成一次短休或长休后，你恢复所有已消耗的使用次数。</t>
  </si>
  <si>
    <t>战地医师</t>
  </si>
  <si>
    <t>你的医疗造诣与血魔法令你能通过无痛的外科手段为盟友治疗创伤。此特性必须在短休开始时发动，选择一名你触及范围内自愿的生物。投掷你的偷袭骰并记录结果值，短休结束时该生物恢复等同于偷袭骰总值的生命值。通过此特性恢复过生命值的生物，都必须完成一次长休才能再次从中受益。</t>
  </si>
  <si>
    <t>灯笼法术</t>
  </si>
  <si>
    <t xml:space="preserve">灯笼扩展法术 
法术环阶　　法术 
1st 灾祸术bane，虚假生命false life 
2nd 目盲／耳聋术blindness/deafness，魅影之力phantasmal force  
3rd 魅影驹phantom steed，死者交谈speak with dead  
4th 防死结界death ward，高等隐形术,greater invisibility  
5th 防活物护罩antilife shell，死云术cloudkill  </t>
  </si>
  <si>
    <r>
      <rPr>
        <sz val="10"/>
        <color theme="1"/>
        <rFont val="宋体"/>
        <charset val="134"/>
      </rPr>
      <t>魂刃</t>
    </r>
  </si>
  <si>
    <t>神圣预知</t>
  </si>
  <si>
    <r>
      <rPr>
        <sz val="10"/>
        <color theme="1"/>
        <rFont val="宋体"/>
        <charset val="134"/>
      </rPr>
      <t>以一个附赠动作，你魔法地将思维延展到未来。在</t>
    </r>
    <r>
      <rPr>
        <sz val="10"/>
        <color theme="1"/>
        <rFont val="Times New Roman"/>
        <charset val="134"/>
      </rPr>
      <t>1</t>
    </r>
    <r>
      <rPr>
        <sz val="10"/>
        <color theme="1"/>
        <rFont val="宋体"/>
        <charset val="134"/>
      </rPr>
      <t>个小时内，你在</t>
    </r>
    <r>
      <rPr>
        <sz val="10"/>
        <color theme="1"/>
        <rFont val="Times New Roman"/>
        <charset val="134"/>
      </rPr>
      <t>D20</t>
    </r>
    <r>
      <rPr>
        <sz val="10"/>
        <color theme="1"/>
        <rFont val="宋体"/>
        <charset val="134"/>
      </rPr>
      <t>检定上获得优势。此特性一经使用，直至完成长休你都无法再次使用。你也可以消耗一个六环及以上的法术位来重置此特性的使用权（无需动作）</t>
    </r>
  </si>
  <si>
    <t>御灵护体</t>
  </si>
  <si>
    <t>你学会将能量注入你所穿戴的物品中，使其在短暂时刻变得比钢铁更坚硬。当你被攻击命中时，你可以用你的反应投掷一枚精华骰，并将投掷结果加到你对抗该次攻击的AC上，这可能导致攻击失手。</t>
  </si>
  <si>
    <t>败血休克</t>
  </si>
  <si>
    <r>
      <rPr>
        <sz val="10"/>
        <color theme="1"/>
        <rFont val="宋体"/>
        <charset val="134"/>
      </rPr>
      <t>当你通过汲血特性获得临时生命值时，攻击目标将被一股病潮侵袭。直到其下个回合结束，目标速度减少</t>
    </r>
    <r>
      <rPr>
        <sz val="10"/>
        <color theme="1"/>
        <rFont val="Times New Roman"/>
        <charset val="134"/>
      </rPr>
      <t>10</t>
    </r>
    <r>
      <rPr>
        <sz val="10"/>
        <color theme="1"/>
        <rFont val="宋体"/>
        <charset val="134"/>
      </rPr>
      <t>尺，且在其下个回合结束前进行的下一次攻击检定或属性检定具有劣势。</t>
    </r>
  </si>
  <si>
    <t>启明灵光</t>
  </si>
  <si>
    <t>3级起，你灵界生物宗主的精粹被灌注入灯笼之中，并以其微小形态显现。你可以将该灯笼作为你施展魔契师法术的法器。
你可以使用附赠动作激活你的灯笼，使其发出20尺半径的明亮光照以及额外20尺微光光照。此光照持续1分钟，或直至你松开灯笼，或选择提前结束此效应（无需动作）。在此期间，你获得以下增益：
每当你看到处于你灯笼明亮光照范围内的生物进行豁免检定时，你可以使用反应令其豁免检定获得等同于你魅力调整值（最低为+1）的加值。
每当一个位于你灯笼微光光照范围内的敌对生物豁免检定失败时，它会受到等同于你魔契师等级一半（向上取整）的光耀伤害。
一旦你使用了此特性，则直至你完成一次短休或长休前，都无法再次使用。</t>
  </si>
  <si>
    <r>
      <rPr>
        <sz val="10"/>
        <color theme="1"/>
        <rFont val="宋体"/>
        <charset val="134"/>
      </rPr>
      <t>盗贼</t>
    </r>
  </si>
  <si>
    <t>灵能充注</t>
  </si>
  <si>
    <t>你学会汲取体内的灵之能量来获得迅速的力量潮涌。你获得一次额外的回气Second Wind特性使用次数。当你的生命值降至低于你战士等级且还有回气次数可用时，你可以选择立即使用一次回气（无需动作）。</t>
  </si>
  <si>
    <t>血盟</t>
  </si>
  <si>
    <r>
      <rPr>
        <sz val="10"/>
        <color theme="1"/>
        <rFont val="宋体"/>
        <charset val="134"/>
      </rPr>
      <t>你能掌控特定生物体内的鲜血。当你对野兽或类人生物造成偷袭伤害后，可立即迫使该生物进行一次体质豁免，其</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你的熟练加值</t>
    </r>
    <r>
      <rPr>
        <sz val="10"/>
        <color theme="1"/>
        <rFont val="Times New Roman"/>
        <charset val="134"/>
      </rPr>
      <t>+</t>
    </r>
    <r>
      <rPr>
        <sz val="10"/>
        <color theme="1"/>
        <rFont val="宋体"/>
        <charset val="134"/>
      </rPr>
      <t>你的感知调整值。若豁免失败，该生物将受到支配野兽</t>
    </r>
    <r>
      <rPr>
        <sz val="10"/>
        <color theme="1"/>
        <rFont val="Times New Roman"/>
        <charset val="134"/>
      </rPr>
      <t>Dominate Beast</t>
    </r>
    <r>
      <rPr>
        <sz val="10"/>
        <color theme="1"/>
        <rFont val="宋体"/>
        <charset val="134"/>
      </rPr>
      <t>或支配类人</t>
    </r>
    <r>
      <rPr>
        <sz val="10"/>
        <color theme="1"/>
        <rFont val="Times New Roman"/>
        <charset val="134"/>
      </rPr>
      <t xml:space="preserve">Dominate Person </t>
    </r>
    <r>
      <rPr>
        <sz val="10"/>
        <color theme="1"/>
        <rFont val="宋体"/>
        <charset val="134"/>
      </rPr>
      <t>的法术效应影响，持续</t>
    </r>
    <r>
      <rPr>
        <sz val="10"/>
        <color theme="1"/>
        <rFont val="Times New Roman"/>
        <charset val="134"/>
      </rPr>
      <t>1</t>
    </r>
    <r>
      <rPr>
        <sz val="10"/>
        <color theme="1"/>
        <rFont val="宋体"/>
        <charset val="134"/>
      </rPr>
      <t>分钟或直至你主动终止效应（无需动作）。</t>
    </r>
    <r>
      <rPr>
        <sz val="10"/>
        <color theme="1"/>
        <rFont val="Times New Roman"/>
        <charset val="134"/>
      </rPr>
      <t xml:space="preserve"> 
</t>
    </r>
    <r>
      <rPr>
        <sz val="10"/>
        <color theme="1"/>
        <rFont val="宋体"/>
        <charset val="134"/>
      </rPr>
      <t>此特性一经使用，直至完成长休前你都无法再次使用。</t>
    </r>
  </si>
  <si>
    <t>揭示之光</t>
  </si>
  <si>
    <t>3级起，你可以使用一个动作令你的灯笼照射出鲜艳的褐红色光芒，发出10尺半径的明亮光照以及额外10尺微光光照。处于灯笼的明亮光照范围内的隐形生物和物件会显形。灯笼以这种方式发光1小时，或直至你以附赠动作将其提前熄灭。
一旦你使用了此特性，则直至你完成一次短休或长休前，都无法再次使用。</t>
  </si>
  <si>
    <r>
      <rPr>
        <sz val="10"/>
        <color theme="1"/>
        <rFont val="宋体"/>
        <charset val="134"/>
      </rPr>
      <t>调查员</t>
    </r>
  </si>
  <si>
    <t>废品大师</t>
  </si>
  <si>
    <t>你从引灵御物特性中获得一个额外的引导选项。
此外，当你进行先攻检定且没有剩余的引灵御物使用次数时，你恢复该特性的两次使用次数。</t>
  </si>
  <si>
    <t>夜之眸</t>
  </si>
  <si>
    <r>
      <rPr>
        <sz val="10"/>
        <color theme="1"/>
        <rFont val="宋体"/>
        <charset val="134"/>
      </rPr>
      <t>当你选择此范型时，你对暗影魔法法则的经验将影响你的感官。你获得</t>
    </r>
    <r>
      <rPr>
        <sz val="10"/>
        <color theme="1"/>
        <rFont val="Times New Roman"/>
        <charset val="134"/>
      </rPr>
      <t>120</t>
    </r>
    <r>
      <rPr>
        <sz val="10"/>
        <color theme="1"/>
        <rFont val="宋体"/>
        <charset val="134"/>
      </rPr>
      <t>尺黑暗视觉。</t>
    </r>
  </si>
  <si>
    <t>危险器具</t>
  </si>
  <si>
    <t>6级起，你的启明灵光不再因你松开灯笼而提前结束。当你没有持握你的灯笼期间，你可以魔法性地控制它1分钟（无需动作），将其作为一道灵体武器Spiritual Weapon （二环版本）来使用。在使用此特性期间，你的灯笼仍可作为你的法器，即使你已不再持握灯笼。
灵体武器Spiritual Weapon 的环阶会随着你在此职业等级的提升而提高，在10级时提升至四环，在15级时提升至六环。
一旦你以此方式控制你的灯笼，则直至你完成一次长休前，都无法再次这么做。你也可以消耗一枚魔契师法术位（无需动作）来再次控制它。</t>
  </si>
  <si>
    <r>
      <rPr>
        <sz val="10"/>
        <color theme="1"/>
        <rFont val="宋体"/>
        <charset val="134"/>
      </rPr>
      <t>策士</t>
    </r>
  </si>
  <si>
    <t>死亡骑士</t>
  </si>
  <si>
    <r>
      <rPr>
        <sz val="10"/>
        <color theme="1"/>
        <rFont val="宋体"/>
        <charset val="134"/>
      </rPr>
      <t>你体内寄宿着早已逝去之灵的残留意志，它们的知识与见闻赋予你死灵之力。这股力量以尸鬼骰</t>
    </r>
    <r>
      <rPr>
        <sz val="10"/>
        <color theme="1"/>
        <rFont val="Times New Roman"/>
        <charset val="134"/>
      </rPr>
      <t xml:space="preserve">Draugr Dice </t>
    </r>
    <r>
      <rPr>
        <sz val="10"/>
        <color theme="1"/>
        <rFont val="宋体"/>
        <charset val="134"/>
      </rPr>
      <t>的形式呈现，驱动着你从该子职业获得的各项能力。陵墓守卫尸鬼骰表展示了你在达到特定战士等级后的尸鬼骰大小与数量。</t>
    </r>
    <r>
      <rPr>
        <sz val="10"/>
        <color theme="1"/>
        <rFont val="Times New Roman"/>
        <charset val="134"/>
      </rPr>
      <t xml:space="preserve">
</t>
    </r>
    <r>
      <rPr>
        <sz val="10"/>
        <color theme="1"/>
        <rFont val="宋体"/>
        <charset val="134"/>
      </rPr>
      <t>陵墓守卫尸鬼骰</t>
    </r>
    <r>
      <rPr>
        <sz val="10"/>
        <color theme="1"/>
        <rFont val="Times New Roman"/>
        <charset val="134"/>
      </rPr>
      <t xml:space="preserve">Barrow Guard Draugr Dice
</t>
    </r>
    <r>
      <rPr>
        <sz val="10"/>
        <color theme="1"/>
        <rFont val="宋体"/>
        <charset val="134"/>
      </rPr>
      <t>战士等级</t>
    </r>
    <r>
      <rPr>
        <sz val="10"/>
        <color theme="1"/>
        <rFont val="Times New Roman"/>
        <charset val="134"/>
      </rPr>
      <t xml:space="preserve">	</t>
    </r>
    <r>
      <rPr>
        <sz val="10"/>
        <color theme="1"/>
        <rFont val="宋体"/>
        <charset val="134"/>
      </rPr>
      <t>骰子规格</t>
    </r>
    <r>
      <rPr>
        <sz val="10"/>
        <color theme="1"/>
        <rFont val="Times New Roman"/>
        <charset val="134"/>
      </rPr>
      <t xml:space="preserve">	</t>
    </r>
    <r>
      <rPr>
        <sz val="10"/>
        <color theme="1"/>
        <rFont val="宋体"/>
        <charset val="134"/>
      </rPr>
      <t>数量</t>
    </r>
    <r>
      <rPr>
        <sz val="10"/>
        <color theme="1"/>
        <rFont val="Times New Roman"/>
        <charset val="134"/>
      </rPr>
      <t xml:space="preserve">
3	D6	4
5	D8	6
9	D8	8
11	D10	8
13	D10	10
17	D12	12
</t>
    </r>
    <r>
      <rPr>
        <sz val="10"/>
        <color theme="1"/>
        <rFont val="宋体"/>
        <charset val="134"/>
      </rPr>
      <t>你的部分能力会消耗尸鬼骰，具体在特性描述中有所说明；你在使用某些能力时需要消耗尸鬼骰，如异能描述中所述，如果某项能力在你的尸鬼骰全部消耗完后还需要你使用一个尸鬼骰，你就不能使用该能力。</t>
    </r>
    <r>
      <rPr>
        <sz val="10"/>
        <color theme="1"/>
        <rFont val="Times New Roman"/>
        <charset val="134"/>
      </rPr>
      <t xml:space="preserve">
</t>
    </r>
    <r>
      <rPr>
        <sz val="10"/>
        <color theme="1"/>
        <rFont val="宋体"/>
        <charset val="134"/>
      </rPr>
      <t>你可以在完成短休后重获一枚已消耗的尸鬼骰，完成长休后重获所有已消耗的尸鬼骰。</t>
    </r>
    <r>
      <rPr>
        <sz val="10"/>
        <color theme="1"/>
        <rFont val="Times New Roman"/>
        <charset val="134"/>
      </rPr>
      <t xml:space="preserve">
</t>
    </r>
    <r>
      <rPr>
        <sz val="10"/>
        <color theme="1"/>
        <rFont val="宋体"/>
        <charset val="134"/>
      </rPr>
      <t>你的所有能力的豁免</t>
    </r>
    <r>
      <rPr>
        <sz val="10"/>
        <color theme="1"/>
        <rFont val="Times New Roman"/>
        <charset val="134"/>
      </rPr>
      <t>DC</t>
    </r>
    <r>
      <rPr>
        <sz val="10"/>
        <color theme="1"/>
        <rFont val="宋体"/>
        <charset val="134"/>
      </rPr>
      <t>均为</t>
    </r>
    <r>
      <rPr>
        <sz val="10"/>
        <color theme="1"/>
        <rFont val="Times New Roman"/>
        <charset val="134"/>
      </rPr>
      <t>8+</t>
    </r>
    <r>
      <rPr>
        <sz val="10"/>
        <color theme="1"/>
        <rFont val="宋体"/>
        <charset val="134"/>
      </rPr>
      <t>你的熟练加值</t>
    </r>
    <r>
      <rPr>
        <sz val="10"/>
        <color theme="1"/>
        <rFont val="Times New Roman"/>
        <charset val="134"/>
      </rPr>
      <t>+</t>
    </r>
    <r>
      <rPr>
        <sz val="10"/>
        <color theme="1"/>
        <rFont val="宋体"/>
        <charset val="134"/>
      </rPr>
      <t>你的体质调整值。</t>
    </r>
  </si>
  <si>
    <t>缚影</t>
  </si>
  <si>
    <r>
      <rPr>
        <sz val="10"/>
        <color theme="1"/>
        <rFont val="宋体"/>
        <charset val="134"/>
      </rPr>
      <t>你能够以秘仪吸取暗影之力将其束缚于身。你可以在长休期间进行该仪式。执行该仪式需要在非魔法的黑暗环境冥想至少</t>
    </r>
    <r>
      <rPr>
        <sz val="10"/>
        <color theme="1"/>
        <rFont val="Times New Roman"/>
        <charset val="134"/>
      </rPr>
      <t>1</t>
    </r>
    <r>
      <rPr>
        <sz val="10"/>
        <color theme="1"/>
        <rFont val="宋体"/>
        <charset val="134"/>
      </rPr>
      <t>小时。仪式结束时，你选择以下效应之一，该效应持续</t>
    </r>
    <r>
      <rPr>
        <sz val="10"/>
        <color theme="1"/>
        <rFont val="Times New Roman"/>
        <charset val="134"/>
      </rPr>
      <t>24</t>
    </r>
    <r>
      <rPr>
        <sz val="10"/>
        <color theme="1"/>
        <rFont val="宋体"/>
        <charset val="134"/>
      </rPr>
      <t>小时或在你再次执行该仪式时提前结束：
当你身处微光光照或黑暗时，作为你移动的一部分，你可以传送至多等于你速度一半的距离至一处你可见的、同样处于微光光照或黑暗的未占据空间。然后直到你回合结束前，你进行的敏捷（隐匿）检定具有优势。
当你身处微光光照或黑暗时，若你移动了至少等于你速度一半的距离，你获得永久的半身掩护直至你的下个回合开始（你的</t>
    </r>
    <r>
      <rPr>
        <sz val="10"/>
        <color theme="1"/>
        <rFont val="Times New Roman"/>
        <charset val="134"/>
      </rPr>
      <t>AC</t>
    </r>
    <r>
      <rPr>
        <sz val="10"/>
        <color theme="1"/>
        <rFont val="宋体"/>
        <charset val="134"/>
      </rPr>
      <t>和敏捷豁免获得</t>
    </r>
    <r>
      <rPr>
        <sz val="10"/>
        <color theme="1"/>
        <rFont val="Times New Roman"/>
        <charset val="134"/>
      </rPr>
      <t>+2</t>
    </r>
    <r>
      <rPr>
        <sz val="10"/>
        <color theme="1"/>
        <rFont val="宋体"/>
        <charset val="134"/>
      </rPr>
      <t>加值。）
当你的近战或远程武器攻击命中时，你可以令此次攻击额外造成等于你熟练加值的寒冷伤害。此特性仅能在每个你的回合使用一次。</t>
    </r>
  </si>
  <si>
    <t>神谕之辉</t>
  </si>
  <si>
    <t>6级起，你可以使用一个动作将你的心智魔法性地连接到一个你可见或熟悉的光源，例如蜡烛或火把。该光源如同法术鹰眼术Clairvoyance 创造的传感器般运作，赋予你相同的增益。你可以如此使用该光源持续10分钟，或直至你再次使用此特性。
一旦你对一个光源使用此特性，则直至你完成一次长休前，你无法对此光源再次使用该特性。</t>
  </si>
  <si>
    <r>
      <rPr>
        <sz val="10"/>
        <color theme="1"/>
        <rFont val="宋体"/>
        <charset val="134"/>
      </rPr>
      <t>斥候</t>
    </r>
  </si>
  <si>
    <t>幽冥骑士</t>
  </si>
  <si>
    <r>
      <rPr>
        <sz val="10"/>
        <color theme="1"/>
        <rFont val="宋体"/>
        <charset val="134"/>
      </rPr>
      <t>你可以使用附赠动作来具现一个只有你能够骑乘的幽灵坐骑。该坐骑使用战马</t>
    </r>
    <r>
      <rPr>
        <sz val="10"/>
        <color theme="1"/>
        <rFont val="Times New Roman"/>
        <charset val="134"/>
      </rPr>
      <t>Warhorse</t>
    </r>
    <r>
      <rPr>
        <sz val="10"/>
        <color theme="1"/>
        <rFont val="宋体"/>
        <charset val="134"/>
      </rPr>
      <t>的数据，但生物类型为亡灵，对钝击、穿刺和挥砍伤害具有抗性，且只能执行疾走、撤离和回避动作。当该坐骑执行疾走动作时，你可以消耗并掷出一枚尸鬼骰。在该动作造成的移动中，该坐骑的速度增加该尸鬼骰骰值×</t>
    </r>
    <r>
      <rPr>
        <sz val="10"/>
        <color theme="1"/>
        <rFont val="Times New Roman"/>
        <charset val="134"/>
      </rPr>
      <t>5</t>
    </r>
    <r>
      <rPr>
        <sz val="10"/>
        <color theme="1"/>
        <rFont val="宋体"/>
        <charset val="134"/>
      </rPr>
      <t>尺。该坐骑会在</t>
    </r>
    <r>
      <rPr>
        <sz val="10"/>
        <color theme="1"/>
        <rFont val="Times New Roman"/>
        <charset val="134"/>
      </rPr>
      <t>1</t>
    </r>
    <r>
      <rPr>
        <sz val="10"/>
        <color theme="1"/>
        <rFont val="宋体"/>
        <charset val="134"/>
      </rPr>
      <t>小时后、或生命值降至</t>
    </r>
    <r>
      <rPr>
        <sz val="10"/>
        <color theme="1"/>
        <rFont val="Times New Roman"/>
        <charset val="134"/>
      </rPr>
      <t>0</t>
    </r>
    <r>
      <rPr>
        <sz val="10"/>
        <color theme="1"/>
        <rFont val="宋体"/>
        <charset val="134"/>
      </rPr>
      <t>时、或你陷入失能状态时、或你死亡时消失。此附赠动作一经使用，则直至你完成一次短休或长休前，都无法再次使用。你也可以通过消耗一枚尸鬼骰来恢复其使用次数（无需动作）。</t>
    </r>
  </si>
  <si>
    <t>无影之锋</t>
  </si>
  <si>
    <r>
      <rPr>
        <sz val="10"/>
        <color theme="1"/>
        <rFont val="宋体"/>
        <charset val="134"/>
      </rPr>
      <t>阴影将你的锋芒藏起。你获得一种额外的触发偷袭的方式。若你位于你攻击的生物</t>
    </r>
    <r>
      <rPr>
        <sz val="10"/>
        <color theme="1"/>
        <rFont val="Times New Roman"/>
        <charset val="134"/>
      </rPr>
      <t>30</t>
    </r>
    <r>
      <rPr>
        <sz val="10"/>
        <color theme="1"/>
        <rFont val="宋体"/>
        <charset val="134"/>
      </rPr>
      <t>尺内且你身处微光光照或黑暗，只要此次攻击检定不具有劣势，即使你不具有优势也能够使用偷袭。其他所有关于偷袭的规则依然适用于你。</t>
    </r>
  </si>
  <si>
    <t>炽耀之辉</t>
  </si>
  <si>
    <t>10级起，当你灯笼的启明灵光处于激活状态时，你可以使用一个动作令其光芒骤然迸发出势不可挡的耀眼闪光。除你之外，每个被你灯笼的明亮光照或微光光照（由你选择）所照亮的生物，都必须进行一次对抗你魔契师法术豁免DC的体质豁免检定。若豁免失败，则该生物会受到2d8+你魔契师等级的光耀伤害，并陷入目盲直至你的下一回合结束。若豁免成功，则该生物仅受一半伤害且不会陷入目盲。
一旦你使用了此特性，则直至你完成一次短休或长休前，都无法再次使用。</t>
  </si>
  <si>
    <r>
      <rPr>
        <sz val="10"/>
        <color theme="1"/>
        <rFont val="宋体"/>
        <charset val="134"/>
      </rPr>
      <t>游荡剑客</t>
    </r>
  </si>
  <si>
    <t>守墓陵卫</t>
  </si>
  <si>
    <t>当你受到伤害时，你可以使用反应来消耗并掷出一枚尸鬼骰，使该伤害减少等于该尸鬼骰骰值外加你体质调整值的数值。</t>
  </si>
  <si>
    <r>
      <rPr>
        <sz val="10"/>
        <color theme="1"/>
        <rFont val="宋体"/>
        <charset val="134"/>
      </rPr>
      <t>你可以吸引更多暗影的力量束缚于身。以一个附赠动作，你可以无需材料成分的施展黑暗术</t>
    </r>
    <r>
      <rPr>
        <sz val="10"/>
        <color theme="1"/>
        <rFont val="Times New Roman"/>
        <charset val="134"/>
      </rPr>
      <t>Darkness</t>
    </r>
    <r>
      <rPr>
        <sz val="10"/>
        <color theme="1"/>
        <rFont val="宋体"/>
        <charset val="134"/>
      </rPr>
      <t>。此特性至多使用三次，当你完成长休时才能再次使用此特性。
此外，当你身处微光光照或黑暗区域时，你能够以动作变得隐形。隐形状态持续至你发动攻击、施展法术或身处明亮光照。</t>
    </r>
  </si>
  <si>
    <t>愈加璀璨</t>
  </si>
  <si>
    <t>14级起，你可以随意激活你灯笼的启明灵光的能力。与启明灵光协同使用的特性，例如危险器具和炽耀之辉，仍受各自特性中描述的使用次数限制。
此外，当你持握你的灯笼期间，你可以使用一个动作令其照射出苍白蓝光，揭示一条通往一个你熟悉地点的发光奥术路径，如同施展法术寻路术Find the Path 。
一旦你以此方式使用你的灯笼，则直至你完成一次长休前，都无法再次这么做。</t>
  </si>
  <si>
    <r>
      <rPr>
        <sz val="10"/>
        <color theme="1"/>
        <rFont val="宋体"/>
        <charset val="134"/>
      </rPr>
      <t>鬼魅</t>
    </r>
  </si>
  <si>
    <t>灵魂收割</t>
  </si>
  <si>
    <r>
      <rPr>
        <sz val="10"/>
        <color theme="1"/>
        <rFont val="宋体"/>
        <charset val="134"/>
      </rPr>
      <t>当你执行攻击动作时，你可以放弃其中一次攻击，改为在你周边</t>
    </r>
    <r>
      <rPr>
        <sz val="10"/>
        <color theme="1"/>
        <rFont val="Times New Roman"/>
        <charset val="134"/>
      </rPr>
      <t>60</t>
    </r>
    <r>
      <rPr>
        <sz val="10"/>
        <color theme="1"/>
        <rFont val="宋体"/>
        <charset val="134"/>
      </rPr>
      <t>尺范围内一个生物的身边召唤幽灵之手。消耗并掷出一枚尸鬼骰。该生物必须进行一次力量豁免。若豁免失败，则该生物受到等于该尸鬼骰骰值外加你体质调整值的暗蚀伤害，并陷入受擒状态（逃脱</t>
    </r>
    <r>
      <rPr>
        <sz val="10"/>
        <color theme="1"/>
        <rFont val="Times New Roman"/>
        <charset val="134"/>
      </rPr>
      <t>DC=</t>
    </r>
    <r>
      <rPr>
        <sz val="10"/>
        <color theme="1"/>
        <rFont val="宋体"/>
        <charset val="134"/>
      </rPr>
      <t>你的死亡骑士能力豁免</t>
    </r>
    <r>
      <rPr>
        <sz val="10"/>
        <color theme="1"/>
        <rFont val="Times New Roman"/>
        <charset val="134"/>
      </rPr>
      <t>DC</t>
    </r>
    <r>
      <rPr>
        <sz val="10"/>
        <color theme="1"/>
        <rFont val="宋体"/>
        <charset val="134"/>
      </rPr>
      <t>），持续</t>
    </r>
    <r>
      <rPr>
        <sz val="10"/>
        <color theme="1"/>
        <rFont val="Times New Roman"/>
        <charset val="134"/>
      </rPr>
      <t>1</t>
    </r>
    <r>
      <rPr>
        <sz val="10"/>
        <color theme="1"/>
        <rFont val="宋体"/>
        <charset val="134"/>
      </rPr>
      <t>分钟。若豁免成功，则该生物仅受半伤。</t>
    </r>
  </si>
  <si>
    <t>暗影之攫</t>
  </si>
  <si>
    <r>
      <rPr>
        <sz val="10"/>
        <color theme="1"/>
        <rFont val="宋体"/>
        <charset val="134"/>
      </rPr>
      <t>你能够将敌人包裹在能弱化力量的阴影中。当你对生物造成偷袭伤害时，你可以迫使其进行一次敏捷豁免（</t>
    </r>
    <r>
      <rPr>
        <sz val="10"/>
        <color theme="1"/>
        <rFont val="Times New Roman"/>
        <charset val="134"/>
      </rPr>
      <t>DC</t>
    </r>
    <r>
      <rPr>
        <sz val="10"/>
        <color theme="1"/>
        <rFont val="宋体"/>
        <charset val="134"/>
      </rPr>
      <t>等于</t>
    </r>
    <r>
      <rPr>
        <sz val="10"/>
        <color theme="1"/>
        <rFont val="Times New Roman"/>
        <charset val="134"/>
      </rPr>
      <t>8+</t>
    </r>
    <r>
      <rPr>
        <sz val="10"/>
        <color theme="1"/>
        <rFont val="宋体"/>
        <charset val="134"/>
      </rPr>
      <t>你的熟练加值</t>
    </r>
    <r>
      <rPr>
        <sz val="10"/>
        <color theme="1"/>
        <rFont val="Times New Roman"/>
        <charset val="134"/>
      </rPr>
      <t>+</t>
    </r>
    <r>
      <rPr>
        <sz val="10"/>
        <color theme="1"/>
        <rFont val="宋体"/>
        <charset val="134"/>
      </rPr>
      <t>你的敏捷调整值）。豁免失败则目标陷入束缚持续</t>
    </r>
    <r>
      <rPr>
        <sz val="10"/>
        <color theme="1"/>
        <rFont val="Times New Roman"/>
        <charset val="134"/>
      </rPr>
      <t>1</t>
    </r>
    <r>
      <rPr>
        <sz val="10"/>
        <color theme="1"/>
        <rFont val="宋体"/>
        <charset val="134"/>
      </rPr>
      <t>分钟。束缚目标在其每个回合结束时重复豁免，成功则终止其身上的该效应。
此特性一经使用，直至你完成短休或长休前都无法再次使用。</t>
    </r>
  </si>
  <si>
    <t>愚神法术</t>
  </si>
  <si>
    <r>
      <rPr>
        <sz val="10"/>
        <color theme="1"/>
        <rFont val="宋体"/>
        <charset val="134"/>
      </rPr>
      <t>宗主赐予的魔法使你始终准备了特定的法术。当你到达愚神法术表中特定的魔契师等级时，你就始终准备了表中对应的法术。</t>
    </r>
    <r>
      <rPr>
        <sz val="10"/>
        <color theme="1"/>
        <rFont val="Times New Roman"/>
        <charset val="134"/>
      </rPr>
      <t xml:space="preserve">
</t>
    </r>
    <r>
      <rPr>
        <sz val="10"/>
        <color theme="1"/>
        <rFont val="宋体"/>
        <charset val="134"/>
      </rPr>
      <t>愚神法术</t>
    </r>
    <r>
      <rPr>
        <sz val="10"/>
        <color theme="1"/>
        <rFont val="Times New Roman"/>
        <charset val="134"/>
      </rPr>
      <t xml:space="preserve">Great Fool Spells
</t>
    </r>
    <r>
      <rPr>
        <sz val="10"/>
        <color theme="1"/>
        <rFont val="宋体"/>
        <charset val="134"/>
      </rPr>
      <t>魔契师等级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恶言相加</t>
    </r>
    <r>
      <rPr>
        <sz val="10"/>
        <color theme="1"/>
        <rFont val="Times New Roman"/>
        <charset val="134"/>
      </rPr>
      <t>Vicious Mockery</t>
    </r>
    <r>
      <rPr>
        <sz val="10"/>
        <color theme="1"/>
        <rFont val="宋体"/>
        <charset val="134"/>
      </rPr>
      <t>，易容术</t>
    </r>
    <r>
      <rPr>
        <sz val="10"/>
        <color theme="1"/>
        <rFont val="Times New Roman"/>
        <charset val="134"/>
      </rPr>
      <t>Disguise Self</t>
    </r>
    <r>
      <rPr>
        <sz val="10"/>
        <color theme="1"/>
        <rFont val="宋体"/>
        <charset val="134"/>
      </rPr>
      <t>，塔莎狂笑术</t>
    </r>
    <r>
      <rPr>
        <sz val="10"/>
        <color theme="1"/>
        <rFont val="Times New Roman"/>
        <charset val="134"/>
      </rPr>
      <t>Tasha’s Hideous Laughter</t>
    </r>
    <r>
      <rPr>
        <sz val="10"/>
        <color theme="1"/>
        <rFont val="宋体"/>
        <charset val="134"/>
      </rPr>
      <t>，魔绳术</t>
    </r>
    <r>
      <rPr>
        <sz val="10"/>
        <color theme="1"/>
        <rFont val="Times New Roman"/>
        <charset val="134"/>
      </rPr>
      <t>Rope Trick</t>
    </r>
    <r>
      <rPr>
        <sz val="10"/>
        <color theme="1"/>
        <rFont val="宋体"/>
        <charset val="134"/>
      </rPr>
      <t>，灵体武器</t>
    </r>
    <r>
      <rPr>
        <sz val="10"/>
        <color theme="1"/>
        <rFont val="Times New Roman"/>
        <charset val="134"/>
      </rPr>
      <t xml:space="preserve">Spiritual Weapon  
5 </t>
    </r>
    <r>
      <rPr>
        <sz val="10"/>
        <color theme="1"/>
        <rFont val="宋体"/>
        <charset val="134"/>
      </rPr>
      <t>闪现术</t>
    </r>
    <r>
      <rPr>
        <sz val="10"/>
        <color theme="1"/>
        <rFont val="Times New Roman"/>
        <charset val="134"/>
      </rPr>
      <t>Blink</t>
    </r>
    <r>
      <rPr>
        <sz val="10"/>
        <color theme="1"/>
        <rFont val="宋体"/>
        <charset val="134"/>
      </rPr>
      <t>，臭云术</t>
    </r>
    <r>
      <rPr>
        <sz val="10"/>
        <color theme="1"/>
        <rFont val="Times New Roman"/>
        <charset val="134"/>
      </rPr>
      <t xml:space="preserve">Stinking Cloud  
7 </t>
    </r>
    <r>
      <rPr>
        <sz val="10"/>
        <color theme="1"/>
        <rFont val="宋体"/>
        <charset val="134"/>
      </rPr>
      <t>魅影杀手</t>
    </r>
    <r>
      <rPr>
        <sz val="10"/>
        <color theme="1"/>
        <rFont val="Times New Roman"/>
        <charset val="134"/>
      </rPr>
      <t>Phantasmal Killer</t>
    </r>
    <r>
      <rPr>
        <sz val="10"/>
        <color theme="1"/>
        <rFont val="宋体"/>
        <charset val="134"/>
      </rPr>
      <t>，傀儡掌控</t>
    </r>
    <r>
      <rPr>
        <sz val="10"/>
        <color theme="1"/>
        <rFont val="Times New Roman"/>
        <charset val="134"/>
      </rPr>
      <t xml:space="preserve">Puppet Master
9 </t>
    </r>
    <r>
      <rPr>
        <sz val="10"/>
        <color theme="1"/>
        <rFont val="宋体"/>
        <charset val="134"/>
      </rPr>
      <t>毕格比之手</t>
    </r>
    <r>
      <rPr>
        <sz val="10"/>
        <color theme="1"/>
        <rFont val="Times New Roman"/>
        <charset val="134"/>
      </rPr>
      <t>Bigby's Hand</t>
    </r>
    <r>
      <rPr>
        <sz val="10"/>
        <color theme="1"/>
        <rFont val="宋体"/>
        <charset val="134"/>
      </rPr>
      <t>，假象术</t>
    </r>
    <r>
      <rPr>
        <sz val="10"/>
        <color theme="1"/>
        <rFont val="Times New Roman"/>
        <charset val="134"/>
      </rPr>
      <t>Mislead</t>
    </r>
  </si>
  <si>
    <r>
      <rPr>
        <sz val="10"/>
        <color theme="1"/>
        <rFont val="宋体"/>
        <charset val="134"/>
      </rPr>
      <t>暗影潜行者</t>
    </r>
  </si>
  <si>
    <t>摄魂夺魄</t>
  </si>
  <si>
    <r>
      <rPr>
        <sz val="10"/>
        <color theme="1"/>
        <rFont val="宋体"/>
        <charset val="134"/>
      </rPr>
      <t>你学会捕捉灵魂逝去时流溢的精华，从中汲取知识和技艺。你获得以下增益。</t>
    </r>
    <r>
      <rPr>
        <sz val="10"/>
        <color theme="1"/>
        <rFont val="Times New Roman"/>
        <charset val="134"/>
      </rPr>
      <t xml:space="preserve">
</t>
    </r>
    <r>
      <rPr>
        <sz val="10"/>
        <color theme="1"/>
        <rFont val="宋体"/>
        <charset val="134"/>
      </rPr>
      <t>尘世残痕</t>
    </r>
    <r>
      <rPr>
        <sz val="10"/>
        <color theme="1"/>
        <rFont val="Times New Roman"/>
        <charset val="134"/>
      </rPr>
      <t>Mortal Coil</t>
    </r>
    <r>
      <rPr>
        <sz val="10"/>
        <color theme="1"/>
        <rFont val="宋体"/>
        <charset val="134"/>
      </rPr>
      <t>。</t>
    </r>
    <r>
      <rPr>
        <sz val="10"/>
        <color theme="1"/>
        <rFont val="Times New Roman"/>
        <charset val="134"/>
      </rPr>
      <t xml:space="preserve"> </t>
    </r>
    <r>
      <rPr>
        <sz val="10"/>
        <color theme="1"/>
        <rFont val="宋体"/>
        <charset val="134"/>
      </rPr>
      <t>当你周边</t>
    </r>
    <r>
      <rPr>
        <sz val="10"/>
        <color theme="1"/>
        <rFont val="Times New Roman"/>
        <charset val="134"/>
      </rPr>
      <t>30</t>
    </r>
    <r>
      <rPr>
        <sz val="10"/>
        <color theme="1"/>
        <rFont val="宋体"/>
        <charset val="134"/>
      </rPr>
      <t>尺范围内一个非构装非亡灵的敌人死亡时，你可以使用反应来恢复一枚已消耗的尸鬼骰。</t>
    </r>
    <r>
      <rPr>
        <sz val="10"/>
        <color theme="1"/>
        <rFont val="Times New Roman"/>
        <charset val="134"/>
      </rPr>
      <t xml:space="preserve">
</t>
    </r>
    <r>
      <rPr>
        <sz val="10"/>
        <color theme="1"/>
        <rFont val="宋体"/>
        <charset val="134"/>
      </rPr>
      <t>逝者低语</t>
    </r>
    <r>
      <rPr>
        <sz val="10"/>
        <color theme="1"/>
        <rFont val="Times New Roman"/>
        <charset val="134"/>
      </rPr>
      <t>Whisper of the Departed</t>
    </r>
    <r>
      <rPr>
        <sz val="10"/>
        <color theme="1"/>
        <rFont val="宋体"/>
        <charset val="134"/>
      </rPr>
      <t>。</t>
    </r>
    <r>
      <rPr>
        <sz val="10"/>
        <color theme="1"/>
        <rFont val="Times New Roman"/>
        <charset val="134"/>
      </rPr>
      <t xml:space="preserve"> </t>
    </r>
    <r>
      <rPr>
        <sz val="10"/>
        <color theme="1"/>
        <rFont val="宋体"/>
        <charset val="134"/>
      </rPr>
      <t>当你进行属性检定时，你可以消耗并掷出一枚尸鬼骰，将骰值加入结果总值中。</t>
    </r>
  </si>
  <si>
    <t>嗜血</t>
  </si>
  <si>
    <r>
      <rPr>
        <sz val="10"/>
        <color theme="1"/>
        <rFont val="宋体"/>
        <charset val="134"/>
      </rPr>
      <t>当一个你可见的敌人在距离你</t>
    </r>
    <r>
      <rPr>
        <sz val="10"/>
        <color theme="1"/>
        <rFont val="Times New Roman"/>
        <charset val="134"/>
      </rPr>
      <t>30</t>
    </r>
    <r>
      <rPr>
        <sz val="10"/>
        <color theme="1"/>
        <rFont val="宋体"/>
        <charset val="134"/>
      </rPr>
      <t>尺内受到伤害，并因此伤害而陷入浴血状态并且未被直接杀死时，你可以使用一个反应来传送至该敌人</t>
    </r>
    <r>
      <rPr>
        <sz val="10"/>
        <color theme="1"/>
        <rFont val="Times New Roman"/>
        <charset val="134"/>
      </rPr>
      <t>5</t>
    </r>
    <r>
      <rPr>
        <sz val="10"/>
        <color theme="1"/>
        <rFont val="宋体"/>
        <charset val="134"/>
      </rPr>
      <t>尺内的、你可见的未占据空间。接着你可以进行一次近战攻击。</t>
    </r>
    <r>
      <rPr>
        <sz val="10"/>
        <color theme="1"/>
        <rFont val="Times New Roman"/>
        <charset val="134"/>
      </rPr>
      <t xml:space="preserve">
</t>
    </r>
    <r>
      <rPr>
        <sz val="10"/>
        <color theme="1"/>
        <rFont val="宋体"/>
        <charset val="134"/>
      </rPr>
      <t>你可以使用此特性的次数等于你的智力调整值（至少</t>
    </r>
    <r>
      <rPr>
        <sz val="10"/>
        <color theme="1"/>
        <rFont val="Times New Roman"/>
        <charset val="134"/>
      </rPr>
      <t>1</t>
    </r>
    <r>
      <rPr>
        <sz val="10"/>
        <color theme="1"/>
        <rFont val="宋体"/>
        <charset val="134"/>
      </rPr>
      <t>次）。完成一次长休后，你恢复所有已消耗的使用次数。</t>
    </r>
  </si>
  <si>
    <t>致命玩笑</t>
  </si>
  <si>
    <r>
      <rPr>
        <sz val="10"/>
        <color theme="1"/>
        <rFont val="宋体"/>
        <charset val="134"/>
      </rPr>
      <t>你能洞察万物中的幽默——尤其是在其终结之时。当你周边</t>
    </r>
    <r>
      <rPr>
        <sz val="10"/>
        <color theme="1"/>
        <rFont val="Times New Roman"/>
        <charset val="134"/>
      </rPr>
      <t>60</t>
    </r>
    <r>
      <rPr>
        <sz val="10"/>
        <color theme="1"/>
        <rFont val="宋体"/>
        <charset val="134"/>
      </rPr>
      <t>尺范围内一个你可见的生物受到伤害或豁免检定失败时，你可以使用反应对该生物施展恶言相加</t>
    </r>
    <r>
      <rPr>
        <sz val="10"/>
        <color theme="1"/>
        <rFont val="Times New Roman"/>
        <charset val="134"/>
      </rPr>
      <t xml:space="preserve">Vicious Mockery </t>
    </r>
    <r>
      <rPr>
        <sz val="10"/>
        <color theme="1"/>
        <rFont val="宋体"/>
        <charset val="134"/>
      </rPr>
      <t>。你可以使用此反应的次数等于你的魅力调整值（至少一次）。你可以在完成短休时恢复一次已消耗的次数，完成长休时恢复所有已消耗的次数。</t>
    </r>
    <r>
      <rPr>
        <sz val="10"/>
        <color theme="1"/>
        <rFont val="Times New Roman"/>
        <charset val="134"/>
      </rPr>
      <t xml:space="preserve"> </t>
    </r>
  </si>
  <si>
    <t>走私者</t>
  </si>
  <si>
    <t>镇墓使</t>
  </si>
  <si>
    <r>
      <rPr>
        <sz val="10"/>
        <color theme="1"/>
        <rFont val="宋体"/>
        <charset val="134"/>
      </rPr>
      <t>你的死亡骑士特性通过以下方式得到提升。</t>
    </r>
    <r>
      <rPr>
        <sz val="10"/>
        <color theme="1"/>
        <rFont val="Times New Roman"/>
        <charset val="134"/>
      </rPr>
      <t xml:space="preserve">
</t>
    </r>
    <r>
      <rPr>
        <sz val="10"/>
        <color theme="1"/>
        <rFont val="宋体"/>
        <charset val="134"/>
      </rPr>
      <t>幻影战骑</t>
    </r>
    <r>
      <rPr>
        <sz val="10"/>
        <color theme="1"/>
        <rFont val="Times New Roman"/>
        <charset val="134"/>
      </rPr>
      <t>Phantom Charger</t>
    </r>
    <r>
      <rPr>
        <sz val="10"/>
        <color theme="1"/>
        <rFont val="宋体"/>
        <charset val="134"/>
      </rPr>
      <t>。</t>
    </r>
    <r>
      <rPr>
        <sz val="10"/>
        <color theme="1"/>
        <rFont val="Times New Roman"/>
        <charset val="134"/>
      </rPr>
      <t xml:space="preserve"> </t>
    </r>
    <r>
      <rPr>
        <sz val="10"/>
        <color theme="1"/>
        <rFont val="宋体"/>
        <charset val="134"/>
      </rPr>
      <t>你的幽冥骑士能力具现的幽灵坐骑现在无视困难地形。此外，当你的坐骑执行疾走、撤离和回避动作时，你可以消耗并掷出一枚尸鬼骰。你的坐骑会魔法性地传送至其周边</t>
    </r>
    <r>
      <rPr>
        <sz val="10"/>
        <color theme="1"/>
        <rFont val="Times New Roman"/>
        <charset val="134"/>
      </rPr>
      <t>60</t>
    </r>
    <r>
      <rPr>
        <sz val="10"/>
        <color theme="1"/>
        <rFont val="宋体"/>
        <charset val="134"/>
      </rPr>
      <t>尺范围内一处你可见的未占据空间（如果你正在骑乘它则带着你一同）。当坐骑出现时，其周边</t>
    </r>
    <r>
      <rPr>
        <sz val="10"/>
        <color theme="1"/>
        <rFont val="Times New Roman"/>
        <charset val="134"/>
      </rPr>
      <t>10</t>
    </r>
    <r>
      <rPr>
        <sz val="10"/>
        <color theme="1"/>
        <rFont val="宋体"/>
        <charset val="134"/>
      </rPr>
      <t>尺范围内所有你选择的生物都必须进行一次体质豁免，豁免失败则受到等于该尸鬼骰骰值外加你体质调整值的暗蚀伤害，豁免成功则仅受半伤。</t>
    </r>
    <r>
      <rPr>
        <sz val="10"/>
        <color theme="1"/>
        <rFont val="Times New Roman"/>
        <charset val="134"/>
      </rPr>
      <t xml:space="preserve">
</t>
    </r>
    <r>
      <rPr>
        <sz val="10"/>
        <color theme="1"/>
        <rFont val="宋体"/>
        <charset val="134"/>
      </rPr>
      <t>断魂丧钟</t>
    </r>
    <r>
      <rPr>
        <sz val="10"/>
        <color theme="1"/>
        <rFont val="Times New Roman"/>
        <charset val="134"/>
      </rPr>
      <t>Death Knell</t>
    </r>
    <r>
      <rPr>
        <sz val="10"/>
        <color theme="1"/>
        <rFont val="宋体"/>
        <charset val="134"/>
      </rPr>
      <t>。</t>
    </r>
    <r>
      <rPr>
        <sz val="10"/>
        <color theme="1"/>
        <rFont val="Times New Roman"/>
        <charset val="134"/>
      </rPr>
      <t xml:space="preserve"> </t>
    </r>
    <r>
      <rPr>
        <sz val="10"/>
        <color theme="1"/>
        <rFont val="宋体"/>
        <charset val="134"/>
      </rPr>
      <t>当你使用守墓陵卫能力来响应一个生物对你造成的伤害时，该生物会受到等于该能力所减少伤害数值一半的心灵伤害。</t>
    </r>
    <r>
      <rPr>
        <sz val="10"/>
        <color theme="1"/>
        <rFont val="Times New Roman"/>
        <charset val="134"/>
      </rPr>
      <t xml:space="preserve">
</t>
    </r>
    <r>
      <rPr>
        <sz val="10"/>
        <color theme="1"/>
        <rFont val="宋体"/>
        <charset val="134"/>
      </rPr>
      <t>幽声尖啸</t>
    </r>
    <r>
      <rPr>
        <sz val="10"/>
        <color theme="1"/>
        <rFont val="Times New Roman"/>
        <charset val="134"/>
      </rPr>
      <t>Spectral Shrieking</t>
    </r>
    <r>
      <rPr>
        <sz val="10"/>
        <color theme="1"/>
        <rFont val="宋体"/>
        <charset val="134"/>
      </rPr>
      <t>。</t>
    </r>
    <r>
      <rPr>
        <sz val="10"/>
        <color theme="1"/>
        <rFont val="Times New Roman"/>
        <charset val="134"/>
      </rPr>
      <t xml:space="preserve"> </t>
    </r>
    <r>
      <rPr>
        <sz val="10"/>
        <color theme="1"/>
        <rFont val="宋体"/>
        <charset val="134"/>
      </rPr>
      <t>当一个因你的灵魂收割能力而陷入受擒状态的生物开始其回合时，它受到等于你熟练加值的心灵伤害。当它受到该伤害时，你可以使用反应来消耗并掷出一枚尸鬼骰，将所掷点数加入到该伤害中。</t>
    </r>
  </si>
  <si>
    <t>敬怖之忠</t>
  </si>
  <si>
    <r>
      <rPr>
        <sz val="10"/>
        <color theme="1"/>
        <rFont val="宋体"/>
        <charset val="134"/>
      </rPr>
      <t>选择死亡三神中的一位：班恩、巴尔或米尔寇。你获得一种伤害类型的抗性和施展某道戏法的能力，如下表所示。你施展该戏法的施法属性是智力。当你完成一次长休时，你可以重新选择一位神明。</t>
    </r>
    <r>
      <rPr>
        <sz val="10"/>
        <color theme="1"/>
        <rFont val="Times New Roman"/>
        <charset val="134"/>
      </rPr>
      <t xml:space="preserve">
</t>
    </r>
    <r>
      <rPr>
        <sz val="10"/>
        <color theme="1"/>
        <rFont val="宋体"/>
        <charset val="134"/>
      </rPr>
      <t>神祇</t>
    </r>
    <r>
      <rPr>
        <sz val="10"/>
        <color theme="1"/>
        <rFont val="Times New Roman"/>
        <charset val="134"/>
      </rPr>
      <t xml:space="preserve">      </t>
    </r>
    <r>
      <rPr>
        <sz val="10"/>
        <color theme="1"/>
        <rFont val="宋体"/>
        <charset val="134"/>
      </rPr>
      <t>伤害抗性</t>
    </r>
    <r>
      <rPr>
        <sz val="10"/>
        <color theme="1"/>
        <rFont val="Times New Roman"/>
        <charset val="134"/>
      </rPr>
      <t xml:space="preserve">    </t>
    </r>
    <r>
      <rPr>
        <sz val="10"/>
        <color theme="1"/>
        <rFont val="宋体"/>
        <charset val="134"/>
      </rPr>
      <t>戏法</t>
    </r>
    <r>
      <rPr>
        <sz val="10"/>
        <color theme="1"/>
        <rFont val="Times New Roman"/>
        <charset val="134"/>
      </rPr>
      <t xml:space="preserve">
</t>
    </r>
    <r>
      <rPr>
        <sz val="10"/>
        <color theme="1"/>
        <rFont val="宋体"/>
        <charset val="134"/>
      </rPr>
      <t>班恩</t>
    </r>
    <r>
      <rPr>
        <sz val="10"/>
        <color theme="1"/>
        <rFont val="Times New Roman"/>
        <charset val="134"/>
      </rPr>
      <t xml:space="preserve">      </t>
    </r>
    <r>
      <rPr>
        <sz val="10"/>
        <color theme="1"/>
        <rFont val="宋体"/>
        <charset val="134"/>
      </rPr>
      <t>心灵</t>
    </r>
    <r>
      <rPr>
        <sz val="10"/>
        <color theme="1"/>
        <rFont val="Times New Roman"/>
        <charset val="134"/>
      </rPr>
      <t xml:space="preserve">          </t>
    </r>
    <r>
      <rPr>
        <sz val="10"/>
        <color theme="1"/>
        <rFont val="宋体"/>
        <charset val="134"/>
      </rPr>
      <t>次级幻影</t>
    </r>
    <r>
      <rPr>
        <sz val="10"/>
        <color theme="1"/>
        <rFont val="Times New Roman"/>
        <charset val="134"/>
      </rPr>
      <t xml:space="preserve">
</t>
    </r>
    <r>
      <rPr>
        <sz val="10"/>
        <color theme="1"/>
        <rFont val="宋体"/>
        <charset val="134"/>
      </rPr>
      <t>巴尔</t>
    </r>
    <r>
      <rPr>
        <sz val="10"/>
        <color theme="1"/>
        <rFont val="Times New Roman"/>
        <charset val="134"/>
      </rPr>
      <t xml:space="preserve">      </t>
    </r>
    <r>
      <rPr>
        <sz val="10"/>
        <color theme="1"/>
        <rFont val="宋体"/>
        <charset val="134"/>
      </rPr>
      <t>毒素</t>
    </r>
    <r>
      <rPr>
        <sz val="10"/>
        <color theme="1"/>
        <rFont val="Times New Roman"/>
        <charset val="134"/>
      </rPr>
      <t xml:space="preserve">          </t>
    </r>
    <r>
      <rPr>
        <sz val="10"/>
        <color theme="1"/>
        <rFont val="宋体"/>
        <charset val="134"/>
      </rPr>
      <t>剑刃防护</t>
    </r>
    <r>
      <rPr>
        <sz val="10"/>
        <color theme="1"/>
        <rFont val="Times New Roman"/>
        <charset val="134"/>
      </rPr>
      <t xml:space="preserve">
</t>
    </r>
    <r>
      <rPr>
        <sz val="10"/>
        <color theme="1"/>
        <rFont val="宋体"/>
        <charset val="134"/>
      </rPr>
      <t>米尔寇</t>
    </r>
    <r>
      <rPr>
        <sz val="10"/>
        <color theme="1"/>
        <rFont val="Times New Roman"/>
        <charset val="134"/>
      </rPr>
      <t xml:space="preserve">  </t>
    </r>
    <r>
      <rPr>
        <sz val="10"/>
        <color theme="1"/>
        <rFont val="宋体"/>
        <charset val="134"/>
      </rPr>
      <t>暗蚀</t>
    </r>
    <r>
      <rPr>
        <sz val="10"/>
        <color theme="1"/>
        <rFont val="Times New Roman"/>
        <charset val="134"/>
      </rPr>
      <t xml:space="preserve">          </t>
    </r>
    <r>
      <rPr>
        <sz val="10"/>
        <color theme="1"/>
        <rFont val="宋体"/>
        <charset val="134"/>
      </rPr>
      <t>颤栗之触</t>
    </r>
  </si>
  <si>
    <t>弄臣戏谑</t>
  </si>
  <si>
    <r>
      <rPr>
        <sz val="10"/>
        <color theme="1"/>
        <rFont val="宋体"/>
        <charset val="134"/>
      </rPr>
      <t>你能召唤愚神的一缕显象，诅咒你的敌人。你可以使用魔法动作迫使你周边</t>
    </r>
    <r>
      <rPr>
        <sz val="10"/>
        <color theme="1"/>
        <rFont val="Times New Roman"/>
        <charset val="134"/>
      </rPr>
      <t>60</t>
    </r>
    <r>
      <rPr>
        <sz val="10"/>
        <color theme="1"/>
        <rFont val="宋体"/>
        <charset val="134"/>
      </rPr>
      <t>尺范围内一个你可见的生物进行一次对抗你法术豁免</t>
    </r>
    <r>
      <rPr>
        <sz val="10"/>
        <color theme="1"/>
        <rFont val="Times New Roman"/>
        <charset val="134"/>
      </rPr>
      <t>DC</t>
    </r>
    <r>
      <rPr>
        <sz val="10"/>
        <color theme="1"/>
        <rFont val="宋体"/>
        <charset val="134"/>
      </rPr>
      <t>的魅力豁免，豁免失败则承受以下一种由你选择的诅咒。</t>
    </r>
    <r>
      <rPr>
        <sz val="10"/>
        <color theme="1"/>
        <rFont val="Times New Roman"/>
        <charset val="134"/>
      </rPr>
      <t xml:space="preserve"> 
</t>
    </r>
    <r>
      <rPr>
        <sz val="10"/>
        <color theme="1"/>
        <rFont val="宋体"/>
        <charset val="134"/>
      </rPr>
      <t>花朵喷雾</t>
    </r>
    <r>
      <rPr>
        <sz val="10"/>
        <color theme="1"/>
        <rFont val="Times New Roman"/>
        <charset val="134"/>
      </rPr>
      <t>Flower Spurt</t>
    </r>
    <r>
      <rPr>
        <sz val="10"/>
        <color theme="1"/>
        <rFont val="宋体"/>
        <charset val="134"/>
      </rPr>
      <t>。你向该生物的眼睛喷射一种奇怪的液体，使其陷入目盲状态。</t>
    </r>
    <r>
      <rPr>
        <sz val="10"/>
        <color theme="1"/>
        <rFont val="Times New Roman"/>
        <charset val="134"/>
      </rPr>
      <t xml:space="preserve"> 
</t>
    </r>
    <r>
      <rPr>
        <sz val="10"/>
        <color theme="1"/>
        <rFont val="宋体"/>
        <charset val="134"/>
      </rPr>
      <t>小丑之履</t>
    </r>
    <r>
      <rPr>
        <sz val="10"/>
        <color theme="1"/>
        <rFont val="Times New Roman"/>
        <charset val="134"/>
      </rPr>
      <t>Clown Shoes</t>
    </r>
    <r>
      <rPr>
        <sz val="10"/>
        <color theme="1"/>
        <rFont val="宋体"/>
        <charset val="134"/>
      </rPr>
      <t>。该生物的脚或类似肢体以笨拙夸张的比例长大。该生物的速度减半，并且在依赖敏捷的属性检定和豁免检定中具有劣势。</t>
    </r>
    <r>
      <rPr>
        <sz val="10"/>
        <color theme="1"/>
        <rFont val="Times New Roman"/>
        <charset val="134"/>
      </rPr>
      <t xml:space="preserve"> 
</t>
    </r>
    <r>
      <rPr>
        <sz val="10"/>
        <color theme="1"/>
        <rFont val="宋体"/>
        <charset val="134"/>
      </rPr>
      <t>吱哒喇叭</t>
    </r>
    <r>
      <rPr>
        <sz val="10"/>
        <color theme="1"/>
        <rFont val="Times New Roman"/>
        <charset val="134"/>
      </rPr>
      <t>Honk Honk</t>
    </r>
    <r>
      <rPr>
        <sz val="10"/>
        <color theme="1"/>
        <rFont val="宋体"/>
        <charset val="134"/>
      </rPr>
      <t>。无论多么轻微，该生物的移动都会发出在</t>
    </r>
    <r>
      <rPr>
        <sz val="10"/>
        <color theme="1"/>
        <rFont val="Times New Roman"/>
        <charset val="134"/>
      </rPr>
      <t>100</t>
    </r>
    <r>
      <rPr>
        <sz val="10"/>
        <color theme="1"/>
        <rFont val="宋体"/>
        <charset val="134"/>
      </rPr>
      <t>尺内都能听见的，诸如喇叭声、铃铛声或吱嘎声等声音。该生物无法从隐形状态受益。</t>
    </r>
    <r>
      <rPr>
        <sz val="10"/>
        <color theme="1"/>
        <rFont val="Times New Roman"/>
        <charset val="134"/>
      </rPr>
      <t xml:space="preserve"> 
</t>
    </r>
    <r>
      <rPr>
        <sz val="10"/>
        <color theme="1"/>
        <rFont val="宋体"/>
        <charset val="134"/>
      </rPr>
      <t>滑稽兵器</t>
    </r>
    <r>
      <rPr>
        <sz val="10"/>
        <color theme="1"/>
        <rFont val="Times New Roman"/>
        <charset val="134"/>
      </rPr>
      <t>Jolly Arms</t>
    </r>
    <r>
      <rPr>
        <sz val="10"/>
        <color theme="1"/>
        <rFont val="宋体"/>
        <charset val="134"/>
      </rPr>
      <t>。该生物用来攻击的任何武器或徒手打击（包括诸如獠牙和利爪之类的天生武器），都会呈现出滑稽的外观，仿佛是由木头、填充布料或气球制成。目标使用武器攻击和徒手打击造成的伤害减半。</t>
    </r>
    <r>
      <rPr>
        <sz val="10"/>
        <color theme="1"/>
        <rFont val="Times New Roman"/>
        <charset val="134"/>
      </rPr>
      <t xml:space="preserve"> 
</t>
    </r>
    <r>
      <rPr>
        <sz val="10"/>
        <color theme="1"/>
        <rFont val="宋体"/>
        <charset val="134"/>
      </rPr>
      <t>诅咒持续</t>
    </r>
    <r>
      <rPr>
        <sz val="10"/>
        <color theme="1"/>
        <rFont val="Times New Roman"/>
        <charset val="134"/>
      </rPr>
      <t>1</t>
    </r>
    <r>
      <rPr>
        <sz val="10"/>
        <color theme="1"/>
        <rFont val="宋体"/>
        <charset val="134"/>
      </rPr>
      <t>分钟。该生物在其每个回合结束时重复该豁免，豁免成功则诅咒终止。</t>
    </r>
    <r>
      <rPr>
        <sz val="10"/>
        <color theme="1"/>
        <rFont val="Times New Roman"/>
        <charset val="134"/>
      </rPr>
      <t xml:space="preserve">
</t>
    </r>
    <r>
      <rPr>
        <sz val="10"/>
        <color theme="1"/>
        <rFont val="宋体"/>
        <charset val="134"/>
      </rPr>
      <t>一旦你使用此特性，则直至完成一次短休或长休，你都无法再次使用。</t>
    </r>
    <r>
      <rPr>
        <sz val="10"/>
        <color theme="1"/>
        <rFont val="Times New Roman"/>
        <charset val="134"/>
      </rPr>
      <t xml:space="preserve"> </t>
    </r>
  </si>
  <si>
    <t>蛛网追猎者</t>
  </si>
  <si>
    <t>冥墓尊主</t>
  </si>
  <si>
    <r>
      <rPr>
        <sz val="10"/>
        <color theme="1"/>
        <rFont val="宋体"/>
        <charset val="134"/>
      </rPr>
      <t>你不再是幽冥之力的单纯容器，而是其主宰。你的能力通过以下方式得到提升。</t>
    </r>
    <r>
      <rPr>
        <sz val="10"/>
        <color theme="1"/>
        <rFont val="Times New Roman"/>
        <charset val="134"/>
      </rPr>
      <t xml:space="preserve">
</t>
    </r>
    <r>
      <rPr>
        <sz val="10"/>
        <color theme="1"/>
        <rFont val="宋体"/>
        <charset val="134"/>
      </rPr>
      <t>苍白之骑</t>
    </r>
    <r>
      <rPr>
        <sz val="10"/>
        <color theme="1"/>
        <rFont val="Times New Roman"/>
        <charset val="134"/>
      </rPr>
      <t>On a Pale Horse</t>
    </r>
    <r>
      <rPr>
        <sz val="10"/>
        <color theme="1"/>
        <rFont val="宋体"/>
        <charset val="134"/>
      </rPr>
      <t>。</t>
    </r>
    <r>
      <rPr>
        <sz val="10"/>
        <color theme="1"/>
        <rFont val="Times New Roman"/>
        <charset val="134"/>
      </rPr>
      <t xml:space="preserve"> </t>
    </r>
    <r>
      <rPr>
        <sz val="10"/>
        <color theme="1"/>
        <rFont val="宋体"/>
        <charset val="134"/>
      </rPr>
      <t>当你使用幽冥骑士能力时，你可以允许一个由你选择的其他生物一同骑乘坐骑。此外，当你在坐骑的疾走动作中消耗一枚尸鬼骰时，该坐骑能像穿过困难地形那样穿过其他生物或固体物件（连同任何骑乘者）。若该坐骑在其回合结束时仍处于固体物件内部，则该坐骑与所有骑乘者都受到</t>
    </r>
    <r>
      <rPr>
        <sz val="10"/>
        <color theme="1"/>
        <rFont val="Times New Roman"/>
        <charset val="134"/>
      </rPr>
      <t>1d10</t>
    </r>
    <r>
      <rPr>
        <sz val="10"/>
        <color theme="1"/>
        <rFont val="宋体"/>
        <charset val="134"/>
      </rPr>
      <t>力场伤害，并被挤到最近的未占据空间中。</t>
    </r>
    <r>
      <rPr>
        <sz val="10"/>
        <color theme="1"/>
        <rFont val="Times New Roman"/>
        <charset val="134"/>
      </rPr>
      <t xml:space="preserve">
</t>
    </r>
    <r>
      <rPr>
        <sz val="10"/>
        <color theme="1"/>
        <rFont val="宋体"/>
        <charset val="134"/>
      </rPr>
      <t>冢灵护盾</t>
    </r>
    <r>
      <rPr>
        <sz val="10"/>
        <color theme="1"/>
        <rFont val="Times New Roman"/>
        <charset val="134"/>
      </rPr>
      <t>Sepulchral Shield</t>
    </r>
    <r>
      <rPr>
        <sz val="10"/>
        <color theme="1"/>
        <rFont val="宋体"/>
        <charset val="134"/>
      </rPr>
      <t>。</t>
    </r>
    <r>
      <rPr>
        <sz val="10"/>
        <color theme="1"/>
        <rFont val="Times New Roman"/>
        <charset val="134"/>
      </rPr>
      <t xml:space="preserve"> </t>
    </r>
    <r>
      <rPr>
        <sz val="10"/>
        <color theme="1"/>
        <rFont val="宋体"/>
        <charset val="134"/>
      </rPr>
      <t>当你使用你的守墓陵卫能力时，选择其中一种触发伤害类型。你对该伤害类型（包括触发伤害）具有抗性，直至你的下一回合开始。</t>
    </r>
    <r>
      <rPr>
        <sz val="10"/>
        <color theme="1"/>
        <rFont val="Times New Roman"/>
        <charset val="134"/>
      </rPr>
      <t xml:space="preserve">
</t>
    </r>
    <r>
      <rPr>
        <sz val="10"/>
        <color theme="1"/>
        <rFont val="宋体"/>
        <charset val="134"/>
      </rPr>
      <t>死魂扼缚</t>
    </r>
    <r>
      <rPr>
        <sz val="10"/>
        <color theme="1"/>
        <rFont val="Times New Roman"/>
        <charset val="134"/>
      </rPr>
      <t>Death Grip</t>
    </r>
    <r>
      <rPr>
        <sz val="10"/>
        <color theme="1"/>
        <rFont val="宋体"/>
        <charset val="134"/>
      </rPr>
      <t>。</t>
    </r>
    <r>
      <rPr>
        <sz val="10"/>
        <color theme="1"/>
        <rFont val="Times New Roman"/>
        <charset val="134"/>
      </rPr>
      <t xml:space="preserve"> </t>
    </r>
    <r>
      <rPr>
        <sz val="10"/>
        <color theme="1"/>
        <rFont val="宋体"/>
        <charset val="134"/>
      </rPr>
      <t>一个因你的灵魂收割能力而陷入受擒状态的生物，将陷入束缚状态，直到该擒抱终止。</t>
    </r>
  </si>
  <si>
    <t>袭杀恐惧</t>
  </si>
  <si>
    <r>
      <rPr>
        <sz val="10"/>
        <color theme="1"/>
        <rFont val="宋体"/>
        <charset val="134"/>
      </rPr>
      <t>你获得以下诡诈打击选项。</t>
    </r>
    <r>
      <rPr>
        <sz val="10"/>
        <color theme="1"/>
        <rFont val="Times New Roman"/>
        <charset val="134"/>
      </rPr>
      <t xml:space="preserve">
</t>
    </r>
    <r>
      <rPr>
        <sz val="10"/>
        <color theme="1"/>
        <rFont val="宋体"/>
        <charset val="134"/>
      </rPr>
      <t>震怖</t>
    </r>
    <r>
      <rPr>
        <sz val="10"/>
        <color theme="1"/>
        <rFont val="Times New Roman"/>
        <charset val="134"/>
      </rPr>
      <t>Terrify</t>
    </r>
    <r>
      <rPr>
        <sz val="10"/>
        <color theme="1"/>
        <rFont val="宋体"/>
        <charset val="134"/>
      </rPr>
      <t>（花费：</t>
    </r>
    <r>
      <rPr>
        <sz val="10"/>
        <color theme="1"/>
        <rFont val="Times New Roman"/>
        <charset val="134"/>
      </rPr>
      <t>1d6</t>
    </r>
    <r>
      <rPr>
        <sz val="10"/>
        <color theme="1"/>
        <rFont val="宋体"/>
        <charset val="134"/>
      </rPr>
      <t>）。目标必须成功通过一次感知豁免，否则将陷入恐慌状态，持续</t>
    </r>
    <r>
      <rPr>
        <sz val="10"/>
        <color theme="1"/>
        <rFont val="Times New Roman"/>
        <charset val="134"/>
      </rPr>
      <t>1</t>
    </r>
    <r>
      <rPr>
        <sz val="10"/>
        <color theme="1"/>
        <rFont val="宋体"/>
        <charset val="134"/>
      </rPr>
      <t>分钟。当目标因此陷入恐慌时，你对该目标的攻击检定具有优势。被恐惧的目标每个自己的回合结束时都可以重新进行该豁免，成功则其身上的该效应提前结束。</t>
    </r>
  </si>
  <si>
    <t>讽刺戏语</t>
  </si>
  <si>
    <r>
      <rPr>
        <sz val="10"/>
        <color theme="1"/>
        <rFont val="宋体"/>
        <charset val="134"/>
      </rPr>
      <t>你辛辣刻薄的调侃已能直击敌人的心灵。当一个生物对你造成伤害时，你可以使用反应迫使该生物进行一次对抗你法术豁免</t>
    </r>
    <r>
      <rPr>
        <sz val="10"/>
        <color theme="1"/>
        <rFont val="Times New Roman"/>
        <charset val="134"/>
      </rPr>
      <t>DC</t>
    </r>
    <r>
      <rPr>
        <sz val="10"/>
        <color theme="1"/>
        <rFont val="宋体"/>
        <charset val="134"/>
      </rPr>
      <t>的感知豁免。若豁免失败，则该生物受到等于你所受触发伤害的心灵伤害；若豁免成功，则只受到一半伤害。此反应一经使用，则直至完成一次短休或长休，你都无法再次使用。</t>
    </r>
    <r>
      <rPr>
        <sz val="10"/>
        <color theme="1"/>
        <rFont val="Times New Roman"/>
        <charset val="134"/>
      </rPr>
      <t xml:space="preserve"> </t>
    </r>
  </si>
  <si>
    <t>蜡艺师</t>
  </si>
  <si>
    <t>幽都加冕</t>
  </si>
  <si>
    <r>
      <rPr>
        <sz val="10"/>
        <color theme="1"/>
        <rFont val="宋体"/>
        <charset val="134"/>
      </rPr>
      <t>你对所传授秘密的掌控已臻化境。你获得以下增益。</t>
    </r>
    <r>
      <rPr>
        <sz val="10"/>
        <color theme="1"/>
        <rFont val="Times New Roman"/>
        <charset val="134"/>
      </rPr>
      <t xml:space="preserve">
</t>
    </r>
    <r>
      <rPr>
        <sz val="10"/>
        <color theme="1"/>
        <rFont val="宋体"/>
        <charset val="134"/>
      </rPr>
      <t>永夜守望</t>
    </r>
    <r>
      <rPr>
        <sz val="10"/>
        <color theme="1"/>
        <rFont val="Times New Roman"/>
        <charset val="134"/>
      </rPr>
      <t>Eternal Vigil</t>
    </r>
    <r>
      <rPr>
        <sz val="10"/>
        <color theme="1"/>
        <rFont val="宋体"/>
        <charset val="134"/>
      </rPr>
      <t>。</t>
    </r>
    <r>
      <rPr>
        <sz val="10"/>
        <color theme="1"/>
        <rFont val="Times New Roman"/>
        <charset val="134"/>
      </rPr>
      <t xml:space="preserve"> </t>
    </r>
    <r>
      <rPr>
        <sz val="10"/>
        <color theme="1"/>
        <rFont val="宋体"/>
        <charset val="134"/>
      </rPr>
      <t>你不再遭受衰老的影响，无法被魔法性地变老，也不会因年老而死。此外，你不再需要空气、饮食和睡眠。</t>
    </r>
    <r>
      <rPr>
        <sz val="10"/>
        <color theme="1"/>
        <rFont val="Times New Roman"/>
        <charset val="134"/>
      </rPr>
      <t xml:space="preserve">
</t>
    </r>
    <r>
      <rPr>
        <sz val="10"/>
        <color theme="1"/>
        <rFont val="宋体"/>
        <charset val="134"/>
      </rPr>
      <t>不眠亡者</t>
    </r>
    <r>
      <rPr>
        <sz val="10"/>
        <color theme="1"/>
        <rFont val="Times New Roman"/>
        <charset val="134"/>
      </rPr>
      <t>Restless Dead</t>
    </r>
    <r>
      <rPr>
        <sz val="10"/>
        <color theme="1"/>
        <rFont val="宋体"/>
        <charset val="134"/>
      </rPr>
      <t>。</t>
    </r>
    <r>
      <rPr>
        <sz val="10"/>
        <color theme="1"/>
        <rFont val="Times New Roman"/>
        <charset val="134"/>
      </rPr>
      <t xml:space="preserve"> </t>
    </r>
    <r>
      <rPr>
        <sz val="10"/>
        <color theme="1"/>
        <rFont val="宋体"/>
        <charset val="134"/>
      </rPr>
      <t>当你掷出先攻时，如果你拥有的尸鬼骰少于</t>
    </r>
    <r>
      <rPr>
        <sz val="10"/>
        <color theme="1"/>
        <rFont val="Times New Roman"/>
        <charset val="134"/>
      </rPr>
      <t>3</t>
    </r>
    <r>
      <rPr>
        <sz val="10"/>
        <color theme="1"/>
        <rFont val="宋体"/>
        <charset val="134"/>
      </rPr>
      <t>枚，你会恢复已消耗的尸鬼骰直到你具有</t>
    </r>
    <r>
      <rPr>
        <sz val="10"/>
        <color theme="1"/>
        <rFont val="Times New Roman"/>
        <charset val="134"/>
      </rPr>
      <t>3</t>
    </r>
    <r>
      <rPr>
        <sz val="10"/>
        <color theme="1"/>
        <rFont val="宋体"/>
        <charset val="134"/>
      </rPr>
      <t>枚。</t>
    </r>
  </si>
  <si>
    <t>恶毒灵光</t>
  </si>
  <si>
    <r>
      <rPr>
        <sz val="10"/>
        <color theme="1"/>
        <rFont val="宋体"/>
        <charset val="134"/>
      </rPr>
      <t>你散发出与死亡三神其一相关的恶性之力。每当你使用嗜血特性并传送时，你传送前的位置或传送后的目标地点（由你选择）</t>
    </r>
    <r>
      <rPr>
        <sz val="10"/>
        <color theme="1"/>
        <rFont val="Times New Roman"/>
        <charset val="134"/>
      </rPr>
      <t>10</t>
    </r>
    <r>
      <rPr>
        <sz val="10"/>
        <color theme="1"/>
        <rFont val="宋体"/>
        <charset val="134"/>
      </rPr>
      <t>尺内的每个你所选生物都会承受等同于你智力调整值的伤害；伤害类型与你选择的敬怖之忠特性赋予的抗性类型相同。该特性所造成的伤害无视抗性。</t>
    </r>
  </si>
  <si>
    <t>丑角登场</t>
  </si>
  <si>
    <r>
      <rPr>
        <sz val="10"/>
        <color theme="1"/>
        <rFont val="宋体"/>
        <charset val="134"/>
      </rPr>
      <t>你可以召唤愚神信徒中那些嬉笑讥讽的幽灵，前来击溃你的敌人。你可以使用魔法动作召唤三个幽灵小丑。这些小丑半透明且无实体，它们看起来像丑角、弄臣或类似的艺人。对你周边</t>
    </r>
    <r>
      <rPr>
        <sz val="10"/>
        <color theme="1"/>
        <rFont val="Times New Roman"/>
        <charset val="134"/>
      </rPr>
      <t>60</t>
    </r>
    <r>
      <rPr>
        <sz val="10"/>
        <color theme="1"/>
        <rFont val="宋体"/>
        <charset val="134"/>
      </rPr>
      <t>尺范围内的生物进行至多三次近战法术攻击。若命中，则目标受到</t>
    </r>
    <r>
      <rPr>
        <sz val="10"/>
        <color theme="1"/>
        <rFont val="Times New Roman"/>
        <charset val="134"/>
      </rPr>
      <t>2d10</t>
    </r>
    <r>
      <rPr>
        <sz val="10"/>
        <color theme="1"/>
        <rFont val="宋体"/>
        <charset val="134"/>
      </rPr>
      <t>心灵伤害，并且陷入恐慌状态，直至其下一回合结束，或者陷入倒地状态（由你选择）。你可以在后续回合中使用你的动作来重复这些攻击。</t>
    </r>
    <r>
      <rPr>
        <sz val="10"/>
        <color theme="1"/>
        <rFont val="Times New Roman"/>
        <charset val="134"/>
      </rPr>
      <t xml:space="preserve">
</t>
    </r>
    <r>
      <rPr>
        <sz val="10"/>
        <color theme="1"/>
        <rFont val="宋体"/>
        <charset val="134"/>
      </rPr>
      <t>这些小丑会持续</t>
    </r>
    <r>
      <rPr>
        <sz val="10"/>
        <color theme="1"/>
        <rFont val="Times New Roman"/>
        <charset val="134"/>
      </rPr>
      <t>1</t>
    </r>
    <r>
      <rPr>
        <sz val="10"/>
        <color theme="1"/>
        <rFont val="宋体"/>
        <charset val="134"/>
      </rPr>
      <t>分钟，或者直至你陷入失能状态或死亡。一旦你使用此特性，则直至完成一次长休，你都无法再次使用。</t>
    </r>
    <r>
      <rPr>
        <sz val="10"/>
        <color theme="1"/>
        <rFont val="Times New Roman"/>
        <charset val="134"/>
      </rPr>
      <t xml:space="preserve"> </t>
    </r>
  </si>
  <si>
    <t>罪人</t>
  </si>
  <si>
    <r>
      <rPr>
        <sz val="10"/>
        <color theme="1"/>
        <rFont val="宋体"/>
        <charset val="134"/>
      </rPr>
      <t>你已习得古传奇英雄的武技传承，如今能施展某些独特战技。施展战技需消耗对应战技点。</t>
    </r>
    <r>
      <rPr>
        <sz val="10"/>
        <color theme="1"/>
        <rFont val="Times New Roman"/>
        <charset val="134"/>
      </rPr>
      <t xml:space="preserve"> 
</t>
    </r>
    <r>
      <rPr>
        <sz val="10"/>
        <color theme="1"/>
        <rFont val="宋体"/>
        <charset val="134"/>
      </rPr>
      <t>你知晓三种自选战技，详见后文列表。你在</t>
    </r>
    <r>
      <rPr>
        <sz val="10"/>
        <color theme="1"/>
        <rFont val="Times New Roman"/>
        <charset val="134"/>
      </rPr>
      <t>5</t>
    </r>
    <r>
      <rPr>
        <sz val="10"/>
        <color theme="1"/>
        <rFont val="宋体"/>
        <charset val="134"/>
      </rPr>
      <t>级、</t>
    </r>
    <r>
      <rPr>
        <sz val="10"/>
        <color theme="1"/>
        <rFont val="Times New Roman"/>
        <charset val="134"/>
      </rPr>
      <t>9</t>
    </r>
    <r>
      <rPr>
        <sz val="10"/>
        <color theme="1"/>
        <rFont val="宋体"/>
        <charset val="134"/>
      </rPr>
      <t>级、</t>
    </r>
    <r>
      <rPr>
        <sz val="10"/>
        <color theme="1"/>
        <rFont val="Times New Roman"/>
        <charset val="134"/>
      </rPr>
      <t>13</t>
    </r>
    <r>
      <rPr>
        <sz val="10"/>
        <color theme="1"/>
        <rFont val="宋体"/>
        <charset val="134"/>
      </rPr>
      <t>级和</t>
    </r>
    <r>
      <rPr>
        <sz val="10"/>
        <color theme="1"/>
        <rFont val="Times New Roman"/>
        <charset val="134"/>
      </rPr>
      <t>17</t>
    </r>
    <r>
      <rPr>
        <sz val="10"/>
        <color theme="1"/>
        <rFont val="宋体"/>
        <charset val="134"/>
      </rPr>
      <t>级时均习得一种额外的新战技。每当你习得新战技时，你还可以将一种已知战技替换为另一种你可学习的战技。</t>
    </r>
    <r>
      <rPr>
        <sz val="10"/>
        <color theme="1"/>
        <rFont val="Times New Roman"/>
        <charset val="134"/>
      </rPr>
      <t xml:space="preserve"> 
</t>
    </r>
    <r>
      <rPr>
        <sz val="10"/>
        <color theme="1"/>
        <rFont val="宋体"/>
        <charset val="134"/>
      </rPr>
      <t>战技点</t>
    </r>
    <r>
      <rPr>
        <sz val="10"/>
        <color theme="1"/>
        <rFont val="Times New Roman"/>
        <charset val="134"/>
      </rPr>
      <t>Maneuver Points</t>
    </r>
    <r>
      <rPr>
        <sz val="10"/>
        <color theme="1"/>
        <rFont val="宋体"/>
        <charset val="134"/>
      </rPr>
      <t>。</t>
    </r>
    <r>
      <rPr>
        <sz val="10"/>
        <color theme="1"/>
        <rFont val="Times New Roman"/>
        <charset val="134"/>
      </rPr>
      <t xml:space="preserve"> </t>
    </r>
    <r>
      <rPr>
        <sz val="10"/>
        <color theme="1"/>
        <rFont val="宋体"/>
        <charset val="134"/>
      </rPr>
      <t>召唤古传奇英雄之力绝非易事，你的战技点数量代表着你驾驭此道的能力极限。你的战士职业等级决定你的战技点总数，具体数值请参照下方破锋者表中的战技点栏。当你完成长休时，你重获所有已消耗的战技点。</t>
    </r>
    <r>
      <rPr>
        <sz val="10"/>
        <color theme="1"/>
        <rFont val="Times New Roman"/>
        <charset val="134"/>
      </rPr>
      <t xml:space="preserve">
</t>
    </r>
    <r>
      <rPr>
        <sz val="10"/>
        <color theme="1"/>
        <rFont val="宋体"/>
        <charset val="134"/>
      </rPr>
      <t>使用战技</t>
    </r>
    <r>
      <rPr>
        <sz val="10"/>
        <color theme="1"/>
        <rFont val="Times New Roman"/>
        <charset val="134"/>
      </rPr>
      <t>Using Maneuvers</t>
    </r>
    <r>
      <rPr>
        <sz val="10"/>
        <color theme="1"/>
        <rFont val="宋体"/>
        <charset val="134"/>
      </rPr>
      <t>。</t>
    </r>
    <r>
      <rPr>
        <sz val="10"/>
        <color theme="1"/>
        <rFont val="Times New Roman"/>
        <charset val="134"/>
      </rPr>
      <t xml:space="preserve"> </t>
    </r>
    <r>
      <rPr>
        <sz val="10"/>
        <color theme="1"/>
        <rFont val="宋体"/>
        <charset val="134"/>
      </rPr>
      <t>你每个回合可以使用一项战技。使用部分战技需维持专注（如同施法专注）或满足特定条件。部分战技会迫使目标进行豁免检定以抵抗其效应。</t>
    </r>
    <r>
      <rPr>
        <sz val="10"/>
        <color theme="1"/>
        <rFont val="Times New Roman"/>
        <charset val="134"/>
      </rPr>
      <t xml:space="preserve"> 
</t>
    </r>
    <r>
      <rPr>
        <sz val="10"/>
        <color theme="1"/>
        <rFont val="宋体"/>
        <charset val="134"/>
      </rPr>
      <t>传承战技豁免</t>
    </r>
    <r>
      <rPr>
        <sz val="10"/>
        <color theme="1"/>
        <rFont val="Times New Roman"/>
        <charset val="134"/>
      </rPr>
      <t>DC = 8</t>
    </r>
    <r>
      <rPr>
        <sz val="10"/>
        <color theme="1"/>
        <rFont val="宋体"/>
        <charset val="134"/>
      </rPr>
      <t>＋你的熟练加值＋你的力量或敏捷调整值（由你选择）</t>
    </r>
    <r>
      <rPr>
        <sz val="10"/>
        <color theme="1"/>
        <rFont val="Times New Roman"/>
        <charset val="134"/>
      </rPr>
      <t xml:space="preserve"> 
</t>
    </r>
    <r>
      <rPr>
        <sz val="10"/>
        <color theme="1"/>
        <rFont val="宋体"/>
        <charset val="134"/>
      </rPr>
      <t>破锋者</t>
    </r>
    <r>
      <rPr>
        <sz val="10"/>
        <color theme="1"/>
        <rFont val="Times New Roman"/>
        <charset val="134"/>
      </rPr>
      <t xml:space="preserve"> Blade Breaker 
</t>
    </r>
    <r>
      <rPr>
        <sz val="10"/>
        <color theme="1"/>
        <rFont val="宋体"/>
        <charset val="134"/>
      </rPr>
      <t>战士等级</t>
    </r>
    <r>
      <rPr>
        <sz val="10"/>
        <color theme="1"/>
        <rFont val="Times New Roman"/>
        <charset val="134"/>
      </rPr>
      <t xml:space="preserve"> </t>
    </r>
    <r>
      <rPr>
        <sz val="10"/>
        <color theme="1"/>
        <rFont val="宋体"/>
        <charset val="134"/>
      </rPr>
      <t>战技点</t>
    </r>
    <r>
      <rPr>
        <sz val="10"/>
        <color theme="1"/>
        <rFont val="Times New Roman"/>
        <charset val="134"/>
      </rPr>
      <t xml:space="preserve"> </t>
    </r>
    <r>
      <rPr>
        <sz val="10"/>
        <color theme="1"/>
        <rFont val="宋体"/>
        <charset val="134"/>
      </rPr>
      <t>已知战技</t>
    </r>
    <r>
      <rPr>
        <sz val="10"/>
        <color theme="1"/>
        <rFont val="Times New Roman"/>
        <charset val="134"/>
      </rPr>
      <t xml:space="preserve"> 
3</t>
    </r>
    <r>
      <rPr>
        <sz val="10"/>
        <color theme="1"/>
        <rFont val="宋体"/>
        <charset val="134"/>
      </rPr>
      <t>级</t>
    </r>
    <r>
      <rPr>
        <sz val="10"/>
        <color theme="1"/>
        <rFont val="Times New Roman"/>
        <charset val="134"/>
      </rPr>
      <t xml:space="preserve"> 6 3 
4</t>
    </r>
    <r>
      <rPr>
        <sz val="10"/>
        <color theme="1"/>
        <rFont val="宋体"/>
        <charset val="134"/>
      </rPr>
      <t>级</t>
    </r>
    <r>
      <rPr>
        <sz val="10"/>
        <color theme="1"/>
        <rFont val="Times New Roman"/>
        <charset val="134"/>
      </rPr>
      <t xml:space="preserve"> 8 3 
5</t>
    </r>
    <r>
      <rPr>
        <sz val="10"/>
        <color theme="1"/>
        <rFont val="宋体"/>
        <charset val="134"/>
      </rPr>
      <t>级</t>
    </r>
    <r>
      <rPr>
        <sz val="10"/>
        <color theme="1"/>
        <rFont val="Times New Roman"/>
        <charset val="134"/>
      </rPr>
      <t xml:space="preserve"> 10 4 
6</t>
    </r>
    <r>
      <rPr>
        <sz val="10"/>
        <color theme="1"/>
        <rFont val="宋体"/>
        <charset val="134"/>
      </rPr>
      <t>级</t>
    </r>
    <r>
      <rPr>
        <sz val="10"/>
        <color theme="1"/>
        <rFont val="Times New Roman"/>
        <charset val="134"/>
      </rPr>
      <t xml:space="preserve"> 12 4 
7</t>
    </r>
    <r>
      <rPr>
        <sz val="10"/>
        <color theme="1"/>
        <rFont val="宋体"/>
        <charset val="134"/>
      </rPr>
      <t>级</t>
    </r>
    <r>
      <rPr>
        <sz val="10"/>
        <color theme="1"/>
        <rFont val="Times New Roman"/>
        <charset val="134"/>
      </rPr>
      <t xml:space="preserve"> 14 4 
8</t>
    </r>
    <r>
      <rPr>
        <sz val="10"/>
        <color theme="1"/>
        <rFont val="宋体"/>
        <charset val="134"/>
      </rPr>
      <t>级</t>
    </r>
    <r>
      <rPr>
        <sz val="10"/>
        <color theme="1"/>
        <rFont val="Times New Roman"/>
        <charset val="134"/>
      </rPr>
      <t xml:space="preserve"> 16 4 
9</t>
    </r>
    <r>
      <rPr>
        <sz val="10"/>
        <color theme="1"/>
        <rFont val="宋体"/>
        <charset val="134"/>
      </rPr>
      <t>级</t>
    </r>
    <r>
      <rPr>
        <sz val="10"/>
        <color theme="1"/>
        <rFont val="Times New Roman"/>
        <charset val="134"/>
      </rPr>
      <t xml:space="preserve"> 18 5 
10</t>
    </r>
    <r>
      <rPr>
        <sz val="10"/>
        <color theme="1"/>
        <rFont val="宋体"/>
        <charset val="134"/>
      </rPr>
      <t>级</t>
    </r>
    <r>
      <rPr>
        <sz val="10"/>
        <color theme="1"/>
        <rFont val="Times New Roman"/>
        <charset val="134"/>
      </rPr>
      <t xml:space="preserve"> 20 5 
11</t>
    </r>
    <r>
      <rPr>
        <sz val="10"/>
        <color theme="1"/>
        <rFont val="宋体"/>
        <charset val="134"/>
      </rPr>
      <t>级</t>
    </r>
    <r>
      <rPr>
        <sz val="10"/>
        <color theme="1"/>
        <rFont val="Times New Roman"/>
        <charset val="134"/>
      </rPr>
      <t xml:space="preserve"> 22 5 
12</t>
    </r>
    <r>
      <rPr>
        <sz val="10"/>
        <color theme="1"/>
        <rFont val="宋体"/>
        <charset val="134"/>
      </rPr>
      <t>级</t>
    </r>
    <r>
      <rPr>
        <sz val="10"/>
        <color theme="1"/>
        <rFont val="Times New Roman"/>
        <charset val="134"/>
      </rPr>
      <t xml:space="preserve"> 24 5 
13</t>
    </r>
    <r>
      <rPr>
        <sz val="10"/>
        <color theme="1"/>
        <rFont val="宋体"/>
        <charset val="134"/>
      </rPr>
      <t>级</t>
    </r>
    <r>
      <rPr>
        <sz val="10"/>
        <color theme="1"/>
        <rFont val="Times New Roman"/>
        <charset val="134"/>
      </rPr>
      <t xml:space="preserve"> 26 6 
14</t>
    </r>
    <r>
      <rPr>
        <sz val="10"/>
        <color theme="1"/>
        <rFont val="宋体"/>
        <charset val="134"/>
      </rPr>
      <t>级</t>
    </r>
    <r>
      <rPr>
        <sz val="10"/>
        <color theme="1"/>
        <rFont val="Times New Roman"/>
        <charset val="134"/>
      </rPr>
      <t xml:space="preserve"> 28 6 
15</t>
    </r>
    <r>
      <rPr>
        <sz val="10"/>
        <color theme="1"/>
        <rFont val="宋体"/>
        <charset val="134"/>
      </rPr>
      <t>级</t>
    </r>
    <r>
      <rPr>
        <sz val="10"/>
        <color theme="1"/>
        <rFont val="Times New Roman"/>
        <charset val="134"/>
      </rPr>
      <t xml:space="preserve"> 30 6 
16</t>
    </r>
    <r>
      <rPr>
        <sz val="10"/>
        <color theme="1"/>
        <rFont val="宋体"/>
        <charset val="134"/>
      </rPr>
      <t>级</t>
    </r>
    <r>
      <rPr>
        <sz val="10"/>
        <color theme="1"/>
        <rFont val="Times New Roman"/>
        <charset val="134"/>
      </rPr>
      <t xml:space="preserve"> 32 6 
17</t>
    </r>
    <r>
      <rPr>
        <sz val="10"/>
        <color theme="1"/>
        <rFont val="宋体"/>
        <charset val="134"/>
      </rPr>
      <t>级</t>
    </r>
    <r>
      <rPr>
        <sz val="10"/>
        <color theme="1"/>
        <rFont val="Times New Roman"/>
        <charset val="134"/>
      </rPr>
      <t xml:space="preserve"> 34 7 
18</t>
    </r>
    <r>
      <rPr>
        <sz val="10"/>
        <color theme="1"/>
        <rFont val="宋体"/>
        <charset val="134"/>
      </rPr>
      <t>级</t>
    </r>
    <r>
      <rPr>
        <sz val="10"/>
        <color theme="1"/>
        <rFont val="Times New Roman"/>
        <charset val="134"/>
      </rPr>
      <t xml:space="preserve"> 36 7 
19</t>
    </r>
    <r>
      <rPr>
        <sz val="10"/>
        <color theme="1"/>
        <rFont val="宋体"/>
        <charset val="134"/>
      </rPr>
      <t>级</t>
    </r>
    <r>
      <rPr>
        <sz val="10"/>
        <color theme="1"/>
        <rFont val="Times New Roman"/>
        <charset val="134"/>
      </rPr>
      <t xml:space="preserve"> 38 7 
20</t>
    </r>
    <r>
      <rPr>
        <sz val="10"/>
        <color theme="1"/>
        <rFont val="宋体"/>
        <charset val="134"/>
      </rPr>
      <t>级</t>
    </r>
    <r>
      <rPr>
        <sz val="10"/>
        <color theme="1"/>
        <rFont val="Times New Roman"/>
        <charset val="134"/>
      </rPr>
      <t xml:space="preserve"> 40 7 </t>
    </r>
  </si>
  <si>
    <t>恐怖化身</t>
  </si>
  <si>
    <r>
      <rPr>
        <sz val="10"/>
        <color theme="1"/>
        <rFont val="宋体"/>
        <charset val="134"/>
      </rPr>
      <t>你获得以下增益：</t>
    </r>
    <r>
      <rPr>
        <sz val="10"/>
        <color theme="1"/>
        <rFont val="Times New Roman"/>
        <charset val="134"/>
      </rPr>
      <t xml:space="preserve">
</t>
    </r>
    <r>
      <rPr>
        <sz val="10"/>
        <color theme="1"/>
        <rFont val="宋体"/>
        <charset val="134"/>
      </rPr>
      <t>割喉</t>
    </r>
    <r>
      <rPr>
        <sz val="10"/>
        <color theme="1"/>
        <rFont val="Times New Roman"/>
        <charset val="134"/>
      </rPr>
      <t>Cutthroat</t>
    </r>
    <r>
      <rPr>
        <sz val="10"/>
        <color theme="1"/>
        <rFont val="宋体"/>
        <charset val="134"/>
      </rPr>
      <t>。每当你完成一次短休，你恢复一次已消耗的嗜血特性使用次数。</t>
    </r>
    <r>
      <rPr>
        <sz val="10"/>
        <color theme="1"/>
        <rFont val="Times New Roman"/>
        <charset val="134"/>
      </rPr>
      <t xml:space="preserve">
</t>
    </r>
    <r>
      <rPr>
        <sz val="10"/>
        <color theme="1"/>
        <rFont val="宋体"/>
        <charset val="134"/>
      </rPr>
      <t>谋杀意向</t>
    </r>
    <r>
      <rPr>
        <sz val="10"/>
        <color theme="1"/>
        <rFont val="Times New Roman"/>
        <charset val="134"/>
      </rPr>
      <t>Murderous Intent</t>
    </r>
    <r>
      <rPr>
        <sz val="10"/>
        <color theme="1"/>
        <rFont val="宋体"/>
        <charset val="134"/>
      </rPr>
      <t>。当你投掷偷袭伤害时，你可以将伤害骰投出的</t>
    </r>
    <r>
      <rPr>
        <sz val="10"/>
        <color theme="1"/>
        <rFont val="Times New Roman"/>
        <charset val="134"/>
      </rPr>
      <t>1</t>
    </r>
    <r>
      <rPr>
        <sz val="10"/>
        <color theme="1"/>
        <rFont val="宋体"/>
        <charset val="134"/>
      </rPr>
      <t>和</t>
    </r>
    <r>
      <rPr>
        <sz val="10"/>
        <color theme="1"/>
        <rFont val="Times New Roman"/>
        <charset val="134"/>
      </rPr>
      <t>2</t>
    </r>
    <r>
      <rPr>
        <sz val="10"/>
        <color theme="1"/>
        <rFont val="宋体"/>
        <charset val="134"/>
      </rPr>
      <t>都视为</t>
    </r>
    <r>
      <rPr>
        <sz val="10"/>
        <color theme="1"/>
        <rFont val="Times New Roman"/>
        <charset val="134"/>
      </rPr>
      <t>3</t>
    </r>
    <r>
      <rPr>
        <sz val="10"/>
        <color theme="1"/>
        <rFont val="宋体"/>
        <charset val="134"/>
      </rPr>
      <t>。</t>
    </r>
  </si>
  <si>
    <t>角之王法术</t>
  </si>
  <si>
    <r>
      <rPr>
        <sz val="10"/>
        <color theme="1"/>
        <rFont val="宋体"/>
        <charset val="134"/>
      </rPr>
      <t>宗主赐予的魔法使你始终准备了特定的法术。当你到达角之王法术表中特定的魔契师等级时，你就始终准备了表中对应的法术。</t>
    </r>
    <r>
      <rPr>
        <sz val="10"/>
        <color theme="1"/>
        <rFont val="Times New Roman"/>
        <charset val="134"/>
      </rPr>
      <t xml:space="preserve"> 
</t>
    </r>
    <r>
      <rPr>
        <sz val="10"/>
        <color theme="1"/>
        <rFont val="宋体"/>
        <charset val="134"/>
      </rPr>
      <t>角之王法术</t>
    </r>
    <r>
      <rPr>
        <sz val="10"/>
        <color theme="1"/>
        <rFont val="Times New Roman"/>
        <charset val="134"/>
      </rPr>
      <t xml:space="preserve">Horned King Spells
</t>
    </r>
    <r>
      <rPr>
        <sz val="10"/>
        <color theme="1"/>
        <rFont val="宋体"/>
        <charset val="134"/>
      </rPr>
      <t>魔契师等级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化兽为友</t>
    </r>
    <r>
      <rPr>
        <sz val="10"/>
        <color theme="1"/>
        <rFont val="Times New Roman"/>
        <charset val="134"/>
      </rPr>
      <t>Animal Friendship</t>
    </r>
    <r>
      <rPr>
        <sz val="10"/>
        <color theme="1"/>
        <rFont val="宋体"/>
        <charset val="134"/>
      </rPr>
      <t>，灾祸术</t>
    </r>
    <r>
      <rPr>
        <sz val="10"/>
        <color theme="1"/>
        <rFont val="Times New Roman"/>
        <charset val="134"/>
      </rPr>
      <t>Bane</t>
    </r>
    <r>
      <rPr>
        <sz val="10"/>
        <color theme="1"/>
        <rFont val="宋体"/>
        <charset val="134"/>
      </rPr>
      <t>，荆棘丛生</t>
    </r>
    <r>
      <rPr>
        <sz val="10"/>
        <color theme="1"/>
        <rFont val="Times New Roman"/>
        <charset val="134"/>
      </rPr>
      <t>Spike Growth</t>
    </r>
    <r>
      <rPr>
        <sz val="10"/>
        <color theme="1"/>
        <rFont val="宋体"/>
        <charset val="134"/>
      </rPr>
      <t>，暗示术</t>
    </r>
    <r>
      <rPr>
        <sz val="10"/>
        <color theme="1"/>
        <rFont val="Times New Roman"/>
        <charset val="134"/>
      </rPr>
      <t xml:space="preserve">Suggestion  
5 </t>
    </r>
    <r>
      <rPr>
        <sz val="10"/>
        <color theme="1"/>
        <rFont val="宋体"/>
        <charset val="134"/>
      </rPr>
      <t>降咒</t>
    </r>
    <r>
      <rPr>
        <sz val="10"/>
        <color theme="1"/>
        <rFont val="Times New Roman"/>
        <charset val="134"/>
      </rPr>
      <t>Bestow Curse</t>
    </r>
    <r>
      <rPr>
        <sz val="10"/>
        <color theme="1"/>
        <rFont val="宋体"/>
        <charset val="134"/>
      </rPr>
      <t>，飞行术</t>
    </r>
    <r>
      <rPr>
        <sz val="10"/>
        <color theme="1"/>
        <rFont val="Times New Roman"/>
        <charset val="134"/>
      </rPr>
      <t xml:space="preserve">Fly  
7 </t>
    </r>
    <r>
      <rPr>
        <sz val="10"/>
        <color theme="1"/>
        <rFont val="宋体"/>
        <charset val="134"/>
      </rPr>
      <t>魅影杀手</t>
    </r>
    <r>
      <rPr>
        <sz val="10"/>
        <color theme="1"/>
        <rFont val="Times New Roman"/>
        <charset val="134"/>
      </rPr>
      <t>Phantasmal Killer</t>
    </r>
    <r>
      <rPr>
        <sz val="10"/>
        <color theme="1"/>
        <rFont val="宋体"/>
        <charset val="134"/>
      </rPr>
      <t>，变形术</t>
    </r>
    <r>
      <rPr>
        <sz val="10"/>
        <color theme="1"/>
        <rFont val="Times New Roman"/>
        <charset val="134"/>
      </rPr>
      <t xml:space="preserve">Polymorph  
9 </t>
    </r>
    <r>
      <rPr>
        <sz val="10"/>
        <color theme="1"/>
        <rFont val="宋体"/>
        <charset val="134"/>
      </rPr>
      <t>支配类人</t>
    </r>
    <r>
      <rPr>
        <sz val="10"/>
        <color theme="1"/>
        <rFont val="Times New Roman"/>
        <charset val="134"/>
      </rPr>
      <t>Dominate Person</t>
    </r>
    <r>
      <rPr>
        <sz val="10"/>
        <color theme="1"/>
        <rFont val="宋体"/>
        <charset val="134"/>
      </rPr>
      <t>，探知</t>
    </r>
    <r>
      <rPr>
        <sz val="10"/>
        <color theme="1"/>
        <rFont val="Times New Roman"/>
        <charset val="134"/>
      </rPr>
      <t xml:space="preserve">Scrying  </t>
    </r>
  </si>
  <si>
    <t>厄运使者</t>
  </si>
  <si>
    <t>破锋架势</t>
  </si>
  <si>
    <r>
      <rPr>
        <sz val="10"/>
        <color theme="1"/>
        <rFont val="宋体"/>
        <charset val="134"/>
      </rPr>
      <t>你的军事训练允许你从下面的列表中选择一个战斗姿势。你在第</t>
    </r>
    <r>
      <rPr>
        <sz val="10"/>
        <color theme="1"/>
        <rFont val="Times New Roman"/>
        <charset val="134"/>
      </rPr>
      <t>7</t>
    </r>
    <r>
      <rPr>
        <sz val="10"/>
        <color theme="1"/>
        <rFont val="宋体"/>
        <charset val="134"/>
      </rPr>
      <t>，第</t>
    </r>
    <r>
      <rPr>
        <sz val="10"/>
        <color theme="1"/>
        <rFont val="Times New Roman"/>
        <charset val="134"/>
      </rPr>
      <t>10</t>
    </r>
    <r>
      <rPr>
        <sz val="10"/>
        <color theme="1"/>
        <rFont val="宋体"/>
        <charset val="134"/>
      </rPr>
      <t>和第</t>
    </r>
    <r>
      <rPr>
        <sz val="10"/>
        <color theme="1"/>
        <rFont val="Times New Roman"/>
        <charset val="134"/>
      </rPr>
      <t xml:space="preserve">15 </t>
    </r>
    <r>
      <rPr>
        <sz val="10"/>
        <color theme="1"/>
        <rFont val="宋体"/>
        <charset val="134"/>
      </rPr>
      <t>级时会获得一个额外的姿势。</t>
    </r>
    <r>
      <rPr>
        <sz val="10"/>
        <color theme="1"/>
        <rFont val="Times New Roman"/>
        <charset val="134"/>
      </rPr>
      <t xml:space="preserve"> 
</t>
    </r>
    <r>
      <rPr>
        <sz val="10"/>
        <color theme="1"/>
        <rFont val="宋体"/>
        <charset val="134"/>
      </rPr>
      <t>你投掷先攻时，你可以选择摆出一个你已知的架势。你也可以以一个附赠动作在你已知的架势中进行切换。</t>
    </r>
    <r>
      <rPr>
        <sz val="10"/>
        <color theme="1"/>
        <rFont val="Times New Roman"/>
        <charset val="134"/>
      </rPr>
      <t xml:space="preserve"> 
</t>
    </r>
    <r>
      <rPr>
        <sz val="10"/>
        <color theme="1"/>
        <rFont val="宋体"/>
        <charset val="134"/>
      </rPr>
      <t>精钢沉牛</t>
    </r>
    <r>
      <rPr>
        <sz val="10"/>
        <color theme="1"/>
        <rFont val="Times New Roman"/>
        <charset val="134"/>
      </rPr>
      <t>Adamantine Bull</t>
    </r>
    <r>
      <rPr>
        <sz val="10"/>
        <color theme="1"/>
        <rFont val="宋体"/>
        <charset val="134"/>
      </rPr>
      <t>。</t>
    </r>
    <r>
      <rPr>
        <sz val="10"/>
        <color theme="1"/>
        <rFont val="Times New Roman"/>
        <charset val="134"/>
      </rPr>
      <t xml:space="preserve"> </t>
    </r>
    <r>
      <rPr>
        <sz val="10"/>
        <color theme="1"/>
        <rFont val="宋体"/>
        <charset val="134"/>
      </rPr>
      <t>你半蹲在地，紧握武器，随时准备冲撞来犯之敌。在这种架势下，当一个体型小于等于你的生物对你进行近战武器攻击时。以一个反应，你可以将其推离，目标必须进行一次力量豁免，如果豁免失败，目标将会被推离</t>
    </r>
    <r>
      <rPr>
        <sz val="10"/>
        <color theme="1"/>
        <rFont val="Times New Roman"/>
        <charset val="134"/>
      </rPr>
      <t>5</t>
    </r>
    <r>
      <rPr>
        <sz val="10"/>
        <color theme="1"/>
        <rFont val="宋体"/>
        <charset val="134"/>
      </rPr>
      <t>尺远。</t>
    </r>
    <r>
      <rPr>
        <sz val="10"/>
        <color theme="1"/>
        <rFont val="Times New Roman"/>
        <charset val="134"/>
      </rPr>
      <t xml:space="preserve"> 
</t>
    </r>
    <r>
      <rPr>
        <sz val="10"/>
        <color theme="1"/>
        <rFont val="宋体"/>
        <charset val="134"/>
      </rPr>
      <t>第</t>
    </r>
    <r>
      <rPr>
        <sz val="10"/>
        <color theme="1"/>
        <rFont val="Times New Roman"/>
        <charset val="134"/>
      </rPr>
      <t>18</t>
    </r>
    <r>
      <rPr>
        <sz val="10"/>
        <color theme="1"/>
        <rFont val="宋体"/>
        <charset val="134"/>
      </rPr>
      <t>级后，目标将被推离</t>
    </r>
    <r>
      <rPr>
        <sz val="10"/>
        <color theme="1"/>
        <rFont val="Times New Roman"/>
        <charset val="134"/>
      </rPr>
      <t>10</t>
    </r>
    <r>
      <rPr>
        <sz val="10"/>
        <color theme="1"/>
        <rFont val="宋体"/>
        <charset val="134"/>
      </rPr>
      <t>尺远。</t>
    </r>
    <r>
      <rPr>
        <sz val="10"/>
        <color theme="1"/>
        <rFont val="Times New Roman"/>
        <charset val="134"/>
      </rPr>
      <t xml:space="preserve"> 
</t>
    </r>
    <r>
      <rPr>
        <sz val="10"/>
        <color theme="1"/>
        <rFont val="宋体"/>
        <charset val="134"/>
      </rPr>
      <t>铁血刑者</t>
    </r>
    <r>
      <rPr>
        <sz val="10"/>
        <color theme="1"/>
        <rFont val="Times New Roman"/>
        <charset val="134"/>
      </rPr>
      <t>lron Punisher</t>
    </r>
    <r>
      <rPr>
        <sz val="10"/>
        <color theme="1"/>
        <rFont val="宋体"/>
        <charset val="134"/>
      </rPr>
      <t>。</t>
    </r>
    <r>
      <rPr>
        <sz val="10"/>
        <color theme="1"/>
        <rFont val="Times New Roman"/>
        <charset val="134"/>
      </rPr>
      <t xml:space="preserve"> </t>
    </r>
    <r>
      <rPr>
        <sz val="10"/>
        <color theme="1"/>
        <rFont val="宋体"/>
        <charset val="134"/>
      </rPr>
      <t>你将你的武器高高举起，准备如刽子手的利斧一般将你的兵刃斩下，但这也让你更容易受到攻击。处于此架势期间你的</t>
    </r>
    <r>
      <rPr>
        <sz val="10"/>
        <color theme="1"/>
        <rFont val="Times New Roman"/>
        <charset val="134"/>
      </rPr>
      <t xml:space="preserve">
</t>
    </r>
    <r>
      <rPr>
        <sz val="10"/>
        <color theme="1"/>
        <rFont val="宋体"/>
        <charset val="134"/>
      </rPr>
      <t>所有近战武器攻击具有优势。同时，所有对你发动的攻击检定也将具有优势。</t>
    </r>
    <r>
      <rPr>
        <sz val="10"/>
        <color theme="1"/>
        <rFont val="Times New Roman"/>
        <charset val="134"/>
      </rPr>
      <t xml:space="preserve"> 
</t>
    </r>
    <r>
      <rPr>
        <sz val="10"/>
        <color theme="1"/>
        <rFont val="宋体"/>
        <charset val="134"/>
      </rPr>
      <t>第</t>
    </r>
    <r>
      <rPr>
        <sz val="10"/>
        <color theme="1"/>
        <rFont val="Times New Roman"/>
        <charset val="134"/>
      </rPr>
      <t>18</t>
    </r>
    <r>
      <rPr>
        <sz val="10"/>
        <color theme="1"/>
        <rFont val="宋体"/>
        <charset val="134"/>
      </rPr>
      <t>级后，你的近战武器攻击会额外造成</t>
    </r>
    <r>
      <rPr>
        <sz val="10"/>
        <color theme="1"/>
        <rFont val="Times New Roman"/>
        <charset val="134"/>
      </rPr>
      <t>2d6</t>
    </r>
    <r>
      <rPr>
        <sz val="10"/>
        <color theme="1"/>
        <rFont val="宋体"/>
        <charset val="134"/>
      </rPr>
      <t>点伤害。</t>
    </r>
    <r>
      <rPr>
        <sz val="10"/>
        <color theme="1"/>
        <rFont val="Times New Roman"/>
        <charset val="134"/>
      </rPr>
      <t xml:space="preserve"> 
</t>
    </r>
    <r>
      <rPr>
        <sz val="10"/>
        <color theme="1"/>
        <rFont val="宋体"/>
        <charset val="134"/>
      </rPr>
      <t>铁铸长蛇</t>
    </r>
    <r>
      <rPr>
        <sz val="10"/>
        <color theme="1"/>
        <rFont val="Times New Roman"/>
        <charset val="134"/>
      </rPr>
      <t>Steel Serpent</t>
    </r>
    <r>
      <rPr>
        <sz val="10"/>
        <color theme="1"/>
        <rFont val="宋体"/>
        <charset val="134"/>
      </rPr>
      <t>。</t>
    </r>
    <r>
      <rPr>
        <sz val="10"/>
        <color theme="1"/>
        <rFont val="Times New Roman"/>
        <charset val="134"/>
      </rPr>
      <t xml:space="preserve"> </t>
    </r>
    <r>
      <rPr>
        <sz val="10"/>
        <color theme="1"/>
        <rFont val="宋体"/>
        <charset val="134"/>
      </rPr>
      <t>你将你的重心前移，准备像毒蛇一样出击。处于此架势期间，在你的回合内你的触及范围增加</t>
    </r>
    <r>
      <rPr>
        <sz val="10"/>
        <color theme="1"/>
        <rFont val="Times New Roman"/>
        <charset val="134"/>
      </rPr>
      <t>5</t>
    </r>
    <r>
      <rPr>
        <sz val="10"/>
        <color theme="1"/>
        <rFont val="宋体"/>
        <charset val="134"/>
      </rPr>
      <t>尺。</t>
    </r>
    <r>
      <rPr>
        <sz val="10"/>
        <color theme="1"/>
        <rFont val="Times New Roman"/>
        <charset val="134"/>
      </rPr>
      <t xml:space="preserve"> 
</t>
    </r>
    <r>
      <rPr>
        <sz val="10"/>
        <color theme="1"/>
        <rFont val="宋体"/>
        <charset val="134"/>
      </rPr>
      <t>第</t>
    </r>
    <r>
      <rPr>
        <sz val="10"/>
        <color theme="1"/>
        <rFont val="Times New Roman"/>
        <charset val="134"/>
      </rPr>
      <t>18</t>
    </r>
    <r>
      <rPr>
        <sz val="10"/>
        <color theme="1"/>
        <rFont val="宋体"/>
        <charset val="134"/>
      </rPr>
      <t>级后，即使不在你的回合内，你的触及范围也会增加。</t>
    </r>
    <r>
      <rPr>
        <sz val="10"/>
        <color theme="1"/>
        <rFont val="Times New Roman"/>
        <charset val="134"/>
      </rPr>
      <t xml:space="preserve"> 
</t>
    </r>
    <r>
      <rPr>
        <sz val="10"/>
        <color theme="1"/>
        <rFont val="宋体"/>
        <charset val="134"/>
      </rPr>
      <t>轻灵秘银</t>
    </r>
    <r>
      <rPr>
        <sz val="10"/>
        <color theme="1"/>
        <rFont val="Times New Roman"/>
        <charset val="134"/>
      </rPr>
      <t>Weightless Mithral</t>
    </r>
    <r>
      <rPr>
        <sz val="10"/>
        <color theme="1"/>
        <rFont val="宋体"/>
        <charset val="134"/>
      </rPr>
      <t>。</t>
    </r>
    <r>
      <rPr>
        <sz val="10"/>
        <color theme="1"/>
        <rFont val="Times New Roman"/>
        <charset val="134"/>
      </rPr>
      <t xml:space="preserve"> </t>
    </r>
    <r>
      <rPr>
        <sz val="10"/>
        <color theme="1"/>
        <rFont val="宋体"/>
        <charset val="134"/>
      </rPr>
      <t>你将你的重心转移至脚部，哪怕是最轻微的刺激都能瞬间激起你的反应。处于此架势期间你的敏捷豁免具有优势。</t>
    </r>
    <r>
      <rPr>
        <sz val="10"/>
        <color theme="1"/>
        <rFont val="Times New Roman"/>
        <charset val="134"/>
      </rPr>
      <t xml:space="preserve"> 
</t>
    </r>
    <r>
      <rPr>
        <sz val="10"/>
        <color theme="1"/>
        <rFont val="宋体"/>
        <charset val="134"/>
      </rPr>
      <t>第</t>
    </r>
    <r>
      <rPr>
        <sz val="10"/>
        <color theme="1"/>
        <rFont val="Times New Roman"/>
        <charset val="134"/>
      </rPr>
      <t>18</t>
    </r>
    <r>
      <rPr>
        <sz val="10"/>
        <color theme="1"/>
        <rFont val="宋体"/>
        <charset val="134"/>
      </rPr>
      <t>级后，你可以以一个附赠动作执行回避动作。</t>
    </r>
    <r>
      <rPr>
        <sz val="10"/>
        <color theme="1"/>
        <rFont val="Times New Roman"/>
        <charset val="134"/>
      </rPr>
      <t xml:space="preserve"> </t>
    </r>
  </si>
  <si>
    <t>注能偷袭</t>
  </si>
  <si>
    <r>
      <rPr>
        <sz val="10"/>
        <color theme="1"/>
        <rFont val="宋体"/>
        <charset val="134"/>
      </rPr>
      <t>在距你</t>
    </r>
    <r>
      <rPr>
        <sz val="10"/>
        <color theme="1"/>
        <rFont val="Times New Roman"/>
        <charset val="134"/>
      </rPr>
      <t>30</t>
    </r>
    <r>
      <rPr>
        <sz val="10"/>
        <color theme="1"/>
        <rFont val="宋体"/>
        <charset val="134"/>
      </rPr>
      <t>尺内且你可见的一名生物施展了一道一环及以上的法术时，你能以反应从该法术中汲取魔法能量。当你这么做的时候，直至你的下个回合结束，你下一次以偷袭特性命中时会造成额外的力场伤害。为了决定此额外伤害，投掷数量等于上述法术环位的</t>
    </r>
    <r>
      <rPr>
        <sz val="10"/>
        <color theme="1"/>
        <rFont val="Times New Roman"/>
        <charset val="134"/>
      </rPr>
      <t>d6</t>
    </r>
    <r>
      <rPr>
        <sz val="10"/>
        <color theme="1"/>
        <rFont val="宋体"/>
        <charset val="134"/>
      </rPr>
      <t>骰，让骰值相加。
你可以执行此反应的次数等同于你的智力调整值次（至少</t>
    </r>
    <r>
      <rPr>
        <sz val="10"/>
        <color theme="1"/>
        <rFont val="Times New Roman"/>
        <charset val="134"/>
      </rPr>
      <t>1</t>
    </r>
    <r>
      <rPr>
        <sz val="10"/>
        <color theme="1"/>
        <rFont val="宋体"/>
        <charset val="134"/>
      </rPr>
      <t>次），且你在完成长休时重获所有已消耗的使用次数。</t>
    </r>
  </si>
  <si>
    <t>巫印</t>
  </si>
  <si>
    <r>
      <rPr>
        <sz val="10"/>
        <color theme="1"/>
        <rFont val="宋体"/>
        <charset val="134"/>
      </rPr>
      <t>当你完成一次长休时，你可以将魔法注入一个你正在持握的非魔法微型物件。选择一道施法时间为一个动作的你已准备的魔契师法术。任何持握该巫印物件的生物可以使用魔法动作来施展该法术（使用你的魅力调整值、法术攻击加值或法术豁免</t>
    </r>
    <r>
      <rPr>
        <sz val="10"/>
        <color theme="1"/>
        <rFont val="Times New Roman"/>
        <charset val="134"/>
      </rPr>
      <t>DC</t>
    </r>
    <r>
      <rPr>
        <sz val="10"/>
        <color theme="1"/>
        <rFont val="宋体"/>
        <charset val="134"/>
      </rPr>
      <t>）。该巫印会在该法术被从中施展，或当你完成一次长休时消散。</t>
    </r>
    <r>
      <rPr>
        <sz val="10"/>
        <color theme="1"/>
        <rFont val="Times New Roman"/>
        <charset val="134"/>
      </rPr>
      <t xml:space="preserve"> </t>
    </r>
  </si>
  <si>
    <t>残戮行医</t>
  </si>
  <si>
    <t>绝意角竞</t>
  </si>
  <si>
    <r>
      <rPr>
        <sz val="10"/>
        <color theme="1"/>
        <rFont val="宋体"/>
        <charset val="134"/>
      </rPr>
      <t>以一个附赠动作。你可以花费</t>
    </r>
    <r>
      <rPr>
        <sz val="10"/>
        <color theme="1"/>
        <rFont val="Times New Roman"/>
        <charset val="134"/>
      </rPr>
      <t>1</t>
    </r>
    <r>
      <rPr>
        <sz val="10"/>
        <color theme="1"/>
        <rFont val="宋体"/>
        <charset val="134"/>
      </rPr>
      <t>点战技点与一个和你互相可见的生物进行一次意志间的对抗。你与其进行一次魅力（恐吓）对抗，获胜方对失败方的所有攻击检定具有优势直到其下回合结束。</t>
    </r>
  </si>
  <si>
    <t>吸取魔法</t>
  </si>
  <si>
    <t>你可以从持续法术中吸取能量。以一个魔法动作，你可以触碰一名自愿生物并终止其身上一个生效中的一环或二环法术效应；此生物立即回复一个已消耗的不超过二环的法术位（由目标选择）。
一旦你使用了此特性，你在完成一次短休或长休前都无法再这么做。</t>
  </si>
  <si>
    <t>咒怨</t>
  </si>
  <si>
    <r>
      <rPr>
        <sz val="10"/>
        <color theme="1"/>
        <rFont val="宋体"/>
        <charset val="134"/>
      </rPr>
      <t>你可以呼唤角之王的恶意来操纵机运。你可以使用魔法动作诅咒一个你周边</t>
    </r>
    <r>
      <rPr>
        <sz val="10"/>
        <color theme="1"/>
        <rFont val="Times New Roman"/>
        <charset val="134"/>
      </rPr>
      <t>60</t>
    </r>
    <r>
      <rPr>
        <sz val="10"/>
        <color theme="1"/>
        <rFont val="宋体"/>
        <charset val="134"/>
      </rPr>
      <t>尺范围内的你可见生物，直至其下一回合结束。或者，当一个上述范围内的生物将你作为一次攻击检定或法术的目标时，你可以使用反应来诅咒该生物，选择以下诅咒之一。你可以使用此特性的次数等于你的魅力调整值（至少一次）。你在完成一次长休后恢复所有已消耗的次数。</t>
    </r>
    <r>
      <rPr>
        <sz val="10"/>
        <color theme="1"/>
        <rFont val="Times New Roman"/>
        <charset val="134"/>
      </rPr>
      <t xml:space="preserve">
</t>
    </r>
    <r>
      <rPr>
        <sz val="10"/>
        <color theme="1"/>
        <rFont val="宋体"/>
        <charset val="134"/>
      </rPr>
      <t>苦痛</t>
    </r>
    <r>
      <rPr>
        <sz val="10"/>
        <color theme="1"/>
        <rFont val="Times New Roman"/>
        <charset val="134"/>
      </rPr>
      <t>Agony</t>
    </r>
    <r>
      <rPr>
        <sz val="10"/>
        <color theme="1"/>
        <rFont val="宋体"/>
        <charset val="134"/>
      </rPr>
      <t>。</t>
    </r>
    <r>
      <rPr>
        <sz val="10"/>
        <color theme="1"/>
        <rFont val="Times New Roman"/>
        <charset val="134"/>
      </rPr>
      <t xml:space="preserve"> </t>
    </r>
    <r>
      <rPr>
        <sz val="10"/>
        <color theme="1"/>
        <rFont val="宋体"/>
        <charset val="134"/>
      </rPr>
      <t>目标在下一次攻击检定或为维持专注而进行的体质豁免中具有劣势（由你选择）。</t>
    </r>
    <r>
      <rPr>
        <sz val="10"/>
        <color theme="1"/>
        <rFont val="Times New Roman"/>
        <charset val="134"/>
      </rPr>
      <t xml:space="preserve">
</t>
    </r>
    <r>
      <rPr>
        <sz val="10"/>
        <color theme="1"/>
        <rFont val="宋体"/>
        <charset val="134"/>
      </rPr>
      <t>憎恨</t>
    </r>
    <r>
      <rPr>
        <sz val="10"/>
        <color theme="1"/>
        <rFont val="Times New Roman"/>
        <charset val="134"/>
      </rPr>
      <t>Hate</t>
    </r>
    <r>
      <rPr>
        <sz val="10"/>
        <color theme="1"/>
        <rFont val="宋体"/>
        <charset val="134"/>
      </rPr>
      <t>。</t>
    </r>
    <r>
      <rPr>
        <sz val="10"/>
        <color theme="1"/>
        <rFont val="Times New Roman"/>
        <charset val="134"/>
      </rPr>
      <t xml:space="preserve"> </t>
    </r>
    <r>
      <rPr>
        <sz val="10"/>
        <color theme="1"/>
        <rFont val="宋体"/>
        <charset val="134"/>
      </rPr>
      <t>目标在下一次智力、感知或魅力豁免中具有劣势（由你选择）。</t>
    </r>
    <r>
      <rPr>
        <sz val="10"/>
        <color theme="1"/>
        <rFont val="Times New Roman"/>
        <charset val="134"/>
      </rPr>
      <t xml:space="preserve">
</t>
    </r>
    <r>
      <rPr>
        <sz val="10"/>
        <color theme="1"/>
        <rFont val="宋体"/>
        <charset val="134"/>
      </rPr>
      <t>腐烂</t>
    </r>
    <r>
      <rPr>
        <sz val="10"/>
        <color theme="1"/>
        <rFont val="Times New Roman"/>
        <charset val="134"/>
      </rPr>
      <t>Rot</t>
    </r>
    <r>
      <rPr>
        <sz val="10"/>
        <color theme="1"/>
        <rFont val="宋体"/>
        <charset val="134"/>
      </rPr>
      <t>。</t>
    </r>
    <r>
      <rPr>
        <sz val="10"/>
        <color theme="1"/>
        <rFont val="Times New Roman"/>
        <charset val="134"/>
      </rPr>
      <t xml:space="preserve"> </t>
    </r>
    <r>
      <rPr>
        <sz val="10"/>
        <color theme="1"/>
        <rFont val="宋体"/>
        <charset val="134"/>
      </rPr>
      <t>目标下一次受到伤害时，会额外受到</t>
    </r>
    <r>
      <rPr>
        <sz val="10"/>
        <color theme="1"/>
        <rFont val="Times New Roman"/>
        <charset val="134"/>
      </rPr>
      <t>1d10</t>
    </r>
    <r>
      <rPr>
        <sz val="10"/>
        <color theme="1"/>
        <rFont val="宋体"/>
        <charset val="134"/>
      </rPr>
      <t>暗蚀伤害，并且无法恢复生命值，直至其下一回合结束。</t>
    </r>
    <r>
      <rPr>
        <sz val="10"/>
        <color theme="1"/>
        <rFont val="Times New Roman"/>
        <charset val="134"/>
      </rPr>
      <t xml:space="preserve"> </t>
    </r>
  </si>
  <si>
    <t>缚影使</t>
  </si>
  <si>
    <t>无血无痕</t>
  </si>
  <si>
    <r>
      <rPr>
        <sz val="10"/>
        <color theme="1"/>
        <rFont val="宋体"/>
        <charset val="134"/>
      </rPr>
      <t>当你受到伤害时，以一个反应，你可以消耗</t>
    </r>
    <r>
      <rPr>
        <sz val="10"/>
        <color theme="1"/>
        <rFont val="Times New Roman"/>
        <charset val="134"/>
      </rPr>
      <t>1</t>
    </r>
    <r>
      <rPr>
        <sz val="10"/>
        <color theme="1"/>
        <rFont val="宋体"/>
        <charset val="134"/>
      </rPr>
      <t>点战技点并将受到的伤害减少</t>
    </r>
    <r>
      <rPr>
        <sz val="10"/>
        <color theme="1"/>
        <rFont val="Times New Roman"/>
        <charset val="134"/>
      </rPr>
      <t>1d10+</t>
    </r>
    <r>
      <rPr>
        <sz val="10"/>
        <color theme="1"/>
        <rFont val="宋体"/>
        <charset val="134"/>
      </rPr>
      <t>你的战士等级。如果该伤害来源于一次攻击，你可以额外消耗</t>
    </r>
    <r>
      <rPr>
        <sz val="10"/>
        <color theme="1"/>
        <rFont val="Times New Roman"/>
        <charset val="134"/>
      </rPr>
      <t>3</t>
    </r>
    <r>
      <rPr>
        <sz val="10"/>
        <color theme="1"/>
        <rFont val="宋体"/>
        <charset val="134"/>
      </rPr>
      <t>点战技点。若如此做，伤害来源在你下回合开始前所有命中你的攻击都将减少与此前相同的伤害。</t>
    </r>
  </si>
  <si>
    <t>魔法破坏</t>
  </si>
  <si>
    <r>
      <rPr>
        <sz val="10"/>
        <color theme="1"/>
        <rFont val="宋体"/>
        <charset val="134"/>
      </rPr>
      <t>你获得以下诡诈打击选项：
法术要害</t>
    </r>
    <r>
      <rPr>
        <sz val="10"/>
        <color theme="1"/>
        <rFont val="Times New Roman"/>
        <charset val="134"/>
      </rPr>
      <t>Spell Susceptibility</t>
    </r>
    <r>
      <rPr>
        <sz val="10"/>
        <color theme="1"/>
        <rFont val="宋体"/>
        <charset val="134"/>
      </rPr>
      <t>（花费：</t>
    </r>
    <r>
      <rPr>
        <sz val="10"/>
        <color theme="1"/>
        <rFont val="Times New Roman"/>
        <charset val="134"/>
      </rPr>
      <t>2d6</t>
    </r>
    <r>
      <rPr>
        <sz val="10"/>
        <color theme="1"/>
        <rFont val="宋体"/>
        <charset val="134"/>
      </rPr>
      <t>）。</t>
    </r>
    <r>
      <rPr>
        <sz val="10"/>
        <color theme="1"/>
        <rFont val="Times New Roman"/>
        <charset val="134"/>
      </rPr>
      <t xml:space="preserve"> </t>
    </r>
    <r>
      <rPr>
        <sz val="10"/>
        <color theme="1"/>
        <rFont val="宋体"/>
        <charset val="134"/>
      </rPr>
      <t>直到你的下回合开始前，目标对法术进行的下一次豁免检定具有劣势。
扰断法术</t>
    </r>
    <r>
      <rPr>
        <sz val="10"/>
        <color theme="1"/>
        <rFont val="Times New Roman"/>
        <charset val="134"/>
      </rPr>
      <t>Disrupt Spell</t>
    </r>
    <r>
      <rPr>
        <sz val="10"/>
        <color theme="1"/>
        <rFont val="宋体"/>
        <charset val="134"/>
      </rPr>
      <t>（花费：</t>
    </r>
    <r>
      <rPr>
        <sz val="10"/>
        <color theme="1"/>
        <rFont val="Times New Roman"/>
        <charset val="134"/>
      </rPr>
      <t>3d6</t>
    </r>
    <r>
      <rPr>
        <sz val="10"/>
        <color theme="1"/>
        <rFont val="宋体"/>
        <charset val="134"/>
      </rPr>
      <t>）。</t>
    </r>
    <r>
      <rPr>
        <sz val="10"/>
        <color theme="1"/>
        <rFont val="Times New Roman"/>
        <charset val="134"/>
      </rPr>
      <t xml:space="preserve"> </t>
    </r>
    <r>
      <rPr>
        <sz val="10"/>
        <color theme="1"/>
        <rFont val="宋体"/>
        <charset val="134"/>
      </rPr>
      <t>直到你的下回合开始前，目标的魔法敏锐度被干扰。当目标在此期间施展法术时，他必须成功进行一次智力豁免检定，否则法术消失，不产生任何效应，且用来施展法术的动作、附赠动作或反应均被浪费。若该法术是通过法术位施展的，则此法术位不被消耗。
窃取抗性</t>
    </r>
    <r>
      <rPr>
        <sz val="10"/>
        <color theme="1"/>
        <rFont val="Times New Roman"/>
        <charset val="134"/>
      </rPr>
      <t>Steal Resistance</t>
    </r>
    <r>
      <rPr>
        <sz val="10"/>
        <color theme="1"/>
        <rFont val="宋体"/>
        <charset val="134"/>
      </rPr>
      <t>（花费：</t>
    </r>
    <r>
      <rPr>
        <sz val="10"/>
        <color theme="1"/>
        <rFont val="Times New Roman"/>
        <charset val="134"/>
      </rPr>
      <t>2d6</t>
    </r>
    <r>
      <rPr>
        <sz val="10"/>
        <color theme="1"/>
        <rFont val="宋体"/>
        <charset val="134"/>
      </rPr>
      <t>）。</t>
    </r>
    <r>
      <rPr>
        <sz val="10"/>
        <color theme="1"/>
        <rFont val="Times New Roman"/>
        <charset val="134"/>
      </rPr>
      <t xml:space="preserve"> </t>
    </r>
    <r>
      <rPr>
        <sz val="10"/>
        <color theme="1"/>
        <rFont val="宋体"/>
        <charset val="134"/>
      </rPr>
      <t>选择一种伤害类型。若目标拥有此种伤害的抗性，直到你的下回合开始前，目标将会失去此抗性，且你获得同种伤害类型的抗性。</t>
    </r>
  </si>
  <si>
    <t>怨毒诅咒</t>
  </si>
  <si>
    <r>
      <rPr>
        <sz val="10"/>
        <color theme="1"/>
        <rFont val="宋体"/>
        <charset val="134"/>
      </rPr>
      <t>当你使用咒怨时，作为该特性的动作或反应的一部分，你可以不消耗法术位地施展法术降咒</t>
    </r>
    <r>
      <rPr>
        <sz val="10"/>
        <color theme="1"/>
        <rFont val="Times New Roman"/>
        <charset val="134"/>
      </rPr>
      <t xml:space="preserve">Bestow Curse </t>
    </r>
    <r>
      <rPr>
        <sz val="10"/>
        <color theme="1"/>
        <rFont val="宋体"/>
        <charset val="134"/>
      </rPr>
      <t>，并在完成一次长休后重获以此方式施展该法术的能力。如果目标为对抗该法术而进行的豁免检定成功，则不消耗该特性的使用次数。</t>
    </r>
    <r>
      <rPr>
        <sz val="10"/>
        <color theme="1"/>
        <rFont val="Times New Roman"/>
        <charset val="134"/>
      </rPr>
      <t xml:space="preserve">
</t>
    </r>
    <r>
      <rPr>
        <sz val="10"/>
        <color theme="1"/>
        <rFont val="宋体"/>
        <charset val="134"/>
      </rPr>
      <t>当你以此方式施展该法术时，其施法距离变为</t>
    </r>
    <r>
      <rPr>
        <sz val="10"/>
        <color theme="1"/>
        <rFont val="Times New Roman"/>
        <charset val="134"/>
      </rPr>
      <t>60</t>
    </r>
    <r>
      <rPr>
        <sz val="10"/>
        <color theme="1"/>
        <rFont val="宋体"/>
        <charset val="134"/>
      </rPr>
      <t>尺，并且持续</t>
    </r>
    <r>
      <rPr>
        <sz val="10"/>
        <color theme="1"/>
        <rFont val="Times New Roman"/>
        <charset val="134"/>
      </rPr>
      <t>1</t>
    </r>
    <r>
      <rPr>
        <sz val="10"/>
        <color theme="1"/>
        <rFont val="宋体"/>
        <charset val="134"/>
      </rPr>
      <t>分钟，无需专注。如果目标为对抗该法术而进行的豁免检定成功，则目标将改为承受你从咒怨特性中选择的一项诅咒。</t>
    </r>
    <r>
      <rPr>
        <sz val="10"/>
        <color theme="1"/>
        <rFont val="Times New Roman"/>
        <charset val="134"/>
      </rPr>
      <t xml:space="preserve"> </t>
    </r>
  </si>
  <si>
    <t>三神门徒</t>
  </si>
  <si>
    <t>吾心若铁</t>
  </si>
  <si>
    <r>
      <rPr>
        <sz val="10"/>
        <color theme="1"/>
        <rFont val="宋体"/>
        <charset val="134"/>
      </rPr>
      <t>当你使用附赠动作进行回气时，你可以消耗</t>
    </r>
    <r>
      <rPr>
        <sz val="10"/>
        <color theme="1"/>
        <rFont val="Times New Roman"/>
        <charset val="134"/>
      </rPr>
      <t>1</t>
    </r>
    <r>
      <rPr>
        <sz val="10"/>
        <color theme="1"/>
        <rFont val="宋体"/>
        <charset val="134"/>
      </rPr>
      <t>点战技点并额外回复等同于你战士等级的生命值。</t>
    </r>
  </si>
  <si>
    <t>神秘面纱</t>
  </si>
  <si>
    <r>
      <rPr>
        <sz val="10"/>
        <color theme="1"/>
        <rFont val="宋体"/>
        <charset val="134"/>
      </rPr>
      <t>当你结束长休时，你可以施展法术回避侦测</t>
    </r>
    <r>
      <rPr>
        <sz val="10"/>
        <color theme="1"/>
        <rFont val="Times New Roman"/>
        <charset val="134"/>
      </rPr>
      <t>Nondetection</t>
    </r>
    <r>
      <rPr>
        <sz val="10"/>
        <color theme="1"/>
        <rFont val="宋体"/>
        <charset val="134"/>
      </rPr>
      <t>，使用智力作为你的施法属性。当你这么做的时候，你仅能选择自身作为法术目标，且此法术持续时间提升至</t>
    </r>
    <r>
      <rPr>
        <sz val="10"/>
        <color theme="1"/>
        <rFont val="Times New Roman"/>
        <charset val="134"/>
      </rPr>
      <t>24</t>
    </r>
    <r>
      <rPr>
        <sz val="10"/>
        <color theme="1"/>
        <rFont val="宋体"/>
        <charset val="134"/>
      </rPr>
      <t>小时。</t>
    </r>
  </si>
  <si>
    <t>角之王冠</t>
  </si>
  <si>
    <r>
      <rPr>
        <sz val="10"/>
        <color theme="1"/>
        <rFont val="宋体"/>
        <charset val="134"/>
      </rPr>
      <t>你可以使用附赠动作显化出角之王的威严之力，持续</t>
    </r>
    <r>
      <rPr>
        <sz val="10"/>
        <color theme="1"/>
        <rFont val="Times New Roman"/>
        <charset val="134"/>
      </rPr>
      <t>1</t>
    </r>
    <r>
      <rPr>
        <sz val="10"/>
        <color theme="1"/>
        <rFont val="宋体"/>
        <charset val="134"/>
      </rPr>
      <t>分钟。持续时间内，你身上会出现一个可见的印记——例如由角构成的王冠悬于你的头顶，或你生出巨大的鹿角——并且你获得如下增益。你必须完成一次长休才能再次使用该特性。你也可以消耗一枚契约魔法法术位（无需动作）来恢复该特性的使用次数。</t>
    </r>
    <r>
      <rPr>
        <sz val="10"/>
        <color theme="1"/>
        <rFont val="Times New Roman"/>
        <charset val="134"/>
      </rPr>
      <t xml:space="preserve">
</t>
    </r>
    <r>
      <rPr>
        <sz val="10"/>
        <color theme="1"/>
        <rFont val="宋体"/>
        <charset val="134"/>
      </rPr>
      <t>黑暗之心</t>
    </r>
    <r>
      <rPr>
        <sz val="10"/>
        <color theme="1"/>
        <rFont val="Times New Roman"/>
        <charset val="134"/>
      </rPr>
      <t>Dark Heart</t>
    </r>
    <r>
      <rPr>
        <sz val="10"/>
        <color theme="1"/>
        <rFont val="宋体"/>
        <charset val="134"/>
      </rPr>
      <t>。</t>
    </r>
    <r>
      <rPr>
        <sz val="10"/>
        <color theme="1"/>
        <rFont val="Times New Roman"/>
        <charset val="134"/>
      </rPr>
      <t xml:space="preserve"> </t>
    </r>
    <r>
      <rPr>
        <sz val="10"/>
        <color theme="1"/>
        <rFont val="宋体"/>
        <charset val="134"/>
      </rPr>
      <t>你的每个回合一次，当你对一个生物造成伤害时，目标会额外受到</t>
    </r>
    <r>
      <rPr>
        <sz val="10"/>
        <color theme="1"/>
        <rFont val="Times New Roman"/>
        <charset val="134"/>
      </rPr>
      <t>1d8</t>
    </r>
    <r>
      <rPr>
        <sz val="10"/>
        <color theme="1"/>
        <rFont val="宋体"/>
        <charset val="134"/>
      </rPr>
      <t>暗蚀伤害。</t>
    </r>
    <r>
      <rPr>
        <sz val="10"/>
        <color theme="1"/>
        <rFont val="Times New Roman"/>
        <charset val="134"/>
      </rPr>
      <t xml:space="preserve">
</t>
    </r>
    <r>
      <rPr>
        <sz val="10"/>
        <color theme="1"/>
        <rFont val="宋体"/>
        <charset val="134"/>
      </rPr>
      <t>万物之王</t>
    </r>
    <r>
      <rPr>
        <sz val="10"/>
        <color theme="1"/>
        <rFont val="Times New Roman"/>
        <charset val="134"/>
      </rPr>
      <t>King of All</t>
    </r>
    <r>
      <rPr>
        <sz val="10"/>
        <color theme="1"/>
        <rFont val="宋体"/>
        <charset val="134"/>
      </rPr>
      <t>。</t>
    </r>
    <r>
      <rPr>
        <sz val="10"/>
        <color theme="1"/>
        <rFont val="Times New Roman"/>
        <charset val="134"/>
      </rPr>
      <t xml:space="preserve"> </t>
    </r>
    <r>
      <rPr>
        <sz val="10"/>
        <color theme="1"/>
        <rFont val="宋体"/>
        <charset val="134"/>
      </rPr>
      <t>你在源自你的</t>
    </r>
    <r>
      <rPr>
        <sz val="10"/>
        <color theme="1"/>
        <rFont val="Times New Roman"/>
        <charset val="134"/>
      </rPr>
      <t>20</t>
    </r>
    <r>
      <rPr>
        <sz val="10"/>
        <color theme="1"/>
        <rFont val="宋体"/>
        <charset val="134"/>
      </rPr>
      <t>尺光环区域内散发出力量灵光。当你激活此特性，以及你的每个回合开始时，你可以选择灵光内一个你可见的生物。目标必须进行一次对抗你法术豁免</t>
    </r>
    <r>
      <rPr>
        <sz val="10"/>
        <color theme="1"/>
        <rFont val="Times New Roman"/>
        <charset val="134"/>
      </rPr>
      <t>DC</t>
    </r>
    <r>
      <rPr>
        <sz val="10"/>
        <color theme="1"/>
        <rFont val="宋体"/>
        <charset val="134"/>
      </rPr>
      <t>的魅力豁免，豁免失败则会受到你所选择的以下一种效应，直至你的下一回合开始：</t>
    </r>
    <r>
      <rPr>
        <sz val="10"/>
        <color theme="1"/>
        <rFont val="Times New Roman"/>
        <charset val="134"/>
      </rPr>
      <t xml:space="preserve"> 
</t>
    </r>
    <r>
      <rPr>
        <sz val="10"/>
        <color theme="1"/>
        <rFont val="宋体"/>
        <charset val="134"/>
      </rPr>
      <t>惑心</t>
    </r>
    <r>
      <rPr>
        <sz val="10"/>
        <color theme="1"/>
        <rFont val="Times New Roman"/>
        <charset val="134"/>
      </rPr>
      <t>Enticement</t>
    </r>
    <r>
      <rPr>
        <sz val="10"/>
        <color theme="1"/>
        <rFont val="宋体"/>
        <charset val="134"/>
      </rPr>
      <t>。</t>
    </r>
    <r>
      <rPr>
        <sz val="10"/>
        <color theme="1"/>
        <rFont val="Times New Roman"/>
        <charset val="134"/>
      </rPr>
      <t xml:space="preserve"> </t>
    </r>
    <r>
      <rPr>
        <sz val="10"/>
        <color theme="1"/>
        <rFont val="宋体"/>
        <charset val="134"/>
      </rPr>
      <t>目标陷入魅惑状态。</t>
    </r>
    <r>
      <rPr>
        <sz val="10"/>
        <color theme="1"/>
        <rFont val="Times New Roman"/>
        <charset val="134"/>
      </rPr>
      <t xml:space="preserve"> 
</t>
    </r>
    <r>
      <rPr>
        <sz val="10"/>
        <color theme="1"/>
        <rFont val="宋体"/>
        <charset val="134"/>
      </rPr>
      <t>不义</t>
    </r>
    <r>
      <rPr>
        <sz val="10"/>
        <color theme="1"/>
        <rFont val="Times New Roman"/>
        <charset val="134"/>
      </rPr>
      <t>Wickedness</t>
    </r>
    <r>
      <rPr>
        <sz val="10"/>
        <color theme="1"/>
        <rFont val="宋体"/>
        <charset val="134"/>
      </rPr>
      <t>。</t>
    </r>
    <r>
      <rPr>
        <sz val="10"/>
        <color theme="1"/>
        <rFont val="Times New Roman"/>
        <charset val="134"/>
      </rPr>
      <t xml:space="preserve"> </t>
    </r>
    <r>
      <rPr>
        <sz val="10"/>
        <color theme="1"/>
        <rFont val="宋体"/>
        <charset val="134"/>
      </rPr>
      <t>目标在攻击检定与属性检定中具有劣势。</t>
    </r>
    <r>
      <rPr>
        <sz val="10"/>
        <color theme="1"/>
        <rFont val="Times New Roman"/>
        <charset val="134"/>
      </rPr>
      <t xml:space="preserve"> 
</t>
    </r>
    <r>
      <rPr>
        <sz val="10"/>
        <color theme="1"/>
        <rFont val="宋体"/>
        <charset val="134"/>
      </rPr>
      <t>惧怖</t>
    </r>
    <r>
      <rPr>
        <sz val="10"/>
        <color theme="1"/>
        <rFont val="Times New Roman"/>
        <charset val="134"/>
      </rPr>
      <t>Terror</t>
    </r>
    <r>
      <rPr>
        <sz val="10"/>
        <color theme="1"/>
        <rFont val="宋体"/>
        <charset val="134"/>
      </rPr>
      <t>。</t>
    </r>
    <r>
      <rPr>
        <sz val="10"/>
        <color theme="1"/>
        <rFont val="Times New Roman"/>
        <charset val="134"/>
      </rPr>
      <t xml:space="preserve"> </t>
    </r>
    <r>
      <rPr>
        <sz val="10"/>
        <color theme="1"/>
        <rFont val="宋体"/>
        <charset val="134"/>
      </rPr>
      <t>目标陷入恐慌状态，并且在其回合内必须沿着最安全的路线远离你，除非无处可逃。</t>
    </r>
    <r>
      <rPr>
        <sz val="10"/>
        <color theme="1"/>
        <rFont val="Times New Roman"/>
        <charset val="134"/>
      </rPr>
      <t xml:space="preserve"> </t>
    </r>
  </si>
  <si>
    <t>窃法者</t>
  </si>
  <si>
    <t>弧钢一闪</t>
  </si>
  <si>
    <r>
      <rPr>
        <sz val="10"/>
        <color theme="1"/>
        <rFont val="宋体"/>
        <charset val="134"/>
      </rPr>
      <t>你将你的武器挥出一道弧线以捕捉额外的敌人。以一个附赠动作，你可以花费</t>
    </r>
    <r>
      <rPr>
        <sz val="10"/>
        <color theme="1"/>
        <rFont val="Times New Roman"/>
        <charset val="134"/>
      </rPr>
      <t>1</t>
    </r>
    <r>
      <rPr>
        <sz val="10"/>
        <color theme="1"/>
        <rFont val="宋体"/>
        <charset val="134"/>
      </rPr>
      <t>或更多的战技点来增幅你本回合的下一次近战攻击。当你进行此攻击时，你对触及范围内的一个其它生物进行一次额外攻击，每多花费</t>
    </r>
    <r>
      <rPr>
        <sz val="10"/>
        <color theme="1"/>
        <rFont val="Times New Roman"/>
        <charset val="134"/>
      </rPr>
      <t>1</t>
    </r>
    <r>
      <rPr>
        <sz val="10"/>
        <color theme="1"/>
        <rFont val="宋体"/>
        <charset val="134"/>
      </rPr>
      <t>个战技点，你都可以额外指定一个其它生物作为目标。</t>
    </r>
  </si>
  <si>
    <t>进阶吸取魔法</t>
  </si>
  <si>
    <t>你现在可以以一个附赠动作施展吸取魔法特性。另外，当你使用吸取魔法特性时，你可以终止目标身上一个生效中的一环、二环或三环法术效应，且目标恢复一个已消耗的不超过三环的法术位（由目标选择）。</t>
  </si>
  <si>
    <t>密会集结</t>
  </si>
  <si>
    <r>
      <rPr>
        <sz val="10"/>
        <color theme="1"/>
        <rFont val="宋体"/>
        <charset val="134"/>
      </rPr>
      <t>你现在可以将角之王的力量分享给你认可的人。你可以进行一次</t>
    </r>
    <r>
      <rPr>
        <sz val="10"/>
        <color theme="1"/>
        <rFont val="Times New Roman"/>
        <charset val="134"/>
      </rPr>
      <t>1</t>
    </r>
    <r>
      <rPr>
        <sz val="10"/>
        <color theme="1"/>
        <rFont val="宋体"/>
        <charset val="134"/>
      </rPr>
      <t>小时的仪式，与至多六个自愿生物建立联结，它们在仪式期间必须保持在你周边</t>
    </r>
    <r>
      <rPr>
        <sz val="10"/>
        <color theme="1"/>
        <rFont val="Times New Roman"/>
        <charset val="134"/>
      </rPr>
      <t>10</t>
    </r>
    <r>
      <rPr>
        <sz val="10"/>
        <color theme="1"/>
        <rFont val="宋体"/>
        <charset val="134"/>
      </rPr>
      <t>尺范围内，仪式可以在休息期间进行。你可以解除任意数量生物的联结（无需动作），并且当你死亡时，该联结会结束。该联结提供以下增益。</t>
    </r>
    <r>
      <rPr>
        <sz val="10"/>
        <color theme="1"/>
        <rFont val="Times New Roman"/>
        <charset val="134"/>
      </rPr>
      <t xml:space="preserve">
</t>
    </r>
    <r>
      <rPr>
        <sz val="10"/>
        <color theme="1"/>
        <rFont val="宋体"/>
        <charset val="134"/>
      </rPr>
      <t>巫咒之术</t>
    </r>
    <r>
      <rPr>
        <sz val="10"/>
        <color theme="1"/>
        <rFont val="Times New Roman"/>
        <charset val="134"/>
      </rPr>
      <t>Witchcraft</t>
    </r>
    <r>
      <rPr>
        <sz val="10"/>
        <color theme="1"/>
        <rFont val="宋体"/>
        <charset val="134"/>
      </rPr>
      <t>。</t>
    </r>
    <r>
      <rPr>
        <sz val="10"/>
        <color theme="1"/>
        <rFont val="Times New Roman"/>
        <charset val="134"/>
      </rPr>
      <t xml:space="preserve"> </t>
    </r>
    <r>
      <rPr>
        <sz val="10"/>
        <color theme="1"/>
        <rFont val="宋体"/>
        <charset val="134"/>
      </rPr>
      <t>从你的咒怨特性中选择一项诅咒。被联结生物现在可以各使用一次该反应选项，并在完成一次长休后重获该能力的使用次数。</t>
    </r>
    <r>
      <rPr>
        <sz val="10"/>
        <color theme="1"/>
        <rFont val="Times New Roman"/>
        <charset val="134"/>
      </rPr>
      <t xml:space="preserve">
</t>
    </r>
    <r>
      <rPr>
        <sz val="10"/>
        <color theme="1"/>
        <rFont val="宋体"/>
        <charset val="134"/>
      </rPr>
      <t>翔于夜空</t>
    </r>
    <r>
      <rPr>
        <sz val="10"/>
        <color theme="1"/>
        <rFont val="Times New Roman"/>
        <charset val="134"/>
      </rPr>
      <t>Fly By Night</t>
    </r>
    <r>
      <rPr>
        <sz val="10"/>
        <color theme="1"/>
        <rFont val="宋体"/>
        <charset val="134"/>
      </rPr>
      <t>。</t>
    </r>
    <r>
      <rPr>
        <sz val="10"/>
        <color theme="1"/>
        <rFont val="Times New Roman"/>
        <charset val="134"/>
      </rPr>
      <t xml:space="preserve"> </t>
    </r>
    <r>
      <rPr>
        <sz val="10"/>
        <color theme="1"/>
        <rFont val="宋体"/>
        <charset val="134"/>
      </rPr>
      <t>作为一项附赠动作，选择一个被联结生物。如果你和目标位于同一存在位面，则你魔法性地传送至该生物旁边最近的未占据空间。你可以使用此增益一次，并在完成一次短休或长休后重获该能力的使用次数。如果你在角之王冠特性激活期间使用该附赠动作，则不消耗该能力的使用次数。</t>
    </r>
    <r>
      <rPr>
        <sz val="10"/>
        <color theme="1"/>
        <rFont val="Times New Roman"/>
        <charset val="134"/>
      </rPr>
      <t xml:space="preserve">
</t>
    </r>
    <r>
      <rPr>
        <sz val="10"/>
        <color theme="1"/>
        <rFont val="宋体"/>
        <charset val="134"/>
      </rPr>
      <t>国王之手</t>
    </r>
    <r>
      <rPr>
        <sz val="10"/>
        <color theme="1"/>
        <rFont val="Times New Roman"/>
        <charset val="134"/>
      </rPr>
      <t>Hand of the King</t>
    </r>
    <r>
      <rPr>
        <sz val="10"/>
        <color theme="1"/>
        <rFont val="宋体"/>
        <charset val="134"/>
      </rPr>
      <t>。</t>
    </r>
    <r>
      <rPr>
        <sz val="10"/>
        <color theme="1"/>
        <rFont val="Times New Roman"/>
        <charset val="134"/>
      </rPr>
      <t xml:space="preserve"> </t>
    </r>
    <r>
      <rPr>
        <sz val="10"/>
        <color theme="1"/>
        <rFont val="宋体"/>
        <charset val="134"/>
      </rPr>
      <t>在你的角之王冠特性激活期间，被联结生物在其回合内第一次伤害另一个生物时，目标会额外受到</t>
    </r>
    <r>
      <rPr>
        <sz val="10"/>
        <color theme="1"/>
        <rFont val="Times New Roman"/>
        <charset val="134"/>
      </rPr>
      <t>1d10</t>
    </r>
    <r>
      <rPr>
        <sz val="10"/>
        <color theme="1"/>
        <rFont val="宋体"/>
        <charset val="134"/>
      </rPr>
      <t>暗蚀伤害。</t>
    </r>
    <r>
      <rPr>
        <sz val="10"/>
        <color theme="1"/>
        <rFont val="Times New Roman"/>
        <charset val="134"/>
      </rPr>
      <t xml:space="preserve"> </t>
    </r>
  </si>
  <si>
    <r>
      <rPr>
        <sz val="10"/>
        <color theme="1"/>
        <rFont val="宋体"/>
        <charset val="134"/>
      </rPr>
      <t>畸变术法</t>
    </r>
  </si>
  <si>
    <t>凛然掌控</t>
  </si>
  <si>
    <r>
      <rPr>
        <sz val="10"/>
        <color theme="1"/>
        <rFont val="宋体"/>
        <charset val="134"/>
      </rPr>
      <t>以一个动作，你可以消耗</t>
    </r>
    <r>
      <rPr>
        <sz val="10"/>
        <color theme="1"/>
        <rFont val="Times New Roman"/>
        <charset val="134"/>
      </rPr>
      <t>2</t>
    </r>
    <r>
      <rPr>
        <sz val="10"/>
        <color theme="1"/>
        <rFont val="宋体"/>
        <charset val="134"/>
      </rPr>
      <t>点战技点并尝试抓取一个远处的生物。你指定一个距你</t>
    </r>
    <r>
      <rPr>
        <sz val="10"/>
        <color theme="1"/>
        <rFont val="Times New Roman"/>
        <charset val="134"/>
      </rPr>
      <t>30</t>
    </r>
    <r>
      <rPr>
        <sz val="10"/>
        <color theme="1"/>
        <rFont val="宋体"/>
        <charset val="134"/>
      </rPr>
      <t>尺内且体型小于等于你的生物。你迫使目标进行一次力量豁免。豁免失败则会被传送至你身边的空间并受擒于你。</t>
    </r>
  </si>
  <si>
    <t>魔能崩摧</t>
  </si>
  <si>
    <r>
      <rPr>
        <sz val="10"/>
        <color theme="1"/>
        <rFont val="宋体"/>
        <charset val="134"/>
      </rPr>
      <t>当你使用注能偷袭特性时，你可以迫使目标进行一次体质豁免检定（</t>
    </r>
    <r>
      <rPr>
        <sz val="10"/>
        <color theme="1"/>
        <rFont val="Times New Roman"/>
        <charset val="134"/>
      </rPr>
      <t>DC</t>
    </r>
    <r>
      <rPr>
        <sz val="10"/>
        <color theme="1"/>
        <rFont val="宋体"/>
        <charset val="134"/>
      </rPr>
      <t>为</t>
    </r>
    <r>
      <rPr>
        <sz val="10"/>
        <color theme="1"/>
        <rFont val="Times New Roman"/>
        <charset val="134"/>
      </rPr>
      <t>8+</t>
    </r>
    <r>
      <rPr>
        <sz val="10"/>
        <color theme="1"/>
        <rFont val="宋体"/>
        <charset val="134"/>
      </rPr>
      <t>你的敏捷调整值</t>
    </r>
    <r>
      <rPr>
        <sz val="10"/>
        <color theme="1"/>
        <rFont val="Times New Roman"/>
        <charset val="134"/>
      </rPr>
      <t>+</t>
    </r>
    <r>
      <rPr>
        <sz val="10"/>
        <color theme="1"/>
        <rFont val="宋体"/>
        <charset val="134"/>
      </rPr>
      <t>熟练加值）。若豁免失败，法术消失且不产生任何效应，而且目标还会陷入震慑状态，直到其下回合开始。</t>
    </r>
  </si>
  <si>
    <t>猎食者法术</t>
  </si>
  <si>
    <r>
      <rPr>
        <sz val="10"/>
        <color theme="1"/>
        <rFont val="宋体"/>
        <charset val="134"/>
      </rPr>
      <t>当你学习一道魔契师法术时，猎食者宗主允许你从一张更大的法术列表里选择法术。以下法术被加入到你的法术列表中。</t>
    </r>
    <r>
      <rPr>
        <sz val="10"/>
        <color theme="1"/>
        <rFont val="Times New Roman"/>
        <charset val="134"/>
      </rPr>
      <t xml:space="preserve"> 
</t>
    </r>
    <r>
      <rPr>
        <sz val="10"/>
        <color theme="1"/>
        <rFont val="宋体"/>
        <charset val="134"/>
      </rPr>
      <t>猎食者扩展法术表</t>
    </r>
    <r>
      <rPr>
        <sz val="10"/>
        <color theme="1"/>
        <rFont val="Times New Roman"/>
        <charset val="134"/>
      </rPr>
      <t xml:space="preserve">The Predator Expanded Spell </t>
    </r>
    <r>
      <rPr>
        <sz val="10"/>
        <color theme="1"/>
        <rFont val="宋体"/>
        <charset val="134"/>
      </rPr>
      <t>法术环阶</t>
    </r>
    <r>
      <rPr>
        <sz val="10"/>
        <color theme="1"/>
        <rFont val="Times New Roman"/>
        <charset val="134"/>
      </rPr>
      <t xml:space="preserve"> </t>
    </r>
    <r>
      <rPr>
        <sz val="10"/>
        <color theme="1"/>
        <rFont val="宋体"/>
        <charset val="134"/>
      </rPr>
      <t>法术</t>
    </r>
    <r>
      <rPr>
        <sz val="10"/>
        <color theme="1"/>
        <rFont val="Times New Roman"/>
        <charset val="134"/>
      </rPr>
      <t xml:space="preserve"> 
1st </t>
    </r>
    <r>
      <rPr>
        <sz val="10"/>
        <color theme="1"/>
        <rFont val="宋体"/>
        <charset val="134"/>
      </rPr>
      <t>猎人印记</t>
    </r>
    <r>
      <rPr>
        <sz val="10"/>
        <color theme="1"/>
        <rFont val="Times New Roman"/>
        <charset val="134"/>
      </rPr>
      <t>Hunter's Mark</t>
    </r>
    <r>
      <rPr>
        <sz val="10"/>
        <color theme="1"/>
        <rFont val="宋体"/>
        <charset val="134"/>
      </rPr>
      <t>，跳跃术</t>
    </r>
    <r>
      <rPr>
        <sz val="10"/>
        <color theme="1"/>
        <rFont val="Times New Roman"/>
        <charset val="134"/>
      </rPr>
      <t xml:space="preserve">Jump  
2nd </t>
    </r>
    <r>
      <rPr>
        <sz val="10"/>
        <color theme="1"/>
        <rFont val="宋体"/>
        <charset val="134"/>
      </rPr>
      <t>变身术</t>
    </r>
    <r>
      <rPr>
        <sz val="10"/>
        <color theme="1"/>
        <rFont val="Times New Roman"/>
        <charset val="134"/>
      </rPr>
      <t>Alter Self</t>
    </r>
    <r>
      <rPr>
        <sz val="10"/>
        <color theme="1"/>
        <rFont val="宋体"/>
        <charset val="134"/>
      </rPr>
      <t>，伏击猎物</t>
    </r>
    <r>
      <rPr>
        <sz val="10"/>
        <color theme="1"/>
        <rFont val="Times New Roman"/>
        <charset val="134"/>
      </rPr>
      <t xml:space="preserve">Ambush Prey*  
3rd </t>
    </r>
    <r>
      <rPr>
        <sz val="10"/>
        <color theme="1"/>
        <rFont val="宋体"/>
        <charset val="134"/>
      </rPr>
      <t>闪现术</t>
    </r>
    <r>
      <rPr>
        <sz val="10"/>
        <color theme="1"/>
        <rFont val="Times New Roman"/>
        <charset val="134"/>
      </rPr>
      <t>Blink</t>
    </r>
    <r>
      <rPr>
        <sz val="10"/>
        <color theme="1"/>
        <rFont val="宋体"/>
        <charset val="134"/>
      </rPr>
      <t>，缓慢术</t>
    </r>
    <r>
      <rPr>
        <sz val="10"/>
        <color theme="1"/>
        <rFont val="Times New Roman"/>
        <charset val="134"/>
      </rPr>
      <t xml:space="preserve">Slow 
4th </t>
    </r>
    <r>
      <rPr>
        <sz val="10"/>
        <color theme="1"/>
        <rFont val="宋体"/>
        <charset val="134"/>
      </rPr>
      <t>支配野兽</t>
    </r>
    <r>
      <rPr>
        <sz val="10"/>
        <color theme="1"/>
        <rFont val="Times New Roman"/>
        <charset val="134"/>
      </rPr>
      <t>Dominate Beast</t>
    </r>
    <r>
      <rPr>
        <sz val="10"/>
        <color theme="1"/>
        <rFont val="宋体"/>
        <charset val="134"/>
      </rPr>
      <t>，行动自如</t>
    </r>
    <r>
      <rPr>
        <sz val="10"/>
        <color theme="1"/>
        <rFont val="Times New Roman"/>
        <charset val="134"/>
      </rPr>
      <t xml:space="preserve">Freedom of Movement  
5th </t>
    </r>
    <r>
      <rPr>
        <sz val="10"/>
        <color theme="1"/>
        <rFont val="宋体"/>
        <charset val="134"/>
      </rPr>
      <t>疫病术</t>
    </r>
    <r>
      <rPr>
        <sz val="10"/>
        <color theme="1"/>
        <rFont val="Times New Roman"/>
        <charset val="134"/>
      </rPr>
      <t>Contagion</t>
    </r>
    <r>
      <rPr>
        <sz val="10"/>
        <color theme="1"/>
        <rFont val="宋体"/>
        <charset val="134"/>
      </rPr>
      <t>，假象术</t>
    </r>
    <r>
      <rPr>
        <sz val="10"/>
        <color theme="1"/>
        <rFont val="Times New Roman"/>
        <charset val="134"/>
      </rPr>
      <t xml:space="preserve">Mislead </t>
    </r>
  </si>
  <si>
    <r>
      <rPr>
        <sz val="10"/>
        <color theme="1"/>
        <rFont val="宋体"/>
        <charset val="134"/>
      </rPr>
      <t>时械术法</t>
    </r>
  </si>
  <si>
    <t>抛戈猛击</t>
  </si>
  <si>
    <r>
      <rPr>
        <sz val="10"/>
        <color theme="1"/>
        <rFont val="宋体"/>
        <charset val="134"/>
      </rPr>
      <t>你可以瞄准敌人的兵器而非躯干。当你以一次近战攻击命中目标时，你可以令此次攻击不造成伤害并消耗</t>
    </r>
    <r>
      <rPr>
        <sz val="10"/>
        <color theme="1"/>
        <rFont val="Times New Roman"/>
        <charset val="134"/>
      </rPr>
      <t>2</t>
    </r>
    <r>
      <rPr>
        <sz val="10"/>
        <color theme="1"/>
        <rFont val="宋体"/>
        <charset val="134"/>
      </rPr>
      <t>点战技点。若如此做，目标必须进行一次力量或敏捷豁免（由其选择），如果豁免失败，目标将会被解除武装。被解除武装的生物将丢弃所有持握着的武器乃至是盾牌。</t>
    </r>
  </si>
  <si>
    <r>
      <rPr>
        <sz val="10"/>
        <color theme="1"/>
        <rFont val="宋体"/>
        <charset val="134"/>
      </rPr>
      <t>你的宗主给予了你更强大的追踪技能。你获得求生技能的专精</t>
    </r>
    <r>
      <rPr>
        <sz val="10"/>
        <color theme="1"/>
        <rFont val="宋体"/>
        <charset val="134"/>
      </rPr>
      <t>——</t>
    </r>
    <r>
      <rPr>
        <sz val="10"/>
        <color theme="1"/>
        <rFont val="宋体"/>
        <charset val="134"/>
      </rPr>
      <t>你进行的所有感知（求生）检定都可以加入双倍的熟练加值。</t>
    </r>
  </si>
  <si>
    <r>
      <rPr>
        <sz val="10"/>
        <color theme="1"/>
        <rFont val="宋体"/>
        <charset val="134"/>
      </rPr>
      <t>龙族术法</t>
    </r>
  </si>
  <si>
    <t>摧坚一掷</t>
  </si>
  <si>
    <r>
      <rPr>
        <sz val="10"/>
        <color theme="1"/>
        <rFont val="宋体"/>
        <charset val="134"/>
      </rPr>
      <t>以一个动作，你可以消耗</t>
    </r>
    <r>
      <rPr>
        <sz val="10"/>
        <color theme="1"/>
        <rFont val="Times New Roman"/>
        <charset val="134"/>
      </rPr>
      <t>2</t>
    </r>
    <r>
      <rPr>
        <sz val="10"/>
        <color theme="1"/>
        <rFont val="宋体"/>
        <charset val="134"/>
      </rPr>
      <t>点战技点并投掷你持握着的近战武器。这次投掷会影响一个</t>
    </r>
    <r>
      <rPr>
        <sz val="10"/>
        <color theme="1"/>
        <rFont val="Times New Roman"/>
        <charset val="134"/>
      </rPr>
      <t>5</t>
    </r>
    <r>
      <rPr>
        <sz val="10"/>
        <color theme="1"/>
        <rFont val="宋体"/>
        <charset val="134"/>
      </rPr>
      <t>尺宽</t>
    </r>
    <r>
      <rPr>
        <sz val="10"/>
        <color theme="1"/>
        <rFont val="Times New Roman"/>
        <charset val="134"/>
      </rPr>
      <t>30</t>
    </r>
    <r>
      <rPr>
        <sz val="10"/>
        <color theme="1"/>
        <rFont val="宋体"/>
        <charset val="134"/>
      </rPr>
      <t>尺长的线状区域。区域内的每个生物都须进行一次敏捷豁免，失败则受到等同于这把武器伤害骰</t>
    </r>
    <r>
      <rPr>
        <sz val="10"/>
        <color theme="1"/>
        <rFont val="Times New Roman"/>
        <charset val="134"/>
      </rPr>
      <t>+</t>
    </r>
    <r>
      <rPr>
        <sz val="10"/>
        <color theme="1"/>
        <rFont val="宋体"/>
        <charset val="134"/>
      </rPr>
      <t>你的力量或敏捷调整值（由你选择）的伤害。若有生物因此战技受到伤害，你可以消耗</t>
    </r>
    <r>
      <rPr>
        <sz val="10"/>
        <color theme="1"/>
        <rFont val="Times New Roman"/>
        <charset val="134"/>
      </rPr>
      <t>1</t>
    </r>
    <r>
      <rPr>
        <sz val="10"/>
        <color theme="1"/>
        <rFont val="宋体"/>
        <charset val="134"/>
      </rPr>
      <t>点战技点对该生物额外造成该武器类型的</t>
    </r>
    <r>
      <rPr>
        <sz val="10"/>
        <color theme="1"/>
        <rFont val="Times New Roman"/>
        <charset val="134"/>
      </rPr>
      <t>2d6</t>
    </r>
    <r>
      <rPr>
        <sz val="10"/>
        <color theme="1"/>
        <rFont val="宋体"/>
        <charset val="134"/>
      </rPr>
      <t>点伤害。</t>
    </r>
  </si>
  <si>
    <t>野兽之形</t>
  </si>
  <si>
    <r>
      <rPr>
        <sz val="10"/>
        <color theme="1"/>
        <rFont val="宋体"/>
        <charset val="134"/>
      </rPr>
      <t>你可以用你的附赠动作引导你宗主的凶残与狡诈之力，你将变化成野兽般的姿态。</t>
    </r>
    <r>
      <rPr>
        <sz val="10"/>
        <color theme="1"/>
        <rFont val="Times New Roman"/>
        <charset val="134"/>
      </rPr>
      <t>10</t>
    </r>
    <r>
      <rPr>
        <sz val="10"/>
        <color theme="1"/>
        <rFont val="宋体"/>
        <charset val="134"/>
      </rPr>
      <t>分钟内，你获得以下这些能力：
你的体内充满了肾上腺素，除了狩猎的快感你感受不到任何事情。你获得等同于你魔契师等级两倍的临时生命值（至多</t>
    </r>
    <r>
      <rPr>
        <sz val="10"/>
        <color theme="1"/>
        <rFont val="Times New Roman"/>
        <charset val="134"/>
      </rPr>
      <t>20</t>
    </r>
    <r>
      <rPr>
        <sz val="10"/>
        <color theme="1"/>
        <rFont val="宋体"/>
        <charset val="134"/>
      </rPr>
      <t>点，即</t>
    </r>
    <r>
      <rPr>
        <sz val="10"/>
        <color theme="1"/>
        <rFont val="Times New Roman"/>
        <charset val="134"/>
      </rPr>
      <t>10</t>
    </r>
    <r>
      <rPr>
        <sz val="10"/>
        <color theme="1"/>
        <rFont val="宋体"/>
        <charset val="134"/>
      </rPr>
      <t>级后达到上限）这些临时生命值会持续直至你的变化形态结束为止。
你的感官变得超自然般的敏锐。你为追踪猎物或跟踪猎物进行的敏捷（隐匿）、感知（察觉）、感知（求生）检定具有优势。
你长出了一套尖锐的利牙与锯齿状的兽爪，它们是可以用来对你</t>
    </r>
    <r>
      <rPr>
        <sz val="10"/>
        <color theme="1"/>
        <rFont val="Times New Roman"/>
        <charset val="134"/>
      </rPr>
      <t>5</t>
    </r>
    <r>
      <rPr>
        <sz val="10"/>
        <color theme="1"/>
        <rFont val="宋体"/>
        <charset val="134"/>
      </rPr>
      <t>尺内的生物发动徒手打击的天生武器。你熟练于这些天生武器，且可以在攻击检定与伤害掷骰中使用你的魅力调整值。命中时，你的啃咬造成</t>
    </r>
    <r>
      <rPr>
        <sz val="10"/>
        <color theme="1"/>
        <rFont val="Times New Roman"/>
        <charset val="134"/>
      </rPr>
      <t>1d6</t>
    </r>
    <r>
      <rPr>
        <sz val="10"/>
        <color theme="1"/>
        <rFont val="宋体"/>
        <charset val="134"/>
      </rPr>
      <t>点穿刺伤害，而你的爪击造成</t>
    </r>
    <r>
      <rPr>
        <sz val="10"/>
        <color theme="1"/>
        <rFont val="Times New Roman"/>
        <charset val="134"/>
      </rPr>
      <t>1d4</t>
    </r>
    <r>
      <rPr>
        <sz val="10"/>
        <color theme="1"/>
        <rFont val="宋体"/>
        <charset val="134"/>
      </rPr>
      <t>点挥砍伤害。如果你已经拥有啃咬（</t>
    </r>
    <r>
      <rPr>
        <sz val="10"/>
        <color theme="1"/>
        <rFont val="Times New Roman"/>
        <charset val="134"/>
      </rPr>
      <t>bite</t>
    </r>
    <r>
      <rPr>
        <sz val="10"/>
        <color theme="1"/>
        <rFont val="宋体"/>
        <charset val="134"/>
      </rPr>
      <t>）或爪击（</t>
    </r>
    <r>
      <rPr>
        <sz val="10"/>
        <color theme="1"/>
        <rFont val="Times New Roman"/>
        <charset val="134"/>
      </rPr>
      <t>claw</t>
    </r>
    <r>
      <rPr>
        <sz val="10"/>
        <color theme="1"/>
        <rFont val="宋体"/>
        <charset val="134"/>
      </rPr>
      <t>）攻击项（利爪（</t>
    </r>
    <r>
      <rPr>
        <sz val="10"/>
        <color theme="1"/>
        <rFont val="Times New Roman"/>
        <charset val="134"/>
      </rPr>
      <t>talon</t>
    </r>
    <r>
      <rPr>
        <sz val="10"/>
        <color theme="1"/>
        <rFont val="宋体"/>
        <charset val="134"/>
      </rPr>
      <t>）攻击项也被算作爪击攻击项），该攻击项的伤害增大一级（从</t>
    </r>
    <r>
      <rPr>
        <sz val="10"/>
        <color theme="1"/>
        <rFont val="Times New Roman"/>
        <charset val="134"/>
      </rPr>
      <t>d4</t>
    </r>
    <r>
      <rPr>
        <sz val="10"/>
        <color theme="1"/>
        <rFont val="宋体"/>
        <charset val="134"/>
      </rPr>
      <t>变成</t>
    </r>
    <r>
      <rPr>
        <sz val="10"/>
        <color theme="1"/>
        <rFont val="Times New Roman"/>
        <charset val="134"/>
      </rPr>
      <t>d6</t>
    </r>
    <r>
      <rPr>
        <sz val="10"/>
        <color theme="1"/>
        <rFont val="宋体"/>
        <charset val="134"/>
      </rPr>
      <t>，从</t>
    </r>
    <r>
      <rPr>
        <sz val="10"/>
        <color theme="1"/>
        <rFont val="Times New Roman"/>
        <charset val="134"/>
      </rPr>
      <t>d6</t>
    </r>
    <r>
      <rPr>
        <sz val="10"/>
        <color theme="1"/>
        <rFont val="宋体"/>
        <charset val="134"/>
      </rPr>
      <t>变为</t>
    </r>
    <r>
      <rPr>
        <sz val="10"/>
        <color theme="1"/>
        <rFont val="Times New Roman"/>
        <charset val="134"/>
      </rPr>
      <t>d8</t>
    </r>
    <r>
      <rPr>
        <sz val="10"/>
        <color theme="1"/>
        <rFont val="宋体"/>
        <charset val="134"/>
      </rPr>
      <t>，以此类推）。在你使用啃咬攻击之后，你可以用附赠动作发动一次爪击攻击。
自第</t>
    </r>
    <r>
      <rPr>
        <sz val="10"/>
        <color theme="1"/>
        <rFont val="Times New Roman"/>
        <charset val="134"/>
      </rPr>
      <t>5</t>
    </r>
    <r>
      <rPr>
        <sz val="10"/>
        <color theme="1"/>
        <rFont val="宋体"/>
        <charset val="134"/>
      </rPr>
      <t>级起，你的肌肉变得强壮，你的动作变得迅敏。在你用动作发动过啃咬攻击之后，你可以用附赠动作发动两次爪击攻击。此外，自第</t>
    </r>
    <r>
      <rPr>
        <sz val="10"/>
        <color theme="1"/>
        <rFont val="Times New Roman"/>
        <charset val="134"/>
      </rPr>
      <t>5</t>
    </r>
    <r>
      <rPr>
        <sz val="10"/>
        <color theme="1"/>
        <rFont val="宋体"/>
        <charset val="134"/>
      </rPr>
      <t>级起，处于野兽之形</t>
    </r>
    <r>
      <rPr>
        <sz val="10"/>
        <color theme="1"/>
        <rFont val="Times New Roman"/>
        <charset val="134"/>
      </rPr>
      <t>Form of the Beast</t>
    </r>
    <r>
      <rPr>
        <sz val="10"/>
        <color theme="1"/>
        <rFont val="宋体"/>
        <charset val="134"/>
      </rPr>
      <t>下，你可以用附赠动作执行疾走或躲藏动作。
每次短休或长休后，你可以使用此特性两次。第</t>
    </r>
    <r>
      <rPr>
        <sz val="10"/>
        <color theme="1"/>
        <rFont val="Times New Roman"/>
        <charset val="134"/>
      </rPr>
      <t>6</t>
    </r>
    <r>
      <rPr>
        <sz val="10"/>
        <color theme="1"/>
        <rFont val="宋体"/>
        <charset val="134"/>
      </rPr>
      <t>级时，你的变化将持续</t>
    </r>
    <r>
      <rPr>
        <sz val="10"/>
        <color theme="1"/>
        <rFont val="Times New Roman"/>
        <charset val="134"/>
      </rPr>
      <t>1</t>
    </r>
    <r>
      <rPr>
        <sz val="10"/>
        <color theme="1"/>
        <rFont val="宋体"/>
        <charset val="134"/>
      </rPr>
      <t>小时，而非原本的</t>
    </r>
    <r>
      <rPr>
        <sz val="10"/>
        <color theme="1"/>
        <rFont val="Times New Roman"/>
        <charset val="134"/>
      </rPr>
      <t>10</t>
    </r>
    <r>
      <rPr>
        <sz val="10"/>
        <color theme="1"/>
        <rFont val="宋体"/>
        <charset val="134"/>
      </rPr>
      <t>分钟。</t>
    </r>
  </si>
  <si>
    <r>
      <rPr>
        <sz val="10"/>
        <color theme="1"/>
        <rFont val="宋体"/>
        <charset val="134"/>
      </rPr>
      <t>狂野术法</t>
    </r>
  </si>
  <si>
    <t>剑刃壁垒</t>
  </si>
  <si>
    <r>
      <rPr>
        <sz val="10"/>
        <color theme="1"/>
        <rFont val="宋体"/>
        <charset val="134"/>
      </rPr>
      <t>当你被一次攻击命中时，以一个反应，你消耗</t>
    </r>
    <r>
      <rPr>
        <sz val="10"/>
        <color theme="1"/>
        <rFont val="Times New Roman"/>
        <charset val="134"/>
      </rPr>
      <t>2</t>
    </r>
    <r>
      <rPr>
        <sz val="10"/>
        <color theme="1"/>
        <rFont val="宋体"/>
        <charset val="134"/>
      </rPr>
      <t>点战技点对攻击你的生物进行一次武器攻击。你可以将这次攻击检定的骰值与你的</t>
    </r>
    <r>
      <rPr>
        <sz val="10"/>
        <color theme="1"/>
        <rFont val="Times New Roman"/>
        <charset val="134"/>
      </rPr>
      <t>AC</t>
    </r>
    <r>
      <rPr>
        <sz val="10"/>
        <color theme="1"/>
        <rFont val="宋体"/>
        <charset val="134"/>
      </rPr>
      <t>互换（在触发该战技的攻击之前生效），直至你下回合开始。</t>
    </r>
  </si>
  <si>
    <t>狩猎狂热</t>
  </si>
  <si>
    <r>
      <rPr>
        <sz val="10"/>
        <color theme="1"/>
        <rFont val="宋体"/>
        <charset val="134"/>
      </rPr>
      <t>当你处于野兽之形期间，你获得从敌人身上汲取活力的能力。每回合一次，当你以啃咬攻击命中一个生物时，你可以令这次攻击造成额外的</t>
    </r>
    <r>
      <rPr>
        <sz val="10"/>
        <color theme="1"/>
        <rFont val="Times New Roman"/>
        <charset val="134"/>
      </rPr>
      <t>3d6</t>
    </r>
    <r>
      <rPr>
        <sz val="10"/>
        <color theme="1"/>
        <rFont val="宋体"/>
        <charset val="134"/>
      </rPr>
      <t>暗蚀伤害。你恢复等同于这次攻击所造成总伤害一半的生命值。
一旦你使用了本特性，直至以啃咬或爪击攻击造成一次重击，又或是完成一次短休或长休，你都无法再次使用。
在</t>
    </r>
    <r>
      <rPr>
        <sz val="10"/>
        <color theme="1"/>
        <rFont val="Times New Roman"/>
        <charset val="134"/>
      </rPr>
      <t>10</t>
    </r>
    <r>
      <rPr>
        <sz val="10"/>
        <color theme="1"/>
        <rFont val="宋体"/>
        <charset val="134"/>
      </rPr>
      <t>级时，该特性提供的额外暗蚀伤害增加至</t>
    </r>
    <r>
      <rPr>
        <sz val="10"/>
        <color theme="1"/>
        <rFont val="Times New Roman"/>
        <charset val="134"/>
      </rPr>
      <t>5d6</t>
    </r>
    <r>
      <rPr>
        <sz val="10"/>
        <color theme="1"/>
        <rFont val="宋体"/>
        <charset val="134"/>
      </rPr>
      <t>。</t>
    </r>
  </si>
  <si>
    <r>
      <rPr>
        <sz val="10"/>
        <color theme="1"/>
        <rFont val="宋体"/>
        <charset val="134"/>
      </rPr>
      <t>神圣之魂</t>
    </r>
  </si>
  <si>
    <t>永亡之刃</t>
  </si>
  <si>
    <r>
      <rPr>
        <sz val="10"/>
        <color theme="1"/>
        <rFont val="宋体"/>
        <charset val="134"/>
      </rPr>
      <t>以一个动作，你可以消耗</t>
    </r>
    <r>
      <rPr>
        <sz val="10"/>
        <color theme="1"/>
        <rFont val="Times New Roman"/>
        <charset val="134"/>
      </rPr>
      <t>3</t>
    </r>
    <r>
      <rPr>
        <sz val="10"/>
        <color theme="1"/>
        <rFont val="宋体"/>
        <charset val="134"/>
      </rPr>
      <t>点战技点宣言一个生物并为你的武器注入魔法。在接下来的</t>
    </r>
    <r>
      <rPr>
        <sz val="10"/>
        <color theme="1"/>
        <rFont val="Times New Roman"/>
        <charset val="134"/>
      </rPr>
      <t>8</t>
    </r>
    <r>
      <rPr>
        <sz val="10"/>
        <color theme="1"/>
        <rFont val="宋体"/>
        <charset val="134"/>
      </rPr>
      <t>小时内，该武器是魔法性的。如果它对你所宣言的生物造成伤害，它将同时降低目标的最大生命值。生命值上限的损失将会持续至目标完成一次长休为止。如果宣言生物因该武器造成的伤害死亡，只要该武器与目标保持接触，目标便不能通过魔法复活。</t>
    </r>
  </si>
  <si>
    <t>惊惧威仪</t>
  </si>
  <si>
    <r>
      <rPr>
        <sz val="10"/>
        <color theme="1"/>
        <rFont val="宋体"/>
        <charset val="134"/>
      </rPr>
      <t>你学会了如何引导某个骇人野兽的威仪，即便是未变身时。你可以使用你的动作，使你</t>
    </r>
    <r>
      <rPr>
        <sz val="10"/>
        <color theme="1"/>
        <rFont val="Times New Roman"/>
        <charset val="134"/>
      </rPr>
      <t>30</t>
    </r>
    <r>
      <rPr>
        <sz val="10"/>
        <color theme="1"/>
        <rFont val="宋体"/>
        <charset val="134"/>
      </rPr>
      <t>尺范围内你可见的敌对生物进行一次一次对抗你法术豁免</t>
    </r>
    <r>
      <rPr>
        <sz val="10"/>
        <color theme="1"/>
        <rFont val="Times New Roman"/>
        <charset val="134"/>
      </rPr>
      <t>DC</t>
    </r>
    <r>
      <rPr>
        <sz val="10"/>
        <color theme="1"/>
        <rFont val="宋体"/>
        <charset val="134"/>
      </rPr>
      <t>的感知豁免。若豁免失败，目标陷入持续</t>
    </r>
    <r>
      <rPr>
        <sz val="10"/>
        <color theme="1"/>
        <rFont val="Times New Roman"/>
        <charset val="134"/>
      </rPr>
      <t>1</t>
    </r>
    <r>
      <rPr>
        <sz val="10"/>
        <color theme="1"/>
        <rFont val="宋体"/>
        <charset val="134"/>
      </rPr>
      <t>分钟的对你的恐慌状态，直至你的下个回合结束，陷入恐慌的生物可以在其每回合结束时重复该豁免，成功则结束自己身上的效应。
一旦你使用了本特性，直至完成一次短休或长休你都无法再次使用。</t>
    </r>
  </si>
  <si>
    <r>
      <rPr>
        <sz val="10"/>
        <color theme="1"/>
        <rFont val="宋体"/>
        <charset val="134"/>
      </rPr>
      <t>幽影魔法</t>
    </r>
  </si>
  <si>
    <t>碎甲勇击</t>
  </si>
  <si>
    <r>
      <rPr>
        <sz val="10"/>
        <color theme="1"/>
        <rFont val="宋体"/>
        <charset val="134"/>
      </rPr>
      <t>当你以一次攻击命中一个生物时，如果其穿着护甲，你可以令此次攻击不造成伤害并消耗</t>
    </r>
    <r>
      <rPr>
        <sz val="10"/>
        <color theme="1"/>
        <rFont val="Times New Roman"/>
        <charset val="134"/>
      </rPr>
      <t>4</t>
    </r>
    <r>
      <rPr>
        <sz val="10"/>
        <color theme="1"/>
        <rFont val="宋体"/>
        <charset val="134"/>
      </rPr>
      <t>点战技点。若如此做，目标必须进行一次敏捷或体质豁免，如果豁免失败，目标的护甲就会受损。目标穿戴损坏护甲期间</t>
    </r>
    <r>
      <rPr>
        <sz val="10"/>
        <color theme="1"/>
        <rFont val="Times New Roman"/>
        <charset val="134"/>
      </rPr>
      <t>AC-2</t>
    </r>
    <r>
      <rPr>
        <sz val="10"/>
        <color theme="1"/>
        <rFont val="宋体"/>
        <charset val="134"/>
      </rPr>
      <t>。如果此战技被用于已损坏的护甲，该护甲将被摧毁或因其无法使用。此战技无法对天生护甲或魔法性的护甲生效。</t>
    </r>
  </si>
  <si>
    <t>脱笼困兽</t>
  </si>
  <si>
    <r>
      <rPr>
        <sz val="10"/>
        <color theme="1"/>
        <rFont val="宋体"/>
        <charset val="134"/>
      </rPr>
      <t>在你被逼至极限时，你将变得更加凶残。当一个你可见的攻击者以一次攻击命中你时，你可以使用你的反应立即变身为野兽之型，随后对你</t>
    </r>
    <r>
      <rPr>
        <sz val="10"/>
        <color theme="1"/>
        <rFont val="Times New Roman"/>
        <charset val="134"/>
      </rPr>
      <t>5</t>
    </r>
    <r>
      <rPr>
        <sz val="10"/>
        <color theme="1"/>
        <rFont val="宋体"/>
        <charset val="134"/>
      </rPr>
      <t>尺范围内的一名敌人进行一次啃咬或爪击攻击。
此外，在变身为野兽之形期间，当你受到来自你</t>
    </r>
    <r>
      <rPr>
        <sz val="10"/>
        <color theme="1"/>
        <rFont val="Times New Roman"/>
        <charset val="134"/>
      </rPr>
      <t>5</t>
    </r>
    <r>
      <rPr>
        <sz val="10"/>
        <color theme="1"/>
        <rFont val="宋体"/>
        <charset val="134"/>
      </rPr>
      <t>尺范围内某个生物的伤害时，你可以使用你的反应对该生物进行一次啃咬或爪击攻击。</t>
    </r>
  </si>
  <si>
    <r>
      <rPr>
        <sz val="10"/>
        <color theme="1"/>
        <rFont val="宋体"/>
        <charset val="134"/>
      </rPr>
      <t>风暴术法</t>
    </r>
  </si>
  <si>
    <t>破锋强击</t>
  </si>
  <si>
    <r>
      <rPr>
        <sz val="10"/>
        <color theme="1"/>
        <rFont val="宋体"/>
        <charset val="134"/>
      </rPr>
      <t>当你以一次攻击命中一个生物时，如果其持握武器，你可以令此次攻击不造成伤害并消耗</t>
    </r>
    <r>
      <rPr>
        <sz val="10"/>
        <color theme="1"/>
        <rFont val="Times New Roman"/>
        <charset val="134"/>
      </rPr>
      <t>4</t>
    </r>
    <r>
      <rPr>
        <sz val="10"/>
        <color theme="1"/>
        <rFont val="宋体"/>
        <charset val="134"/>
      </rPr>
      <t>点战技点。若如此做，目标必须进行一次力量或敏捷豁免，如果豁免失败，目标的一件武器就会受损。损坏的武器所造成的伤害减半。如果此战技被用于已损坏的武器，该武器将被摧毁或无法使用。此战技无法对天生武器或魔法性的武器生效。</t>
    </r>
  </si>
  <si>
    <t>众首法术</t>
  </si>
  <si>
    <r>
      <rPr>
        <sz val="10"/>
        <color theme="1"/>
        <rFont val="宋体"/>
        <charset val="134"/>
      </rPr>
      <t>学习魔契师法术时，你的众首宗主赐予你将以下列表加入魔契师法术列表进行选择的权力。</t>
    </r>
    <r>
      <rPr>
        <sz val="10"/>
        <color theme="1"/>
        <rFont val="Times New Roman"/>
        <charset val="134"/>
      </rPr>
      <t xml:space="preserve"> </t>
    </r>
    <r>
      <rPr>
        <sz val="10"/>
        <color theme="1"/>
        <rFont val="宋体"/>
        <charset val="134"/>
      </rPr>
      <t>法术环阶</t>
    </r>
    <r>
      <rPr>
        <sz val="10"/>
        <color theme="1"/>
        <rFont val="Times New Roman"/>
        <charset val="134"/>
      </rPr>
      <t xml:space="preserve"> </t>
    </r>
    <r>
      <rPr>
        <sz val="10"/>
        <color theme="1"/>
        <rFont val="宋体"/>
        <charset val="134"/>
      </rPr>
      <t>法术</t>
    </r>
    <r>
      <rPr>
        <sz val="10"/>
        <color theme="1"/>
        <rFont val="Times New Roman"/>
        <charset val="134"/>
      </rPr>
      <t xml:space="preserve"> 
</t>
    </r>
    <r>
      <rPr>
        <sz val="10"/>
        <color theme="1"/>
        <rFont val="宋体"/>
        <charset val="134"/>
      </rPr>
      <t>一环</t>
    </r>
    <r>
      <rPr>
        <sz val="10"/>
        <color theme="1"/>
        <rFont val="Times New Roman"/>
        <charset val="134"/>
      </rPr>
      <t xml:space="preserve"> </t>
    </r>
    <r>
      <rPr>
        <sz val="10"/>
        <color theme="1"/>
        <rFont val="宋体"/>
        <charset val="134"/>
      </rPr>
      <t>纠缠术</t>
    </r>
    <r>
      <rPr>
        <sz val="10"/>
        <color theme="1"/>
        <rFont val="Times New Roman"/>
        <charset val="134"/>
      </rPr>
      <t>Entangle</t>
    </r>
    <r>
      <rPr>
        <sz val="10"/>
        <color theme="1"/>
        <rFont val="宋体"/>
        <charset val="134"/>
      </rPr>
      <t>，魔法飞弹</t>
    </r>
    <r>
      <rPr>
        <sz val="10"/>
        <color theme="1"/>
        <rFont val="Times New Roman"/>
        <charset val="134"/>
      </rPr>
      <t xml:space="preserve">Magic Missile  
</t>
    </r>
    <r>
      <rPr>
        <sz val="10"/>
        <color theme="1"/>
        <rFont val="宋体"/>
        <charset val="134"/>
      </rPr>
      <t>二环</t>
    </r>
    <r>
      <rPr>
        <sz val="10"/>
        <color theme="1"/>
        <rFont val="Times New Roman"/>
        <charset val="134"/>
      </rPr>
      <t xml:space="preserve"> </t>
    </r>
    <r>
      <rPr>
        <sz val="10"/>
        <color theme="1"/>
        <rFont val="宋体"/>
        <charset val="134"/>
      </rPr>
      <t>灼热射线</t>
    </r>
    <r>
      <rPr>
        <sz val="10"/>
        <color theme="1"/>
        <rFont val="Times New Roman"/>
        <charset val="134"/>
      </rPr>
      <t>Scorching Ray</t>
    </r>
    <r>
      <rPr>
        <sz val="10"/>
        <color theme="1"/>
        <rFont val="宋体"/>
        <charset val="134"/>
      </rPr>
      <t>，识破隐形</t>
    </r>
    <r>
      <rPr>
        <sz val="10"/>
        <color theme="1"/>
        <rFont val="Times New Roman"/>
        <charset val="134"/>
      </rPr>
      <t xml:space="preserve">See Invisibility  
</t>
    </r>
    <r>
      <rPr>
        <sz val="10"/>
        <color theme="1"/>
        <rFont val="宋体"/>
        <charset val="134"/>
      </rPr>
      <t>三环</t>
    </r>
    <r>
      <rPr>
        <sz val="10"/>
        <color theme="1"/>
        <rFont val="Times New Roman"/>
        <charset val="134"/>
      </rPr>
      <t xml:space="preserve"> </t>
    </r>
    <r>
      <rPr>
        <sz val="10"/>
        <color theme="1"/>
        <rFont val="宋体"/>
        <charset val="134"/>
      </rPr>
      <t>闪现术</t>
    </r>
    <r>
      <rPr>
        <sz val="10"/>
        <color theme="1"/>
        <rFont val="Times New Roman"/>
        <charset val="134"/>
      </rPr>
      <t>Blink</t>
    </r>
    <r>
      <rPr>
        <sz val="10"/>
        <color theme="1"/>
        <rFont val="宋体"/>
        <charset val="134"/>
      </rPr>
      <t>，回避侦测</t>
    </r>
    <r>
      <rPr>
        <sz val="10"/>
        <color theme="1"/>
        <rFont val="Times New Roman"/>
        <charset val="134"/>
      </rPr>
      <t xml:space="preserve">Nondetection 
</t>
    </r>
    <r>
      <rPr>
        <sz val="10"/>
        <color theme="1"/>
        <rFont val="宋体"/>
        <charset val="134"/>
      </rPr>
      <t>四环</t>
    </r>
    <r>
      <rPr>
        <sz val="10"/>
        <color theme="1"/>
        <rFont val="Times New Roman"/>
        <charset val="134"/>
      </rPr>
      <t xml:space="preserve"> </t>
    </r>
    <r>
      <rPr>
        <sz val="10"/>
        <color theme="1"/>
        <rFont val="宋体"/>
        <charset val="134"/>
      </rPr>
      <t>秘法眼</t>
    </r>
    <r>
      <rPr>
        <sz val="10"/>
        <color theme="1"/>
        <rFont val="Times New Roman"/>
        <charset val="134"/>
      </rPr>
      <t>Arcane Eye</t>
    </r>
    <r>
      <rPr>
        <sz val="10"/>
        <color theme="1"/>
        <rFont val="宋体"/>
        <charset val="134"/>
      </rPr>
      <t>，艾伐黑触手</t>
    </r>
    <r>
      <rPr>
        <sz val="10"/>
        <color theme="1"/>
        <rFont val="Times New Roman"/>
        <charset val="134"/>
      </rPr>
      <t xml:space="preserve">Evard's Black Tentacles 
</t>
    </r>
    <r>
      <rPr>
        <sz val="10"/>
        <color theme="1"/>
        <rFont val="宋体"/>
        <charset val="134"/>
      </rPr>
      <t>五环</t>
    </r>
    <r>
      <rPr>
        <sz val="10"/>
        <color theme="1"/>
        <rFont val="Times New Roman"/>
        <charset val="134"/>
      </rPr>
      <t xml:space="preserve"> </t>
    </r>
    <r>
      <rPr>
        <sz val="10"/>
        <color theme="1"/>
        <rFont val="宋体"/>
        <charset val="134"/>
      </rPr>
      <t>假象术</t>
    </r>
    <r>
      <rPr>
        <sz val="10"/>
        <color theme="1"/>
        <rFont val="Times New Roman"/>
        <charset val="134"/>
      </rPr>
      <t>Mislead</t>
    </r>
    <r>
      <rPr>
        <sz val="10"/>
        <color theme="1"/>
        <rFont val="宋体"/>
        <charset val="134"/>
      </rPr>
      <t>，拉瑞心灵联结</t>
    </r>
    <r>
      <rPr>
        <sz val="10"/>
        <color theme="1"/>
        <rFont val="Times New Roman"/>
        <charset val="134"/>
      </rPr>
      <t xml:space="preserve">Rary's Telepathic Bond </t>
    </r>
  </si>
  <si>
    <r>
      <rPr>
        <sz val="10"/>
        <color theme="1"/>
        <rFont val="宋体"/>
        <charset val="134"/>
      </rPr>
      <t>饥欲之暗</t>
    </r>
  </si>
  <si>
    <t>裂盔断首</t>
  </si>
  <si>
    <r>
      <rPr>
        <sz val="10"/>
        <color theme="1"/>
        <rFont val="宋体"/>
        <charset val="134"/>
      </rPr>
      <t>当你以一次攻击命中一个生物时，你可以消耗</t>
    </r>
    <r>
      <rPr>
        <sz val="10"/>
        <color theme="1"/>
        <rFont val="Times New Roman"/>
        <charset val="134"/>
      </rPr>
      <t>4</t>
    </r>
    <r>
      <rPr>
        <sz val="10"/>
        <color theme="1"/>
        <rFont val="宋体"/>
        <charset val="134"/>
      </rPr>
      <t>点战技点。若如此做，目标必须进行一次体质豁免，如果豁免失败，目标将被震慑</t>
    </r>
    <r>
      <rPr>
        <sz val="10"/>
        <color theme="1"/>
        <rFont val="Times New Roman"/>
        <charset val="134"/>
      </rPr>
      <t>stunned</t>
    </r>
    <r>
      <rPr>
        <sz val="10"/>
        <color theme="1"/>
        <rFont val="宋体"/>
        <charset val="134"/>
      </rPr>
      <t>直至其下回合结束。若你在此次攻击中具有优势，目标为此进行的体质豁免将具有劣势。</t>
    </r>
  </si>
  <si>
    <t>魔能众首</t>
  </si>
  <si>
    <r>
      <rPr>
        <sz val="10"/>
        <color theme="1"/>
        <rFont val="宋体"/>
        <charset val="134"/>
      </rPr>
      <t>你获得数量等同于你熟练加值的魔能之首。只有你和具有真实视觉的生物能看到这些魔能之首，它们从你的肩膀上生出，象征着你的宗主。你可以选择忽视这些魔能之首，使它们从你的视野中消失。
这些魔能之首为你提供来自宗主的力量微粒，可以消耗它们来获得以下增益：
每回合一次，当你的攻击命中一个生物时，你可以消耗一个魔能之首使该生物受到额外的心灵伤害，伤害值等于</t>
    </r>
    <r>
      <rPr>
        <sz val="10"/>
        <color theme="1"/>
        <rFont val="Times New Roman"/>
        <charset val="134"/>
      </rPr>
      <t>1+</t>
    </r>
    <r>
      <rPr>
        <sz val="10"/>
        <color theme="1"/>
        <rFont val="宋体"/>
        <charset val="134"/>
      </rPr>
      <t>你的熟练加值。
当你进行魅力（威吓）检定时，你可以消耗一个魔能之首以在该检定上获得优势。当你这样做时，你的魔能之首会短暂地显现给所有人看见。
当你的死亡豁免失败时，你可以消耗一个魔能之首来将其转为成功。
当一个魔能之首被消耗后，其形态化作缥缈烟气，但其发光的眼睛依然存在。当你完成一次长休后，你会恢复所有已消耗的魔能之首。
此外，你可以使用一个附赠动作向你的宗主发出祈求以恢复两个已消耗的魔能之首。一旦你使用此能力，直到完成一次长休前你都不能再次使用它。</t>
    </r>
  </si>
  <si>
    <t>妄质之魂</t>
  </si>
  <si>
    <t>钢风铁雨</t>
  </si>
  <si>
    <r>
      <rPr>
        <sz val="10"/>
        <color theme="1"/>
        <rFont val="宋体"/>
        <charset val="134"/>
      </rPr>
      <t>以一个动作，你可以消耗</t>
    </r>
    <r>
      <rPr>
        <sz val="10"/>
        <color theme="1"/>
        <rFont val="Times New Roman"/>
        <charset val="134"/>
      </rPr>
      <t>4</t>
    </r>
    <r>
      <rPr>
        <sz val="10"/>
        <color theme="1"/>
        <rFont val="宋体"/>
        <charset val="134"/>
      </rPr>
      <t>点战技点对一个生物进行一次武器攻击。直到你的回合结束前，你的武器攻击命中时将额外造成</t>
    </r>
    <r>
      <rPr>
        <sz val="10"/>
        <color theme="1"/>
        <rFont val="Times New Roman"/>
        <charset val="134"/>
      </rPr>
      <t>2d6</t>
    </r>
    <r>
      <rPr>
        <sz val="10"/>
        <color theme="1"/>
        <rFont val="宋体"/>
        <charset val="134"/>
      </rPr>
      <t>点伤害。同时你可以进行次数等同于你熟练加值的额外攻击，但每次额外攻击都须指定不同的目标。</t>
    </r>
  </si>
  <si>
    <t>众目守护</t>
  </si>
  <si>
    <r>
      <rPr>
        <sz val="10"/>
        <color theme="1"/>
        <rFont val="宋体"/>
        <charset val="134"/>
      </rPr>
      <t>只要你还有至少一个魔能之首存在，你就不会被突袭。此外，若有生物因其盟友位于你身边</t>
    </r>
    <r>
      <rPr>
        <sz val="10"/>
        <color theme="1"/>
        <rFont val="Times New Roman"/>
        <charset val="134"/>
      </rPr>
      <t>5</t>
    </r>
    <r>
      <rPr>
        <sz val="10"/>
        <color theme="1"/>
        <rFont val="宋体"/>
        <charset val="134"/>
      </rPr>
      <t>尺内而对你的攻击掷骰具有优势，其攻击掷骰将不再具有优势。</t>
    </r>
  </si>
  <si>
    <t>符文之子</t>
  </si>
  <si>
    <t>不毁决意</t>
  </si>
  <si>
    <t>你那不可撼动的意志使你能够跨越任何困难险阻，在你的回合中，你的豁免检定具有优势。</t>
  </si>
  <si>
    <t>众首精通</t>
  </si>
  <si>
    <r>
      <rPr>
        <sz val="10"/>
        <color theme="1"/>
        <rFont val="宋体"/>
        <charset val="134"/>
      </rPr>
      <t>你掌握了更多运用魔能之首的方式。你获得以下增益：
你可以用一个附赠动作消耗一个魔能之首并将其重新吸收，获得等同于</t>
    </r>
    <r>
      <rPr>
        <sz val="10"/>
        <color theme="1"/>
        <rFont val="Times New Roman"/>
        <charset val="134"/>
      </rPr>
      <t>2d6+</t>
    </r>
    <r>
      <rPr>
        <sz val="10"/>
        <color theme="1"/>
        <rFont val="宋体"/>
        <charset val="134"/>
      </rPr>
      <t>你的魅力调整值的临时生命值。
每回合一次，即使你已经使用过反应，你也可以消耗一个魔能之首来获得一次额外的反应。你不能在正常使用反应的同一回合内使用此增益。
当你为抵抗魔法造成的魅惑、恐慌或睡眠效果所做的豁免检定失败时，你可以消耗一个魔能之首来重骰该豁免检定。如果你这样做，你必须采用新的骰值。</t>
    </r>
  </si>
  <si>
    <t>鬼之血脉</t>
  </si>
  <si>
    <t>其上攻心</t>
  </si>
  <si>
    <r>
      <rPr>
        <sz val="10"/>
        <color theme="1"/>
        <rFont val="宋体"/>
        <charset val="134"/>
      </rPr>
      <t>你那可以摧毁兵器和甲胄的能力延申到了摧毁敌人的意志上。如果你擒抱着一个生物，以一个附赠动作，你可以消耗至多</t>
    </r>
    <r>
      <rPr>
        <sz val="10"/>
        <color theme="1"/>
        <rFont val="Times New Roman"/>
        <charset val="134"/>
      </rPr>
      <t>3</t>
    </r>
    <r>
      <rPr>
        <sz val="10"/>
        <color theme="1"/>
        <rFont val="宋体"/>
        <charset val="134"/>
      </rPr>
      <t>点战技点。若如此做，每消耗</t>
    </r>
    <r>
      <rPr>
        <sz val="10"/>
        <color theme="1"/>
        <rFont val="Times New Roman"/>
        <charset val="134"/>
      </rPr>
      <t>1</t>
    </r>
    <r>
      <rPr>
        <sz val="10"/>
        <color theme="1"/>
        <rFont val="宋体"/>
        <charset val="134"/>
      </rPr>
      <t>点战技点，被擒抱者便会受到</t>
    </r>
    <r>
      <rPr>
        <sz val="10"/>
        <color theme="1"/>
        <rFont val="Times New Roman"/>
        <charset val="134"/>
      </rPr>
      <t>1d6</t>
    </r>
    <r>
      <rPr>
        <sz val="10"/>
        <color theme="1"/>
        <rFont val="宋体"/>
        <charset val="134"/>
      </rPr>
      <t>点心灵伤害。</t>
    </r>
  </si>
  <si>
    <t>众智同心</t>
  </si>
  <si>
    <r>
      <rPr>
        <sz val="10"/>
        <color theme="1"/>
        <rFont val="宋体"/>
        <charset val="134"/>
      </rPr>
      <t>从</t>
    </r>
    <r>
      <rPr>
        <sz val="10"/>
        <color theme="1"/>
        <rFont val="Times New Roman"/>
        <charset val="134"/>
      </rPr>
      <t>10</t>
    </r>
    <r>
      <rPr>
        <sz val="10"/>
        <color theme="1"/>
        <rFont val="宋体"/>
        <charset val="134"/>
      </rPr>
      <t>级起，你的魔能之首始终支持着你的凡躯与凡智。你的智力检定、感知（察觉）检定和智力豁免获得等同于你熟练加值一半的加值。</t>
    </r>
  </si>
  <si>
    <t>猩红术法</t>
  </si>
  <si>
    <t>潜能爆发</t>
  </si>
  <si>
    <t>战斗的快感会在你体内引起魔法性的共鸣。当你回气时，你回复等同于你战士等级一半的战技点。</t>
  </si>
  <si>
    <t>众首狂啸</t>
  </si>
  <si>
    <r>
      <rPr>
        <sz val="10"/>
        <color theme="1"/>
        <rFont val="宋体"/>
        <charset val="134"/>
      </rPr>
      <t>你可以用一个动作使已消耗的魔能之首在狂乱中复苏，它们在此期间对所有人可见。当你这么做时，你恢复所有已消耗的魔能之首。它们撕裂现实降临，并发出雷鸣般的咆哮，其声音可传至</t>
    </r>
    <r>
      <rPr>
        <sz val="10"/>
        <color theme="1"/>
        <rFont val="Times New Roman"/>
        <charset val="134"/>
      </rPr>
      <t>300</t>
    </r>
    <r>
      <rPr>
        <sz val="10"/>
        <color theme="1"/>
        <rFont val="宋体"/>
        <charset val="134"/>
      </rPr>
      <t>尺。你可以选择距你</t>
    </r>
    <r>
      <rPr>
        <sz val="10"/>
        <color theme="1"/>
        <rFont val="Times New Roman"/>
        <charset val="134"/>
      </rPr>
      <t>60</t>
    </r>
    <r>
      <rPr>
        <sz val="10"/>
        <color theme="1"/>
        <rFont val="宋体"/>
        <charset val="134"/>
      </rPr>
      <t>尺内最多等同于你这次恢复的魔能之首数量的生物。每个目标必须进行一次对抗你魔契师法术豁免</t>
    </r>
    <r>
      <rPr>
        <sz val="10"/>
        <color theme="1"/>
        <rFont val="Times New Roman"/>
        <charset val="134"/>
      </rPr>
      <t>DC</t>
    </r>
    <r>
      <rPr>
        <sz val="10"/>
        <color theme="1"/>
        <rFont val="宋体"/>
        <charset val="134"/>
      </rPr>
      <t>的智力豁免。豁免失败时，目标受到</t>
    </r>
    <r>
      <rPr>
        <sz val="10"/>
        <color theme="1"/>
        <rFont val="Times New Roman"/>
        <charset val="134"/>
      </rPr>
      <t>4d8</t>
    </r>
    <r>
      <rPr>
        <sz val="10"/>
        <color theme="1"/>
        <rFont val="宋体"/>
        <charset val="134"/>
      </rPr>
      <t>点心灵伤害，且由于其心智被异域能量淹没而陷入失能，直到你下一回合结束。豁免成功时，目标受到一半伤害且不会陷入失能。
使用此特性后，你必须完成一次长休才能再次使用它。</t>
    </r>
  </si>
  <si>
    <t>荒漠之魂</t>
  </si>
  <si>
    <t>血澄丹府</t>
  </si>
  <si>
    <r>
      <rPr>
        <sz val="10"/>
        <color theme="1"/>
        <rFont val="宋体"/>
        <charset val="134"/>
      </rPr>
      <t>当你负伤时，你的感官会得到增强，注意力也会更加集中。当你的生命值不足生命值上限的一半时，你每回合进行的第一次攻击检定或豁免检定具有</t>
    </r>
    <r>
      <rPr>
        <sz val="10"/>
        <color theme="1"/>
        <rFont val="Times New Roman"/>
        <charset val="134"/>
      </rPr>
      <t>d10</t>
    </r>
    <r>
      <rPr>
        <sz val="10"/>
        <color theme="1"/>
        <rFont val="宋体"/>
        <charset val="134"/>
      </rPr>
      <t>加值。另外，你使用战技消耗战技点时将少消耗</t>
    </r>
    <r>
      <rPr>
        <sz val="10"/>
        <color theme="1"/>
        <rFont val="Times New Roman"/>
        <charset val="134"/>
      </rPr>
      <t>1</t>
    </r>
    <r>
      <rPr>
        <sz val="10"/>
        <color theme="1"/>
        <rFont val="宋体"/>
        <charset val="134"/>
      </rPr>
      <t>点（至多减为</t>
    </r>
    <r>
      <rPr>
        <sz val="10"/>
        <color theme="1"/>
        <rFont val="Times New Roman"/>
        <charset val="134"/>
      </rPr>
      <t>1</t>
    </r>
    <r>
      <rPr>
        <sz val="10"/>
        <color theme="1"/>
        <rFont val="宋体"/>
        <charset val="134"/>
      </rPr>
      <t>点）。</t>
    </r>
  </si>
  <si>
    <t>悲伤之母法术</t>
  </si>
  <si>
    <r>
      <rPr>
        <sz val="10"/>
        <color theme="1"/>
        <rFont val="宋体"/>
        <charset val="134"/>
      </rPr>
      <t>当你学习魔契师法术时，“悲伤之母”会为你提供扩展法术列表供你选择，以下法术添加到你的魔契师法术列表中。</t>
    </r>
    <r>
      <rPr>
        <sz val="10"/>
        <color theme="1"/>
        <rFont val="Times New Roman"/>
        <charset val="134"/>
      </rPr>
      <t xml:space="preserve">
</t>
    </r>
    <r>
      <rPr>
        <sz val="10"/>
        <color theme="1"/>
        <rFont val="宋体"/>
        <charset val="134"/>
      </rPr>
      <t>扩展法术列表</t>
    </r>
    <r>
      <rPr>
        <sz val="10"/>
        <color theme="1"/>
        <rFont val="Times New Roman"/>
        <charset val="134"/>
      </rPr>
      <t xml:space="preserve">Expanded Spell List 
</t>
    </r>
    <r>
      <rPr>
        <sz val="10"/>
        <color theme="1"/>
        <rFont val="宋体"/>
        <charset val="134"/>
      </rPr>
      <t>环阶</t>
    </r>
    <r>
      <rPr>
        <sz val="10"/>
        <color theme="1"/>
        <rFont val="Times New Roman"/>
        <charset val="134"/>
      </rPr>
      <t xml:space="preserve"> </t>
    </r>
    <r>
      <rPr>
        <sz val="10"/>
        <color theme="1"/>
        <rFont val="宋体"/>
        <charset val="134"/>
      </rPr>
      <t>法术</t>
    </r>
    <r>
      <rPr>
        <sz val="10"/>
        <color theme="1"/>
        <rFont val="Times New Roman"/>
        <charset val="134"/>
      </rPr>
      <t xml:space="preserve"> 
</t>
    </r>
    <r>
      <rPr>
        <sz val="10"/>
        <color theme="1"/>
        <rFont val="宋体"/>
        <charset val="134"/>
      </rPr>
      <t>一环</t>
    </r>
    <r>
      <rPr>
        <sz val="10"/>
        <color theme="1"/>
        <rFont val="Times New Roman"/>
        <charset val="134"/>
      </rPr>
      <t xml:space="preserve"> </t>
    </r>
    <r>
      <rPr>
        <sz val="10"/>
        <color theme="1"/>
        <rFont val="宋体"/>
        <charset val="134"/>
      </rPr>
      <t>侦测毒性和疾病</t>
    </r>
    <r>
      <rPr>
        <sz val="10"/>
        <color theme="1"/>
        <rFont val="Times New Roman"/>
        <charset val="134"/>
      </rPr>
      <t>Detect Poison And Disease</t>
    </r>
    <r>
      <rPr>
        <sz val="10"/>
        <color theme="1"/>
        <rFont val="宋体"/>
        <charset val="134"/>
      </rPr>
      <t>，致伤术</t>
    </r>
    <r>
      <rPr>
        <sz val="10"/>
        <color theme="1"/>
        <rFont val="Times New Roman"/>
        <charset val="134"/>
      </rPr>
      <t xml:space="preserve">Inflict Wounds  
</t>
    </r>
    <r>
      <rPr>
        <sz val="10"/>
        <color theme="1"/>
        <rFont val="宋体"/>
        <charset val="134"/>
      </rPr>
      <t>二环</t>
    </r>
    <r>
      <rPr>
        <sz val="10"/>
        <color theme="1"/>
        <rFont val="Times New Roman"/>
        <charset val="134"/>
      </rPr>
      <t xml:space="preserve"> </t>
    </r>
    <r>
      <rPr>
        <sz val="10"/>
        <color theme="1"/>
        <rFont val="宋体"/>
        <charset val="134"/>
      </rPr>
      <t>衰弱射线</t>
    </r>
    <r>
      <rPr>
        <sz val="10"/>
        <color theme="1"/>
        <rFont val="Times New Roman"/>
        <charset val="134"/>
      </rPr>
      <t>Ray Of Enfeeblement</t>
    </r>
    <r>
      <rPr>
        <sz val="10"/>
        <color theme="1"/>
        <rFont val="宋体"/>
        <charset val="134"/>
      </rPr>
      <t>，沉默术</t>
    </r>
    <r>
      <rPr>
        <sz val="10"/>
        <color theme="1"/>
        <rFont val="Times New Roman"/>
        <charset val="134"/>
      </rPr>
      <t xml:space="preserve">Silence  
</t>
    </r>
    <r>
      <rPr>
        <sz val="10"/>
        <color theme="1"/>
        <rFont val="宋体"/>
        <charset val="134"/>
      </rPr>
      <t>三环</t>
    </r>
    <r>
      <rPr>
        <sz val="10"/>
        <color theme="1"/>
        <rFont val="Times New Roman"/>
        <charset val="134"/>
      </rPr>
      <t xml:space="preserve"> </t>
    </r>
    <r>
      <rPr>
        <sz val="10"/>
        <color theme="1"/>
        <rFont val="宋体"/>
        <charset val="134"/>
      </rPr>
      <t>臭云术</t>
    </r>
    <r>
      <rPr>
        <sz val="10"/>
        <color theme="1"/>
        <rFont val="Times New Roman"/>
        <charset val="134"/>
      </rPr>
      <t>Stinking Cloud</t>
    </r>
    <r>
      <rPr>
        <sz val="10"/>
        <color theme="1"/>
        <rFont val="宋体"/>
        <charset val="134"/>
      </rPr>
      <t>，吸血鬼之触</t>
    </r>
    <r>
      <rPr>
        <sz val="10"/>
        <color theme="1"/>
        <rFont val="Times New Roman"/>
        <charset val="134"/>
      </rPr>
      <t xml:space="preserve">Vampiric Touch  
</t>
    </r>
    <r>
      <rPr>
        <sz val="10"/>
        <color theme="1"/>
        <rFont val="宋体"/>
        <charset val="134"/>
      </rPr>
      <t>四环</t>
    </r>
    <r>
      <rPr>
        <sz val="10"/>
        <color theme="1"/>
        <rFont val="Times New Roman"/>
        <charset val="134"/>
      </rPr>
      <t xml:space="preserve"> </t>
    </r>
    <r>
      <rPr>
        <sz val="10"/>
        <color theme="1"/>
        <rFont val="宋体"/>
        <charset val="134"/>
      </rPr>
      <t>高等隐形术</t>
    </r>
    <r>
      <rPr>
        <sz val="10"/>
        <color theme="1"/>
        <rFont val="Times New Roman"/>
        <charset val="134"/>
      </rPr>
      <t>Greater Invisibility</t>
    </r>
    <r>
      <rPr>
        <sz val="10"/>
        <color theme="1"/>
        <rFont val="宋体"/>
        <charset val="134"/>
      </rPr>
      <t>，魅影杀手</t>
    </r>
    <r>
      <rPr>
        <sz val="10"/>
        <color theme="1"/>
        <rFont val="Times New Roman"/>
        <charset val="134"/>
      </rPr>
      <t xml:space="preserve">Phantasmal Killer  
</t>
    </r>
    <r>
      <rPr>
        <sz val="10"/>
        <color theme="1"/>
        <rFont val="宋体"/>
        <charset val="134"/>
      </rPr>
      <t>五环</t>
    </r>
    <r>
      <rPr>
        <sz val="10"/>
        <color theme="1"/>
        <rFont val="Times New Roman"/>
        <charset val="134"/>
      </rPr>
      <t xml:space="preserve"> </t>
    </r>
    <r>
      <rPr>
        <sz val="10"/>
        <color theme="1"/>
        <rFont val="宋体"/>
        <charset val="134"/>
      </rPr>
      <t>死云术</t>
    </r>
    <r>
      <rPr>
        <sz val="10"/>
        <color theme="1"/>
        <rFont val="Times New Roman"/>
        <charset val="134"/>
      </rPr>
      <t>Cloudkill</t>
    </r>
    <r>
      <rPr>
        <sz val="10"/>
        <color theme="1"/>
        <rFont val="宋体"/>
        <charset val="134"/>
      </rPr>
      <t>，疫病术</t>
    </r>
    <r>
      <rPr>
        <sz val="10"/>
        <color theme="1"/>
        <rFont val="Times New Roman"/>
        <charset val="134"/>
      </rPr>
      <t xml:space="preserve">Contagion </t>
    </r>
  </si>
  <si>
    <t>织光者</t>
  </si>
  <si>
    <t>当你选择此武术范型时，你可以选择以下技能之一，获得那个技能的熟练项：欺骗、洞悉、威吓、巧手、隐匿。或者你也可以不要以上这些技能熟练项，改为习得 盗贼黑话Thieves' Cant。</t>
  </si>
  <si>
    <t>毒之魂</t>
  </si>
  <si>
    <t>你获得超自然的毒素亲和力。你造成的毒素伤害忽视抗性和免疫。</t>
  </si>
  <si>
    <t>咒火术法</t>
  </si>
  <si>
    <t>危言耸听</t>
  </si>
  <si>
    <t>你将专业级的侮辱和大师级的讽刺融入到了你的战斗风格之中。只要你身处战斗之中，你在进行魅力属性检定时可以选择改为使用力量属性或敏捷属性来进行。</t>
  </si>
  <si>
    <t>猛毒印</t>
  </si>
  <si>
    <r>
      <rPr>
        <sz val="10"/>
        <color theme="1"/>
        <rFont val="宋体"/>
        <charset val="134"/>
      </rPr>
      <t>以一个附赠动作，选择一名位于你</t>
    </r>
    <r>
      <rPr>
        <sz val="10"/>
        <color theme="1"/>
        <rFont val="Times New Roman"/>
        <charset val="134"/>
      </rPr>
      <t>30</t>
    </r>
    <r>
      <rPr>
        <sz val="10"/>
        <color theme="1"/>
        <rFont val="宋体"/>
        <charset val="134"/>
      </rPr>
      <t>尺内你可见的生物为目标。目标被诅咒，持续</t>
    </r>
    <r>
      <rPr>
        <sz val="10"/>
        <color theme="1"/>
        <rFont val="Times New Roman"/>
        <charset val="134"/>
      </rPr>
      <t>1</t>
    </r>
    <r>
      <rPr>
        <sz val="10"/>
        <color theme="1"/>
        <rFont val="宋体"/>
        <charset val="134"/>
      </rPr>
      <t>分钟。若目标死亡、你死亡或你陷入失能状态，诅咒提前结束。诅咒结束前，每当你以法术攻击命中目标时，目标额外受到</t>
    </r>
    <r>
      <rPr>
        <sz val="10"/>
        <color theme="1"/>
        <rFont val="Times New Roman"/>
        <charset val="134"/>
      </rPr>
      <t>1d6</t>
    </r>
    <r>
      <rPr>
        <sz val="10"/>
        <color theme="1"/>
        <rFont val="宋体"/>
        <charset val="134"/>
      </rPr>
      <t>毒素伤害（即使某法术有多次法术攻击实例</t>
    </r>
    <r>
      <rPr>
        <sz val="10"/>
        <color theme="1"/>
        <rFont val="宋体"/>
        <charset val="134"/>
      </rPr>
      <t>——</t>
    </r>
    <r>
      <rPr>
        <sz val="10"/>
        <color theme="1"/>
        <rFont val="宋体"/>
        <charset val="134"/>
      </rPr>
      <t>例如魔能爆</t>
    </r>
    <r>
      <rPr>
        <sz val="10"/>
        <color theme="1"/>
        <rFont val="Times New Roman"/>
        <charset val="134"/>
      </rPr>
      <t>Eldritch Blast</t>
    </r>
    <r>
      <rPr>
        <sz val="10"/>
        <color theme="1"/>
        <rFont val="宋体"/>
        <charset val="134"/>
      </rPr>
      <t>——</t>
    </r>
    <r>
      <rPr>
        <sz val="10"/>
        <color theme="1"/>
        <rFont val="宋体"/>
        <charset val="134"/>
      </rPr>
      <t>你的每个法术也仅能造成一次该伤害。）</t>
    </r>
  </si>
  <si>
    <t>亵渎术法</t>
  </si>
  <si>
    <t>残暴斗殴</t>
  </si>
  <si>
    <t>你在酒馆之间的混战经验使你随手抓个东西来“打伤害”的能力愈发精进，令你可以用任何趁手的玩意来痛殴你的敌人。你熟练于任何临时武器，且由你手持的任何临时武器对于你而言均视为具有灵巧属性。
此外，当你用临时武器命中目标时，你可以消耗一次附赠动作来对你的敌人造成更多伤害。此举会导致武器损坏，但会本次伤害掷骰中武器的所有伤害骰均视为骰出了最大值（任何加入到本次攻击的伤害掷骰中的额外骰子均不受此能力影响）。
当你达到第10级后，在你手中挥舞着的临时武器变得更加致命。当你消耗附赠动作，摧毁临时武器对你的敌人造成额外伤害时，那把临时武器的基础伤害骰额外增加2d6。
当你达到第18级后，你用任何临时武器发动的攻击都将具有优势。
（译注：并不知晓10级特性强化给的2d6是否能被取满，他还特地给你说了加的骰无效）</t>
  </si>
  <si>
    <t>病态报偿</t>
  </si>
  <si>
    <r>
      <rPr>
        <sz val="10"/>
        <color theme="1"/>
        <rFont val="宋体"/>
        <charset val="134"/>
      </rPr>
      <t>你可以对伤害你的进行复仇。当你受到伤害时，你能够以反应毒害伤害你的生物。触发者必须进行一次对抗你魔契师法术</t>
    </r>
    <r>
      <rPr>
        <sz val="10"/>
        <color theme="1"/>
        <rFont val="Times New Roman"/>
        <charset val="134"/>
      </rPr>
      <t>DC</t>
    </r>
    <r>
      <rPr>
        <sz val="10"/>
        <color theme="1"/>
        <rFont val="宋体"/>
        <charset val="134"/>
      </rPr>
      <t>的体质豁免，否则陷入中毒，持续</t>
    </r>
    <r>
      <rPr>
        <sz val="10"/>
        <color theme="1"/>
        <rFont val="Times New Roman"/>
        <charset val="134"/>
      </rPr>
      <t>1</t>
    </r>
    <r>
      <rPr>
        <sz val="10"/>
        <color theme="1"/>
        <rFont val="宋体"/>
        <charset val="134"/>
      </rPr>
      <t>分钟。受影响生物在其每个回合结束时重复豁免，成功则终止其身上的该效应。
此特性一经使用，直至你完成短休或长休都无法再次使用。</t>
    </r>
  </si>
  <si>
    <r>
      <rPr>
        <sz val="10"/>
        <color theme="1"/>
        <rFont val="宋体"/>
        <charset val="134"/>
      </rPr>
      <t>至高妖精宗主</t>
    </r>
  </si>
  <si>
    <t>弄虚作假</t>
  </si>
  <si>
    <t>你习得了如何利用语言与假动作，或诱导或欺骗你的敌人，令他们的丧失理智。利用这种手段，你可以诱使你的敌人以某种攻击方式误伤他的队友，或者使他的攻击浪费，成为无法格挡的待宰羔羊。
以一个附赠动作，你可以虚晃你周围5尺范围内的一名敌人。迫使该目标通过一次智力豁免（豁免DC=8+你的熟练加值+你的力量或敏捷调整值）。若豁免失败，该生物必须用自己的反应对其周围5尺范围内由你选择的另一个生物发动一次攻击。或者如果其周围5尺内没有除你以外的其他生物，该生物就会浪费其反应来攻击你曾经所占据过空间的“空气”。
若你要想以此虚晃一个生物，该生物必须能够看到你、听到你、或以其他方式理解你的行为。</t>
  </si>
  <si>
    <t>黑暗疫苗</t>
  </si>
  <si>
    <t>你的毒魔法注入体内。你免疫疾病、毒素伤害和中毒状态。</t>
  </si>
  <si>
    <r>
      <rPr>
        <sz val="10"/>
        <color theme="1"/>
        <rFont val="宋体"/>
        <charset val="134"/>
      </rPr>
      <t>天界宗主</t>
    </r>
  </si>
  <si>
    <t>涤瑕蹈隙</t>
  </si>
  <si>
    <t>你开始真正掌握如何利用敌人松懈的瞬间发动攻击，趁其不备，就虚避实，用迅速且致命的攻击击溃敌人。你可以对两种攻击目标发动弱点打击：一种是在战斗中还未进行回合的生物，另一种是在同一回合中被你虚晃过的生物使用这一特技。若你发动的攻击检定具有优势，你也可以发动弱点打击，不论目标。本次攻击命中时，你可以利用目标防御的空隙击溃目标，对该生物额外造成5d6点伤害。一旦你使用了此特性，直到你完成一次短休或长休为止你都无法再次使用它。
达到第15级后，你弱点打击造成的伤害增加至7d6点。
达到第18级后，你弱点打击造成的伤害增加至9d6点。此外，若你在战斗开始时已无法使用此特性，你会重新获得一次它的使用权。</t>
  </si>
  <si>
    <t>悲伤之触</t>
  </si>
  <si>
    <r>
      <rPr>
        <sz val="10"/>
        <color theme="1"/>
        <rFont val="宋体"/>
        <charset val="134"/>
      </rPr>
      <t>当你以攻击命中生物时，你能够以此特性将你的悲伤注入目标。目标必须进行一次感知豁免，否则陷入麻痹和中毒，持续</t>
    </r>
    <r>
      <rPr>
        <sz val="10"/>
        <color theme="1"/>
        <rFont val="Times New Roman"/>
        <charset val="134"/>
      </rPr>
      <t>24</t>
    </r>
    <r>
      <rPr>
        <sz val="10"/>
        <color theme="1"/>
        <rFont val="宋体"/>
        <charset val="134"/>
      </rPr>
      <t>小时。生物将维持麻痹状态直至其受到任何伤害或不再陷入中毒，
你必须完成短休或长休才能再次使用该特性。</t>
    </r>
  </si>
  <si>
    <r>
      <rPr>
        <sz val="10"/>
        <color theme="1"/>
        <rFont val="宋体"/>
        <charset val="134"/>
      </rPr>
      <t>邪魔宗主</t>
    </r>
  </si>
  <si>
    <t>臭名远扬</t>
  </si>
  <si>
    <t>你远扬的臭名令世人皆知，任何愚蠢到与你为敌的人在面对你时都会心生畏惧。作为你攻击动作的一部分，你可以恐吓你周围30尺范围内的一个目标，对其发出致命的威胁，迫使其通过一次感知豁免（豁免DC=8+你的熟练加值+你的力量或敏捷调整值），若豁免失败将陷入对你的 恐慌Frightened ，持续1分钟。任何亲眼见过你残忍无情的手段，或曾听闻过你的恐怖事迹的生物进行此次感知豁免时具有劣势。受恐慌的生物可以在每个自己的回合结束时重复此豁免检定，直至豁免成功提前结束此恐慌状态。
若你要想以此恐吓一个生物，该生物必须能够看到你、听到你、或以其他方式理解你的行为。</t>
  </si>
  <si>
    <t>巫王法术</t>
  </si>
  <si>
    <r>
      <rPr>
        <sz val="10"/>
        <color theme="1"/>
        <rFont val="宋体"/>
        <charset val="134"/>
      </rPr>
      <t>宗主赐予的魔法使你始终准备着特定的法术。当你到达巫王法术表中特定的魔契师等级时，你就始终准备着表中对应的法术。</t>
    </r>
    <r>
      <rPr>
        <sz val="10"/>
        <color theme="1"/>
        <rFont val="Times New Roman"/>
        <charset val="134"/>
      </rPr>
      <t xml:space="preserve"> 
</t>
    </r>
    <r>
      <rPr>
        <sz val="10"/>
        <color theme="1"/>
        <rFont val="宋体"/>
        <charset val="134"/>
      </rPr>
      <t>灵能施法</t>
    </r>
    <r>
      <rPr>
        <sz val="10"/>
        <color theme="1"/>
        <rFont val="Times New Roman"/>
        <charset val="134"/>
      </rPr>
      <t>Psionic Casting</t>
    </r>
    <r>
      <rPr>
        <sz val="10"/>
        <color theme="1"/>
        <rFont val="宋体"/>
        <charset val="134"/>
      </rPr>
      <t>。</t>
    </r>
    <r>
      <rPr>
        <sz val="10"/>
        <color theme="1"/>
        <rFont val="Times New Roman"/>
        <charset val="134"/>
      </rPr>
      <t xml:space="preserve"> </t>
    </r>
    <r>
      <rPr>
        <sz val="10"/>
        <color theme="1"/>
        <rFont val="宋体"/>
        <charset val="134"/>
      </rPr>
      <t>当你施展来自巫王法术表中的法术时，你可以无需材料或言语成分，那些会被消耗或有具体价值的材料成分除外。</t>
    </r>
    <r>
      <rPr>
        <sz val="10"/>
        <color theme="1"/>
        <rFont val="Times New Roman"/>
        <charset val="134"/>
      </rPr>
      <t xml:space="preserve"> 
</t>
    </r>
    <r>
      <rPr>
        <sz val="10"/>
        <color theme="1"/>
        <rFont val="宋体"/>
        <charset val="134"/>
      </rPr>
      <t>巫王法术</t>
    </r>
    <r>
      <rPr>
        <sz val="10"/>
        <color theme="1"/>
        <rFont val="Times New Roman"/>
        <charset val="134"/>
      </rPr>
      <t xml:space="preserve">Sorcerer-King Spells 
</t>
    </r>
    <r>
      <rPr>
        <sz val="10"/>
        <color theme="1"/>
        <rFont val="宋体"/>
        <charset val="134"/>
      </rPr>
      <t>魔契师等级</t>
    </r>
    <r>
      <rPr>
        <sz val="10"/>
        <color theme="1"/>
        <rFont val="Times New Roman"/>
        <charset val="134"/>
      </rPr>
      <t xml:space="preserve"> </t>
    </r>
    <r>
      <rPr>
        <sz val="10"/>
        <color theme="1"/>
        <rFont val="宋体"/>
        <charset val="134"/>
      </rPr>
      <t>法术</t>
    </r>
    <r>
      <rPr>
        <sz val="10"/>
        <color theme="1"/>
        <rFont val="Times New Roman"/>
        <charset val="134"/>
      </rPr>
      <t xml:space="preserve"> 
3 </t>
    </r>
    <r>
      <rPr>
        <sz val="10"/>
        <color theme="1"/>
        <rFont val="宋体"/>
        <charset val="134"/>
      </rPr>
      <t>命令术</t>
    </r>
    <r>
      <rPr>
        <sz val="10"/>
        <color theme="1"/>
        <rFont val="Times New Roman"/>
        <charset val="134"/>
      </rPr>
      <t>Command</t>
    </r>
    <r>
      <rPr>
        <sz val="10"/>
        <color theme="1"/>
        <rFont val="宋体"/>
        <charset val="134"/>
      </rPr>
      <t>，强令对决</t>
    </r>
    <r>
      <rPr>
        <sz val="10"/>
        <color theme="1"/>
        <rFont val="Times New Roman"/>
        <charset val="134"/>
      </rPr>
      <t>Compelled Duel</t>
    </r>
    <r>
      <rPr>
        <sz val="10"/>
        <color theme="1"/>
        <rFont val="宋体"/>
        <charset val="134"/>
      </rPr>
      <t>，激愤斩</t>
    </r>
    <r>
      <rPr>
        <sz val="10"/>
        <color theme="1"/>
        <rFont val="Times New Roman"/>
        <charset val="134"/>
      </rPr>
      <t xml:space="preserve">Wrathful Smite
</t>
    </r>
    <r>
      <rPr>
        <sz val="10"/>
        <color theme="1"/>
        <rFont val="宋体"/>
        <charset val="134"/>
      </rPr>
      <t>定身类人</t>
    </r>
    <r>
      <rPr>
        <sz val="10"/>
        <color theme="1"/>
        <rFont val="Times New Roman"/>
        <charset val="134"/>
      </rPr>
      <t>Hold Person</t>
    </r>
    <r>
      <rPr>
        <sz val="10"/>
        <color theme="1"/>
        <rFont val="宋体"/>
        <charset val="134"/>
      </rPr>
      <t>，心灵尖刺</t>
    </r>
    <r>
      <rPr>
        <sz val="10"/>
        <color theme="1"/>
        <rFont val="Times New Roman"/>
        <charset val="134"/>
      </rPr>
      <t xml:space="preserve">Mind Spike  
5 </t>
    </r>
    <r>
      <rPr>
        <sz val="10"/>
        <color theme="1"/>
        <rFont val="宋体"/>
        <charset val="134"/>
      </rPr>
      <t>恐惧术</t>
    </r>
    <r>
      <rPr>
        <sz val="10"/>
        <color theme="1"/>
        <rFont val="Times New Roman"/>
        <charset val="134"/>
      </rPr>
      <t>Fear</t>
    </r>
    <r>
      <rPr>
        <sz val="10"/>
        <color theme="1"/>
        <rFont val="宋体"/>
        <charset val="134"/>
      </rPr>
      <t>，短讯术</t>
    </r>
    <r>
      <rPr>
        <sz val="10"/>
        <color theme="1"/>
        <rFont val="Times New Roman"/>
        <charset val="134"/>
      </rPr>
      <t xml:space="preserve">Sending  
7 </t>
    </r>
    <r>
      <rPr>
        <sz val="10"/>
        <color theme="1"/>
        <rFont val="宋体"/>
        <charset val="134"/>
      </rPr>
      <t>强迫术</t>
    </r>
    <r>
      <rPr>
        <sz val="10"/>
        <color theme="1"/>
        <rFont val="Times New Roman"/>
        <charset val="134"/>
      </rPr>
      <t>Compulsion</t>
    </r>
    <r>
      <rPr>
        <sz val="10"/>
        <color theme="1"/>
        <rFont val="宋体"/>
        <charset val="134"/>
      </rPr>
      <t>，惊惧斩</t>
    </r>
    <r>
      <rPr>
        <sz val="10"/>
        <color theme="1"/>
        <rFont val="Times New Roman"/>
        <charset val="134"/>
      </rPr>
      <t xml:space="preserve">Staggering Smite  
9 </t>
    </r>
    <r>
      <rPr>
        <sz val="10"/>
        <color theme="1"/>
        <rFont val="宋体"/>
        <charset val="134"/>
      </rPr>
      <t>支配类人</t>
    </r>
    <r>
      <rPr>
        <sz val="10"/>
        <color theme="1"/>
        <rFont val="Times New Roman"/>
        <charset val="134"/>
      </rPr>
      <t>Dominate Person</t>
    </r>
    <r>
      <rPr>
        <sz val="10"/>
        <color theme="1"/>
        <rFont val="宋体"/>
        <charset val="134"/>
      </rPr>
      <t>，突触静止</t>
    </r>
    <r>
      <rPr>
        <sz val="10"/>
        <color theme="1"/>
        <rFont val="Times New Roman"/>
        <charset val="134"/>
      </rPr>
      <t xml:space="preserve">Synaptic Static  
</t>
    </r>
  </si>
  <si>
    <r>
      <rPr>
        <sz val="10"/>
        <color theme="1"/>
        <rFont val="宋体"/>
        <charset val="134"/>
      </rPr>
      <t>旧日支配者宗主</t>
    </r>
  </si>
  <si>
    <t>一刀不够，两刀来凑</t>
  </si>
  <si>
    <t>你已习得利用敌人弱点的完美艺术。当你对本回合成功被你虚晃过的敌人、或遭受任何一种异常状态影响的敌人执行攻击动作时，你可以对该敌人额外发动一次攻击。
每轮你只能使用此特性一次。</t>
  </si>
  <si>
    <t>暴君传令官</t>
  </si>
  <si>
    <r>
      <rPr>
        <sz val="10"/>
        <color theme="1"/>
        <rFont val="宋体"/>
        <charset val="134"/>
      </rPr>
      <t>你获得以下增益：</t>
    </r>
    <r>
      <rPr>
        <sz val="10"/>
        <color theme="1"/>
        <rFont val="Times New Roman"/>
        <charset val="134"/>
      </rPr>
      <t xml:space="preserve"> 
</t>
    </r>
    <r>
      <rPr>
        <sz val="10"/>
        <color theme="1"/>
        <rFont val="宋体"/>
        <charset val="134"/>
      </rPr>
      <t>威慑气场</t>
    </r>
    <r>
      <rPr>
        <sz val="10"/>
        <color theme="1"/>
        <rFont val="Times New Roman"/>
        <charset val="134"/>
      </rPr>
      <t>Intimidating Presence</t>
    </r>
    <r>
      <rPr>
        <sz val="10"/>
        <color theme="1"/>
        <rFont val="宋体"/>
        <charset val="134"/>
      </rPr>
      <t>。</t>
    </r>
    <r>
      <rPr>
        <sz val="10"/>
        <color theme="1"/>
        <rFont val="Times New Roman"/>
        <charset val="134"/>
      </rPr>
      <t xml:space="preserve"> </t>
    </r>
    <r>
      <rPr>
        <sz val="10"/>
        <color theme="1"/>
        <rFont val="宋体"/>
        <charset val="134"/>
      </rPr>
      <t>若你不具有威吓技能熟练项，你获得威吓技能熟练项。你还会在威吓上获得专精。</t>
    </r>
    <r>
      <rPr>
        <sz val="10"/>
        <color theme="1"/>
        <rFont val="Times New Roman"/>
        <charset val="134"/>
      </rPr>
      <t xml:space="preserve"> 
</t>
    </r>
    <r>
      <rPr>
        <sz val="10"/>
        <color theme="1"/>
        <rFont val="宋体"/>
        <charset val="134"/>
      </rPr>
      <t>暴政之声</t>
    </r>
    <r>
      <rPr>
        <sz val="10"/>
        <color theme="1"/>
        <rFont val="Times New Roman"/>
        <charset val="134"/>
      </rPr>
      <t>Voice of Tyranny</t>
    </r>
    <r>
      <rPr>
        <sz val="10"/>
        <color theme="1"/>
        <rFont val="宋体"/>
        <charset val="134"/>
      </rPr>
      <t>。以一个附赠动作，你可以无需法术位施展法术命令术</t>
    </r>
    <r>
      <rPr>
        <sz val="10"/>
        <color theme="1"/>
        <rFont val="Times New Roman"/>
        <charset val="134"/>
      </rPr>
      <t xml:space="preserve">Command </t>
    </r>
    <r>
      <rPr>
        <sz val="10"/>
        <color theme="1"/>
        <rFont val="宋体"/>
        <charset val="134"/>
      </rPr>
      <t>。你可施展的次数等同于你的魅力调整值次（至少一次），在完成一次长休后，你重获所有的已消耗的次数。</t>
    </r>
    <r>
      <rPr>
        <sz val="10"/>
        <color theme="1"/>
        <rFont val="Times New Roman"/>
        <charset val="134"/>
      </rPr>
      <t xml:space="preserve"> </t>
    </r>
  </si>
  <si>
    <r>
      <rPr>
        <sz val="10"/>
        <color theme="1"/>
        <rFont val="宋体"/>
        <charset val="134"/>
      </rPr>
      <t>咒剑</t>
    </r>
  </si>
  <si>
    <t>跃空</t>
  </si>
  <si>
    <t>当你选择此范型时，你习得一种可以将你魔法性弹跃出去的强力猛冲。站立于一个坚固的表面上时，你可以用一个附赠动作来水平、垂直，或将两种移动方式组合着弹射出去，总的弹射距离不能超过15尺。举例来说，你可以选择水平弹射5尺，再垂直弹射10尺，这可能能让你避开挡路的危险或障碍。当你于此范型升级至7级时，你弹射的距离可以达到至多30尺。 
你不能在速度为0时使用此特性，并且若你完全水平弹射时，你仍然会离地至少1尺高。以此法弹射不会触发借机攻击，并且若你在使用此特性后会立即坠落，你可以从计算坠落伤害的高度中减去至多30尺。 
你可以使用此特性三次，并且你可以在短休或长休后恢复所有被消耗的使用次数。7级起，你可以在两次休息之间使用此特性4次，15级起，你可以在两次休息之间使用此特性5次。 
以这种方式发起的弹跳，也可以将你的冲击力利用于强化你的攻击。若你在使用跃空特性后立刻发动一次近战武器攻击，则你的本次攻击具有优势，并且若攻击命中，目标将额外承受1d8点与武器类型相同的伤害。10级时，额外伤害变为1d10，12级时此伤害变为1d12。这次攻击可以在你结束跃空后立即发动，也可以在跃空的过程中发动。</t>
  </si>
  <si>
    <t>决断诏令</t>
  </si>
  <si>
    <r>
      <rPr>
        <sz val="10"/>
        <color theme="1"/>
        <rFont val="宋体"/>
        <charset val="134"/>
      </rPr>
      <t>你宗主的力量在你体内涌动，使你能鼓舞你的盟友并征服你的敌人。当你使用契约法术位施展法术时，你能在源自你的</t>
    </r>
    <r>
      <rPr>
        <sz val="10"/>
        <color theme="1"/>
        <rFont val="Times New Roman"/>
        <charset val="134"/>
      </rPr>
      <t>30</t>
    </r>
    <r>
      <rPr>
        <sz val="10"/>
        <color theme="1"/>
        <rFont val="宋体"/>
        <charset val="134"/>
      </rPr>
      <t>尺光环区域内引发亵渎之力的爆发，对每个该光环区域内你可见的生物，选择以下效果之一：</t>
    </r>
    <r>
      <rPr>
        <sz val="10"/>
        <color theme="1"/>
        <rFont val="Times New Roman"/>
        <charset val="134"/>
      </rPr>
      <t xml:space="preserve"> 
</t>
    </r>
    <r>
      <rPr>
        <sz val="10"/>
        <color theme="1"/>
        <rFont val="宋体"/>
        <charset val="134"/>
      </rPr>
      <t>统帅</t>
    </r>
    <r>
      <rPr>
        <sz val="10"/>
        <color theme="1"/>
        <rFont val="Times New Roman"/>
        <charset val="134"/>
      </rPr>
      <t>Marshal</t>
    </r>
    <r>
      <rPr>
        <sz val="10"/>
        <color theme="1"/>
        <rFont val="宋体"/>
        <charset val="134"/>
      </rPr>
      <t>。</t>
    </r>
    <r>
      <rPr>
        <sz val="10"/>
        <color theme="1"/>
        <rFont val="Times New Roman"/>
        <charset val="134"/>
      </rPr>
      <t xml:space="preserve"> </t>
    </r>
    <r>
      <rPr>
        <sz val="10"/>
        <color theme="1"/>
        <rFont val="宋体"/>
        <charset val="134"/>
      </rPr>
      <t>直至其下回合结束前，目标生物在攻击检定上具有优势</t>
    </r>
    <r>
      <rPr>
        <sz val="10"/>
        <color theme="1"/>
        <rFont val="Times New Roman"/>
        <charset val="134"/>
      </rPr>
      <t xml:space="preserve"> </t>
    </r>
    <r>
      <rPr>
        <sz val="10"/>
        <color theme="1"/>
        <rFont val="宋体"/>
        <charset val="134"/>
      </rPr>
      <t>。</t>
    </r>
    <r>
      <rPr>
        <sz val="10"/>
        <color theme="1"/>
        <rFont val="Times New Roman"/>
        <charset val="134"/>
      </rPr>
      <t xml:space="preserve"> 
</t>
    </r>
    <r>
      <rPr>
        <sz val="10"/>
        <color theme="1"/>
        <rFont val="宋体"/>
        <charset val="134"/>
      </rPr>
      <t>压迫</t>
    </r>
    <r>
      <rPr>
        <sz val="10"/>
        <color theme="1"/>
        <rFont val="Times New Roman"/>
        <charset val="134"/>
      </rPr>
      <t>Oppress</t>
    </r>
    <r>
      <rPr>
        <sz val="10"/>
        <color theme="1"/>
        <rFont val="宋体"/>
        <charset val="134"/>
      </rPr>
      <t>。</t>
    </r>
    <r>
      <rPr>
        <sz val="10"/>
        <color theme="1"/>
        <rFont val="Times New Roman"/>
        <charset val="134"/>
      </rPr>
      <t xml:space="preserve"> </t>
    </r>
    <r>
      <rPr>
        <sz val="10"/>
        <color theme="1"/>
        <rFont val="宋体"/>
        <charset val="134"/>
      </rPr>
      <t>目标生物必须成功通过一次对抗你法术豁免</t>
    </r>
    <r>
      <rPr>
        <sz val="10"/>
        <color theme="1"/>
        <rFont val="Times New Roman"/>
        <charset val="134"/>
      </rPr>
      <t>DC</t>
    </r>
    <r>
      <rPr>
        <sz val="10"/>
        <color theme="1"/>
        <rFont val="宋体"/>
        <charset val="134"/>
      </rPr>
      <t>的感知豁免，否则陷入恐慌</t>
    </r>
    <r>
      <rPr>
        <sz val="10"/>
        <color theme="1"/>
        <rFont val="Times New Roman"/>
        <charset val="134"/>
      </rPr>
      <t xml:space="preserve"> </t>
    </r>
    <r>
      <rPr>
        <sz val="10"/>
        <color theme="1"/>
        <rFont val="宋体"/>
        <charset val="134"/>
      </rPr>
      <t>状态，直至其下个回合结束。</t>
    </r>
    <r>
      <rPr>
        <sz val="10"/>
        <color theme="1"/>
        <rFont val="Times New Roman"/>
        <charset val="134"/>
      </rPr>
      <t xml:space="preserve"> 
</t>
    </r>
    <r>
      <rPr>
        <sz val="10"/>
        <color theme="1"/>
        <rFont val="宋体"/>
        <charset val="134"/>
      </rPr>
      <t>此特性一经使用，直至完成短休或长休你都无法再次使用。当你使用秘法回流</t>
    </r>
    <r>
      <rPr>
        <sz val="10"/>
        <color theme="1"/>
        <rFont val="Times New Roman"/>
        <charset val="134"/>
      </rPr>
      <t xml:space="preserve"> Magical Cunning </t>
    </r>
    <r>
      <rPr>
        <sz val="10"/>
        <color theme="1"/>
        <rFont val="宋体"/>
        <charset val="134"/>
      </rPr>
      <t>时，你也会回复此特性的使用次数。</t>
    </r>
    <r>
      <rPr>
        <sz val="10"/>
        <color theme="1"/>
        <rFont val="Times New Roman"/>
        <charset val="134"/>
      </rPr>
      <t xml:space="preserve"> </t>
    </r>
  </si>
  <si>
    <t>迅猛枪兵</t>
  </si>
  <si>
    <t>你的步伐变得无比轻盈，并且可以掌握那些最难驾驭的武器。当你未骑乘坐骑时，骑枪对你来说视为具有多用词条，单手持握状态下其在命中时造成1d8点穿刺伤害，双持时则造成1d12点穿刺伤害。当你使用跃空特性并立即以骑枪发动近战攻击时，它被视为由你双手握持使用。 
如果你用骑枪命中了一个位于你5尺范围内的生物，那么你可以立即朝远离它的方向移动5尺，而不会触发目标的借机攻击。此时你必须站立，且有剩余的移动力。</t>
  </si>
  <si>
    <t>复仇叱喝</t>
  </si>
  <si>
    <r>
      <rPr>
        <sz val="10"/>
        <color theme="1"/>
        <rFont val="宋体"/>
        <charset val="134"/>
      </rPr>
      <t>你学会了回击那些挑战你或你宗主权威的存在。当敌人以一次攻击检定命中你时，你可以使用反应强迫该敌人重骰本次</t>
    </r>
    <r>
      <rPr>
        <sz val="10"/>
        <color theme="1"/>
        <rFont val="Times New Roman"/>
        <charset val="134"/>
      </rPr>
      <t>d20</t>
    </r>
    <r>
      <rPr>
        <sz val="10"/>
        <color theme="1"/>
        <rFont val="宋体"/>
        <charset val="134"/>
      </rPr>
      <t>，且该敌人必须使用新的结果。若此反应导致本次攻击检定未命中，触发该效果的生物受到等同于你魔契师等级的心灵伤害。</t>
    </r>
    <r>
      <rPr>
        <sz val="10"/>
        <color theme="1"/>
        <rFont val="Times New Roman"/>
        <charset val="134"/>
      </rPr>
      <t xml:space="preserve"> 
</t>
    </r>
    <r>
      <rPr>
        <sz val="10"/>
        <color theme="1"/>
        <rFont val="宋体"/>
        <charset val="134"/>
      </rPr>
      <t>你可以使用此特性的次数等同于你的魅力调整值次（至少一次），在完成一次长休后，你重获所有的已消耗的次数。</t>
    </r>
    <r>
      <rPr>
        <sz val="10"/>
        <color theme="1"/>
        <rFont val="Times New Roman"/>
        <charset val="134"/>
      </rPr>
      <t xml:space="preserve"> </t>
    </r>
  </si>
  <si>
    <t>唤鸟者</t>
  </si>
  <si>
    <t>你学会通过叫声来辨认普通的鸟类，并且你在与任何具有天生飞行速度的野兽互动时，所进行的感知（驯兽）检定具有优势。此外，你获得施展法术动物信使Animal Messenger的能力，但只能用仪式来施展它，且只能以具有天生飞行速度的野兽为目标。</t>
  </si>
  <si>
    <t>绝对暴政</t>
  </si>
  <si>
    <r>
      <rPr>
        <sz val="10"/>
        <color theme="1"/>
        <rFont val="宋体"/>
        <charset val="134"/>
      </rPr>
      <t>你以绝对的信念行使你宗主的暴君强权。每当你施展法术命令术</t>
    </r>
    <r>
      <rPr>
        <sz val="10"/>
        <color theme="1"/>
        <rFont val="Times New Roman"/>
        <charset val="134"/>
      </rPr>
      <t>Command</t>
    </r>
    <r>
      <rPr>
        <sz val="10"/>
        <color theme="1"/>
        <rFont val="宋体"/>
        <charset val="134"/>
      </rPr>
      <t>时，你能选择施法距离内一名额外生物作为目标。此外，被你恐慌的生物自动失败于你施展的任何命令术</t>
    </r>
    <r>
      <rPr>
        <sz val="10"/>
        <color theme="1"/>
        <rFont val="Times New Roman"/>
        <charset val="134"/>
      </rPr>
      <t>Command</t>
    </r>
    <r>
      <rPr>
        <sz val="10"/>
        <color theme="1"/>
        <rFont val="宋体"/>
        <charset val="134"/>
      </rPr>
      <t>豁免。</t>
    </r>
  </si>
  <si>
    <r>
      <rPr>
        <sz val="10"/>
        <color theme="1"/>
        <rFont val="宋体"/>
        <charset val="134"/>
      </rPr>
      <t>死灵宗主</t>
    </r>
  </si>
  <si>
    <t>钢铁芭蕾</t>
  </si>
  <si>
    <t>穿戴护甲不会再使你的敏捷（隐匿）检定具有劣势。此外，当你需要进行一次敏捷豁免时，你可以用反应使用你的跃空特性。当你这样做时，你在豁免成功后不会受到伤害，并且豁免失败时受到的伤害减半。</t>
  </si>
  <si>
    <t>契灵伙伴</t>
  </si>
  <si>
    <r>
      <rPr>
        <sz val="10"/>
        <color theme="1"/>
        <rFont val="宋体"/>
        <charset val="134"/>
      </rPr>
      <t>契灵显化成型，既是为了援助你，也是为了从契约中汲取力量。它使用契灵伙伴</t>
    </r>
    <r>
      <rPr>
        <sz val="10"/>
        <color theme="1"/>
        <rFont val="Times New Roman"/>
        <charset val="134"/>
      </rPr>
      <t xml:space="preserve">Vestige Companion </t>
    </r>
    <r>
      <rPr>
        <sz val="10"/>
        <color theme="1"/>
        <rFont val="宋体"/>
        <charset val="134"/>
      </rPr>
      <t>数据卡，其生物类型为天族、邪魔或亡灵（在你获得此特性时选择）。你可以决定契灵的外观，但无论其形态如何，契灵都会带有彰显其超自然起源的特征。例如，你可以设定你的契灵是一颗铭刻着符印的特大型浮游颅骨，一圈发光的符文，或者是一个不断变幻的抽象几何体。契灵对你和你的盟友态度友好，并服从你的命令。如果你死亡，它也会随之消失。</t>
    </r>
    <r>
      <rPr>
        <sz val="10"/>
        <color theme="1"/>
        <rFont val="Times New Roman"/>
        <charset val="134"/>
      </rPr>
      <t xml:space="preserve">
</t>
    </r>
    <r>
      <rPr>
        <sz val="10"/>
        <color theme="1"/>
        <rFont val="宋体"/>
        <charset val="134"/>
      </rPr>
      <t>战斗中的契灵</t>
    </r>
    <r>
      <rPr>
        <sz val="10"/>
        <color theme="1"/>
        <rFont val="Times New Roman"/>
        <charset val="134"/>
      </rPr>
      <t>The Vestige in Combat</t>
    </r>
    <r>
      <rPr>
        <sz val="10"/>
        <color theme="1"/>
        <rFont val="宋体"/>
        <charset val="134"/>
      </rPr>
      <t>。</t>
    </r>
    <r>
      <rPr>
        <sz val="10"/>
        <color theme="1"/>
        <rFont val="Times New Roman"/>
        <charset val="134"/>
      </rPr>
      <t xml:space="preserve"> </t>
    </r>
    <r>
      <rPr>
        <sz val="10"/>
        <color theme="1"/>
        <rFont val="宋体"/>
        <charset val="134"/>
      </rPr>
      <t>在战斗中，契灵在你的回合内行动。它可以自主移动或使用其反应，但除非你用一个附赠动作指挥它执行其数据卡中的动作或其他动作，否则它只会执行回避动作。当你执行攻击动作时，你也可以放弃其中一次攻击，转而指挥契灵执行契灵打击动作。如果你陷入失能状态，契灵将自行行动，且不再受限于仅能执行回避动作。</t>
    </r>
    <r>
      <rPr>
        <sz val="10"/>
        <color theme="1"/>
        <rFont val="Times New Roman"/>
        <charset val="134"/>
      </rPr>
      <t xml:space="preserve">
</t>
    </r>
    <r>
      <rPr>
        <sz val="10"/>
        <color theme="1"/>
        <rFont val="宋体"/>
        <charset val="134"/>
      </rPr>
      <t>契灵的消逝</t>
    </r>
    <r>
      <rPr>
        <sz val="10"/>
        <color theme="1"/>
        <rFont val="Times New Roman"/>
        <charset val="134"/>
      </rPr>
      <t>Disappearance of the Vestige</t>
    </r>
    <r>
      <rPr>
        <sz val="10"/>
        <color theme="1"/>
        <rFont val="宋体"/>
        <charset val="134"/>
      </rPr>
      <t>。</t>
    </r>
    <r>
      <rPr>
        <sz val="10"/>
        <color theme="1"/>
        <rFont val="Times New Roman"/>
        <charset val="134"/>
      </rPr>
      <t xml:space="preserve"> </t>
    </r>
    <r>
      <rPr>
        <sz val="10"/>
        <color theme="1"/>
        <rFont val="宋体"/>
        <charset val="134"/>
      </rPr>
      <t>当契灵的生命值降至</t>
    </r>
    <r>
      <rPr>
        <sz val="10"/>
        <color theme="1"/>
        <rFont val="Times New Roman"/>
        <charset val="134"/>
      </rPr>
      <t>0</t>
    </r>
    <r>
      <rPr>
        <sz val="10"/>
        <color theme="1"/>
        <rFont val="宋体"/>
        <charset val="134"/>
      </rPr>
      <t>时，它会消失。你可以花费</t>
    </r>
    <r>
      <rPr>
        <sz val="10"/>
        <color theme="1"/>
        <rFont val="Times New Roman"/>
        <charset val="134"/>
      </rPr>
      <t>1</t>
    </r>
    <r>
      <rPr>
        <sz val="10"/>
        <color theme="1"/>
        <rFont val="宋体"/>
        <charset val="134"/>
      </rPr>
      <t>分钟进行某种魔法仪式来再次显化契灵，它会以生命值全满的状态重新出现在你</t>
    </r>
    <r>
      <rPr>
        <sz val="10"/>
        <color theme="1"/>
        <rFont val="Times New Roman"/>
        <charset val="134"/>
      </rPr>
      <t>5</t>
    </r>
    <r>
      <rPr>
        <sz val="10"/>
        <color theme="1"/>
        <rFont val="宋体"/>
        <charset val="134"/>
      </rPr>
      <t>尺范围内的一处未占据空间。作为一个魔法动作，你可以将契灵暂时遣散至异次元空间。当它被暂时遣散期间，作为一个魔法动作，你可以让契灵重新出现在你</t>
    </r>
    <r>
      <rPr>
        <sz val="10"/>
        <color theme="1"/>
        <rFont val="Times New Roman"/>
        <charset val="134"/>
      </rPr>
      <t>30</t>
    </r>
    <r>
      <rPr>
        <sz val="10"/>
        <color theme="1"/>
        <rFont val="宋体"/>
        <charset val="134"/>
      </rPr>
      <t>尺范围内的一处未占据空间。</t>
    </r>
    <r>
      <rPr>
        <sz val="10"/>
        <color theme="1"/>
        <rFont val="Times New Roman"/>
        <charset val="134"/>
      </rPr>
      <t xml:space="preserve">
</t>
    </r>
    <r>
      <rPr>
        <sz val="10"/>
        <color theme="1"/>
        <rFont val="宋体"/>
        <charset val="134"/>
      </rPr>
      <t>无论契灵是因生命值降至</t>
    </r>
    <r>
      <rPr>
        <sz val="10"/>
        <color theme="1"/>
        <rFont val="Times New Roman"/>
        <charset val="134"/>
      </rPr>
      <t>0</t>
    </r>
    <r>
      <rPr>
        <sz val="10"/>
        <color theme="1"/>
        <rFont val="宋体"/>
        <charset val="134"/>
      </rPr>
      <t>，还是因消失进入异次元空间，它都会将其穿戴或携带的任何物品留在其原本占据的空间内。</t>
    </r>
    <r>
      <rPr>
        <sz val="10"/>
        <color theme="1"/>
        <rFont val="Times New Roman"/>
        <charset val="134"/>
      </rPr>
      <t xml:space="preserve">
</t>
    </r>
    <r>
      <rPr>
        <sz val="10"/>
        <color theme="1"/>
        <rFont val="宋体"/>
        <charset val="134"/>
      </rPr>
      <t>每当你完成一次长休时，你能够以新的形态召唤契灵，它出现在位于你</t>
    </r>
    <r>
      <rPr>
        <sz val="10"/>
        <color theme="1"/>
        <rFont val="Times New Roman"/>
        <charset val="134"/>
      </rPr>
      <t>5</t>
    </r>
    <r>
      <rPr>
        <sz val="10"/>
        <color theme="1"/>
        <rFont val="宋体"/>
        <charset val="134"/>
      </rPr>
      <t>尺内的一处未占据空间。你可以选择它的外观，并决定它是天族、邪魔还是亡灵。如果契灵已通过此特性显化，则其形态将转变为新的样子。</t>
    </r>
  </si>
  <si>
    <r>
      <rPr>
        <sz val="10"/>
        <color theme="1"/>
        <rFont val="宋体"/>
        <charset val="134"/>
      </rPr>
      <t>崇高猫猫庭</t>
    </r>
  </si>
  <si>
    <t>鹰眼</t>
  </si>
  <si>
    <t>你在跃空后立即发动，或在跃空中发动的攻击会在掷出19或20时造成重击。若你以此攻击命中了一个飞行中的生物，则该生物必须成功通过一次力量豁免（DC为8+你的熟练加值+你的力量调整值）。若豁免失败，直到该生物的下个回合开始前，它的移动速度归零。 
此外，若你还没有察觉技能的熟练，你获得之，并且你对依赖视觉所进行的任何感知（察觉）检定具有双倍的熟练加值。</t>
  </si>
  <si>
    <t>契灵法术</t>
  </si>
  <si>
    <r>
      <rPr>
        <sz val="10"/>
        <color theme="1"/>
        <rFont val="宋体"/>
        <charset val="134"/>
      </rPr>
      <t>你契灵伙伴的魔法确保你始终准备着特定的法术。从下列牧师领域中选择其一：生命、光明、诡术或战争。你所选领域的领域法术对你而言视为魔契师法术。当你到达的魔契师等级等于你所选领域的领域法术表中所列的牧师等级时，你就始终准备了这些列出的法术。例如，若你为此特性选择了战争领域，当你到达魔契师</t>
    </r>
    <r>
      <rPr>
        <sz val="10"/>
        <color theme="1"/>
        <rFont val="Times New Roman"/>
        <charset val="134"/>
      </rPr>
      <t>3</t>
    </r>
    <r>
      <rPr>
        <sz val="10"/>
        <color theme="1"/>
        <rFont val="宋体"/>
        <charset val="134"/>
      </rPr>
      <t>级时，你便准备了法术光导箭</t>
    </r>
    <r>
      <rPr>
        <sz val="10"/>
        <color theme="1"/>
        <rFont val="Times New Roman"/>
        <charset val="134"/>
      </rPr>
      <t>Guiding Bolt</t>
    </r>
    <r>
      <rPr>
        <sz val="10"/>
        <color theme="1"/>
        <rFont val="宋体"/>
        <charset val="134"/>
      </rPr>
      <t>，虔诚护盾</t>
    </r>
    <r>
      <rPr>
        <sz val="10"/>
        <color theme="1"/>
        <rFont val="Times New Roman"/>
        <charset val="134"/>
      </rPr>
      <t>Shield of Faith</t>
    </r>
    <r>
      <rPr>
        <sz val="10"/>
        <color theme="1"/>
        <rFont val="宋体"/>
        <charset val="134"/>
      </rPr>
      <t>，魔化武器</t>
    </r>
    <r>
      <rPr>
        <sz val="10"/>
        <color theme="1"/>
        <rFont val="Times New Roman"/>
        <charset val="134"/>
      </rPr>
      <t>Magic Weapon</t>
    </r>
    <r>
      <rPr>
        <sz val="10"/>
        <color theme="1"/>
        <rFont val="宋体"/>
        <charset val="134"/>
      </rPr>
      <t>，灵体武器</t>
    </r>
    <r>
      <rPr>
        <sz val="10"/>
        <color theme="1"/>
        <rFont val="Times New Roman"/>
        <charset val="134"/>
      </rPr>
      <t xml:space="preserve">Spiritual Weapon </t>
    </r>
    <r>
      <rPr>
        <sz val="10"/>
        <color theme="1"/>
        <rFont val="宋体"/>
        <charset val="134"/>
      </rPr>
      <t>。</t>
    </r>
    <r>
      <rPr>
        <sz val="10"/>
        <color theme="1"/>
        <rFont val="Times New Roman"/>
        <charset val="134"/>
      </rPr>
      <t xml:space="preserve">
</t>
    </r>
    <r>
      <rPr>
        <sz val="10"/>
        <color theme="1"/>
        <rFont val="宋体"/>
        <charset val="134"/>
      </rPr>
      <t>契灵伙伴</t>
    </r>
    <r>
      <rPr>
        <sz val="10"/>
        <color theme="1"/>
        <rFont val="Times New Roman"/>
        <charset val="134"/>
      </rPr>
      <t xml:space="preserve"> Vestige Companion
</t>
    </r>
    <r>
      <rPr>
        <sz val="10"/>
        <color theme="1"/>
        <rFont val="宋体"/>
        <charset val="134"/>
      </rPr>
      <t>小型天族、邪魔或亡灵；中立</t>
    </r>
    <r>
      <rPr>
        <sz val="10"/>
        <color theme="1"/>
        <rFont val="Times New Roman"/>
        <charset val="134"/>
      </rPr>
      <t xml:space="preserve">
AC 13+</t>
    </r>
    <r>
      <rPr>
        <sz val="10"/>
        <color theme="1"/>
        <rFont val="宋体"/>
        <charset val="134"/>
      </rPr>
      <t>你的魅力调整值</t>
    </r>
    <r>
      <rPr>
        <sz val="10"/>
        <color theme="1"/>
        <rFont val="Times New Roman"/>
        <charset val="134"/>
      </rPr>
      <t xml:space="preserve"> 
HP 4+</t>
    </r>
    <r>
      <rPr>
        <sz val="10"/>
        <color theme="1"/>
        <rFont val="宋体"/>
        <charset val="134"/>
      </rPr>
      <t>你魔契师等级的四倍</t>
    </r>
    <r>
      <rPr>
        <sz val="10"/>
        <color theme="1"/>
        <rFont val="Times New Roman"/>
        <charset val="134"/>
      </rPr>
      <t xml:space="preserve">
</t>
    </r>
    <r>
      <rPr>
        <sz val="10"/>
        <color theme="1"/>
        <rFont val="宋体"/>
        <charset val="134"/>
      </rPr>
      <t>（契灵具有等于你魔契师等级的生命骰</t>
    </r>
    <r>
      <rPr>
        <sz val="10"/>
        <color theme="1"/>
        <rFont val="Times New Roman"/>
        <charset val="134"/>
      </rPr>
      <t>[D6]</t>
    </r>
    <r>
      <rPr>
        <sz val="10"/>
        <color theme="1"/>
        <rFont val="宋体"/>
        <charset val="134"/>
      </rPr>
      <t>）</t>
    </r>
    <r>
      <rPr>
        <sz val="10"/>
        <color theme="1"/>
        <rFont val="Times New Roman"/>
        <charset val="134"/>
      </rPr>
      <t xml:space="preserve"> 
</t>
    </r>
    <r>
      <rPr>
        <sz val="10"/>
        <color theme="1"/>
        <rFont val="宋体"/>
        <charset val="134"/>
      </rPr>
      <t>速度</t>
    </r>
    <r>
      <rPr>
        <sz val="10"/>
        <color theme="1"/>
        <rFont val="Times New Roman"/>
        <charset val="134"/>
      </rPr>
      <t xml:space="preserve"> 5</t>
    </r>
    <r>
      <rPr>
        <sz val="10"/>
        <color theme="1"/>
        <rFont val="宋体"/>
        <charset val="134"/>
      </rPr>
      <t>尺，飞行</t>
    </r>
    <r>
      <rPr>
        <sz val="10"/>
        <color theme="1"/>
        <rFont val="Times New Roman"/>
        <charset val="134"/>
      </rPr>
      <t>30</t>
    </r>
    <r>
      <rPr>
        <sz val="10"/>
        <color theme="1"/>
        <rFont val="宋体"/>
        <charset val="134"/>
      </rPr>
      <t>尺（悬浮）</t>
    </r>
    <r>
      <rPr>
        <sz val="10"/>
        <color theme="1"/>
        <rFont val="Times New Roman"/>
        <charset val="134"/>
      </rPr>
      <t xml:space="preserve"> 
  </t>
    </r>
    <r>
      <rPr>
        <sz val="10"/>
        <color theme="1"/>
        <rFont val="宋体"/>
        <charset val="134"/>
      </rPr>
      <t>调整</t>
    </r>
    <r>
      <rPr>
        <sz val="10"/>
        <color theme="1"/>
        <rFont val="Times New Roman"/>
        <charset val="134"/>
      </rPr>
      <t xml:space="preserve"> </t>
    </r>
    <r>
      <rPr>
        <sz val="10"/>
        <color theme="1"/>
        <rFont val="宋体"/>
        <charset val="134"/>
      </rPr>
      <t>豁免</t>
    </r>
    <r>
      <rPr>
        <sz val="10"/>
        <color theme="1"/>
        <rFont val="Times New Roman"/>
        <charset val="134"/>
      </rPr>
      <t xml:space="preserve">    </t>
    </r>
    <r>
      <rPr>
        <sz val="10"/>
        <color theme="1"/>
        <rFont val="宋体"/>
        <charset val="134"/>
      </rPr>
      <t>调整</t>
    </r>
    <r>
      <rPr>
        <sz val="10"/>
        <color theme="1"/>
        <rFont val="Times New Roman"/>
        <charset val="134"/>
      </rPr>
      <t xml:space="preserve"> </t>
    </r>
    <r>
      <rPr>
        <sz val="10"/>
        <color theme="1"/>
        <rFont val="宋体"/>
        <charset val="134"/>
      </rPr>
      <t>豁免</t>
    </r>
    <r>
      <rPr>
        <sz val="10"/>
        <color theme="1"/>
        <rFont val="Times New Roman"/>
        <charset val="134"/>
      </rPr>
      <t xml:space="preserve">    </t>
    </r>
    <r>
      <rPr>
        <sz val="10"/>
        <color theme="1"/>
        <rFont val="宋体"/>
        <charset val="134"/>
      </rPr>
      <t>调整</t>
    </r>
    <r>
      <rPr>
        <sz val="10"/>
        <color theme="1"/>
        <rFont val="Times New Roman"/>
        <charset val="134"/>
      </rPr>
      <t xml:space="preserve"> </t>
    </r>
    <r>
      <rPr>
        <sz val="10"/>
        <color theme="1"/>
        <rFont val="宋体"/>
        <charset val="134"/>
      </rPr>
      <t>豁免</t>
    </r>
    <r>
      <rPr>
        <sz val="10"/>
        <color theme="1"/>
        <rFont val="Times New Roman"/>
        <charset val="134"/>
      </rPr>
      <t xml:space="preserve"> 
</t>
    </r>
    <r>
      <rPr>
        <sz val="10"/>
        <color theme="1"/>
        <rFont val="宋体"/>
        <charset val="134"/>
      </rPr>
      <t>力量</t>
    </r>
    <r>
      <rPr>
        <sz val="10"/>
        <color theme="1"/>
        <rFont val="Times New Roman"/>
        <charset val="134"/>
      </rPr>
      <t xml:space="preserve"> 1 -5 -5  </t>
    </r>
    <r>
      <rPr>
        <sz val="10"/>
        <color theme="1"/>
        <rFont val="宋体"/>
        <charset val="134"/>
      </rPr>
      <t>敏捷</t>
    </r>
    <r>
      <rPr>
        <sz val="10"/>
        <color theme="1"/>
        <rFont val="Times New Roman"/>
        <charset val="134"/>
      </rPr>
      <t xml:space="preserve"> 14 +2 +2  </t>
    </r>
    <r>
      <rPr>
        <sz val="10"/>
        <color theme="1"/>
        <rFont val="宋体"/>
        <charset val="134"/>
      </rPr>
      <t>体质</t>
    </r>
    <r>
      <rPr>
        <sz val="10"/>
        <color theme="1"/>
        <rFont val="Times New Roman"/>
        <charset val="134"/>
      </rPr>
      <t xml:space="preserve"> 10 +0 +0 
</t>
    </r>
    <r>
      <rPr>
        <sz val="10"/>
        <color theme="1"/>
        <rFont val="宋体"/>
        <charset val="134"/>
      </rPr>
      <t>智力</t>
    </r>
    <r>
      <rPr>
        <sz val="10"/>
        <color theme="1"/>
        <rFont val="Times New Roman"/>
        <charset val="134"/>
      </rPr>
      <t xml:space="preserve"> 15 +2 +2  </t>
    </r>
    <r>
      <rPr>
        <sz val="10"/>
        <color theme="1"/>
        <rFont val="宋体"/>
        <charset val="134"/>
      </rPr>
      <t>感知</t>
    </r>
    <r>
      <rPr>
        <sz val="10"/>
        <color theme="1"/>
        <rFont val="Times New Roman"/>
        <charset val="134"/>
      </rPr>
      <t xml:space="preserve"> 15 +2 +2  </t>
    </r>
    <r>
      <rPr>
        <sz val="10"/>
        <color theme="1"/>
        <rFont val="宋体"/>
        <charset val="134"/>
      </rPr>
      <t>魅力</t>
    </r>
    <r>
      <rPr>
        <sz val="10"/>
        <color theme="1"/>
        <rFont val="Times New Roman"/>
        <charset val="134"/>
      </rPr>
      <t xml:space="preserve"> 16 +3 +3 
</t>
    </r>
    <r>
      <rPr>
        <sz val="10"/>
        <color theme="1"/>
        <rFont val="宋体"/>
        <charset val="134"/>
      </rPr>
      <t>抗性</t>
    </r>
    <r>
      <rPr>
        <sz val="10"/>
        <color theme="1"/>
        <rFont val="Times New Roman"/>
        <charset val="134"/>
      </rPr>
      <t xml:space="preserve"> </t>
    </r>
    <r>
      <rPr>
        <sz val="10"/>
        <color theme="1"/>
        <rFont val="宋体"/>
        <charset val="134"/>
      </rPr>
      <t>火焰（仅邪魔），暗蚀（仅亡灵），光耀（仅天族）</t>
    </r>
    <r>
      <rPr>
        <sz val="10"/>
        <color theme="1"/>
        <rFont val="Times New Roman"/>
        <charset val="134"/>
      </rPr>
      <t xml:space="preserve"> 
</t>
    </r>
    <r>
      <rPr>
        <sz val="10"/>
        <color theme="1"/>
        <rFont val="宋体"/>
        <charset val="134"/>
      </rPr>
      <t>免疫</t>
    </r>
    <r>
      <rPr>
        <sz val="10"/>
        <color theme="1"/>
        <rFont val="Times New Roman"/>
        <charset val="134"/>
      </rPr>
      <t xml:space="preserve"> </t>
    </r>
    <r>
      <rPr>
        <sz val="10"/>
        <color theme="1"/>
        <rFont val="宋体"/>
        <charset val="134"/>
      </rPr>
      <t>魅惑，恐慌，倒地</t>
    </r>
    <r>
      <rPr>
        <sz val="10"/>
        <color theme="1"/>
        <rFont val="Times New Roman"/>
        <charset val="134"/>
      </rPr>
      <t xml:space="preserve"> 
</t>
    </r>
    <r>
      <rPr>
        <sz val="10"/>
        <color theme="1"/>
        <rFont val="宋体"/>
        <charset val="134"/>
      </rPr>
      <t>感官</t>
    </r>
    <r>
      <rPr>
        <sz val="10"/>
        <color theme="1"/>
        <rFont val="Times New Roman"/>
        <charset val="134"/>
      </rPr>
      <t xml:space="preserve"> </t>
    </r>
    <r>
      <rPr>
        <sz val="10"/>
        <color theme="1"/>
        <rFont val="宋体"/>
        <charset val="134"/>
      </rPr>
      <t>黑暗视觉</t>
    </r>
    <r>
      <rPr>
        <sz val="10"/>
        <color theme="1"/>
        <rFont val="Times New Roman"/>
        <charset val="134"/>
      </rPr>
      <t>60</t>
    </r>
    <r>
      <rPr>
        <sz val="10"/>
        <color theme="1"/>
        <rFont val="宋体"/>
        <charset val="134"/>
      </rPr>
      <t>尺；被动察觉</t>
    </r>
    <r>
      <rPr>
        <sz val="10"/>
        <color theme="1"/>
        <rFont val="Times New Roman"/>
        <charset val="134"/>
      </rPr>
      <t xml:space="preserve">11 
</t>
    </r>
    <r>
      <rPr>
        <sz val="10"/>
        <color theme="1"/>
        <rFont val="宋体"/>
        <charset val="134"/>
      </rPr>
      <t>语言</t>
    </r>
    <r>
      <rPr>
        <sz val="10"/>
        <color theme="1"/>
        <rFont val="Times New Roman"/>
        <charset val="134"/>
      </rPr>
      <t xml:space="preserve"> </t>
    </r>
    <r>
      <rPr>
        <sz val="10"/>
        <color theme="1"/>
        <rFont val="宋体"/>
        <charset val="134"/>
      </rPr>
      <t>会讲你知晓的语言</t>
    </r>
    <r>
      <rPr>
        <sz val="10"/>
        <color theme="1"/>
        <rFont val="Times New Roman"/>
        <charset val="134"/>
      </rPr>
      <t xml:space="preserve"> 
CR </t>
    </r>
    <r>
      <rPr>
        <sz val="10"/>
        <color theme="1"/>
        <rFont val="宋体"/>
        <charset val="134"/>
      </rPr>
      <t>无（</t>
    </r>
    <r>
      <rPr>
        <sz val="10"/>
        <color theme="1"/>
        <rFont val="Times New Roman"/>
        <charset val="134"/>
      </rPr>
      <t>XP0</t>
    </r>
    <r>
      <rPr>
        <sz val="10"/>
        <color theme="1"/>
        <rFont val="宋体"/>
        <charset val="134"/>
      </rPr>
      <t>；</t>
    </r>
    <r>
      <rPr>
        <sz val="10"/>
        <color theme="1"/>
        <rFont val="Times New Roman"/>
        <charset val="134"/>
      </rPr>
      <t>PB</t>
    </r>
    <r>
      <rPr>
        <sz val="10"/>
        <color theme="1"/>
        <rFont val="宋体"/>
        <charset val="134"/>
      </rPr>
      <t>等于你的</t>
    </r>
    <r>
      <rPr>
        <sz val="10"/>
        <color theme="1"/>
        <rFont val="Times New Roman"/>
        <charset val="134"/>
      </rPr>
      <t>PB</t>
    </r>
    <r>
      <rPr>
        <sz val="10"/>
        <color theme="1"/>
        <rFont val="宋体"/>
        <charset val="134"/>
      </rPr>
      <t>）</t>
    </r>
    <r>
      <rPr>
        <sz val="10"/>
        <color theme="1"/>
        <rFont val="Times New Roman"/>
        <charset val="134"/>
      </rPr>
      <t xml:space="preserve"> 
</t>
    </r>
    <r>
      <rPr>
        <sz val="10"/>
        <color theme="1"/>
        <rFont val="宋体"/>
        <charset val="134"/>
      </rPr>
      <t>特质</t>
    </r>
    <r>
      <rPr>
        <sz val="10"/>
        <color theme="1"/>
        <rFont val="Times New Roman"/>
        <charset val="134"/>
      </rPr>
      <t xml:space="preserve">Traits
</t>
    </r>
    <r>
      <rPr>
        <sz val="10"/>
        <color theme="1"/>
        <rFont val="宋体"/>
        <charset val="134"/>
      </rPr>
      <t>契约连结</t>
    </r>
    <r>
      <rPr>
        <sz val="10"/>
        <color theme="1"/>
        <rFont val="Times New Roman"/>
        <charset val="134"/>
      </rPr>
      <t xml:space="preserve"> Pact Bond</t>
    </r>
    <r>
      <rPr>
        <sz val="10"/>
        <color theme="1"/>
        <rFont val="宋体"/>
        <charset val="134"/>
      </rPr>
      <t>。将你的熟练加值加到契灵进行的任何属性检定或豁免检定中。</t>
    </r>
    <r>
      <rPr>
        <sz val="10"/>
        <color theme="1"/>
        <rFont val="Times New Roman"/>
        <charset val="134"/>
      </rPr>
      <t xml:space="preserve">
</t>
    </r>
    <r>
      <rPr>
        <sz val="10"/>
        <color theme="1"/>
        <rFont val="宋体"/>
        <charset val="134"/>
      </rPr>
      <t>动作</t>
    </r>
    <r>
      <rPr>
        <sz val="10"/>
        <color theme="1"/>
        <rFont val="Times New Roman"/>
        <charset val="134"/>
      </rPr>
      <t xml:space="preserve">Actions
</t>
    </r>
    <r>
      <rPr>
        <sz val="10"/>
        <color theme="1"/>
        <rFont val="宋体"/>
        <charset val="134"/>
      </rPr>
      <t>契灵打击</t>
    </r>
    <r>
      <rPr>
        <sz val="10"/>
        <color theme="1"/>
        <rFont val="Times New Roman"/>
        <charset val="134"/>
      </rPr>
      <t xml:space="preserve"> Vestige's strike</t>
    </r>
    <r>
      <rPr>
        <sz val="10"/>
        <color theme="1"/>
        <rFont val="宋体"/>
        <charset val="134"/>
      </rPr>
      <t>。近战或远程攻击检定：加值等于你的法术攻击调整值，触及</t>
    </r>
    <r>
      <rPr>
        <sz val="10"/>
        <color theme="1"/>
        <rFont val="Times New Roman"/>
        <charset val="134"/>
      </rPr>
      <t>5</t>
    </r>
    <r>
      <rPr>
        <sz val="10"/>
        <color theme="1"/>
        <rFont val="宋体"/>
        <charset val="134"/>
      </rPr>
      <t>尺或射程</t>
    </r>
    <r>
      <rPr>
        <sz val="10"/>
        <color theme="1"/>
        <rFont val="Times New Roman"/>
        <charset val="134"/>
      </rPr>
      <t>60</t>
    </r>
    <r>
      <rPr>
        <sz val="10"/>
        <color theme="1"/>
        <rFont val="宋体"/>
        <charset val="134"/>
      </rPr>
      <t>尺。命中：</t>
    </r>
    <r>
      <rPr>
        <sz val="10"/>
        <color theme="1"/>
        <rFont val="Times New Roman"/>
        <charset val="134"/>
      </rPr>
      <t>1d6+3+</t>
    </r>
    <r>
      <rPr>
        <sz val="10"/>
        <color theme="1"/>
        <rFont val="宋体"/>
        <charset val="134"/>
      </rPr>
      <t>你的魅力调整值的的火焰（邪魔）、暗蚀（亡灵）或光耀（天族）伤害。</t>
    </r>
    <r>
      <rPr>
        <sz val="10"/>
        <color theme="1"/>
        <rFont val="Times New Roman"/>
        <charset val="134"/>
      </rPr>
      <t xml:space="preserve">
</t>
    </r>
    <r>
      <rPr>
        <sz val="10"/>
        <color theme="1"/>
        <rFont val="宋体"/>
        <charset val="134"/>
      </rPr>
      <t>附赠动作</t>
    </r>
    <r>
      <rPr>
        <sz val="10"/>
        <color theme="1"/>
        <rFont val="Times New Roman"/>
        <charset val="134"/>
      </rPr>
      <t xml:space="preserve">Bonus Actions
</t>
    </r>
    <r>
      <rPr>
        <sz val="10"/>
        <color theme="1"/>
        <rFont val="宋体"/>
        <charset val="134"/>
      </rPr>
      <t>神圣之力</t>
    </r>
    <r>
      <rPr>
        <sz val="10"/>
        <color theme="1"/>
        <rFont val="Times New Roman"/>
        <charset val="134"/>
      </rPr>
      <t xml:space="preserve"> Divine Power</t>
    </r>
    <r>
      <rPr>
        <sz val="10"/>
        <color theme="1"/>
        <rFont val="宋体"/>
        <charset val="134"/>
      </rPr>
      <t>（</t>
    </r>
    <r>
      <rPr>
        <sz val="10"/>
        <color theme="1"/>
        <rFont val="Times New Roman"/>
        <charset val="134"/>
      </rPr>
      <t>1/</t>
    </r>
    <r>
      <rPr>
        <sz val="10"/>
        <color theme="1"/>
        <rFont val="宋体"/>
        <charset val="134"/>
      </rPr>
      <t>日）。契灵根据其形态，显化其神力残余，产生下列效应之一：</t>
    </r>
    <r>
      <rPr>
        <sz val="10"/>
        <color theme="1"/>
        <rFont val="Times New Roman"/>
        <charset val="134"/>
      </rPr>
      <t xml:space="preserve"> 
</t>
    </r>
    <r>
      <rPr>
        <sz val="10"/>
        <color theme="1"/>
        <rFont val="宋体"/>
        <charset val="134"/>
      </rPr>
      <t>诅咒祈唤</t>
    </r>
    <r>
      <rPr>
        <sz val="10"/>
        <color theme="1"/>
        <rFont val="Times New Roman"/>
        <charset val="134"/>
      </rPr>
      <t xml:space="preserve"> Cursed Invocation</t>
    </r>
    <r>
      <rPr>
        <sz val="10"/>
        <color theme="1"/>
        <rFont val="宋体"/>
        <charset val="134"/>
      </rPr>
      <t>（仅亡灵）。契灵对位于其</t>
    </r>
    <r>
      <rPr>
        <sz val="10"/>
        <color theme="1"/>
        <rFont val="Times New Roman"/>
        <charset val="134"/>
      </rPr>
      <t>30</t>
    </r>
    <r>
      <rPr>
        <sz val="10"/>
        <color theme="1"/>
        <rFont val="宋体"/>
        <charset val="134"/>
      </rPr>
      <t>尺范围内一个你可见的生物施加诅咒，持续</t>
    </r>
    <r>
      <rPr>
        <sz val="10"/>
        <color theme="1"/>
        <rFont val="Times New Roman"/>
        <charset val="134"/>
      </rPr>
      <t>1</t>
    </r>
    <r>
      <rPr>
        <sz val="10"/>
        <color theme="1"/>
        <rFont val="宋体"/>
        <charset val="134"/>
      </rPr>
      <t>分钟。被诅咒期间，该目标对你和该契灵进行的攻击检定具有劣势。</t>
    </r>
    <r>
      <rPr>
        <sz val="10"/>
        <color theme="1"/>
        <rFont val="Times New Roman"/>
        <charset val="134"/>
      </rPr>
      <t xml:space="preserve"> 
</t>
    </r>
    <r>
      <rPr>
        <sz val="10"/>
        <color theme="1"/>
        <rFont val="宋体"/>
        <charset val="134"/>
      </rPr>
      <t>邪魔易位</t>
    </r>
    <r>
      <rPr>
        <sz val="10"/>
        <color theme="1"/>
        <rFont val="Times New Roman"/>
        <charset val="134"/>
      </rPr>
      <t xml:space="preserve"> Fiendish Swap</t>
    </r>
    <r>
      <rPr>
        <sz val="10"/>
        <color theme="1"/>
        <rFont val="宋体"/>
        <charset val="134"/>
      </rPr>
      <t>（仅邪魔）。如果你和契灵彼此相距</t>
    </r>
    <r>
      <rPr>
        <sz val="10"/>
        <color theme="1"/>
        <rFont val="Times New Roman"/>
        <charset val="134"/>
      </rPr>
      <t>60</t>
    </r>
    <r>
      <rPr>
        <sz val="10"/>
        <color theme="1"/>
        <rFont val="宋体"/>
        <charset val="134"/>
      </rPr>
      <t>尺范围内，你们同时传送，交换位置。</t>
    </r>
    <r>
      <rPr>
        <sz val="10"/>
        <color theme="1"/>
        <rFont val="Times New Roman"/>
        <charset val="134"/>
      </rPr>
      <t xml:space="preserve"> 
</t>
    </r>
    <r>
      <rPr>
        <sz val="10"/>
        <color theme="1"/>
        <rFont val="宋体"/>
        <charset val="134"/>
      </rPr>
      <t>治愈之触</t>
    </r>
    <r>
      <rPr>
        <sz val="10"/>
        <color theme="1"/>
        <rFont val="Times New Roman"/>
        <charset val="134"/>
      </rPr>
      <t xml:space="preserve"> Healing Touch</t>
    </r>
    <r>
      <rPr>
        <sz val="10"/>
        <color theme="1"/>
        <rFont val="宋体"/>
        <charset val="134"/>
      </rPr>
      <t>（仅天族）。契灵触碰另一名生物。目标恢复</t>
    </r>
    <r>
      <rPr>
        <sz val="10"/>
        <color theme="1"/>
        <rFont val="Times New Roman"/>
        <charset val="134"/>
      </rPr>
      <t>2d8+</t>
    </r>
    <r>
      <rPr>
        <sz val="10"/>
        <color theme="1"/>
        <rFont val="宋体"/>
        <charset val="134"/>
      </rPr>
      <t>你魅力调整值的生命值，并终止其身上的下列一种状态：目盲、耳聋或中毒。</t>
    </r>
    <r>
      <rPr>
        <sz val="10"/>
        <color theme="1"/>
        <rFont val="Times New Roman"/>
        <charset val="134"/>
      </rPr>
      <t xml:space="preserve"> </t>
    </r>
  </si>
  <si>
    <t>域外天魔</t>
  </si>
  <si>
    <t>掠食本能</t>
  </si>
  <si>
    <t>你的先攻掷骰具有优势，并且当你掷先攻时，若你没有剩余的跃空使用次数，你获得一个使用次数。</t>
  </si>
  <si>
    <t>契灵回能</t>
  </si>
  <si>
    <t>现在的契灵伙伴每当你完成一次短休或长休，或者当你使用你的秘法回流特性时，都能恢复其神圣之力的使用次数。</t>
  </si>
  <si>
    <t>畸变血肉</t>
  </si>
  <si>
    <t>进阶跃空</t>
  </si>
  <si>
    <t>当你在跃空的过程中，或在跃空后立即发动的一次近战武器攻击命中了一个生物时，该生物必须成功通过一次力量豁免（豁免DC为8+你的熟练加值+你的力量调整值），否则将会受击倒地。 
此外，当你使用跃空特性时，你可以将你的自身能力推升至极限。当你这样做时，你可以至多弹射90尺，而不是30尺，并且你不会因再一次着陆而承受任何坠落伤害。一旦你使用过该特性，直到你完成一次短休或长休前你都无法再这样做。每当你再次这样做时，你都会积累一级力竭。你不能在具有2层或更多力竭时以此法使用该特性。</t>
  </si>
  <si>
    <t>神威灵光</t>
  </si>
  <si>
    <r>
      <rPr>
        <sz val="10"/>
        <color theme="1"/>
        <rFont val="宋体"/>
        <charset val="134"/>
      </rPr>
      <t>你的契灵伙伴的魔法力量与日俱增。作为一个魔法动作，你可以让契灵产生一个源自其的</t>
    </r>
    <r>
      <rPr>
        <sz val="10"/>
        <color theme="1"/>
        <rFont val="Times New Roman"/>
        <charset val="134"/>
      </rPr>
      <t>30</t>
    </r>
    <r>
      <rPr>
        <sz val="10"/>
        <color theme="1"/>
        <rFont val="宋体"/>
        <charset val="134"/>
      </rPr>
      <t>尺光环区域。该光环持续的小时数等于你的魅力调整值，或者持续至契灵消失或被暂时遣散。你、契灵以及处于灵光内的盟友，获得火焰、暗蚀和光耀伤害抗性，并获得魅惑和恐慌状态免疫。一旦你显化了此灵光，则直至你完成一次长休前，都无法再次使用。</t>
    </r>
    <r>
      <rPr>
        <sz val="10"/>
        <color theme="1"/>
        <rFont val="Times New Roman"/>
        <charset val="134"/>
      </rPr>
      <t xml:space="preserve">
</t>
    </r>
    <r>
      <rPr>
        <sz val="10"/>
        <color theme="1"/>
        <rFont val="宋体"/>
        <charset val="134"/>
      </rPr>
      <t>此外，当你身处灵光内且生命值降至</t>
    </r>
    <r>
      <rPr>
        <sz val="10"/>
        <color theme="1"/>
        <rFont val="Times New Roman"/>
        <charset val="134"/>
      </rPr>
      <t>0</t>
    </r>
    <r>
      <rPr>
        <sz val="10"/>
        <color theme="1"/>
        <rFont val="宋体"/>
        <charset val="134"/>
      </rPr>
      <t>时，作为替代，你的生命值变为等于你的魔契师等级</t>
    </r>
    <r>
      <rPr>
        <sz val="10"/>
        <color theme="1"/>
        <rFont val="Times New Roman"/>
        <charset val="134"/>
      </rPr>
      <t>+</t>
    </r>
    <r>
      <rPr>
        <sz val="10"/>
        <color theme="1"/>
        <rFont val="宋体"/>
        <charset val="134"/>
      </rPr>
      <t>你的魅力调整值。随后，契灵会被遣散至异次元空间，直至你完成一次长休前，都无法再次回归。</t>
    </r>
  </si>
  <si>
    <t>未来的你宗主</t>
  </si>
  <si>
    <t>骑士礼节</t>
  </si>
  <si>
    <t>身为贵族使节的你总能维持得体的举止。你获得以下好处。
理解Comprehension。你可以施展法术通晓语言Comprehend Languages（仅作为仪式）。魅力是你该法术的施法属性。
悟性Polyglot。你从《玩家手册》或本书第二章的语言表中习得一门语言。每当你完成一次长休，你可以用另一种你在过去24小时内听过、看过或读过的语言来代替从这个特性中学到的语言。
言辞Well Spoken：你选择并获得下列一项技能的熟练项：洞悉、威吓、表演、游说。</t>
  </si>
  <si>
    <t>拟态生命</t>
  </si>
  <si>
    <r>
      <rPr>
        <sz val="10"/>
        <color theme="1"/>
        <rFont val="宋体"/>
        <charset val="134"/>
      </rPr>
      <t>你契灵伙伴的力量持续增长，并在你的协助下，可以短暂地呈现出更强大的形态。根据契灵的类型，当契灵位于你</t>
    </r>
    <r>
      <rPr>
        <sz val="10"/>
        <color theme="1"/>
        <rFont val="Times New Roman"/>
        <charset val="134"/>
      </rPr>
      <t>90</t>
    </r>
    <r>
      <rPr>
        <sz val="10"/>
        <color theme="1"/>
        <rFont val="宋体"/>
        <charset val="134"/>
      </rPr>
      <t>尺范围内时，你可以无需法术位和材料成分地施展下列法术之一：天界召唤术</t>
    </r>
    <r>
      <rPr>
        <sz val="10"/>
        <color theme="1"/>
        <rFont val="Times New Roman"/>
        <charset val="134"/>
      </rPr>
      <t>Summon Celestial</t>
    </r>
    <r>
      <rPr>
        <sz val="10"/>
        <color theme="1"/>
        <rFont val="宋体"/>
        <charset val="134"/>
      </rPr>
      <t>（天族契灵）、邪魔召唤术</t>
    </r>
    <r>
      <rPr>
        <sz val="10"/>
        <color theme="1"/>
        <rFont val="Times New Roman"/>
        <charset val="134"/>
      </rPr>
      <t>Summon Fiend</t>
    </r>
    <r>
      <rPr>
        <sz val="10"/>
        <color theme="1"/>
        <rFont val="宋体"/>
        <charset val="134"/>
      </rPr>
      <t>（邪魔契灵）或亡灵召唤术</t>
    </r>
    <r>
      <rPr>
        <sz val="10"/>
        <color theme="1"/>
        <rFont val="Times New Roman"/>
        <charset val="134"/>
      </rPr>
      <t xml:space="preserve">Summon Undead </t>
    </r>
    <r>
      <rPr>
        <sz val="10"/>
        <color theme="1"/>
        <rFont val="宋体"/>
        <charset val="134"/>
      </rPr>
      <t>（亡灵契灵）。当你使用此特性施展该法术时，契灵将变身为该召唤生物。它的游戏数据被替换为该召唤生物的数据卡，法术环阶等于你魔契师等级的一半（向下取整；最高九环），且法术持续时间为</t>
    </r>
    <r>
      <rPr>
        <sz val="10"/>
        <color theme="1"/>
        <rFont val="Times New Roman"/>
        <charset val="134"/>
      </rPr>
      <t>1</t>
    </r>
    <r>
      <rPr>
        <sz val="10"/>
        <color theme="1"/>
        <rFont val="宋体"/>
        <charset val="134"/>
      </rPr>
      <t>分钟。当法术结束时，契灵恢复其之前的形态。</t>
    </r>
    <r>
      <rPr>
        <sz val="10"/>
        <color theme="1"/>
        <rFont val="Times New Roman"/>
        <charset val="134"/>
      </rPr>
      <t xml:space="preserve">
</t>
    </r>
    <r>
      <rPr>
        <sz val="10"/>
        <color theme="1"/>
        <rFont val="宋体"/>
        <charset val="134"/>
      </rPr>
      <t>一旦你以这种方式施展了该法术，则直至你完成一次长休前，都无法再次使用。</t>
    </r>
  </si>
  <si>
    <t>灯笼</t>
  </si>
  <si>
    <t>群体恢复</t>
  </si>
  <si>
    <t>当你使用你的回气特性来回复生命值时，你可以选择等同于你魅力调整值数量（最少为1）的，在以你自身为源点30尺光环区域内的盟友。每个盟友获得等同于1d4+你的战士等级的生命值回复。
每当你使用此能力后，直至你完成一次短休或长休前无法再次使用。</t>
  </si>
  <si>
    <t>愚神宗主</t>
  </si>
  <si>
    <t>团体战术</t>
  </si>
  <si>
    <t>当你使用群体恢复特性后，直到你的下个回合开始，你选择的盟友在进行D20检定时具有优势。</t>
  </si>
  <si>
    <t>角之王宗主</t>
  </si>
  <si>
    <t>集结如潮</t>
  </si>
  <si>
    <r>
      <rPr>
        <sz val="10"/>
        <color theme="1"/>
        <rFont val="宋体"/>
        <charset val="134"/>
      </rPr>
      <t>当你使用你的动作如潮特性时，你可以选择等同于你魅力调整值数量（最少为</t>
    </r>
    <r>
      <rPr>
        <sz val="10"/>
        <color theme="1"/>
        <rFont val="Times New Roman"/>
        <charset val="134"/>
      </rPr>
      <t>1</t>
    </r>
    <r>
      <rPr>
        <sz val="10"/>
        <color theme="1"/>
        <rFont val="宋体"/>
        <charset val="134"/>
      </rPr>
      <t>）的，在以你自身为源点</t>
    </r>
    <r>
      <rPr>
        <sz val="10"/>
        <color theme="1"/>
        <rFont val="Times New Roman"/>
        <charset val="134"/>
      </rPr>
      <t>30</t>
    </r>
    <r>
      <rPr>
        <sz val="10"/>
        <color theme="1"/>
        <rFont val="宋体"/>
        <charset val="134"/>
      </rPr>
      <t>尺光环范围区域内的盟友。</t>
    </r>
    <r>
      <rPr>
        <sz val="10"/>
        <color theme="1"/>
        <rFont val="Times New Roman"/>
        <charset val="134"/>
      </rPr>
      <t xml:space="preserve">
</t>
    </r>
    <r>
      <rPr>
        <sz val="10"/>
        <color theme="1"/>
        <rFont val="宋体"/>
        <charset val="134"/>
      </rPr>
      <t>每一个你选择的盟友都可以立即执行一次反应来使用下列选项之一：</t>
    </r>
    <r>
      <rPr>
        <sz val="10"/>
        <color theme="1"/>
        <rFont val="Times New Roman"/>
        <charset val="134"/>
      </rPr>
      <t xml:space="preserve">
</t>
    </r>
    <r>
      <rPr>
        <sz val="10"/>
        <color theme="1"/>
        <rFont val="宋体"/>
        <charset val="134"/>
      </rPr>
      <t>攻击</t>
    </r>
    <r>
      <rPr>
        <sz val="10"/>
        <color theme="1"/>
        <rFont val="Times New Roman"/>
        <charset val="134"/>
      </rPr>
      <t>Attack</t>
    </r>
    <r>
      <rPr>
        <sz val="10"/>
        <color theme="1"/>
        <rFont val="宋体"/>
        <charset val="134"/>
      </rPr>
      <t>：该盟友用武器或徒手打击发动一次攻击。</t>
    </r>
    <r>
      <rPr>
        <sz val="10"/>
        <color theme="1"/>
        <rFont val="Times New Roman"/>
        <charset val="134"/>
      </rPr>
      <t xml:space="preserve">
</t>
    </r>
    <r>
      <rPr>
        <sz val="10"/>
        <color theme="1"/>
        <rFont val="宋体"/>
        <charset val="134"/>
      </rPr>
      <t>移动</t>
    </r>
    <r>
      <rPr>
        <sz val="10"/>
        <color theme="1"/>
        <rFont val="Times New Roman"/>
        <charset val="134"/>
      </rPr>
      <t>Move</t>
    </r>
    <r>
      <rPr>
        <sz val="10"/>
        <color theme="1"/>
        <rFont val="宋体"/>
        <charset val="134"/>
      </rPr>
      <t>：该盟友移动等于其速度一半的距离且不触发借机攻击。</t>
    </r>
  </si>
  <si>
    <t>猎食者</t>
  </si>
  <si>
    <t>同筑坚城</t>
  </si>
  <si>
    <r>
      <rPr>
        <sz val="10"/>
        <color theme="1"/>
        <rFont val="宋体"/>
        <charset val="134"/>
      </rPr>
      <t>当一位</t>
    </r>
    <r>
      <rPr>
        <sz val="10"/>
        <color theme="1"/>
        <rFont val="Times New Roman"/>
        <charset val="134"/>
      </rPr>
      <t>60</t>
    </r>
    <r>
      <rPr>
        <sz val="10"/>
        <color theme="1"/>
        <rFont val="宋体"/>
        <charset val="134"/>
      </rPr>
      <t>尺内你可见的盟友失败于一次豁免检定的时候，你可以用一个反应并消耗掉一次你的不屈次数。该盟友可以立即重投那项豁免检定并在此检定中加上等同于你战士等级的加值；他必须使用新的掷骰结果。</t>
    </r>
  </si>
  <si>
    <t>众首</t>
  </si>
  <si>
    <t>振军将帅</t>
  </si>
  <si>
    <r>
      <rPr>
        <sz val="10"/>
        <color theme="1"/>
        <rFont val="宋体"/>
        <charset val="134"/>
      </rPr>
      <t>你获得以下好处：</t>
    </r>
    <r>
      <rPr>
        <sz val="10"/>
        <color theme="1"/>
        <rFont val="Times New Roman"/>
        <charset val="134"/>
      </rPr>
      <t xml:space="preserve">
</t>
    </r>
    <r>
      <rPr>
        <sz val="10"/>
        <color theme="1"/>
        <rFont val="宋体"/>
        <charset val="134"/>
      </rPr>
      <t>众志成城</t>
    </r>
    <r>
      <rPr>
        <sz val="10"/>
        <color theme="1"/>
        <rFont val="Times New Roman"/>
        <charset val="134"/>
      </rPr>
      <t>BolsteredRally</t>
    </r>
    <r>
      <rPr>
        <sz val="10"/>
        <color theme="1"/>
        <rFont val="宋体"/>
        <charset val="134"/>
      </rPr>
      <t>：群体恢复和集结如潮特性的效应区域都变为</t>
    </r>
    <r>
      <rPr>
        <sz val="10"/>
        <color theme="1"/>
        <rFont val="Times New Roman"/>
        <charset val="134"/>
      </rPr>
      <t>60</t>
    </r>
    <r>
      <rPr>
        <sz val="10"/>
        <color theme="1"/>
        <rFont val="宋体"/>
        <charset val="134"/>
      </rPr>
      <t>尺光环区域。</t>
    </r>
    <r>
      <rPr>
        <sz val="10"/>
        <color theme="1"/>
        <rFont val="Times New Roman"/>
        <charset val="134"/>
      </rPr>
      <t xml:space="preserve">
</t>
    </r>
    <r>
      <rPr>
        <sz val="10"/>
        <color theme="1"/>
        <rFont val="宋体"/>
        <charset val="134"/>
      </rPr>
      <t>不当之勇</t>
    </r>
    <r>
      <rPr>
        <sz val="10"/>
        <color theme="1"/>
        <rFont val="Times New Roman"/>
        <charset val="134"/>
      </rPr>
      <t>UnshakableBravery</t>
    </r>
    <r>
      <rPr>
        <sz val="10"/>
        <color theme="1"/>
        <rFont val="宋体"/>
        <charset val="134"/>
      </rPr>
      <t>：你免疫于魅惑和恐慌状态。</t>
    </r>
  </si>
  <si>
    <t>悲伤之母</t>
  </si>
  <si>
    <t>残虐凶暴</t>
  </si>
  <si>
    <r>
      <rPr>
        <sz val="10"/>
        <color theme="1"/>
        <rFont val="宋体"/>
        <charset val="134"/>
      </rPr>
      <t>在竞技场残酷环境的磨砺中，你学会了施展凶残的战技。每回合一次，当你使用近战武器进行一次攻击检定并命中一个生物时，你可以施加以下一种残暴效应。你可以使用该特性的次数等于你的魅力调整值（最少</t>
    </r>
    <r>
      <rPr>
        <sz val="10"/>
        <color theme="1"/>
        <rFont val="Times New Roman"/>
        <charset val="134"/>
      </rPr>
      <t>1</t>
    </r>
    <r>
      <rPr>
        <sz val="10"/>
        <color theme="1"/>
        <rFont val="宋体"/>
        <charset val="134"/>
      </rPr>
      <t>次）。你在完成一次长休或短休时重获所有已消耗的使用次数。</t>
    </r>
    <r>
      <rPr>
        <sz val="10"/>
        <color theme="1"/>
        <rFont val="Times New Roman"/>
        <charset val="134"/>
      </rPr>
      <t xml:space="preserve"> 
</t>
    </r>
    <r>
      <rPr>
        <sz val="10"/>
        <color theme="1"/>
        <rFont val="宋体"/>
        <charset val="134"/>
      </rPr>
      <t>放血</t>
    </r>
    <r>
      <rPr>
        <sz val="10"/>
        <color theme="1"/>
        <rFont val="Times New Roman"/>
        <charset val="134"/>
      </rPr>
      <t>Bleed</t>
    </r>
    <r>
      <rPr>
        <sz val="10"/>
        <color theme="1"/>
        <rFont val="宋体"/>
        <charset val="134"/>
      </rPr>
      <t>。你可在该武器的精通词条外额外应用削弱精通词条，且目标额外受到等于你的魅力调整值的伤害（最少为</t>
    </r>
    <r>
      <rPr>
        <sz val="10"/>
        <color theme="1"/>
        <rFont val="Times New Roman"/>
        <charset val="134"/>
      </rPr>
      <t>1</t>
    </r>
    <r>
      <rPr>
        <sz val="10"/>
        <color theme="1"/>
        <rFont val="宋体"/>
        <charset val="134"/>
      </rPr>
      <t>）。该伤害的类型与你的武器伤害类型一致。</t>
    </r>
    <r>
      <rPr>
        <sz val="10"/>
        <color theme="1"/>
        <rFont val="Times New Roman"/>
        <charset val="134"/>
      </rPr>
      <t xml:space="preserve"> 
</t>
    </r>
    <r>
      <rPr>
        <sz val="10"/>
        <color theme="1"/>
        <rFont val="宋体"/>
        <charset val="134"/>
      </rPr>
      <t>诈巧</t>
    </r>
    <r>
      <rPr>
        <sz val="10"/>
        <color theme="1"/>
        <rFont val="Times New Roman"/>
        <charset val="134"/>
      </rPr>
      <t>Bluff</t>
    </r>
    <r>
      <rPr>
        <sz val="10"/>
        <color theme="1"/>
        <rFont val="宋体"/>
        <charset val="134"/>
      </rPr>
      <t>。你可在该武器的精通词条外额外应用侵扰精通词条，且直至你的下回合结束前，你的下一次豁免检定具有优势。</t>
    </r>
    <r>
      <rPr>
        <sz val="10"/>
        <color theme="1"/>
        <rFont val="Times New Roman"/>
        <charset val="134"/>
      </rPr>
      <t xml:space="preserve"> 
</t>
    </r>
    <r>
      <rPr>
        <sz val="10"/>
        <color theme="1"/>
        <rFont val="宋体"/>
        <charset val="134"/>
      </rPr>
      <t>摔绊</t>
    </r>
    <r>
      <rPr>
        <sz val="10"/>
        <color theme="1"/>
        <rFont val="Times New Roman"/>
        <charset val="134"/>
      </rPr>
      <t>Stumble</t>
    </r>
    <r>
      <rPr>
        <sz val="10"/>
        <color theme="1"/>
        <rFont val="宋体"/>
        <charset val="134"/>
      </rPr>
      <t>。你可在该武器的精通词条外额外应用失衡精通词条，且目标在其下回合中仅可以执行一个动作或一个附赠动作。</t>
    </r>
  </si>
  <si>
    <t>巫王宗主</t>
  </si>
  <si>
    <t>武斗演出</t>
  </si>
  <si>
    <r>
      <rPr>
        <sz val="10"/>
        <color theme="1"/>
        <rFont val="宋体"/>
        <charset val="134"/>
      </rPr>
      <t>你磨炼出具备观赏性的战斗技巧，既能击溃对手又能惊艳观众。你获得以下好处。</t>
    </r>
    <r>
      <rPr>
        <sz val="10"/>
        <color theme="1"/>
        <rFont val="Times New Roman"/>
        <charset val="134"/>
      </rPr>
      <t xml:space="preserve"> 
</t>
    </r>
    <r>
      <rPr>
        <sz val="10"/>
        <color theme="1"/>
        <rFont val="宋体"/>
        <charset val="134"/>
      </rPr>
      <t>运动风采</t>
    </r>
    <r>
      <rPr>
        <sz val="10"/>
        <color theme="1"/>
        <rFont val="Times New Roman"/>
        <charset val="134"/>
      </rPr>
      <t>Athletic Flair</t>
    </r>
    <r>
      <rPr>
        <sz val="10"/>
        <color theme="1"/>
        <rFont val="宋体"/>
        <charset val="134"/>
      </rPr>
      <t>。当你进行敏捷（特技）或力量（运动）检定时，你获得等于你的魅力调整值的加值（最少</t>
    </r>
    <r>
      <rPr>
        <sz val="10"/>
        <color theme="1"/>
        <rFont val="Times New Roman"/>
        <charset val="134"/>
      </rPr>
      <t>+1</t>
    </r>
    <r>
      <rPr>
        <sz val="10"/>
        <color theme="1"/>
        <rFont val="宋体"/>
        <charset val="134"/>
      </rPr>
      <t>）。</t>
    </r>
    <r>
      <rPr>
        <sz val="10"/>
        <color theme="1"/>
        <rFont val="Times New Roman"/>
        <charset val="134"/>
      </rPr>
      <t xml:space="preserve"> 
</t>
    </r>
    <r>
      <rPr>
        <sz val="10"/>
        <color theme="1"/>
        <rFont val="宋体"/>
        <charset val="134"/>
      </rPr>
      <t>额外熟练项</t>
    </r>
    <r>
      <rPr>
        <sz val="10"/>
        <color theme="1"/>
        <rFont val="Times New Roman"/>
        <charset val="134"/>
      </rPr>
      <t>Bonus Proficiency</t>
    </r>
    <r>
      <rPr>
        <sz val="10"/>
        <color theme="1"/>
        <rFont val="宋体"/>
        <charset val="134"/>
      </rPr>
      <t>。你从特技、运动、欺瞒、威吓或表演技能中选择一项，并获得该技能的熟练。</t>
    </r>
  </si>
  <si>
    <t>契灵宗主</t>
  </si>
  <si>
    <t>华丽格挡</t>
  </si>
  <si>
    <r>
      <rPr>
        <sz val="10"/>
        <color theme="1"/>
        <rFont val="宋体"/>
        <charset val="134"/>
      </rPr>
      <t>你学会华丽地格挡敌人的攻击。当敌人以一次近战攻击检定命中你时，以一个反应，你可将你的魅力调整值（最少</t>
    </r>
    <r>
      <rPr>
        <sz val="10"/>
        <color theme="1"/>
        <rFont val="Times New Roman"/>
        <charset val="134"/>
      </rPr>
      <t>+1</t>
    </r>
    <r>
      <rPr>
        <sz val="10"/>
        <color theme="1"/>
        <rFont val="宋体"/>
        <charset val="134"/>
      </rPr>
      <t>）加到对抗那次攻击的</t>
    </r>
    <r>
      <rPr>
        <sz val="10"/>
        <color theme="1"/>
        <rFont val="Times New Roman"/>
        <charset val="134"/>
      </rPr>
      <t>AC</t>
    </r>
    <r>
      <rPr>
        <sz val="10"/>
        <color theme="1"/>
        <rFont val="宋体"/>
        <charset val="134"/>
      </rPr>
      <t>上，可能令那次攻击改为失手。</t>
    </r>
    <r>
      <rPr>
        <sz val="10"/>
        <color theme="1"/>
        <rFont val="Times New Roman"/>
        <charset val="134"/>
      </rPr>
      <t xml:space="preserve"> 
</t>
    </r>
    <r>
      <rPr>
        <sz val="10"/>
        <color theme="1"/>
        <rFont val="宋体"/>
        <charset val="134"/>
      </rPr>
      <t>华丽反击</t>
    </r>
    <r>
      <rPr>
        <sz val="10"/>
        <color theme="1"/>
        <rFont val="Times New Roman"/>
        <charset val="134"/>
      </rPr>
      <t>Flourish Counter</t>
    </r>
    <r>
      <rPr>
        <sz val="10"/>
        <color theme="1"/>
        <rFont val="宋体"/>
        <charset val="134"/>
      </rPr>
      <t>。</t>
    </r>
    <r>
      <rPr>
        <sz val="10"/>
        <color theme="1"/>
        <rFont val="Times New Roman"/>
        <charset val="134"/>
      </rPr>
      <t xml:space="preserve"> </t>
    </r>
    <r>
      <rPr>
        <sz val="10"/>
        <color theme="1"/>
        <rFont val="宋体"/>
        <charset val="134"/>
      </rPr>
      <t>若此反应使攻击失手，作为该反应的一部分，你可以发动一次强而有力的反击。你使用近战武器对触发此反应的生物进行一次攻击检定。若这次攻击命中，你可对目标施加一项残暴效应且不消耗使用次数。</t>
    </r>
    <r>
      <rPr>
        <sz val="10"/>
        <color theme="1"/>
        <rFont val="Times New Roman"/>
        <charset val="134"/>
      </rPr>
      <t xml:space="preserve"> 
</t>
    </r>
    <r>
      <rPr>
        <sz val="10"/>
        <color theme="1"/>
        <rFont val="宋体"/>
        <charset val="134"/>
      </rPr>
      <t>这次反击一旦命中，直至完成一次长休前你都无法再次进行反击。你也可以消耗一次回气次数（无需动作）重置此特性的使用权。</t>
    </r>
  </si>
  <si>
    <r>
      <rPr>
        <sz val="10"/>
        <color theme="1"/>
        <rFont val="宋体"/>
        <charset val="134"/>
      </rPr>
      <t>防护师</t>
    </r>
  </si>
  <si>
    <t>悍猛凶暴</t>
  </si>
  <si>
    <r>
      <rPr>
        <sz val="10"/>
        <color theme="1"/>
        <rFont val="宋体"/>
        <charset val="134"/>
      </rPr>
      <t>你的残暴武技已更趋精进。以下效应新增至你的残暴选项中。</t>
    </r>
    <r>
      <rPr>
        <sz val="10"/>
        <color theme="1"/>
        <rFont val="Times New Roman"/>
        <charset val="134"/>
      </rPr>
      <t xml:space="preserve"> 
</t>
    </r>
    <r>
      <rPr>
        <sz val="10"/>
        <color theme="1"/>
        <rFont val="宋体"/>
        <charset val="134"/>
      </rPr>
      <t>撕裂</t>
    </r>
    <r>
      <rPr>
        <sz val="10"/>
        <color theme="1"/>
        <rFont val="Times New Roman"/>
        <charset val="134"/>
      </rPr>
      <t>Rive</t>
    </r>
    <r>
      <rPr>
        <sz val="10"/>
        <color theme="1"/>
        <rFont val="宋体"/>
        <charset val="134"/>
      </rPr>
      <t>。你可在该武器的精通词条外额外应用横扫精通词条，且此次额外攻击的伤害可以加上你的属性调整值。</t>
    </r>
    <r>
      <rPr>
        <sz val="10"/>
        <color theme="1"/>
        <rFont val="Times New Roman"/>
        <charset val="134"/>
      </rPr>
      <t xml:space="preserve"> 
</t>
    </r>
    <r>
      <rPr>
        <sz val="10"/>
        <color theme="1"/>
        <rFont val="宋体"/>
        <charset val="134"/>
      </rPr>
      <t>突进</t>
    </r>
    <r>
      <rPr>
        <sz val="10"/>
        <color theme="1"/>
        <rFont val="Times New Roman"/>
        <charset val="134"/>
      </rPr>
      <t>Rush</t>
    </r>
    <r>
      <rPr>
        <sz val="10"/>
        <color theme="1"/>
        <rFont val="宋体"/>
        <charset val="134"/>
      </rPr>
      <t>。你可在该武器的精通词条外额外应用推离精通词条，且你可以移动至多相当于你速度的距离，而不会引发借机攻击。</t>
    </r>
    <r>
      <rPr>
        <sz val="10"/>
        <color theme="1"/>
        <rFont val="Times New Roman"/>
        <charset val="134"/>
      </rPr>
      <t xml:space="preserve"> 
</t>
    </r>
    <r>
      <rPr>
        <sz val="10"/>
        <color theme="1"/>
        <rFont val="宋体"/>
        <charset val="134"/>
      </rPr>
      <t>断筋</t>
    </r>
    <r>
      <rPr>
        <sz val="10"/>
        <color theme="1"/>
        <rFont val="Times New Roman"/>
        <charset val="134"/>
      </rPr>
      <t>Stagger</t>
    </r>
    <r>
      <rPr>
        <sz val="10"/>
        <color theme="1"/>
        <rFont val="宋体"/>
        <charset val="134"/>
      </rPr>
      <t>。你可在该武器的精通词条外额外应用缓速精通词条，且直至目标的下回合结束前，目标的下一次豁免检定具有劣势。</t>
    </r>
  </si>
  <si>
    <r>
      <rPr>
        <sz val="10"/>
        <color theme="1"/>
        <rFont val="宋体"/>
        <charset val="134"/>
      </rPr>
      <t>预言师</t>
    </r>
  </si>
  <si>
    <t>凶暴再临</t>
  </si>
  <si>
    <t>每当你使用回气恢复生命值时，你重获一次已消耗的残暴使用次数。此外，当你使用动作如潮时，你也重获一次已消耗的残暴使用次数。</t>
  </si>
  <si>
    <r>
      <rPr>
        <sz val="10"/>
        <color theme="1"/>
        <rFont val="宋体"/>
        <charset val="134"/>
      </rPr>
      <t>塑能师</t>
    </r>
  </si>
  <si>
    <t>毁形残骨</t>
  </si>
  <si>
    <r>
      <rPr>
        <sz val="10"/>
        <color theme="1"/>
        <rFont val="宋体"/>
        <charset val="134"/>
      </rPr>
      <t>当你以一次攻击检定命中处于浴血的生物时，你可尝试重创对方。目标需进行一次体质豁免（</t>
    </r>
    <r>
      <rPr>
        <sz val="10"/>
        <color theme="1"/>
        <rFont val="Times New Roman"/>
        <charset val="134"/>
      </rPr>
      <t>DC=8+</t>
    </r>
    <r>
      <rPr>
        <sz val="10"/>
        <color theme="1"/>
        <rFont val="宋体"/>
        <charset val="134"/>
      </rPr>
      <t>你的熟练加值</t>
    </r>
    <r>
      <rPr>
        <sz val="10"/>
        <color theme="1"/>
        <rFont val="Times New Roman"/>
        <charset val="134"/>
      </rPr>
      <t>+</t>
    </r>
    <r>
      <rPr>
        <sz val="10"/>
        <color theme="1"/>
        <rFont val="宋体"/>
        <charset val="134"/>
      </rPr>
      <t>你的魅力调整值）。若豁免失败，目标将承受以下效果：</t>
    </r>
    <r>
      <rPr>
        <sz val="10"/>
        <color theme="1"/>
        <rFont val="Times New Roman"/>
        <charset val="134"/>
      </rPr>
      <t xml:space="preserve"> 
</t>
    </r>
    <r>
      <rPr>
        <sz val="10"/>
        <color theme="1"/>
        <rFont val="宋体"/>
        <charset val="134"/>
      </rPr>
      <t>伤残</t>
    </r>
    <r>
      <rPr>
        <sz val="10"/>
        <color theme="1"/>
        <rFont val="Times New Roman"/>
        <charset val="134"/>
      </rPr>
      <t>Maimed</t>
    </r>
    <r>
      <rPr>
        <sz val="10"/>
        <color theme="1"/>
        <rFont val="宋体"/>
        <charset val="134"/>
      </rPr>
      <t>。当目标执行攻击动作时，其只能发动一次攻击。</t>
    </r>
    <r>
      <rPr>
        <sz val="10"/>
        <color theme="1"/>
        <rFont val="Times New Roman"/>
        <charset val="134"/>
      </rPr>
      <t xml:space="preserve"> 
</t>
    </r>
    <r>
      <rPr>
        <sz val="10"/>
        <color theme="1"/>
        <rFont val="宋体"/>
        <charset val="134"/>
      </rPr>
      <t>迟滞</t>
    </r>
    <r>
      <rPr>
        <sz val="10"/>
        <color theme="1"/>
        <rFont val="Times New Roman"/>
        <charset val="134"/>
      </rPr>
      <t>Sluggish</t>
    </r>
    <r>
      <rPr>
        <sz val="10"/>
        <color theme="1"/>
        <rFont val="宋体"/>
        <charset val="134"/>
      </rPr>
      <t>。目标的速度减半，且</t>
    </r>
    <r>
      <rPr>
        <sz val="10"/>
        <color theme="1"/>
        <rFont val="Times New Roman"/>
        <charset val="134"/>
      </rPr>
      <t>AC-2</t>
    </r>
    <r>
      <rPr>
        <sz val="10"/>
        <color theme="1"/>
        <rFont val="宋体"/>
        <charset val="134"/>
      </rPr>
      <t>。</t>
    </r>
    <r>
      <rPr>
        <sz val="10"/>
        <color theme="1"/>
        <rFont val="Times New Roman"/>
        <charset val="134"/>
      </rPr>
      <t xml:space="preserve"> 
</t>
    </r>
    <r>
      <rPr>
        <sz val="10"/>
        <color theme="1"/>
        <rFont val="宋体"/>
        <charset val="134"/>
      </rPr>
      <t>此效果持续至目标恢复生命值为止。</t>
    </r>
    <r>
      <rPr>
        <sz val="10"/>
        <color theme="1"/>
        <rFont val="Times New Roman"/>
        <charset val="134"/>
      </rPr>
      <t xml:space="preserve"> 
</t>
    </r>
    <r>
      <rPr>
        <sz val="10"/>
        <color theme="1"/>
        <rFont val="宋体"/>
        <charset val="134"/>
      </rPr>
      <t>在目标失败于此次豁免后，直至完成一次长休前你都无法再次使用此特性。</t>
    </r>
  </si>
  <si>
    <r>
      <rPr>
        <sz val="10"/>
        <color theme="1"/>
        <rFont val="宋体"/>
        <charset val="134"/>
      </rPr>
      <t>幻术师</t>
    </r>
  </si>
  <si>
    <r>
      <rPr>
        <sz val="10"/>
        <color theme="1"/>
        <rFont val="宋体"/>
        <charset val="134"/>
      </rPr>
      <t>剑咏</t>
    </r>
    <r>
      <rPr>
        <sz val="10"/>
        <color theme="1"/>
        <rFont val="宋体"/>
        <charset val="134"/>
      </rPr>
      <t>者</t>
    </r>
  </si>
  <si>
    <r>
      <rPr>
        <sz val="10"/>
        <color theme="1"/>
        <rFont val="宋体"/>
        <charset val="134"/>
      </rPr>
      <t>书士会</t>
    </r>
  </si>
  <si>
    <r>
      <rPr>
        <sz val="10"/>
        <color theme="1"/>
        <rFont val="宋体"/>
        <charset val="134"/>
      </rPr>
      <t>司书</t>
    </r>
  </si>
  <si>
    <r>
      <rPr>
        <sz val="10"/>
        <color theme="1"/>
        <rFont val="宋体"/>
        <charset val="134"/>
      </rPr>
      <t>时间魔法</t>
    </r>
  </si>
  <si>
    <r>
      <rPr>
        <sz val="10"/>
        <color theme="1"/>
        <rFont val="宋体"/>
        <charset val="134"/>
      </rPr>
      <t>重力魔法</t>
    </r>
  </si>
  <si>
    <t>叛道法师</t>
  </si>
  <si>
    <t>血魔法</t>
  </si>
  <si>
    <t>折纸魔法师</t>
  </si>
  <si>
    <t>神秘学者</t>
  </si>
  <si>
    <t>贤者</t>
  </si>
  <si>
    <t>地脉魔法</t>
  </si>
  <si>
    <t>远古魔杖学</t>
  </si>
  <si>
    <t>暗影</t>
  </si>
  <si>
    <r>
      <rPr>
        <sz val="10"/>
        <color theme="1"/>
        <rFont val="宋体"/>
        <charset val="134"/>
      </rPr>
      <t>炼金师</t>
    </r>
  </si>
  <si>
    <r>
      <rPr>
        <sz val="10"/>
        <color theme="1"/>
        <rFont val="宋体"/>
        <charset val="134"/>
      </rPr>
      <t>装甲师</t>
    </r>
  </si>
  <si>
    <r>
      <rPr>
        <sz val="10"/>
        <color theme="1"/>
        <rFont val="宋体"/>
        <charset val="134"/>
      </rPr>
      <t>魔炮师</t>
    </r>
  </si>
  <si>
    <r>
      <rPr>
        <sz val="10"/>
        <color theme="1"/>
        <rFont val="宋体"/>
        <charset val="134"/>
      </rPr>
      <t>制图师</t>
    </r>
  </si>
  <si>
    <r>
      <rPr>
        <sz val="10"/>
        <color theme="1"/>
        <rFont val="宋体"/>
        <charset val="134"/>
      </rPr>
      <t>蜕变使</t>
    </r>
  </si>
  <si>
    <r>
      <rPr>
        <sz val="10"/>
        <color theme="1"/>
        <rFont val="宋体"/>
        <charset val="134"/>
      </rPr>
      <t>念动使</t>
    </r>
  </si>
  <si>
    <r>
      <rPr>
        <sz val="10"/>
        <color theme="1"/>
        <rFont val="宋体"/>
        <charset val="134"/>
      </rPr>
      <t>传心使</t>
    </r>
  </si>
  <si>
    <r>
      <rPr>
        <sz val="10"/>
        <color theme="1"/>
        <rFont val="宋体"/>
        <charset val="134"/>
      </rPr>
      <t>弑灵圣约</t>
    </r>
  </si>
  <si>
    <r>
      <rPr>
        <sz val="10"/>
        <color theme="1"/>
        <rFont val="宋体"/>
        <charset val="134"/>
      </rPr>
      <t>化狼圣约</t>
    </r>
  </si>
  <si>
    <r>
      <rPr>
        <sz val="10"/>
        <color theme="1"/>
        <rFont val="宋体"/>
        <charset val="134"/>
      </rPr>
      <t>突变圣约</t>
    </r>
  </si>
  <si>
    <r>
      <rPr>
        <sz val="10"/>
        <color theme="1"/>
        <rFont val="宋体"/>
        <charset val="134"/>
      </rPr>
      <t>精神师</t>
    </r>
  </si>
  <si>
    <r>
      <rPr>
        <sz val="10"/>
        <color theme="1"/>
        <rFont val="宋体"/>
        <charset val="134"/>
      </rPr>
      <t>化学家</t>
    </r>
  </si>
  <si>
    <r>
      <rPr>
        <sz val="10"/>
        <color theme="1"/>
        <rFont val="宋体"/>
        <charset val="134"/>
      </rPr>
      <t>驱邪师</t>
    </r>
  </si>
  <si>
    <r>
      <rPr>
        <sz val="10"/>
        <color theme="1"/>
        <rFont val="宋体"/>
        <charset val="134"/>
      </rPr>
      <t>突变者</t>
    </r>
  </si>
  <si>
    <r>
      <rPr>
        <sz val="10"/>
        <color theme="1"/>
        <rFont val="宋体"/>
        <charset val="134"/>
      </rPr>
      <t>病原师</t>
    </r>
  </si>
  <si>
    <r>
      <rPr>
        <sz val="10"/>
        <color theme="1"/>
        <rFont val="宋体"/>
        <charset val="134"/>
      </rPr>
      <t>掘坟人</t>
    </r>
  </si>
  <si>
    <t>物品</t>
  </si>
  <si>
    <t>价格</t>
  </si>
  <si>
    <t>工具</t>
  </si>
  <si>
    <t>操作</t>
  </si>
  <si>
    <t>制造</t>
  </si>
  <si>
    <t>弹药重量</t>
  </si>
  <si>
    <t>集束重量</t>
  </si>
  <si>
    <t>集束数量</t>
  </si>
  <si>
    <t>总重量→</t>
  </si>
  <si>
    <t>伤害</t>
  </si>
  <si>
    <t>伤害类型</t>
  </si>
  <si>
    <t>词条</t>
  </si>
  <si>
    <t>装备名称</t>
  </si>
  <si>
    <t>装备特性</t>
  </si>
  <si>
    <t>命中检定</t>
  </si>
  <si>
    <t>伤害加值</t>
  </si>
  <si>
    <t>强酸</t>
  </si>
  <si>
    <t>当你执行攻击动作时，你可以将你的一次攻击替换为丢出一小瓶强酸。你可以选择位于你20尺内可见的一个生物或物件作为目标。该目标必须通过一次敏捷豁免（DC等于8+你的敏捷调整值+你的熟练加值），否则承受2d6点强酸伤害。</t>
  </si>
  <si>
    <t>25GP</t>
  </si>
  <si>
    <t>炼金工具</t>
  </si>
  <si>
    <t>辨析一种物质（DC15），或生起一场火（DC15）</t>
  </si>
  <si>
    <t>强酸、炽火胶、材料包、燃油、纸张、香水</t>
  </si>
  <si>
    <t>50GP</t>
  </si>
  <si>
    <t>箭arrows(20)</t>
  </si>
  <si>
    <t>徒手打击</t>
  </si>
  <si>
    <t>钝击</t>
  </si>
  <si>
    <t>-</t>
  </si>
  <si>
    <t>炽火胶</t>
  </si>
  <si>
    <t>当你执行攻击动作时，你可以将你的一次攻击替换为丢出一扁瓶炽火胶。你可以选择位于你20尺内可见的一个生物或物件作为目标。该目标必须通过一次敏捷豁免（DC等于8+你的敏捷调整值+你的熟练加值），否则承受1d4点火焰伤害并开始燃烧（见术语汇编）。</t>
  </si>
  <si>
    <t>酿酒工具</t>
  </si>
  <si>
    <t>检测饮品是否下毒（DC15），或辨识酒精（DC10）</t>
  </si>
  <si>
    <t>抗毒剂</t>
  </si>
  <si>
    <t>20GP</t>
  </si>
  <si>
    <t>弩矢crossbowbolts(20)</t>
  </si>
  <si>
    <t>—简易近战—</t>
  </si>
  <si>
    <t>箭矢</t>
  </si>
  <si>
    <t>20支</t>
  </si>
  <si>
    <t>1GP</t>
  </si>
  <si>
    <t>书法工具</t>
  </si>
  <si>
    <t>以华丽的字迹撰写文字防止造假（DC15）</t>
  </si>
  <si>
    <t>墨水、法术卷轴</t>
  </si>
  <si>
    <t>10GP</t>
  </si>
  <si>
    <t>子弹</t>
  </si>
  <si>
    <t>短棒</t>
  </si>
  <si>
    <t>1d4</t>
  </si>
  <si>
    <t>轻型</t>
  </si>
  <si>
    <t>缓速</t>
  </si>
  <si>
    <t>1 SP</t>
  </si>
  <si>
    <t>弩矢</t>
  </si>
  <si>
    <t>木匠工具</t>
  </si>
  <si>
    <t>封死或撬开一扇门或一个容器（DC20）</t>
  </si>
  <si>
    <t>短棒、巨棒、长棍、木桶、箱子、梯子、长杆、便携式攻城锤、火把</t>
  </si>
  <si>
    <t>8GP</t>
  </si>
  <si>
    <t>投石索弹丸slingbullets(20)</t>
  </si>
  <si>
    <t>匕首</t>
  </si>
  <si>
    <t>穿刺</t>
  </si>
  <si>
    <t>灵巧，轻型，投掷（射程 20/60）</t>
  </si>
  <si>
    <t>迅击</t>
  </si>
  <si>
    <t>2 GP</t>
  </si>
  <si>
    <t>枪械子弹</t>
  </si>
  <si>
    <t>10发</t>
  </si>
  <si>
    <t>3GP</t>
  </si>
  <si>
    <t>制图工具</t>
  </si>
  <si>
    <t>为一小片区域绘制地图（DC15）</t>
  </si>
  <si>
    <t>地图</t>
  </si>
  <si>
    <t>15GP</t>
  </si>
  <si>
    <t>吹矢blowgunneedles(50)</t>
  </si>
  <si>
    <t>巨棒</t>
  </si>
  <si>
    <t>1d8</t>
  </si>
  <si>
    <t>双手</t>
  </si>
  <si>
    <t>推离</t>
  </si>
  <si>
    <t>2 SP</t>
  </si>
  <si>
    <t>投石索子弹</t>
  </si>
  <si>
    <t>20发</t>
  </si>
  <si>
    <t>4CP</t>
  </si>
  <si>
    <t>鞋匠工具</t>
  </si>
  <si>
    <t>改造足具来为穿戴者的下一次敏捷（特技）检定提供优势（DC10）</t>
  </si>
  <si>
    <t>攀爬工具</t>
  </si>
  <si>
    <t>5GP</t>
  </si>
  <si>
    <t>手斧</t>
  </si>
  <si>
    <t>1d6</t>
  </si>
  <si>
    <t>挥砍</t>
  </si>
  <si>
    <t>轻型，投掷（射程 20/60）</t>
  </si>
  <si>
    <t>5 GP</t>
  </si>
  <si>
    <t>吹矢</t>
  </si>
  <si>
    <t>50支</t>
  </si>
  <si>
    <t>厨师工具</t>
  </si>
  <si>
    <t>改善食物风味（DC10），检查食物是否腐坏或有毒（DC15）</t>
  </si>
  <si>
    <t>口粮</t>
  </si>
  <si>
    <t>标枪</t>
  </si>
  <si>
    <t>投掷（射程 30/120）</t>
  </si>
  <si>
    <t>5 SP</t>
  </si>
  <si>
    <t>以一个附赠动作，你可以喝下一小瓶抗毒剂来使你在避免或结束中毒状态的豁免中具有优势，持续一小时。</t>
  </si>
  <si>
    <t>玻璃匠工具</t>
  </si>
  <si>
    <t>判断一个玻璃物件在过去24小时内盛过什么内容物（DC15）</t>
  </si>
  <si>
    <t>玻璃瓶、放大镜、望远镜、小瓶</t>
  </si>
  <si>
    <t>30GP</t>
  </si>
  <si>
    <t>横扫</t>
  </si>
  <si>
    <t>轻锤</t>
  </si>
  <si>
    <t>水晶</t>
  </si>
  <si>
    <t>奥术法器是一种利用宝石或是雕刻来引导奥术魔法的物品，它会以下列奥术法器列表中的一种形式存在。术士、魔契师和法师可以使用这种物品作为法器。</t>
  </si>
  <si>
    <t>珠宝匠工具</t>
  </si>
  <si>
    <t>判断珠宝价值（DC15）</t>
  </si>
  <si>
    <t>奥术法器、圣徽</t>
  </si>
  <si>
    <t>擦掠</t>
  </si>
  <si>
    <t>全头</t>
  </si>
  <si>
    <t>硬头锤</t>
  </si>
  <si>
    <t>—</t>
  </si>
  <si>
    <t>削弱</t>
  </si>
  <si>
    <t>法球</t>
  </si>
  <si>
    <t>皮匠工具</t>
  </si>
  <si>
    <t>对一个皮制品进行图案设计（DC10）</t>
  </si>
  <si>
    <t>投石索、鞭子、兽皮甲、皮甲、镶钉皮甲、背包、弩矢匣、地图或卷轴匣、羊皮纸、小包、箭袋、水袋</t>
  </si>
  <si>
    <t>头部</t>
  </si>
  <si>
    <t>长棍</t>
  </si>
  <si>
    <t>多用（1d8）</t>
  </si>
  <si>
    <t>失衡</t>
  </si>
  <si>
    <t>护甲名称</t>
  </si>
  <si>
    <t>护甲类型</t>
  </si>
  <si>
    <t>权杖</t>
  </si>
  <si>
    <t>石匠工具</t>
  </si>
  <si>
    <t>在石头上凿出一个符号标志或一个洞（DC10）</t>
  </si>
  <si>
    <t>滑轮组</t>
  </si>
  <si>
    <t>头发</t>
  </si>
  <si>
    <t>镰刀</t>
  </si>
  <si>
    <t>1 GP</t>
  </si>
  <si>
    <t>法师护甲</t>
  </si>
  <si>
    <t>法杖（也视作长棍）</t>
  </si>
  <si>
    <t>画家工具</t>
  </si>
  <si>
    <t>画出你所见过的某个事物的可辨图像（DC10）</t>
  </si>
  <si>
    <t>德鲁伊法器、圣徽</t>
  </si>
  <si>
    <t>面部</t>
  </si>
  <si>
    <t>矛</t>
  </si>
  <si>
    <t>投掷（射程 20/60），多用（1d8）</t>
  </si>
  <si>
    <t>大法师法袍</t>
  </si>
  <si>
    <t>魔杖</t>
  </si>
  <si>
    <t>陶匠工具</t>
  </si>
  <si>
    <t>判断一个陶瓷物件在过去24小时内盛过什么内容物（DC15）</t>
  </si>
  <si>
    <t>壶、灯</t>
  </si>
  <si>
    <t>颈部</t>
  </si>
  <si>
    <t>1d10</t>
  </si>
  <si>
    <t>8 SP</t>
  </si>
  <si>
    <t>10+感知调整值+敏捷调整值</t>
  </si>
  <si>
    <t>一个背包最多能装入30磅重1立方尺大的东西。背包也能当作鞍囊使用。</t>
  </si>
  <si>
    <t>2GP</t>
  </si>
  <si>
    <t>铁匠工具</t>
  </si>
  <si>
    <t>撬开一扇门或容器（DC20）</t>
  </si>
  <si>
    <t>任意近战武器（除了短棒，巨棒，长棍和鞭子）、中甲（除了兽皮甲）、重甲、滚珠、吊桶、铁蒺藜、链条、撬棍、枪械子弹、爪钩、铁壶、铁钉、投石索子弹</t>
  </si>
  <si>
    <t>身体</t>
  </si>
  <si>
    <t>灵巧，投掷（60/180尺），特殊</t>
  </si>
  <si>
    <t>10+体质调整值+敏捷调整值</t>
  </si>
  <si>
    <t>滚珠</t>
  </si>
  <si>
    <t>以一个操作动作，你能把一小包滚珠撒至地面，并覆盖你周围10尺内的一处10尺方形区域。任何生物每回合首次进入这片区域时都必须通过一次DC10的敏捷豁免，否则陷入倒地状态。重新收集这些滚珠需要花费10分钟时间。</t>
  </si>
  <si>
    <t>修补工具</t>
  </si>
  <si>
    <t>将过去一分钟内碎成数块的微型物件集齐并修好（DC20）</t>
  </si>
  <si>
    <t>火铳、手铳、铃铛、牛眼提灯、扁瓶、附盖提灯、捕猎陷阱、锁、镣铐、镜子、铲子、信号笛、火绒盒</t>
  </si>
  <si>
    <t>肩膀</t>
  </si>
  <si>
    <t>灵巧，多用（1d6），特殊</t>
  </si>
  <si>
    <t>4 CP</t>
  </si>
  <si>
    <t>龙术</t>
  </si>
  <si>
    <t>10+魅力调整值+敏捷调整值</t>
  </si>
  <si>
    <t>木桶</t>
  </si>
  <si>
    <t>一个木桶能够至多装入40加仑的液体或4立方尺的干燥货物。</t>
  </si>
  <si>
    <t>织布工具</t>
  </si>
  <si>
    <t>修补衣服上的破口（DC10），或是缝制一个微型图案（DC10）</t>
  </si>
  <si>
    <t>布甲、篮子、铺盖、毯子、高档服装、捕网、长袍、绳索、麻袋、细绳、帐篷、旅行服装</t>
  </si>
  <si>
    <t>胸前</t>
  </si>
  <si>
    <t>冷冻</t>
  </si>
  <si>
    <t>灵巧，轻型，特殊</t>
  </si>
  <si>
    <t>2 CP</t>
  </si>
  <si>
    <t>舞蹈诗</t>
  </si>
  <si>
    <t>篮子</t>
  </si>
  <si>
    <t>一个篮子能够至多装入40磅重2立方尺大的东西。</t>
  </si>
  <si>
    <t>4SP</t>
  </si>
  <si>
    <t>木雕工具</t>
  </si>
  <si>
    <t>在木头上雕刻图案（DC10）</t>
  </si>
  <si>
    <t>短棒、巨棒、长棍、远程武器（除了手铳、火铳和投石索）、奥术法器、弩矢、德鲁伊法器、墨水笔、吹矢</t>
  </si>
  <si>
    <t>背后</t>
  </si>
  <si>
    <t>火焰</t>
  </si>
  <si>
    <t xml:space="preserve">	多用（1d8），特殊</t>
  </si>
  <si>
    <t>3 SP</t>
  </si>
  <si>
    <t>铺盖</t>
  </si>
  <si>
    <t>一卷铺盖能睡下一个小型或中型生物。躺在铺盖中时，你自动通过抵抗极寒的豁免检定（详见地下城主指南）。</t>
  </si>
  <si>
    <t>易容工具</t>
  </si>
  <si>
    <t>化妆（DC10）</t>
  </si>
  <si>
    <t>戏服</t>
  </si>
  <si>
    <t>装备同调数量</t>
  </si>
  <si>
    <t>腰部</t>
  </si>
  <si>
    <t>闪电</t>
  </si>
  <si>
    <t>2d4</t>
  </si>
  <si>
    <t>12+体质调整值</t>
  </si>
  <si>
    <t>铃铛</t>
  </si>
  <si>
    <t>以一个操作动作，你可以摇响一个铃铛，铃铛会发出60尺内都能够听到的声音。</t>
  </si>
  <si>
    <t>文书伪造工具</t>
  </si>
  <si>
    <t>模仿其他人的笔迹，至多10个单词（DC15），或伪造一份火漆（DC20）</t>
  </si>
  <si>
    <t>胯间</t>
  </si>
  <si>
    <t>力场</t>
  </si>
  <si>
    <t>钝击/挥砍</t>
  </si>
  <si>
    <t>13+敏捷调整值</t>
  </si>
  <si>
    <t>毯子</t>
  </si>
  <si>
    <t>包裹在毯子中期间，你在抵抗极寒的豁免检定上具有优势（详见地下城主指南）。</t>
  </si>
  <si>
    <t>5SP</t>
  </si>
  <si>
    <t>赌具（多种）</t>
  </si>
  <si>
    <t>判断某人是否作弊（DC10），或赢取游戏（DC20）</t>
  </si>
  <si>
    <t>左脚</t>
  </si>
  <si>
    <t>光耀</t>
  </si>
  <si>
    <t>灵巧，特殊</t>
  </si>
  <si>
    <t>滑轮组允许你提起你正常能提动的四倍重量的物品。</t>
  </si>
  <si>
    <t>骰子</t>
  </si>
  <si>
    <t>判断某人是否作弊（DC10），或赢取游戏（DC21）</t>
  </si>
  <si>
    <t>1SP</t>
  </si>
  <si>
    <t>右脚</t>
  </si>
  <si>
    <t>暗蚀</t>
  </si>
  <si>
    <t>√</t>
  </si>
  <si>
    <t>书籍</t>
  </si>
  <si>
    <t>一本书会记载虚构或非虚构的内容。如果你在某些事物上参考了一本内容准确而非虚构的书，你在相关事物上的智力（奥秘、历史、自然或宗教）检定则获得+5的加值。</t>
  </si>
  <si>
    <t>龙棋</t>
  </si>
  <si>
    <t>判断某人是否作弊（DC10），或赢取游戏（DC22）</t>
  </si>
  <si>
    <t>双脚</t>
  </si>
  <si>
    <t>毒素</t>
  </si>
  <si>
    <t>灵巧，轻型</t>
  </si>
  <si>
    <t>3 GP</t>
  </si>
  <si>
    <t>玻璃瓶</t>
  </si>
  <si>
    <t>一个玻璃瓶至多能装入1.5品脱的东西。</t>
  </si>
  <si>
    <t>纸牌</t>
  </si>
  <si>
    <t>判断某人是否作弊（DC10），或赢取游戏（DC23）</t>
  </si>
  <si>
    <t>左腿</t>
  </si>
  <si>
    <t>心灵</t>
  </si>
  <si>
    <t>14+敏捷调整值</t>
  </si>
  <si>
    <t>吊桶</t>
  </si>
  <si>
    <t>一个吊桶能装入至多半立方尺的东西。</t>
  </si>
  <si>
    <t>5CP</t>
  </si>
  <si>
    <t>三龙牌</t>
  </si>
  <si>
    <t>判断某人是否作弊（DC10），或赢取游戏（DC24）</t>
  </si>
  <si>
    <t>右腿</t>
  </si>
  <si>
    <t>雷呜</t>
  </si>
  <si>
    <t>—简易远程—</t>
  </si>
  <si>
    <t>窃贼套组</t>
  </si>
  <si>
    <t>窃贼套组包含以下物品：背包、滚珠、铃铛、10根蜡烛、撬棍、附盖提灯、7扁瓶燃油、五天份的口粮、绳索、火绒盒和水袋。</t>
  </si>
  <si>
    <t>16GP</t>
  </si>
  <si>
    <t>草药工具</t>
  </si>
  <si>
    <t>辨认植物（DC10）</t>
  </si>
  <si>
    <t>抗毒剂、蜡烛、医疗包、治疗药水</t>
  </si>
  <si>
    <t>双腿</t>
  </si>
  <si>
    <t>飞镖</t>
  </si>
  <si>
    <t>灵巧，投掷（射程 20/60）</t>
  </si>
  <si>
    <t>5 CP</t>
  </si>
  <si>
    <t xml:space="preserve">—轻甲— </t>
  </si>
  <si>
    <t>铁蒺藜</t>
  </si>
  <si>
    <t>以一个操作动作，你能把一包铁蒺撒至地面并覆盖你周围5尺内的一处5尺方形区域。任何生物每回合首次进入这片区域时都必须通过一次DC15的敏捷豁免，否则受到1点穿刺伤害，并且移速降至0，直到其下一回合开始为止。重新收集这些铁蒺藜需要花费10分钟时间。</t>
  </si>
  <si>
    <t>乐器（多类）</t>
  </si>
  <si>
    <t>演奏一个熟知的曲调（DC10），或是演奏一首即兴的乐曲（DC15）</t>
  </si>
  <si>
    <t>左手</t>
  </si>
  <si>
    <t>轻弩</t>
  </si>
  <si>
    <t>弹药（射程 80/320；弩矢），装填，双手</t>
  </si>
  <si>
    <t>25 GP</t>
  </si>
  <si>
    <t>布甲</t>
  </si>
  <si>
    <t>隐匿劣势</t>
  </si>
  <si>
    <t>蜡烛</t>
  </si>
  <si>
    <t>一根蜡烛可以燃烧1小时，并发出5尺范围的明亮光照，以及额外5尺的微光光照。</t>
  </si>
  <si>
    <t>1CP</t>
  </si>
  <si>
    <t>风笛</t>
  </si>
  <si>
    <t>演奏一个熟知的曲调（DC10），或是演奏一首即兴的乐曲（DC16）</t>
  </si>
  <si>
    <t>右手</t>
  </si>
  <si>
    <t>短弓</t>
  </si>
  <si>
    <t>弹药（射程 80/320；箭矢），双手</t>
  </si>
  <si>
    <t>皮甲</t>
  </si>
  <si>
    <t>弩矢匣</t>
  </si>
  <si>
    <t>一个弩矢匣至多能存放20根弩矢。</t>
  </si>
  <si>
    <t>鼓</t>
  </si>
  <si>
    <t>演奏一个熟知的曲调（DC10），或是演奏一首即兴的乐曲（DC17）</t>
  </si>
  <si>
    <t>6GP</t>
  </si>
  <si>
    <t>投石索</t>
  </si>
  <si>
    <t>弹药（射程 30/120；子弹）</t>
  </si>
  <si>
    <t>镶钉皮甲</t>
  </si>
  <si>
    <t>地图或卷轴匣</t>
  </si>
  <si>
    <t>一个地图或卷轴匣至多能存放10张纸张或5张羊皮纸。</t>
  </si>
  <si>
    <t>扬琴</t>
  </si>
  <si>
    <t>演奏一个熟知的曲调（DC10），或是演奏一首即兴的乐曲（DC18）</t>
  </si>
  <si>
    <t>左臂</t>
  </si>
  <si>
    <t>2d6</t>
  </si>
  <si>
    <t>弹药（射程20/60；霰弹），枪械，后坐，换弹(2)，双手</t>
  </si>
  <si>
    <t>散射</t>
  </si>
  <si>
    <t>175 GP</t>
  </si>
  <si>
    <t>当你穿着树皮甲时，你在林地中进行隐匿检定时具有优势。</t>
  </si>
  <si>
    <t>链条</t>
  </si>
  <si>
    <t>以一个操作动作，你可以进行一次DC13的力量（运动）检定。如果该检定成功，你能利用链条捆住一个位于你5尺内的非自愿生物，但该生物必须处于受擒、失能或束缚状态。如果你绑住了该生物的腿，该生物陷入束缚状态，直至挣脱。挣脱链条需要该生物使用动作来通过一次DC18的敏捷（特技）检定。扯坏链条需要该生物使用动作来通过一次DC20的力量（运动）检定。</t>
  </si>
  <si>
    <t>长笛</t>
  </si>
  <si>
    <t>演奏一个熟知的曲调（DC10），或是演奏一首即兴的乐曲（DC19）</t>
  </si>
  <si>
    <t>右臂</t>
  </si>
  <si>
    <t>弹药（射程80/320；子弹），枪械，换弹(4)，双手</t>
  </si>
  <si>
    <t>开镜</t>
  </si>
  <si>
    <t>150 GP</t>
  </si>
  <si>
    <t>—中甲—</t>
  </si>
  <si>
    <t>箱子</t>
  </si>
  <si>
    <t>一个箱子至多能装入12立方尺的东西。</t>
  </si>
  <si>
    <t>号角</t>
  </si>
  <si>
    <t>演奏一个熟知的曲调（DC10），或是演奏一首即兴的乐曲（DC20）</t>
  </si>
  <si>
    <t>双臂</t>
  </si>
  <si>
    <t>弹药（射程30/120；子弹），枪械，轻型，换弹(2)</t>
  </si>
  <si>
    <t xml:space="preserve">	侵扰</t>
  </si>
  <si>
    <t>75 GP</t>
  </si>
  <si>
    <t>兽皮甲</t>
  </si>
  <si>
    <t>一套攀爬工具包含鞋子包头、手套、岩钉和系带。以一个操作动作，你可以使用攀爬工具锚定自己，此时你不会从锚定处摔落超过25尺，且在使用附赠动作解除锚定前无法从锚定处向外移动超过25尺。</t>
  </si>
  <si>
    <t>鲁特琴</t>
  </si>
  <si>
    <t>演奏一个熟知的曲调（DC10），或是演奏一首即兴的乐曲（DC21）</t>
  </si>
  <si>
    <t>35GP</t>
  </si>
  <si>
    <t>全身</t>
  </si>
  <si>
    <t>弹药（射程30/120；子弹），枪械，后坐，换弹(6)</t>
  </si>
  <si>
    <t xml:space="preserve">	缓速</t>
  </si>
  <si>
    <t>125 GP</t>
  </si>
  <si>
    <t>链甲衫</t>
  </si>
  <si>
    <t>高档服装</t>
  </si>
  <si>
    <t>高档服装使用昂贵的材料和装饰物制成，并缝制着极其精密的细节。有些活动和场合仅允许穿着高档服装的人参与。</t>
  </si>
  <si>
    <t>里拉琴</t>
  </si>
  <si>
    <t>演奏一个熟知的曲调（DC10），或是演奏一首即兴的乐曲（DC22）</t>
  </si>
  <si>
    <t>弹药（射程30/120；信号弹），枪械，装填</t>
  </si>
  <si>
    <t>100 GP</t>
  </si>
  <si>
    <t>鳞甲</t>
  </si>
  <si>
    <t>旅行服装</t>
  </si>
  <si>
    <t>旅行服装是为应对在多种环境中的旅途而设计的结实服装。</t>
  </si>
  <si>
    <t>排箫</t>
  </si>
  <si>
    <t>演奏一个熟知的曲调（DC10），或是演奏一首即兴的乐曲（DC23）</t>
  </si>
  <si>
    <t>12GP</t>
  </si>
  <si>
    <t>弹药（射程30/120；子弹），枪械，轻型，换弹(10)</t>
  </si>
  <si>
    <t>胸甲</t>
  </si>
  <si>
    <t>材料包</t>
  </si>
  <si>
    <t>材料包是一种装有你法术所需的一切免费材料的防水小包。</t>
  </si>
  <si>
    <t>芦笛</t>
  </si>
  <si>
    <t>演奏一个熟知的曲调（DC10），或是演奏一首即兴的乐曲（DC24）</t>
  </si>
  <si>
    <t>—军用近战—</t>
  </si>
  <si>
    <t>半身板甲</t>
  </si>
  <si>
    <t>若你穿着对应的戏服，你为模仿他人或模仿某一类人所作的任何属性检定都具有优势。</t>
  </si>
  <si>
    <t>提琴</t>
  </si>
  <si>
    <t>演奏一个熟知的曲调（DC10），或是演奏一首即兴的乐曲（DC25）</t>
  </si>
  <si>
    <t>战斧</t>
  </si>
  <si>
    <t>多用（1d10）</t>
  </si>
  <si>
    <t>10 GP</t>
  </si>
  <si>
    <t>撬棍</t>
  </si>
  <si>
    <t>在能够撬动的地方使用撬棍可以给予你在这方面的力量检定优势。</t>
  </si>
  <si>
    <t>演奏一个熟知的曲调（DC10），或是演奏一首即兴的乐曲（DC26）</t>
  </si>
  <si>
    <t>65GP</t>
  </si>
  <si>
    <t>链枷</t>
  </si>
  <si>
    <t xml:space="preserve">—重甲—  </t>
  </si>
  <si>
    <t>外交套组</t>
  </si>
  <si>
    <t>外交套组包含以下物品：箱子、高档服装、墨水、5支墨水笔、油灯、2个地图或卷轴匣、4扁瓶燃油、5张纸张、5张羊皮纸、香水和火绒盒。</t>
  </si>
  <si>
    <t>39GP</t>
  </si>
  <si>
    <t>演奏一个熟知的曲调（DC10），或是演奏一首即兴的乐曲（DC27）</t>
  </si>
  <si>
    <t>长柄刀</t>
  </si>
  <si>
    <t>重型，触及，双手</t>
  </si>
  <si>
    <t>20 GP</t>
  </si>
  <si>
    <t>环甲</t>
  </si>
  <si>
    <t>槲寄生枝条</t>
  </si>
  <si>
    <t>德鲁伊法器是一种利用刻纹、绑带或图画来引导原初魔法的物品，它会以下列德鲁伊法器列表中的一种形式存在。德鲁伊和游侠可以使用这种物品作为法器。</t>
  </si>
  <si>
    <t>演奏一个熟知的曲调（DC10），或是演奏一首即兴的乐曲（DC28）</t>
  </si>
  <si>
    <t>40GP</t>
  </si>
  <si>
    <t>巨斧</t>
  </si>
  <si>
    <t>1d12</t>
  </si>
  <si>
    <t>重型，双手</t>
  </si>
  <si>
    <t>30 GP</t>
  </si>
  <si>
    <t>链甲</t>
  </si>
  <si>
    <t>隐匿劣势，力量需求13</t>
  </si>
  <si>
    <t>木质法杖（也视作长棍）</t>
  </si>
  <si>
    <t>领航工具</t>
  </si>
  <si>
    <t>计划路线（DC10），或通过观星判断位置（DC15）</t>
  </si>
  <si>
    <t>巨剑</t>
  </si>
  <si>
    <t>50 GP</t>
  </si>
  <si>
    <t>板条甲</t>
  </si>
  <si>
    <t>隐匿劣势，力量需求15</t>
  </si>
  <si>
    <t>紫衫魔杖</t>
  </si>
  <si>
    <t>毒药工具</t>
  </si>
  <si>
    <t>侦测有毒物件（DC10）</t>
  </si>
  <si>
    <t>基础毒药</t>
  </si>
  <si>
    <t>戟</t>
  </si>
  <si>
    <t>隐匿劣势，当你穿着潜水甲时，除非你的力量达到或超过18，否则你的移动速度降低10尺。此外，当你穿着潜水甲时，若有人对你施放法术水下呼吸Water Breathing ，该法术对你的持续时间翻倍。</t>
  </si>
  <si>
    <t>地城套组</t>
  </si>
  <si>
    <t>地城套组包含以下物品：背包、铁蒺藜、撬棍、2扁瓶燃油、10天份的口粮、绳索、火绒盒、10根火把和水袋。</t>
  </si>
  <si>
    <t>盗贼工具</t>
  </si>
  <si>
    <t>撬锁（DC15），或解除陷阱（DC15）</t>
  </si>
  <si>
    <t>骑枪</t>
  </si>
  <si>
    <t>重型，触及，双手（骑乘时除外）</t>
  </si>
  <si>
    <t>板甲</t>
  </si>
  <si>
    <t>艺人套组</t>
  </si>
  <si>
    <t>艺人套组包含以下物品：背包、铺盖、铃铛、牛眼提灯、3套戏服、镜子、8扁瓶燃油、9天份的口粮、火绒盒和水袋。</t>
  </si>
  <si>
    <t>这套工具能让你采集物件上留下的指纹细节，并将其与另一生物的指纹进行比对。它包括一个印台、羊皮纸以及滑石粉。</t>
  </si>
  <si>
    <t>显现物件上留下的指纹并描摹其副本（DC20），或将描摹的指纹副本与一个类人生物的指纹进行比对（DC15）。</t>
  </si>
  <si>
    <t>长剑</t>
  </si>
  <si>
    <t>15 GP</t>
  </si>
  <si>
    <t>探索套组</t>
  </si>
  <si>
    <t>探索套组包含以下物品：背包、铺盖、2扁瓶燃油、10天份的口粮、绳索、火绒盒、10根火把和水袋。</t>
  </si>
  <si>
    <t>通灵板是一块写满字母的木板，通常是通用语字母，但也有适用于不同文字的版本。你可以用它来联络以太位面生物，与之进行有限的交流。</t>
  </si>
  <si>
    <t>与30尺内的一个以太位面生物交换最多10个单词的信息（DC15）。</t>
  </si>
  <si>
    <t>巨锤</t>
  </si>
  <si>
    <t>扁瓶</t>
  </si>
  <si>
    <t>一个扁瓶具有1品脱容量。</t>
  </si>
  <si>
    <t>2CP</t>
  </si>
  <si>
    <t>钉头锤</t>
  </si>
  <si>
    <t>爪钩</t>
  </si>
  <si>
    <t>以一个操作动作，你能将爪钩朝着位于自身50尺内的一处栏杆、突起的边缘或是一处能够挂住的位置扔出，并进行一次DC13的敏捷（特技）检定。如果检定成功，爪钩则成功钩在上面。如果爪钩上还连了绳子，你则可以爬上去。</t>
  </si>
  <si>
    <t>长矛</t>
  </si>
  <si>
    <t>医疗包</t>
  </si>
  <si>
    <t>一个医疗包有十次使用次数。以一个操作动作，你可以花费一次使用次数用来稳定一名生命值为0的陷入昏迷的生物的伤势。你这么做时无需进行感知（医疗）检定。</t>
  </si>
  <si>
    <t>刺剑</t>
  </si>
  <si>
    <t>灵巧</t>
  </si>
  <si>
    <t>护符（佩戴或手持）</t>
  </si>
  <si>
    <t>圣徽是一种利用宝石或图画来引导神圣魔法的物品，它会以下列圣徽列表中的一种形式存在。牧师和圣武士可以用圣徽作为法器。
列表还会向玩家展示不同圣徽所需要的携带方式，例如手持、佩戴或挂载到织物上（例如披挂或横幅）或盾牌上。</t>
  </si>
  <si>
    <t>弯刀</t>
  </si>
  <si>
    <t>纹章（挂载到织物或盾牌上）</t>
  </si>
  <si>
    <t>短剑</t>
  </si>
  <si>
    <t>圣物匣（手持）</t>
  </si>
  <si>
    <t>三叉戟</t>
  </si>
  <si>
    <t>投掷（射程 20/60），多用（1d10）</t>
  </si>
  <si>
    <t>圣水</t>
  </si>
  <si>
    <t>当你执行攻击动作时，你可以将你的一次攻击替换为丢出一扁瓶圣水。你可以选择位于你20尺内可见的一个生物作为目标。该目标必须通过一次敏捷豁免（DC等于8+你的敏捷调整值+你的熟练加值），并且如果这个目标是邪魔或亡灵生物，失败时承受2d8点光耀伤害。</t>
  </si>
  <si>
    <t>战镐</t>
  </si>
  <si>
    <t>捕猎陷阱</t>
  </si>
  <si>
    <t>以一个操作动作，你可以在某处设下捕猎陷阱。捕猎陷阱是一组带有锯齿的铁环，当一个生物踩到中心的压力板时，两边的锯齿会迅速合上。这组陷阱需要用沉重的链条固定至某个无法移动的物件上——例如大树或刺入地面的固定钉。踩到压力板的生物必须通过一次DC13的敏捷豁免，否则受到1d4点穿刺伤害，并且速度降至0，直至他的下一回合开始。直到该生物挣脱陷阱前，它的移动范围会被链条的长度限制（通常为3尺）。一个生物可以使用它的动作来进行一次DC13的力量（运动）检定，检定成功时能够让自己或自己触及范围内的一个其他生物脱困。每次检定失败都会导致被困生物受到1点穿刺伤害。</t>
  </si>
  <si>
    <t>战锤</t>
  </si>
  <si>
    <t>墨水</t>
  </si>
  <si>
    <t>墨水一般装在1盎司的瓶子里，足够撰写500页的内容。</t>
  </si>
  <si>
    <t>鞭</t>
  </si>
  <si>
    <t>灵巧，触及</t>
  </si>
  <si>
    <t>墨水笔</t>
  </si>
  <si>
    <t>墨水笔可以使用墨水来写字或绘画。</t>
  </si>
  <si>
    <t>壶</t>
  </si>
  <si>
    <t>壶具有一加仑的容量。</t>
  </si>
  <si>
    <t>重型，双手，特殊</t>
  </si>
  <si>
    <t>7 SP</t>
  </si>
  <si>
    <t>梯子</t>
  </si>
  <si>
    <t>一把梯子有10尺高。你只能在梯子上爬上或是爬下。</t>
  </si>
  <si>
    <t>重型，触及，多用（1d10）</t>
  </si>
  <si>
    <t>油灯</t>
  </si>
  <si>
    <t>一盏油灯使用燃油作为燃料，点着时能够发出15尺半径的明亮光照和额外30尺的微光光照。</t>
  </si>
  <si>
    <t>3d4</t>
  </si>
  <si>
    <t>牛眼提灯</t>
  </si>
  <si>
    <t>一盏牛眼提灯使用燃油作为燃料，点着时能够发出60尺远锥形的明亮光照和额外60尺远的微光光照。</t>
  </si>
  <si>
    <t xml:space="preserve">	灵巧，轻型，投掷（20/60尺）</t>
  </si>
  <si>
    <t>附盖提灯</t>
  </si>
  <si>
    <t>一盏附盖提灯使用燃油作为燃料，点着时能够发出30尺半径的明亮光照和额外30尺的微光光照。以一个附赠动作，你可以盖上或掀开提灯的盖子。盖上盖子时，提灯的光亮降至半径5尺的微光光照。</t>
  </si>
  <si>
    <t>轻型，多用（1d8）</t>
  </si>
  <si>
    <t>锁</t>
  </si>
  <si>
    <t>每套锁都有对应的钥匙。如果没有对应的钥匙，一个生物还可以使用盗贼工具来通过一次DC15的敏捷（巧手）检定开锁。</t>
  </si>
  <si>
    <t>触及，特殊</t>
  </si>
  <si>
    <t>放大镜</t>
  </si>
  <si>
    <t>使用放大镜时，你为鉴定或检查精密物品所作的任何属性检定都会具有优势。想要使用放大镜点火，需要一束如同阳光般明亮的强光用于聚焦，还需要用于点燃的火绒，随后需要大约5分钟的时间来生火。</t>
  </si>
  <si>
    <t>100GP</t>
  </si>
  <si>
    <t xml:space="preserve">	触及，多用（1d8）</t>
  </si>
  <si>
    <t>镣铐</t>
  </si>
  <si>
    <t>以一个操作动作，你可以进行一次DC13的敏捷（巧手）检定。如果该检定成功，你能利用镣铐捆住一个位于你5尺内的非自愿的小型或中型生物，但该生物必须处于受擒、失能或束缚状态。如果你铐住了该生物，该生物进行的攻击检定会具有劣势。如果镣铐还被锁链或钩子固定在了某处，该生物还会陷入束缚状态。挣脱镣铐需要该生物使用动作来通过一次DC20的敏捷（巧手）检定。扯坏镣铐需要该生物使用动作来通过一次DC25的力量（运动）检定。
每套镣铐都有对应的钥匙。如果没有对应的钥匙，一个生物还可以使用盗贼工具来通过一次DC15的敏捷（巧手）检定解开镣铐的锁。</t>
  </si>
  <si>
    <t>6 SP</t>
  </si>
  <si>
    <t>如果你在地图所绘制的地点参考了一张准确的地图，你为辨认位置所进行的感知（求生）检定获得+5的加值。</t>
  </si>
  <si>
    <t>重型，触及，特殊，双手</t>
  </si>
  <si>
    <t>镜子</t>
  </si>
  <si>
    <t>一面手持的钢镜不光可以用来化妆打扮，也可以用来窥视拐角或利用反光打信号。</t>
  </si>
  <si>
    <t>灵巧，投掷（30/90尺），多用（1d8）</t>
  </si>
  <si>
    <t>捕网</t>
  </si>
  <si>
    <t>当你执行攻击动作，你可以将你的一次攻击替换为丢出一张捕网。你可以选择位于你15尺内可见的一个生物作为目标。该目标必须通过一次敏捷豁免（DC等于8+你的敏捷调整值+你的熟练加值），否则陷入束缚状态，直至挣脱。体型是巨型及以上的目标将自动通过豁免。
被束缚的目标或者位于目标5尺内的生物，可以通过一个动作来进行一次DC10的力量（运动）检定来挣脱捕网。若检定成功，被束缚的生物将被解放。摧毁捕网（AC 10；5 HP；免疫钝击、毒素和心灵伤害）也能解放被困目标并结束捕网的效果。</t>
  </si>
  <si>
    <t>—军用远程—</t>
  </si>
  <si>
    <t>燃油</t>
  </si>
  <si>
    <t>你能将燃油泼在一个生物、物件或一处空间上，你也可以将燃油作为燃料使用。具体使用方法如下。
泼洒一个生物或一个物件Dousing a Creature or an Object。当你执行攻击动作时，你可以将你的一次攻击替换为丢出一扁瓶燃油。你可以选择位于你20尺内可见的一个生物或物件作为目标。该目标必须通过一次敏捷豁免（DC等于8+你的敏捷调整值+你的熟练加值），否则被燃油覆盖。如果目标在燃油挥发前（1分钟后）受到火焰伤害，则目标因燃烧的燃油受到额外5点火焰伤害。
泼洒一处空间Dousing a Space。以一个操作动作，你可以将一扁瓶燃油泼在地面上，以覆盖一块边长5尺且保持水平的方形区域。点燃后，从点燃时算起，燃油会持续燃烧两轮并在回合结束时熄灭（或12秒）。点燃时，任何进入该区域或在该区域结束其回合的生物都会受到5点火焰伤害。同一生物每回合只受该伤害作用一次。
燃料Fuel。燃油能作为油灯和提灯的燃料使用。一旦点着，一扁瓶的燃油可以在油灯和提灯中持续燃烧6小时。持续时长并不需要是连续的，你可以熄灭点着的燃油（以一个操作动作），并在之后再点燃，直到总共燃烧了6小时。</t>
  </si>
  <si>
    <t>吹箭筒</t>
  </si>
  <si>
    <t>弹药（射程 25/100；吹矢），装填</t>
  </si>
  <si>
    <t>纸张</t>
  </si>
  <si>
    <t>一页纸张能够写满250个手写单词。</t>
  </si>
  <si>
    <t>2SP</t>
  </si>
  <si>
    <t>手弩</t>
  </si>
  <si>
    <t>弹药（射程 30/120；弩矢），轻型，装填</t>
  </si>
  <si>
    <t>羊皮纸</t>
  </si>
  <si>
    <t>一页羊皮纸能够写满250个手写单词。</t>
  </si>
  <si>
    <t>重弩</t>
  </si>
  <si>
    <t>弹药（射程 100/400；弩矢），重型，装填，双手</t>
  </si>
  <si>
    <t>香水</t>
  </si>
  <si>
    <t>香水通常装在4盎司的小瓶里。为自己拍上香水后的一小时里，你为影响对你态度冷漠的类人生物所作的魅力（游说）检定都具有优势，但这个生物必须位于你的5尺内。</t>
  </si>
  <si>
    <t>长弓</t>
  </si>
  <si>
    <t>弹药（射程 150/600；箭矢），重型，双手</t>
  </si>
  <si>
    <t>以一个附赠动作，你可以将一小瓶基础毒药涂抹在一把武器或至多三枚弹药上。当一个生物受到由涂过毒的武器或弹药所造成的穿刺或劈砍伤害时，该生物将受到额外1d4点毒素伤害。毒药一旦被涂抹，毒效只会持续1分钟或直至造成了额外伤害。</t>
  </si>
  <si>
    <t>火铳</t>
  </si>
  <si>
    <t>弹药（射程 40/120；子弹），装填，双手</t>
  </si>
  <si>
    <t>500 GP</t>
  </si>
  <si>
    <t>长杆</t>
  </si>
  <si>
    <t>一柄长杆有10尺长。你可以用它去触碰10尺外的东西。如果你必须为一次跳高或跳远进行力量（运动）检定的话，你可以使用长杆进行撑杆跳，来使这次检定具有优势。</t>
  </si>
  <si>
    <t>手铳</t>
  </si>
  <si>
    <t>弹药（射程 30/90；子弹），装填</t>
  </si>
  <si>
    <t>250 GP</t>
  </si>
  <si>
    <t>铁壶</t>
  </si>
  <si>
    <t>铁壶具有一加仑的容量。</t>
  </si>
  <si>
    <t>弹药（射程20/60；射弹），重型，装填，双手</t>
  </si>
  <si>
    <t>750 GP</t>
  </si>
  <si>
    <t>治疗药水</t>
  </si>
  <si>
    <t>这瓶药水是一种魔法物品。以一个附赠动作，你可以喝掉它或将它喂给位于你5尺内的其他生物。喝掉这小瓶魔法红色液体的生物能够恢复2d4+2点生命值。</t>
  </si>
  <si>
    <t>弹药（射程40/120；子弹），装填，双手</t>
  </si>
  <si>
    <t>小包</t>
  </si>
  <si>
    <t>一个小包能够至多装入6磅重、五分之一立方尺大的东西。</t>
  </si>
  <si>
    <t>弹药（射程30/90；子弹），装填</t>
  </si>
  <si>
    <t>祭司套组</t>
  </si>
  <si>
    <t>祭司套组包含以下物品：背包、毯子、圣水、油灯、7天份的口粮、长袍和火绒盒。</t>
  </si>
  <si>
    <t>33GP</t>
  </si>
  <si>
    <t>2d8</t>
  </si>
  <si>
    <t>弹药（射程100/400；加农炮弹），枪械，重型，装填，双手</t>
  </si>
  <si>
    <t>爆裂</t>
  </si>
  <si>
    <t>1500 GP</t>
  </si>
  <si>
    <t>箭袋</t>
  </si>
  <si>
    <t>箭袋至多能装入20根箭矢。</t>
  </si>
  <si>
    <t>弹药（射程60/240；子弹），枪械，重型，换弹(40)，双手</t>
  </si>
  <si>
    <t>自动</t>
  </si>
  <si>
    <t>便携式攻城锤</t>
  </si>
  <si>
    <t>你可以使用便携式攻城锤撞破一扇门。当你这么做时，你在力量检定上获得+4加值。其他一名角色可以协助你使用攻城锤，并使你这次检定具有优势。</t>
  </si>
  <si>
    <t>4GP</t>
  </si>
  <si>
    <t>弹药（射程30/120；子弹），枪械，重型，后坐，换弹(6)</t>
  </si>
  <si>
    <t>600 GP</t>
  </si>
  <si>
    <t>口粮由适合长途旅行携带的食物组成，包含肉干、风干水果、饼干和坚果等。不进食的危害详见术语汇编中的“饥饿”部分。</t>
  </si>
  <si>
    <t xml:space="preserve">	弹药（射程80/320；子弹），枪械，换弹(20)，双手</t>
  </si>
  <si>
    <t>300 GP</t>
  </si>
  <si>
    <t>长袍</t>
  </si>
  <si>
    <t>长袍通常具有特别的的职业或仪式意义。有些活动和场合仅允许穿着带有特定颜色或符号的长袍的人参与。</t>
  </si>
  <si>
    <t>弹药（射程20/60；霰弹），枪械，重型，后坐，换弹(8)，双手</t>
  </si>
  <si>
    <t>550 GP</t>
  </si>
  <si>
    <t>绳索</t>
  </si>
  <si>
    <t>以一个操作动作，你可以进行一次DC10的敏捷（巧手）检定。如果该检定成功，你能用绳索打一个结。扯坏绳索需要成功通过一次DC20的力量（运动）检定。
你可以利用绳索捆住一个非自愿生物，但该生物必须处于受擒、失能或束缚状态。如果你绑住了该生物的腿，该生物陷入束缚状态，直至挣脱。挣脱绳索需要该生物使用动作来通过一次DC15的敏捷（特技）检定。</t>
  </si>
  <si>
    <t>弹药（射程100/400；子弹），枪械，重型，装填，双手</t>
  </si>
  <si>
    <t>450 GP</t>
  </si>
  <si>
    <t>麻袋</t>
  </si>
  <si>
    <t>麻袋至多能够装入30磅1立方尺的东西。</t>
  </si>
  <si>
    <t>弹药（射程20/60；子弹），枪械，轻型，换弹(16)</t>
  </si>
  <si>
    <t>学者套组</t>
  </si>
  <si>
    <t>学者套组包含以下物品：背包、书、墨水、墨水笔、油灯、10扁瓶燃油、10张羊皮纸和火绒盒。</t>
  </si>
  <si>
    <t>弹药（射程50/200尺）</t>
  </si>
  <si>
    <t>22 GP</t>
  </si>
  <si>
    <t>铲子</t>
  </si>
  <si>
    <t>你可以使用铲子来花费一小时时间在土壤或类似材质的地方挖出一个5尺边长的洞。</t>
  </si>
  <si>
    <t>信号笛</t>
  </si>
  <si>
    <t>以一个操作动作，你可以吹响一支信号笛，并使信号笛发出600尺外都可以听见的响声。</t>
  </si>
  <si>
    <t>戏法卷轴</t>
  </si>
  <si>
    <t>一个戏法法术卷轴或一环法术卷轴是一种记载了戏法或一环法术的魔法物品。具体是哪一种由卷轴的创造者决定。如果卷轴的法术处在你的职业法术列表中，你就可以阅读这卷卷轴并在无需材料成分的情况下，使用法术的正常施法时间来施展这道法术。</t>
  </si>
  <si>
    <t>一环卷轴</t>
  </si>
  <si>
    <t>如果法术要求豁免检定或攻击检定，法术的豁免DC则为13，而攻击加值为5。当法术施展完毕，卷轴会立刻烟消云散。</t>
  </si>
  <si>
    <t>铁钉</t>
  </si>
  <si>
    <t>一组铁钉具有十支。以一个操作动作，你可以使用一把钝器，例如轻锤，来将铁钉锤入木头、土地或类似的材质。你能通过这种方式堵死一扇门，或将绳索或链条固定在铁钉上。</t>
  </si>
  <si>
    <t>望远镜</t>
  </si>
  <si>
    <t>通过望远镜看到的物件要比原先的尺寸大上两倍。</t>
  </si>
  <si>
    <t>1000GP</t>
  </si>
  <si>
    <t>细线</t>
  </si>
  <si>
    <t>细绳有10尺长。你能够以一个操作动作为它打一个结。</t>
  </si>
  <si>
    <t>帐篷</t>
  </si>
  <si>
    <t>帐篷可以睡下两个小型或中型的生物。</t>
  </si>
  <si>
    <t>火绒盒</t>
  </si>
  <si>
    <t>火绒盒是一种装有打火石、火镰和火绒（通常是浸泡在燃油里的干布料）的小型容器，其中的物品可以用来点火。你可以使用附赠动作来用它点燃任何具有燃料的东西——例如蜡烛、油灯、提灯或火把。在没有燃料的情况下生火需要1分钟时间。</t>
  </si>
  <si>
    <t>火把</t>
  </si>
  <si>
    <t>火把点燃后能够燃烧1小时，燃烧期间发出20尺半径的明亮光照和额外20尺的微光光照。当你执行攻击动作时，你可以将火把当作简易近战武器，并使用火把发动攻击。命中时，目标受到1点火焰伤害。</t>
  </si>
  <si>
    <t>小瓶</t>
  </si>
  <si>
    <t>小瓶具有4盎司容量。</t>
  </si>
  <si>
    <t>水袋</t>
  </si>
  <si>
    <t>水袋具有4品脱容量。如果你喝水不足，你会遭受脱水的危害（见规则详述）。</t>
  </si>
  <si>
    <t>行</t>
  </si>
  <si>
    <t>最小列</t>
  </si>
  <si>
    <t>最大列</t>
  </si>
  <si>
    <t>通用特性</t>
  </si>
  <si>
    <t>种族备选</t>
  </si>
  <si>
    <t>亚种选项</t>
  </si>
  <si>
    <t>待选特性</t>
  </si>
  <si>
    <t>已选特性</t>
  </si>
  <si>
    <t>阿斯莫</t>
  </si>
  <si>
    <t>类人</t>
  </si>
  <si>
    <t>中型(约4-7尺高)或小型(约2-4尺高)，在选择此种族时决定</t>
  </si>
  <si>
    <t>黑暗视觉</t>
  </si>
  <si>
    <t>天界抗性</t>
  </si>
  <si>
    <t>治愈之手</t>
  </si>
  <si>
    <t>光辉掌者</t>
  </si>
  <si>
    <t>天启</t>
  </si>
  <si>
    <t>天堂飞翼</t>
  </si>
  <si>
    <t>内耀辉光</t>
  </si>
  <si>
    <t>死灵环绕</t>
  </si>
  <si>
    <t>龙裔</t>
  </si>
  <si>
    <t>中型(约5-7尺高)</t>
  </si>
  <si>
    <t>你拥有60尺黑暗视觉。</t>
  </si>
  <si>
    <t>你具有光耀伤害与暗蚀伤害的抗性。</t>
  </si>
  <si>
    <t>以一个魔法动作，你触碰一个生物，并掷数量等于你熟练加值枚d4。该生物恢复等于掷骰结果之和的生命值。使用此特质后，直到你完成一次长休为止都不能再次使用。</t>
  </si>
  <si>
    <t>你习得光亮术Light戏法。其施法属性为魅力。</t>
  </si>
  <si>
    <t>当你到达3级时，你将获得用附赠动作进行变身的能力。每次使用此能力时，选择下列变身选项之一。你的变身会持续1分钟，你也可以主动提前终止它（无需动作）。使用此能力变身之后，直到你完成一次长休为止都不能再次使用此能力。
在变身期间，每个你的回合一次，当你以攻击或法术对一个目标造成伤害时，你可以对其额外造成等同于你熟练加值的伤害，其伤害类型取决于你选择的选项，选择死灵环绕则该伤害为暗蚀，选择天堂飞翼或内耀辉光则该伤害为光耀伤害。
变身选项如下：</t>
  </si>
  <si>
    <t>你的后背暂时伸出两片灵体飞翼。直到变身结束前，你获得等于你速度的飞行速度。</t>
  </si>
  <si>
    <t>你的双眼与嘴巴暂时放出灼热的光芒。持续时间内，你散发出10尺明亮光照与其外10尺的微光光照。在你每个回合结束时，位于你10尺内的每个生物都会受到等于你熟练加值的光耀伤害。</t>
  </si>
  <si>
    <t>你的双目暂时变得如同黑暗深潭一般，无法飞行的双翼从你的背上涌出。除你盟友外，任何在你10尺内可以看见你的生物都必须通过一次魅力豁免检定（DC=8+你的熟练加值+你的魅力调整值），否则将会陷入恐慌状态，持续至你的下一回合结束。</t>
  </si>
  <si>
    <t>矮人</t>
  </si>
  <si>
    <t>中型(约4-5尺高)</t>
  </si>
  <si>
    <t>龙族血统</t>
  </si>
  <si>
    <t>吐息武器</t>
  </si>
  <si>
    <t>伤害抗性</t>
  </si>
  <si>
    <t>龙族飞翼</t>
  </si>
  <si>
    <t>精灵</t>
  </si>
  <si>
    <t>中型(约5-6尺高)</t>
  </si>
  <si>
    <t>你的血脉可以追溯到某种巨龙祖先。从龙族血统表格中选择一种龙。你选择的龙种将会影响你的吐息武器和伤害抗性特质，以及你的外表。
龙族血统Draconic Ancestry 
龙种 伤害类型
黑龙 强酸
蓝龙 闪电
黄铜龙 火焰
青铜龙 闪电
赤铜龙 强酸
金龙 火焰
绿龙 毒素
红龙 火焰
银龙 寒冷
白龙 寒冷</t>
  </si>
  <si>
    <t>每当你在自己回合内进行攻击动作时，你可以将其中一次攻击替换为释放魔法性的能量，覆盖15尺锥状区域或30尺长5尺宽的线状区域（每次吐息时选择其范围）。区域内的生物必须进行一次敏捷豁免检定（DC=8+你的体质调整值+你的熟练加值）。豁免失败的生物受到1d10伤害，伤害类型为你龙族血统特质所选龙种对应的类型。豁免成功的生物只受到一半伤害。此伤害会在你达到5级（2d10），11级（3d10）和17级（4d10）时提升1d10。
你可以使用此吐息武器的次数等于你的熟练加值，完成一次长休后，你重获全部已消耗的使用次数。</t>
  </si>
  <si>
    <t>根据你龙族血统特质所选龙种，你获得对应的伤害类型的伤害抗性。</t>
  </si>
  <si>
    <t>到达5级后，你可以引导体内龙之魔法的能力，让自己暂时获得飞行能力。以一个附赠动作，你的后背临时伸出两片灵体飞翼，持续10分钟，陷入失能状态时或你主动收起它时（无需动作）它将提前消失。飞翼存在期间，你获得等于你速度的飞行速度。你的翅膀看起来像是和你吐息武器相同的能量凝聚而成。使用此特质后，直到你完成一次长休为止你都不能再次使用它。</t>
  </si>
  <si>
    <t>卓尔</t>
  </si>
  <si>
    <t>高等精灵</t>
  </si>
  <si>
    <t>木精灵</t>
  </si>
  <si>
    <t>序号</t>
  </si>
  <si>
    <t>增值</t>
  </si>
  <si>
    <t>侏儒</t>
  </si>
  <si>
    <t>小型(约3-4尺高)</t>
  </si>
  <si>
    <t>矮人体魄</t>
  </si>
  <si>
    <t>矮人刚毅</t>
  </si>
  <si>
    <t>石中精妙</t>
  </si>
  <si>
    <t>森林侏儒</t>
  </si>
  <si>
    <t>岩侏儒</t>
  </si>
  <si>
    <t>歌利亚</t>
  </si>
  <si>
    <t>中型(约7-8尺高)</t>
  </si>
  <si>
    <t>35尺</t>
  </si>
  <si>
    <t>你拥有120尺黑暗视觉。</t>
  </si>
  <si>
    <t>你具有毒素伤害的抗性。此外，你为避免/结束中毒状态所做的豁免检定具有优势。</t>
  </si>
  <si>
    <t>你的生命值上限加1，且此后每次升级时再加1。</t>
  </si>
  <si>
    <t>以一个附赠动作，你获得60尺震颤感知，持续10分钟。你必须位于岩石表面上或是触碰着岩石的表面才能使用此震颤感知，不过其可以是天然的岩石，也可以是加工过的岩石。
你可以使用此附赠动作的次数等于你的熟练加值，完成长休后你重获全部已消耗的使用次数。</t>
  </si>
  <si>
    <t>云巨人</t>
  </si>
  <si>
    <t>火巨人</t>
  </si>
  <si>
    <t>霜巨人</t>
  </si>
  <si>
    <t>山丘巨人</t>
  </si>
  <si>
    <t>石巨人</t>
  </si>
  <si>
    <t>风暴巨人</t>
  </si>
  <si>
    <t>半身人</t>
  </si>
  <si>
    <t>小型(约2-3尺高)</t>
  </si>
  <si>
    <t>精类血统</t>
  </si>
  <si>
    <t>敏锐感官</t>
  </si>
  <si>
    <t>出神</t>
  </si>
  <si>
    <t>精灵血系</t>
  </si>
  <si>
    <t>影妖精武器训练</t>
  </si>
  <si>
    <t>暗影之道</t>
  </si>
  <si>
    <t>日照敏感</t>
  </si>
  <si>
    <t>黑暗旅者</t>
  </si>
  <si>
    <t>辉光</t>
  </si>
  <si>
    <t>月之子</t>
  </si>
  <si>
    <t>血脉亲和</t>
  </si>
  <si>
    <t>洛温精灵</t>
  </si>
  <si>
    <t>暗影荒原精灵</t>
  </si>
  <si>
    <t>影妖精</t>
  </si>
  <si>
    <t>人类</t>
  </si>
  <si>
    <t>中型(约4-7尺高)或小型(约2-4英尺高)，在选择此种族时决定</t>
  </si>
  <si>
    <t>你在进行避免或结束魅惑状态的豁免时具有优势。</t>
  </si>
  <si>
    <t>你具有洞悉、察觉或求生之一技能的熟练。</t>
  </si>
  <si>
    <t>你不需要睡觉，魔法也不能让你陷入睡眠。利用出神冥想，你可以仅用4小时完成长休，且在这期间保持意识清醒。</t>
  </si>
  <si>
    <t>你属于一支精灵血系，并因此获得了超自然能力。从精灵血系表格中选择其一。你获得该血系的1级好处。
当你到达3级和5级时，你分别习得一道表格上更高级的法术；你时刻准备着这道习得的法术，且可以不消耗法术位施展此法术一次，当你完成一次长休时，你重获施展该道法术的能力。你也可以用任何你拥有的相应环阶法术位施展该道法术。
当你选择血系时，选择智力、感知、或魅力之一，该属性即是你用此特质施展法术时的施法属性。</t>
  </si>
  <si>
    <t>1级 你的黑暗视觉提升至120尺。你习得舞光术Dancing light 戏法。
3级 妖火Faerie Fire 
5级 黑暗术Darkness</t>
  </si>
  <si>
    <t xml:space="preserve">1级 你知晓魔法伎俩Prestidigitation戏法。每当你完成长休时，你可以将它替换为法师法术列表中的另一个戏法。
3级 侦测魔法Detect Magic 
5级 迷踪步Misty Step </t>
  </si>
  <si>
    <t xml:space="preserve">1级 你的速度提升至35尺。你知晓德鲁伊伎俩Druidcraft戏法。
3级 大步奔行Longstrider
5级 行动无踪Pass without Trace </t>
  </si>
  <si>
    <t>你拥有刺剑、短剑、短弓和长弓的熟练项。</t>
  </si>
  <si>
    <t>当你处于黑暗中、微光下或足以覆盖你身体的阴影中时，你可以施放法术迷踪步Misty Step 。你每天可以使用此能力的次数等于你的魅力调整值（最少1次），并在完成一次长休后恢复所有已使用的次数。魅力是你施放此法术的施法关键属性。</t>
  </si>
  <si>
    <t>若你、你攻击的目标或你试图感知的事物处于明亮的阳光下，你的攻击检定和依赖视觉的感知（察觉）检定有劣势。</t>
  </si>
  <si>
    <t>在进行智力（奥秘）检定以了解特定暗影之路shadow road及其功能时，你具有优势。</t>
  </si>
  <si>
    <t>你散发出15尺半径的明亮光照，以及额外15尺的微光光照。你可以选择将此效果抑制为仅15尺半径的微光光照，或完全抑制，也可以随时激活它而无需消耗动作。（此效果的等级等于你的熟练加值，如果其范围与同等级或更低等级法术创造的黑暗区域重叠，创造黑暗的法术将被驱散。）</t>
  </si>
  <si>
    <t>当处于黑暗中、微光下或足以覆盖你身体的阴影中时，你可以施放月华之光Moonbeam 法术。你每天可以使用此能力的次数等于你的感知调整值（最少1次），并在完成一次长休后恢复所有已使用的次数。感知是你施放此法术的施法关键属性。</t>
  </si>
  <si>
    <t>选择一个你天生亲和的魔法学派。你从该学派学会一个自选的戏法。当你达到3级时，从同一学派选择一个一环法术；当你达到5级时，从同一学派选择一个三环法术。你学会这些法术，并可以用它们的最低环位施放。使用此特性施放其中一个法术后，你必须完成一次长休才能再次用此特性施放该法术。你施放这些法术的关键属性为智力。</t>
  </si>
  <si>
    <t>1级 你知晓戏法荆棘之鞭Thorn Whip，每当你完成长休时，你可以将它替换为德鲁伊法术列表中的另一个戏法。
3级 命令术Command
5级 沉默术Silence</t>
  </si>
  <si>
    <t>1级 你的黑暗视觉提升至120尺。你也知晓戏法点点星芒Starry Wisp。
3级 英雄气概Heroism
5级 遗体防腐Gentle Repose</t>
  </si>
  <si>
    <t>月精灵</t>
  </si>
  <si>
    <t>兽人</t>
  </si>
  <si>
    <t>中型(约6-7尺高)</t>
  </si>
  <si>
    <t>侏儒狡黠</t>
  </si>
  <si>
    <t>侏儒血系</t>
  </si>
  <si>
    <t>天生预言师</t>
  </si>
  <si>
    <t>预知</t>
  </si>
  <si>
    <t>暗精灵</t>
  </si>
  <si>
    <t>提夫林</t>
  </si>
  <si>
    <t>中型（约4-7尺高）或小型（约3-4尺高），在选择此种族时决定</t>
  </si>
  <si>
    <t>你进行的智力、感知、魅力豁免检定均具有优势。</t>
  </si>
  <si>
    <t>你属于一支侏儒血系，并因此获得了一些超自然能力。从下列选项中选择其一。当你选择血系时，再选择智力、感知、魅力中的一项属性；无论你选择的是哪个血系，你以此特质施展法术时的施法属性都是所选的属性。</t>
  </si>
  <si>
    <t>你知晓次级幻象Minor Illusion戏法。你也始终准备着动物交谈Speak With Animals法术，你可以不消耗法术位施展此法术，次数等于你的熟练加值，完成长休后，你重获全部已消耗的使用次数。你也可以用任何你拥有的法术位施展那道法术。</t>
  </si>
  <si>
    <t>你知晓修复术Mending和魔法伎俩Prestidigitation这两道戏法。此外，你可以花费10分钟时间，通过施展魔法伎俩法术来创造一个微型发条装置（AC为5，HP为1），比如一件玩具、一个打火机、一个音乐盒。当你创造这个设备时，你可以从魔法伎俩Prestidigitation戏法中选择一个效果来决定它的功能；你与其他生物可以使用附赠动作触碰该装置来激活它，此时该装置就会产生对应的效果。如果选择的效果存在选项，则在创建时选择其中一项应用。例如，如果你选择了法术中的那个点燃与熄灭的效果，你就需要决定设备是用来点火还是熄火的——一台设备无法同时做到两个功能。你同时最多拥有三台这样的装置，每一个都会在被创造出来的8小时后解体消失。你也可以用利用动作，触摸你的一台设备将其拆除。</t>
  </si>
  <si>
    <t>你天生就能洞察世界，瞥见宇宙的奥秘。你习得戏法神导术Guidance。当你达到3级时，你可以通过此特质施放法术鉴定术Identify，无需材料成分；当你达到5级时，你可以通过此特质施放法术卜筮术Augury 。使用此特质施放非戏法法术后，你需要完成一次长休后才能再次使用。这些法术的施法关键属性为感知。</t>
  </si>
  <si>
    <t>当你完成一次长休时，投掷一个d20并记录结果。在你下次长休之前，你可以用这个预知掷骰替换你自己或你能看见的生物进行的一次攻击检定、豁免检定或属性检定。你必须在相关检定开始前决定是否使用预知骰。
如果在你进行预知掷骰时，半里内有20位玄命侏儒在场，你可以在结果上额外加1。每当附近玄命侏儒的数量翻倍时，你获得额外的+1加值（40位侏儒时+2，80位时+3，以此类推），最高加值为+5。</t>
  </si>
  <si>
    <t>深渊</t>
  </si>
  <si>
    <t>幽冥</t>
  </si>
  <si>
    <t>炼狱</t>
  </si>
  <si>
    <t>象族</t>
  </si>
  <si>
    <t>象族身高7尺到8尺，体重300到400磅，属于中型体型</t>
  </si>
  <si>
    <t>大型形态</t>
  </si>
  <si>
    <t>身强力壮</t>
  </si>
  <si>
    <t>巨人先祖</t>
  </si>
  <si>
    <t>云之远迹</t>
  </si>
  <si>
    <t>火之燃烧</t>
  </si>
  <si>
    <t>霜之刺骨</t>
  </si>
  <si>
    <t>山之翻撞</t>
  </si>
  <si>
    <t>石之坚韧</t>
  </si>
  <si>
    <t>岚之暴鸣</t>
  </si>
  <si>
    <t>析米克混生体</t>
  </si>
  <si>
    <t>你属于中型体型，在你的基础类人种族范围内</t>
  </si>
  <si>
    <t>从第5级开始，你可以用附赠动作将自己体型变为大型（只要你所处的空间大小足够）。转变持续10分钟，或者直到你主动结束（无需动作）。在这段时间内，你进行的力量检定具有优势，你的速度增加10尺。使用此特质后，直到你完成一次长休为止都不能再次使用。</t>
  </si>
  <si>
    <t>你为让自己摆脱受擒状态所作的豁免检定具有优势。此外，计算自己的载重时，视为大一级的体型。</t>
  </si>
  <si>
    <t>你是巨人的后裔。选择以下好处之一——它们是来自你祖先的超自然恩惠；你可以使用所选恩惠的次数等于你的熟练加值，完成长休后，你重获全部已消耗的使用次数。</t>
  </si>
  <si>
    <t>以一个附赠动作，你可以魔法性地传送到30尺内一处你可见的未占据空间中。</t>
  </si>
  <si>
    <t>当你以攻击检定击中目标并对其造成伤害时，你可以对该目标额外造成1d10点火焰伤害。</t>
  </si>
  <si>
    <t>当你以攻击检定击中目标并对其造成伤害时，你可以对该目标额外造成1d6点寒冷伤害，并其速度降低10尺，持续至你的下一回合开始。</t>
  </si>
  <si>
    <t>当你以攻击检定击中一个体型不超过大型的生物并对其造成伤害时，你可以令其陷入倒地状态。</t>
  </si>
  <si>
    <t>当你受到伤害时，你可以用反应掷一枚d12。此次所受伤害减少掷骰结果+你的体质调整值点。</t>
  </si>
  <si>
    <t>当你被你60尺内的生物造成伤害时，你可以使用反应对该生物造成1d8点雷鸣伤害。</t>
  </si>
  <si>
    <t>维多肯</t>
  </si>
  <si>
    <t>维多肯比人类高但是身形更修长，平均身高为六尺到六尺半往往重达两百磅你属于中型体型</t>
  </si>
  <si>
    <t>勇气</t>
  </si>
  <si>
    <t>半身人灵巧</t>
  </si>
  <si>
    <t>幸运</t>
  </si>
  <si>
    <t>天生善匿</t>
  </si>
  <si>
    <t>佛丹人</t>
  </si>
  <si>
    <t>一开始，佛丹人的体型与其族群诞生前前的形态——地精相似，身高在3到4尺之间但在成熟之后的某个时间点，每个佛丹人都会突然长高2尺或更多第1级时，你是一个小型生物当你达到5级时，你将转变为中型生物</t>
  </si>
  <si>
    <t>你为避免/结束恐慌状态所作的豁免具有优势。</t>
  </si>
  <si>
    <t>你可以穿越任何体型比你大的生物所在空间，但你不能在其内停下。</t>
  </si>
  <si>
    <t>当你在D20检定中的d20掷出1时，你可以再重掷一次，但你必须使用重掷的结果。</t>
  </si>
  <si>
    <t>当你在仅被比你大1级的生物遮蔽时，你也可以进行躲藏动作。</t>
  </si>
  <si>
    <t>狮族</t>
  </si>
  <si>
    <t>狮族通常有6尺高，有些直立起来则超过7尺，你的体型属于中型体型</t>
  </si>
  <si>
    <t>适应力</t>
  </si>
  <si>
    <t>多才多艺</t>
  </si>
  <si>
    <t>玄命侏儒</t>
  </si>
  <si>
    <t>枭人</t>
  </si>
  <si>
    <t>中型或小型，当你选择该种族的时候进行决定</t>
  </si>
  <si>
    <t>每当你完成长休时，你都会获得英雄激励。</t>
  </si>
  <si>
    <t>你获得一项自选的技能的熟练。</t>
  </si>
  <si>
    <t>你获得一项自选的起源专长。</t>
  </si>
  <si>
    <t>亚种错误</t>
  </si>
  <si>
    <t>未选亚种</t>
  </si>
  <si>
    <t>鸟羽人</t>
  </si>
  <si>
    <t>激昂冲锋</t>
  </si>
  <si>
    <t>坚韧不屈</t>
  </si>
  <si>
    <t>熊地精</t>
  </si>
  <si>
    <t>妖精</t>
  </si>
  <si>
    <t>你能用附赠动作执行疾走动作。而当你这么做时，你还会获得等同于你熟练加值的临时生命值。
你可以使用此特质次数等于你的熟练加值，完成一次长休后，你重获全部已消耗的使用次数。</t>
  </si>
  <si>
    <t>当你生命值降至0而没有立即死亡时，可以改为使生命值降至1。使用此特质后，在你完成一次长休前你都不能再次使用它。</t>
  </si>
  <si>
    <t>人马</t>
  </si>
  <si>
    <t>40尺</t>
  </si>
  <si>
    <t>异界存在</t>
  </si>
  <si>
    <t>邪魔遗赠</t>
  </si>
  <si>
    <t>地底侏儒</t>
  </si>
  <si>
    <t>你是类人生物。如果有任何前提或效果需要你作为一个侏儒（Gnome），你也被视作侏儒。</t>
  </si>
  <si>
    <t xml:space="preserve">你知晓奇术Thaumaturgy戏法。用此特质施展它时，这道法术使用与你的邪魔遗赠特性使用相同的施法属性。 </t>
  </si>
  <si>
    <t>你承载着一份给予了你超自然能力的邪魔遗赠。从邪魔遗赠表格中选择其一。你获得该遗赠的1级好处。
当你到达3级和5级时，你分别学会一道表格上更高级的法术；你时刻准备着这道习得的法术，且可以不消耗法术位施展此法术一次，当你完成一次长休时，你重获施展该道法术的能力。你也可以用任何你拥有的相应环阶法术位施展该道法术。
选择遗赠时，从智力、感知、魅力中选择一项属性，该属性是你用此特质施展法术时的施法属性。</t>
  </si>
  <si>
    <t xml:space="preserve">1级 你获得对毒素伤害的抗性。你习得毒气喷涌Poison Spray 戏法。
3级 致病射线Ray of Sickness 
5级 定身类人Hold Person </t>
  </si>
  <si>
    <t xml:space="preserve">1级 获得对暗蚀伤害的抗性。你习得颤栗之触Chill Touch 戏法。
3级 虚假生命False Life 
5级 衰弱射线Ray of Enfeeblement </t>
  </si>
  <si>
    <t>1级 你获得对火焰伤害的抗性。你习得火焰箭Fire Bolt 戏法。
3级 炼狱叱喝Hellish Rebuke 
5级 黑暗术Darkness</t>
  </si>
  <si>
    <t>灰矮人</t>
  </si>
  <si>
    <t>你是类人生物。如果有任何前提或效果需要你作为一个矮人（Dwarf），你也被视作矮人。</t>
  </si>
  <si>
    <t>象之宁静</t>
  </si>
  <si>
    <t>天生护甲</t>
  </si>
  <si>
    <t>象鼻</t>
  </si>
  <si>
    <t>敏锐嗅觉</t>
  </si>
  <si>
    <t>雅灵</t>
  </si>
  <si>
    <t>你是类人生物。如果有任何前提或效果需要你作为一个精灵（Elf），你也被视作精灵。</t>
  </si>
  <si>
    <t>你计算自己的负重及拖、拉、拽 的重量时，视为大一级的体型</t>
  </si>
  <si>
    <t>你在对抗恐慌和魅惑的豁免检定上具有优势。</t>
  </si>
  <si>
    <t>你有着厚革质的皮肤，在未穿戴护甲时AC为12+体质调整值。如果你护甲的AC较之更低，你可以用你的天生防御AC取代之，你可以正常获得盾牌提供的AC加值。</t>
  </si>
  <si>
    <t>你可以用你的象鼻抓取物品，你也可以把它作为通气孔，它具有五尺的触及并可以举起等同你力量值5倍磅数的物品。你可以用它来完成以下简单的任务：抬起，放下，握住，推一个物品或一个生物；打开或关上一扇门或一个容器，擒抱某人或进行徒手击打。你的dm可能会允许你把其他简单的任务添加到这个列表里。
你的象鼻不能使用武器或盾牌或任何需要手动操作的事情，比如使用工具或魔法物品或作为一个法术的姿势成分。</t>
  </si>
  <si>
    <t>仰仗你敏感的鼻子，你在依赖嗅觉进行的感知（察觉），感知（求生）和智力（调查）检定上具有优势。</t>
  </si>
  <si>
    <t>仙灵</t>
  </si>
  <si>
    <t>动物强化</t>
  </si>
  <si>
    <t>蝠鲼滑翔</t>
  </si>
  <si>
    <t>灵活攀登</t>
  </si>
  <si>
    <t>水下适应</t>
  </si>
  <si>
    <t>斗殴附件</t>
  </si>
  <si>
    <t>甲壳</t>
  </si>
  <si>
    <t>酸液喷吐</t>
  </si>
  <si>
    <t>费尔伯格人</t>
  </si>
  <si>
    <t>你的身体已经被改变以融入某些动物特征。你现在选择一个动物强化，然后在第5级选择第二个强化。
在第1级，从蝠鲼滑翔、灵活攀登、水下适应中选择其一
在第5级，从斗殴附件、甲壳、酸液喷吐中选择其一或选择一个1级时没有选择的选项</t>
  </si>
  <si>
    <t>你的蝠翼可以减缓你的下降，让你滑翔。当你坠落而没有失能，在计算坠落伤害时，你可以从坠落高度中减去100英尺，每下降1英尺，你可以水平移动2英尺</t>
  </si>
  <si>
    <t>你可以在水中呼吸空气，你获得等于你步行速度的游泳速度</t>
  </si>
  <si>
    <t>你的手臂旁边长着两个特殊的附肢。使用一个动作，你可以使用他们来尝试擒抱一个生物。这些附肢都是天生武器，可以用来进行徒手攻击。如果你击中了目标，你造成1d6+你的力量调整值的钝击伤害。在击中目标后，你可以尝试用附赠动作擒抱目标。这些附肢不能精确操控任何东西，也不能使用武器、魔法物品或其他特殊装备</t>
  </si>
  <si>
    <t>当你不穿重甲时，你将获得AC+1加值</t>
  </si>
  <si>
    <t>使用动作你可以从口腔的腺体中喷射出一股酸性物质，选择30英尺内你能看到的生物或物体作为目标。除非其成功通过DC等于8+你的体质调整值+你的熟练加值的敏捷豁免检定，否则目标受到2d10强酸伤害。当你达到第11级(3d10)和第17级(4d10)时，伤害增加1d10。该特性的可用次数等于你的体质调整值（至少一次）。通过完成一次长休你可以恢复全部已消耗次数</t>
  </si>
  <si>
    <t>元素裔</t>
  </si>
  <si>
    <t>中型或小型，在你选择该种族时选择体型</t>
  </si>
  <si>
    <t>维多肯式冷静</t>
  </si>
  <si>
    <t>追求卓越，不知疲倦</t>
  </si>
  <si>
    <t>部分两栖</t>
  </si>
  <si>
    <t>气元素裔</t>
  </si>
  <si>
    <t>土元素裔</t>
  </si>
  <si>
    <t>火元素裔</t>
  </si>
  <si>
    <t>水元素裔</t>
  </si>
  <si>
    <t>吉斯洋基人</t>
  </si>
  <si>
    <t>异怪</t>
  </si>
  <si>
    <t>你在所有智力，感知和魅力的豁免检定上具有优势。</t>
  </si>
  <si>
    <t>你在以下一项你选择的技能上具有熟练项: 奥秘, 历史, 调查, 医药, 表演或者巧手。 你同样获得一种你选择的工具的熟练项。
当你进行你选择的技能或工具的属性检定时，投一枚D4并将其结果加到骰值上。</t>
  </si>
  <si>
    <t>通过用皮肤吸收氧气，你可以水下呼吸一小时，一旦超过时限，你就无法再次使用本特性直到完成一次长休。</t>
  </si>
  <si>
    <t>吉斯泽莱人</t>
  </si>
  <si>
    <t>黑血疗愈</t>
  </si>
  <si>
    <t>有限心灵感应</t>
  </si>
  <si>
    <t>说服力</t>
  </si>
  <si>
    <t>心灵感应洞悉</t>
  </si>
  <si>
    <t>地精</t>
  </si>
  <si>
    <t>黑色血液是你这一族群与“忍受者”关联的标志，它能提高你的自然治愈能力。若你在短休结束时花费的任何生命骰掷出了1或2，你可以重掷该骰子，但必须使用新的掷骰结果。</t>
  </si>
  <si>
    <t>你可以用心灵感应与周围30尺范围内你能看到的任何生物交流。你不需要与该生物掌握同一门语言，它就能理解你的心灵感应，但它必须能理解至少一门语言。这种交流过程缓慢而有限，只能传递和接收简单的想法和直接的概念。</t>
  </si>
  <si>
    <t>你这一族群缺乏历史，这使你值得信赖，也很谦虚。你拥有游说技能熟练项。</t>
  </si>
  <si>
    <t>你的心灵与周围世界的联系增强了你的意志。你在所有感知和魅力豁免检定中都具有优势。</t>
  </si>
  <si>
    <t>兔人</t>
  </si>
  <si>
    <t>爪击</t>
  </si>
  <si>
    <t>猎手本能</t>
  </si>
  <si>
    <t>畏惧咆哮</t>
  </si>
  <si>
    <t>大地精</t>
  </si>
  <si>
    <t>你的爪子是天生武器，你可以用来进行徒手打击。如果你用它来攻击，你可以造成等同于1d4+你力量调整值的挥砍伤害，而非普通的徒手打击。</t>
  </si>
  <si>
    <t>你获得下列技能中一项你选择技能的熟练项：运动、威吓、游说或生存。</t>
  </si>
  <si>
    <t>你可以用一个附赠动作来发出一阵特别危险的咆哮。指定身边10 尺内能听到你声音的生物必须进行一次感知豁免，否则他将因此陷入恐慌，并持续至你的下回合结束。该DC等于8+你的熟练加值+你的体质调整值。一旦你使用了此特性，直到你完成一次长休或短休才能再次使用。</t>
  </si>
  <si>
    <t>天狗</t>
  </si>
  <si>
    <t>飞行</t>
  </si>
  <si>
    <t>无声羽毛</t>
  </si>
  <si>
    <t>狗头人</t>
  </si>
  <si>
    <t>得益于你的翅膀，你拥有等同于你步行速度的飞行速度。当你穿着中甲或重甲时，你无法使用该飞行速度。</t>
  </si>
  <si>
    <t>你拥有隐匿技能的熟练项。</t>
  </si>
  <si>
    <t>蜥蜴人</t>
  </si>
  <si>
    <t>你的步行速度为30尺，同时你拥有等同于你步行速度的游泳速度</t>
  </si>
  <si>
    <t>禽爪</t>
  </si>
  <si>
    <t>呼风者</t>
  </si>
  <si>
    <t>牛头人</t>
  </si>
  <si>
    <t>因为你的双翼，你拥有等同于你步行速度的飞行速度。如果你穿戴中甲和重甲，则你不能使用此飞行速度。</t>
  </si>
  <si>
    <t>你可以使用你的禽爪进行徒手打击。当你使用它们命中，这次打击会造成1d6+你力量调整值的挥砍伤害，代替徒手打击原本的钝击伤害。</t>
  </si>
  <si>
    <t>从3级开始，你可以施展造风术 Gust of Wind ，且无需材料成分。一旦你使用了该特质施展法术，直到完成一次长休前你不能再次使用。你也可以使用你拥有的2环或更高的法术位施展该法术。
当你使用该特质施展造风术时，智力，感知或魅力是你的施法属性（当你选择该种族时进行决定）。</t>
  </si>
  <si>
    <t>半羊人</t>
  </si>
  <si>
    <t>妖精血统</t>
  </si>
  <si>
    <t>长肢</t>
  </si>
  <si>
    <t>隐秘</t>
  </si>
  <si>
    <t>突袭攻击</t>
  </si>
  <si>
    <t>海精灵</t>
  </si>
  <si>
    <t>你在为自己避免或结束魅惑状态的豁免检定时具有优势。</t>
  </si>
  <si>
    <t>当你在你的回合使用近战攻击时，你的触及范围比通常范围多5尺。</t>
  </si>
  <si>
    <t>在决定你的载重、和你可以推、拉及抬的重量时，你视作为体型大一级的生物。</t>
  </si>
  <si>
    <t>你获得隐匿技能的熟练项。此外，不需要挤身，你可以在小型生物刚好占据的空间中通过和停留。</t>
  </si>
  <si>
    <t>如果你的攻击检定命中了一个战斗开始后还没开始过自己回合的生物，该生物受到额外2d6的伤害。</t>
  </si>
  <si>
    <t>影灵</t>
  </si>
  <si>
    <t>冲锋</t>
  </si>
  <si>
    <t>蹄击</t>
  </si>
  <si>
    <t>马体构造</t>
  </si>
  <si>
    <t>自然亲和</t>
  </si>
  <si>
    <t>斑猫人</t>
  </si>
  <si>
    <t>中型或小型</t>
  </si>
  <si>
    <t>你的步行速度为30尺，并且拥有等于你行走速度的攀爬速度</t>
  </si>
  <si>
    <t>如果你向着目标直线移动了至少30尺，并在同一轮内以近战武器攻击命中了目标，你可以在此攻击后立即使用附赠动作，用你的蹄击对目标进行一次攻击。</t>
  </si>
  <si>
    <t>你可以用你的马蹄来进行徒手打击。如果你以蹄击中目标，将造成1d6+力量调整值的钝击伤害，替代你通常的徒手打击伤害。</t>
  </si>
  <si>
    <t>在决定你的载重、和你可以推、和拉的重量时，你视作为体型大一级的生物。
另外，因为你的马腿，任何需要手脚并用的攀爬对你而言尤其困难。当你进行攀爬时，每移动1尺需要花费额外4尺移动力，而非往常的额外1尺。</t>
  </si>
  <si>
    <t>你的妖精血统连接着自然，这给予了你与自然界与其中的动物有着一种直觉上的联系。因此，你拥有以下一项自选技能的熟练项：医药，自然，或生存。</t>
  </si>
  <si>
    <t>龟人</t>
  </si>
  <si>
    <t>斯涅布力赠礼</t>
  </si>
  <si>
    <t>侏儒魔法抗性</t>
  </si>
  <si>
    <t>斯涅布力伪装</t>
  </si>
  <si>
    <t>梭螺鱼人</t>
  </si>
  <si>
    <t>你的步行速度为30尺，并且拥有等于你行走速度的游泳速度</t>
  </si>
  <si>
    <t>从3级开始，你可以使用该特质施展易容术 Disguise Self 。从5级开始，你同样可以使用该特质施展回避侦测 Nondetection，且无需材料成分。一旦你使用了该特质施展了这些法术中的任何一个，直到完成一次长休前，你不能再次使用该特质施展那个法术。你也能用你拥有的相应法术环阶的法术位来施展这些法术。
当你使用此特质施展法术时，智力，感知或魅力是你的施法属性（当你选择该种族时进行决定）。</t>
  </si>
  <si>
    <t>你在进行对抗法术的智力，感知和魅力豁免时具有优势。</t>
  </si>
  <si>
    <t>当你进行敏捷（隐匿）检定时，你可以使该次检定具有优势。你可以使用此特质的次数等于你的熟练加值，当你完成一次长休后，你重新获得所有消耗的次数。</t>
  </si>
  <si>
    <t>原体蛇人</t>
  </si>
  <si>
    <t>灰矮人魔法</t>
  </si>
  <si>
    <t>矮人抗性</t>
  </si>
  <si>
    <t>灵能坚韧</t>
  </si>
  <si>
    <t>星界精灵</t>
  </si>
  <si>
    <t xml:space="preserve">你是类人生物。当任何效果的前提需要你是精灵时，你同时也被视作一位精灵。 </t>
  </si>
  <si>
    <t>中等</t>
  </si>
  <si>
    <t>从3级开始，你可以使用该特质对你自己施展变巨/缩小术 Enlarge/reduce ，且无需材料成分。从5级开始，你同样可以使用该特质对你自己施展隐形术 Invisibility，且无需材料成分。一旦你使用了该特质施展了这些法术中的任何一个，直到完成一次长休前，你不能再次使用该特质施展那个法术。你也能用你拥有的相应法术环阶的法术位来施展这些法术。
当你使用此特质施展法术时，智力，感知或魅力是你的施法属性（当你选择该种族时进行决定）。</t>
  </si>
  <si>
    <t>你在为自己避免或结束中毒状态的豁免检定时具有优势。你同样具有毒素伤害的抗性。</t>
  </si>
  <si>
    <t>你在为自己避免或结束魅惑和震慑状态的豁免检定时具有优势。</t>
  </si>
  <si>
    <t>自动侏儒</t>
  </si>
  <si>
    <t>构装生物</t>
  </si>
  <si>
    <t>妖精步</t>
  </si>
  <si>
    <t>诘弗人</t>
  </si>
  <si>
    <t>你的步行速度为30尺，你拥有与你步行速度相同的游泳速度</t>
  </si>
  <si>
    <t>用一个附赠动作，你可以魔法地传送到一处30尺内且未被占据的可见空间。你可以使用该特质的次数等于你的熟练加值，当你完成一次长休后，你重新获得所有消耗的次数。
当你到达3级时，你的妖精步会根据你的季节获得额外的效果；如果该效果需要进行一次豁免，该DC等于8+你的熟练加值+你的智力，感知或魅力调整值（当你选择该种族时进行决定）：
秋 Autumn。在你使用妖精步后，你可以立即选择两个10尺内的可见生物，这些生物必须进行一次感知豁免，如果豁免失败则被你魅惑1分钟，或者直到你或你的同伴对他做出伤害行为为止。
冬 Winter。在你使用妖精步时，你可以选择传送前位于你5尺内的一个可见生物，这个生物必须进行一次感知豁免，如果失败则对你陷入恐慌，该效应持续至你的下一回合结束。
春 Spring。在你使用妖精步时，你可以碰触5尺内的一个自愿的生物。这个生物代替你进行传送，出现在你选择的一处在你30尺范围内且未被占据的可见空间。
夏 Summer。在你使用妖精步后，你立即选择的5尺范围内的每个可见生物，将受到等同于你熟练加值的火焰伤害。</t>
  </si>
  <si>
    <t>你拥有察觉技能的熟练项。</t>
  </si>
  <si>
    <t>你不需要睡眠，并且不会因魔法效应而陷入睡眠。你能够以4小时的时间完成长休，前提是如果你将这些时间花在一次出神冥想中，在此期间你保留意识。
当你结束这段冥想时，你可以改变你的季节，并且你能够获得两项你未拥有的熟练项，其中每一项都是你从《玩家手册》中选择的一个武器或是工具项。你通过抽取精灵共有记忆来神秘的获得这些熟练项，并且你保留他们直到你完成下次长休。</t>
  </si>
  <si>
    <t>鼯猴人</t>
  </si>
  <si>
    <t>中型或小型，选择此种族的时候决定你的体型</t>
  </si>
  <si>
    <t>你的步行速度为30尺，你拥有与你步行速度相同的攀爬速度</t>
  </si>
  <si>
    <t>仙灵魔法</t>
  </si>
  <si>
    <t>流浆体</t>
  </si>
  <si>
    <t>泥怪</t>
  </si>
  <si>
    <t>中型或小型，当你选择该种族的时候决定体型</t>
  </si>
  <si>
    <t>你知晓德鲁伊伎俩 Druidcraft。
从3级开始，你能用该特质施展妖火 Faerie。从5级开始，你能使用该特质施展变巨/缩小术 Enlarge/Reduce。一旦你使用了该特特质施展了妖火或变巨/缩小术，直到完成一次长休前，你不能再次使用该特质施展那个法术。你也能用你拥有的相应法术环阶的法术位来施展这些法术。
当你使用该特质施展这些法术时，智力，感知或魅力是你的施法属性（当你选择该种族时进行决定）。</t>
  </si>
  <si>
    <t>因为你的翅膀，你拥有等于你步行速度的飞行速度。如果你穿戴中甲和重甲，则你不能使用此飞行速度。</t>
  </si>
  <si>
    <t>螳螂人</t>
  </si>
  <si>
    <t>怪兽</t>
  </si>
  <si>
    <t>中型或小型，当你选择此种族的时候决定体型</t>
  </si>
  <si>
    <t>费尔伯格人魔法</t>
  </si>
  <si>
    <t>神隐步</t>
  </si>
  <si>
    <t>兽与叶之语</t>
  </si>
  <si>
    <t>半血裔</t>
  </si>
  <si>
    <t>你是中型或小型。当你获得此血统时，你选择你的体型。</t>
  </si>
  <si>
    <t>你能用本特质施展侦测魔法 Detect Magic 和易容术 Disguise Self。当你施展这个版本的易容术 Disguise Self时，你可以看起来变矮或变高3尺。一旦你使用了该特质施展了这些法术中的任何一个，直到完成一次长休前，你不能再次使用该特质施展那个法术。你也能用你拥有的相应法术环阶的法术位来施展这些法术。
当你使用此特性施展这些法术时，智力，感知或魅力是你的施法属性（当你选择该种族时进行决定）。</t>
  </si>
  <si>
    <t>以一个附赠动作，你能如魔法般变为隐形，直到你的下一回合开始，或者直到你攻击，进行一次伤害掷骰，或者强迫某人进行一次豁免检定。你可以使用该特质的次数等于你的熟练加值，当你完成一次长休后，你重新获得所有消耗的次数。</t>
  </si>
  <si>
    <t>你有能力以有限的方式与野兽，植物与植被交流。它们可以理解你的话的意思，虽然你没有特殊的能力来明白它们的回应。你在所有试图影响它们的魅力检定具有优势。</t>
  </si>
  <si>
    <t>巫咒之子</t>
  </si>
  <si>
    <t>魔息</t>
  </si>
  <si>
    <t>闪电抗性</t>
  </si>
  <si>
    <t>融入清风</t>
  </si>
  <si>
    <t>土行</t>
  </si>
  <si>
    <t>混入大地</t>
  </si>
  <si>
    <t>火焰抗性</t>
  </si>
  <si>
    <t>烈焰之触</t>
  </si>
  <si>
    <t>强酸抗性</t>
  </si>
  <si>
    <t>水陆两栖</t>
  </si>
  <si>
    <t>呼唤波浪</t>
  </si>
  <si>
    <t>复生者</t>
  </si>
  <si>
    <t>只要你未陷入失能，就可以一直保持闭气。</t>
  </si>
  <si>
    <t>你具有闪电伤害的抗性。</t>
  </si>
  <si>
    <t>你知晓戏法电爪 Shocking Grasp。从3级开始，你可以使用该特质施展羽落术 Feather Fall，且无需材料成分。从5级开始，你同样可以使用该特质施展浮空术 levitate，且无需材料成分。一旦你使用了该特质施展了这些法术中的任何一个，直到完成一次长休前，你不能再次使用该特质施展那个法术。你也能用你拥有的相应法术环阶的法术位来施展这些法术。
当你使用该特质施展这些法术时，智力，感知或魅力是你的施法属性（当你选择该种族时进行决定）。</t>
  </si>
  <si>
    <t>如果你使用你的步行速度在土地与地板上移动， 你在穿越困难地形时可以不消耗额外的移动力。</t>
  </si>
  <si>
    <t>你知晓戏法剑刃防护 Blade Ward。你可以像通常一样地施展它，你也同样可以使用一个附赠动作施展该戏法，你可以以此施展等于你熟练加值的次数。当你完成一次长休后，你重新获得所有消耗的次数。
从5级开始，你可以使用该特质施展行动无踪 Pass without Trace，且无需材料成分。一旦你使用了该特质施展了该法术，直到完成一次长休前，你不能再次使用该特质施展该法术。你也能用你拥有的二环或更高环阶的法术位来施展这些法术。
当你使用该特质施展这些法术时，智力，感知或魅力是你的施法属性（当你选择该种族时进行决定）。</t>
  </si>
  <si>
    <t>你具有火焰伤害的抗性。</t>
  </si>
  <si>
    <t>你知晓戏法燃火术 produce flame。从3级开始，你可以使用该特质施展燃烧之手 Burning Hands。从5级开始，你可以使用该特质施展火焰刀 Flame Blade，且无需材料成分。一旦你使用了该特质施展了燃烧之手或火焰刀，直到完成一次长休前，你不能再次使用该特质施展那个法术。你也能用你拥有的相应法术环阶的法术位来施展这些法术。
当你使用该特质施展这些法术时，智力，感知或魅力是你的施法属性（当你选择该种族时进行决定）。</t>
  </si>
  <si>
    <t>你具有强酸伤害的抗性。</t>
  </si>
  <si>
    <t>你可以在空气和水中呼吸。</t>
  </si>
  <si>
    <t>你知晓戏法酸液飞溅 Acid Splash。从3级开始，你可以使用该特质施展造水/枯水术 Create or Destroy Water。从5级开始，你可以使用该特质施展水墙术 Wall of Water，且无需材料成分。一旦你使用了该特质施展了造水/枯水术或水墙术，直到完成一次长休前，你不能再次使用该特质施展那个法术。你也能用你拥有的相应法术环阶的法术位来施展这些法术。
当你使用该特质施展这些法术时，智力，感知或魅力是你的施法属性（当你选择该种族时进行决定）。</t>
  </si>
  <si>
    <t>匠偶</t>
  </si>
  <si>
    <t>构装</t>
  </si>
  <si>
    <t>小型（2-3尺高）或中型（约6尺高，仅限枢木）</t>
  </si>
  <si>
    <t>星界知识</t>
  </si>
  <si>
    <t>吉斯洋基灵能</t>
  </si>
  <si>
    <t>心灵抗性</t>
  </si>
  <si>
    <t>素瓷</t>
  </si>
  <si>
    <t>枢木</t>
  </si>
  <si>
    <t>褴布</t>
  </si>
  <si>
    <t>达良人</t>
  </si>
  <si>
    <t>达良人的身高从2至7尺不等，体重在65至300磅之间你的体型取决于你的达良人类型：小型（红色）或中型（蓝色）</t>
  </si>
  <si>
    <t>你的基础步行速度取决于体型：小型为25尺，中型为30尺</t>
  </si>
  <si>
    <t>你可以神秘地进入一个与星光位面相连接的实体经验储存池。当你完成一次长休后，你能够获得一项你选择技能的熟练项，和一项你从《玩家手册》中选择的一个武器或工具的熟练项，如同你短暂地将自己的意识投影到了星光位面。你保留这些熟练项直到你完成下次长休。</t>
  </si>
  <si>
    <t>你知晓戏法法师之手 Mage Hand，当你使用该特质施展该戏法时，这只手是隐形的。
从3级开始，你可以使用该特质施展跳跃术 Jump。从5级开始，你可以使用该特质施展迷踪步 Misty steep，且无需材料成分。一旦你使用了该特质施展了跳跃术或迷踪步，直到完成一次长休前，你不能再次使用该特质再施展那个法术。你也能用你拥有的相应法术环阶的法术位来施展这些法术。
当你使用该特质施展这些法术时，智力，感知或魅力是你的施法属性（当你选择该种族时进行决定）。当你使用该特质施展这些法术时，无需法术成分。</t>
  </si>
  <si>
    <t>你具有心灵伤害的抗性。</t>
  </si>
  <si>
    <t>胧忆岛精灵</t>
  </si>
  <si>
    <t>精灵的身高差异较大，从5尺到超过6尺不等无论你处于这个范围的哪个位置，你的体型都属于中型</t>
  </si>
  <si>
    <t>你的基础步行速度为30尺</t>
  </si>
  <si>
    <t>吉斯泽莱灵能</t>
  </si>
  <si>
    <t>精神灵术</t>
  </si>
  <si>
    <t>蓝达良</t>
  </si>
  <si>
    <t>红达良</t>
  </si>
  <si>
    <t>鸣玉族</t>
  </si>
  <si>
    <t>成年鸣玉族身高2至3尺，平均体重50磅你的体型为小型</t>
  </si>
  <si>
    <t>你的基础步行速度为25尺，游泳速度为30尺</t>
  </si>
  <si>
    <t>你知晓戏法法师之手 Mage Hand，当你使用该特质施展该戏法时，这只手是隐形的。
从3级开始，你可以使用该特质施展护盾术 Shield。从5级开始，你可以使用该特质施展侦测思想 Detect Thoughts。一旦你使用了该特质施展了护盾术或侦测思想，直到完成一次长休前，你不能再次使用该特质再施展那个法术。你也能用你拥有的相应法术环阶的法术位来施展这些法术。
当你使用该特质施展这些法术时，智力，感知或魅力是你的施法属性（当你选择该种族时进行决定）。当你使用该特质施展这些法术时，无需法术成分。</t>
  </si>
  <si>
    <t>你与生俱来的心灵防御能力，使你在为自己避免或结束魅惑和恐慌状态的豁免检定时具有优势。</t>
  </si>
  <si>
    <t>天御灵纹（勇武）</t>
  </si>
  <si>
    <t>天御灵纹（烈炎）</t>
  </si>
  <si>
    <t>天御灵纹（天和）</t>
  </si>
  <si>
    <t>天御灵纹（森灵）</t>
  </si>
  <si>
    <t>天御灵纹（明净）</t>
  </si>
  <si>
    <t>天御灵纹（慈悲）</t>
  </si>
  <si>
    <t>诡木种</t>
  </si>
  <si>
    <t>植物</t>
  </si>
  <si>
    <t>中型（约5-8尺高）</t>
  </si>
  <si>
    <t>小型生物的怒火</t>
  </si>
  <si>
    <t>迅捷逃生</t>
  </si>
  <si>
    <t>苍羽种</t>
  </si>
  <si>
    <t>中型（约4-7尺高）</t>
  </si>
  <si>
    <t>30尺，等于你速度的飞行速度</t>
  </si>
  <si>
    <t>当你使用攻击或法术对一个生物造成伤害时，如果该生物的体型大于你，你可以使该攻击或法术对这个生物造成额外的伤害。该额外伤害等于你的熟练加值。
你可以使用此特质的次数等于你的熟练加值，当你完成一次长休后，你重新获得所有消耗的次数。并且你一回合不能使用该特质超过一次。</t>
  </si>
  <si>
    <t>你在每个自己的回合，可以以一个附赠动作来执行撤离Disengage 或躲藏Hide 动作。</t>
  </si>
  <si>
    <t>疫鼠种</t>
  </si>
  <si>
    <t>中型(约4-6尺高)或小型(约2-4尺高)，在选择此种族时决定</t>
  </si>
  <si>
    <t>30尺，等于你速度的攀爬速度</t>
  </si>
  <si>
    <t>野兔敏锐</t>
  </si>
  <si>
    <t>野兔感官</t>
  </si>
  <si>
    <t>幸运步法</t>
  </si>
  <si>
    <t>兔子跳</t>
  </si>
  <si>
    <t>灰烬种</t>
  </si>
  <si>
    <t>邪魔</t>
  </si>
  <si>
    <t>小型（约2-3尺高）</t>
  </si>
  <si>
    <t>你可以将你的熟练加值加入你的先攻数值。</t>
  </si>
  <si>
    <t>当你的敏捷豁免检定失败时，你可以用反应投掷一粒d4并将其加入到结果中，这样做可能会将失败转变为成功。当你的速度为0或处于倒地状态时，你不能使用该反应。</t>
  </si>
  <si>
    <t>作为一个附赠动作，你能够跳跃一段距离，距离长度为你的熟练加值的五倍，并且不会触发借机攻击。你只能在你的速度高于0时才能使用该特质。你可以使用此特质的次数等于你的熟练加值，当你完成一次长休后，你重新获得所有消耗的次数。</t>
  </si>
  <si>
    <t>咒狼种</t>
  </si>
  <si>
    <t>中型（约5-6尺高）</t>
  </si>
  <si>
    <t>妖精赠礼</t>
  </si>
  <si>
    <t>集众之运</t>
  </si>
  <si>
    <t>丰收种</t>
  </si>
  <si>
    <t>你可以使用该特质以一个附赠动作进行协助动作，而你可以使用此特质的次数等于你的熟练加值。当你完成一次长休后，你重新获得所有消耗的次数。
从3级开始，每当你使用该特质进行协助动作时，从下列选项中选择一项：
好客 Hospitality。你与受你协助的生物都获得等于1d6加你的熟练加值的临时生命值。
通行 Passage。你与受你协助的生物的步行速度都增加10尺，直到你下一个的回合开始。
恶意 Spite。直到你下一个的回合开始，当受你协助的生物首次使用攻击检定命中目标，该目标在下一分钟内的下一次攻击检定具有劣势。</t>
  </si>
  <si>
    <t>如果你在一次攻击检定没有命中，或是在一次属性检定或豁免检定中失败，你可以利用互相帮助的纽带获得骰值的加值，该加值等于30尺内所有你可见的盟友的数量（最多+3加值）。你可以使用此特质的次数等于你的熟练加值，当你完成一次长休后，你重新获得所有消耗的次数。</t>
  </si>
  <si>
    <t>绘骨种</t>
  </si>
  <si>
    <t>亡灵</t>
  </si>
  <si>
    <t>中型（约4-6尺高）</t>
  </si>
  <si>
    <t>复制专家</t>
  </si>
  <si>
    <t>天狗回想</t>
  </si>
  <si>
    <t>拟声</t>
  </si>
  <si>
    <t>丝虫种</t>
  </si>
  <si>
    <t>当你抄写，或仿造自己或其他人制作的工艺品时，你在用以制造一个一模一样复制品的属性检定中具有优势。</t>
  </si>
  <si>
    <t>多亏了你超自然的记忆力，你获得两项自选技能的熟练项。
此外，当你使用任何你具有熟练的技能进行一次属性检定时，在你投掷d20前，你可以让该检定具有优势。你可以使用这种方式给予自身优势的次数等于你的熟练加值，当你完成一次长休后，你重新获得所有消耗的次数。</t>
  </si>
  <si>
    <t>你可以确切地模仿你曾听到过的声音，包括嗓音。一个生物只有在进行一次成功的对抗DC为8+你熟练加值+你魅力调整值的感知（洞悉）检定后，才能听出你发出的声音是模仿的。</t>
  </si>
  <si>
    <t>深潜种</t>
  </si>
  <si>
    <t>中型（约5-7尺高）</t>
  </si>
  <si>
    <t>30尺，等于你速度的游泳速度</t>
  </si>
  <si>
    <t>龙吼</t>
  </si>
  <si>
    <t>狡猾</t>
  </si>
  <si>
    <t>反抗</t>
  </si>
  <si>
    <t>石像种</t>
  </si>
  <si>
    <t>中型（约4-7尺高）或小型（约3-4尺高），选择此种族时决定</t>
  </si>
  <si>
    <t>30尺，等于你速度一半的飞行速度</t>
  </si>
  <si>
    <t>用一个附赠动作，你向在你周围10尺内的敌人发出吼叫。直到你的下一个回合开始前，你和你的盟友对所有能听见你的敌人进行的攻击检定具有优势。你可以使用此特质的次数等于你的熟练加值，当你完成一次长休后，你重新获得所有消耗的次数。</t>
  </si>
  <si>
    <t>你拥有以下一项自选技能的熟练项：奥秘，调查，医药，巧手，或生存。</t>
  </si>
  <si>
    <t>你在为自己避免或结束恐慌状态的豁免检定时具有优势。</t>
  </si>
  <si>
    <t>你知晓一项你从术士法术列表中选择的戏法。智力，感知或魅力是你的施展该戏法的施法属性（当你选择该种族时进行决定）。</t>
  </si>
  <si>
    <t>线偶种</t>
  </si>
  <si>
    <t>中型（约4-7尺高）或小型（约2-4尺高），选择此种族时决定</t>
  </si>
  <si>
    <t>啃咬</t>
  </si>
  <si>
    <t>屏息</t>
  </si>
  <si>
    <t>饥渴之喉</t>
  </si>
  <si>
    <t>自然直觉</t>
  </si>
  <si>
    <t>霜墓种</t>
  </si>
  <si>
    <t>你有一张布满尖牙的嘴，你可以使用它进行徒手打击。当你使用它命中目标时，该打击造成1d6+力量调整值的挥砍伤害，而非一次通常徒手打击的钝击伤害。</t>
  </si>
  <si>
    <t>你每次可以屏住呼吸至多15分钟。</t>
  </si>
  <si>
    <t>你可以让你自己进入一种凶狠的暴食状态。用一个附赠动作，你能使用你的啃咬进行一次特殊攻击，如果该攻击命中，它会造成正常伤害，同时你获得等同于你熟练加值的临时生命值。 你可以使用此特质的次数等于你的熟练加值，当你完成一次长休后，你重新获得所有消耗的次数。</t>
  </si>
  <si>
    <t>你拥有坚韧的鳞片皮肤，在未着装护甲时，你的基础AC为13+你的敏捷调整值。如果你着装护甲的AC较之更低，你可以用你的天生护甲来确定你的AC。当你使用你的天生护甲时，你可以正常获得盾牌提供的加值。</t>
  </si>
  <si>
    <t>由于你与大自然的神秘联系，拥有以下两项自选技能的熟练项：医药，自然，察觉，隐匿，或生存。</t>
  </si>
  <si>
    <t>沼泽种</t>
  </si>
  <si>
    <t>巨人</t>
  </si>
  <si>
    <t>中型（约7-8尺高）</t>
  </si>
  <si>
    <t>角击</t>
  </si>
  <si>
    <t>猛抵冲撞</t>
  </si>
  <si>
    <t>角锤</t>
  </si>
  <si>
    <t>迷宫追忆</t>
  </si>
  <si>
    <t>枉替之子</t>
  </si>
  <si>
    <t>枉替之子制造出来就是为了看起来像个孩童，所以它们的身高在2到3尺之间，体重则在35到55磅之间你的体型为小型</t>
  </si>
  <si>
    <t>25尺</t>
  </si>
  <si>
    <t>你可以使用你的双角进行徒手打击。当你使用它命中目标时，该打击造成1d6+力量调整值的穿刺伤害，而非一次通常徒手打击的钝击伤害。</t>
  </si>
  <si>
    <t>当你在自己的回合中执行疾走动作，并至少移动了20尺后，你可以用附赠动作以你的角击进行一次近战攻击。</t>
  </si>
  <si>
    <t>在你的回合中，当你用近战攻击去作为攻击动作的一部分命中一个生物时，你可以用附赠动作以牛角尝试推撞他。目标生物必须在你的5尺范围内，且体型不能比你大超过一级。除非该生物在进行对抗DC为8+你的熟练加值+你的力量调整值的力量豁免中成功。否则，你将其从你的身边推离10尺。</t>
  </si>
  <si>
    <t>你总是能知道哪个方向是北方， 同时你在任何为导航和追踪所进行的感知（求生）检定具有优势。</t>
  </si>
  <si>
    <t>无形之灵</t>
  </si>
  <si>
    <t xml:space="preserve">你仍然拥有你先前在类人生物时的身高，但你近乎虚无缥缈的身体已将你的体重大幅度削减到了原体重的四分之一你的体型与你在灾难降临前的体型相同 </t>
  </si>
  <si>
    <t>顶撞</t>
  </si>
  <si>
    <t>欢喜之跃</t>
  </si>
  <si>
    <t>贪欢者</t>
  </si>
  <si>
    <t>鸦族</t>
  </si>
  <si>
    <t>鸦族的形体令人印象深刻，身高在4.5英尺到5.5英尺之间，包含了各种不同的版本重约100磅属于中型体型</t>
  </si>
  <si>
    <t>你可以使用你头与的双角进行徒手打击。当你使用它命中目标时，该打击造成1d6+力量调整值的钝击伤害，而非一次通常徒手打击的钝击伤害。</t>
  </si>
  <si>
    <t>你对抗法术的豁免检定具有优势。</t>
  </si>
  <si>
    <t>无论何时你进行一次跳远或跳高时，你可以掷一枚d8，并将掷骰结果的数字加到你所跳跃的尺数即使是进行一次立定跳远。这段额外的距离像通常的情况一样花费移动力。</t>
  </si>
  <si>
    <t>作为狂欢的化身，你拥有表演和游说技能的熟练项，并且你拥有一项自选乐器的熟练项。</t>
  </si>
  <si>
    <t>雉族</t>
  </si>
  <si>
    <t>雉族是最多样化的鸟族，从不到4 英尺到超过5 英尺高，并显示了许多独特的身材形状和尺寸的各异意味着他们也拥有不同的体重，但大多数人重约90磅属于中型体型</t>
  </si>
  <si>
    <t>海之子</t>
  </si>
  <si>
    <t>海之友</t>
  </si>
  <si>
    <t>昏鸦族</t>
  </si>
  <si>
    <t>煽鸦族</t>
  </si>
  <si>
    <t>鸽族</t>
  </si>
  <si>
    <t>鸽族是鸟族中最矮、最轻的，他们大约3 英尺高，体重只有30磅左右属于小型体型</t>
  </si>
  <si>
    <t>你可以在空气和水中呼吸，同时你具有寒冷伤害的抗性。</t>
  </si>
  <si>
    <t>你的族人与水生动物拥有非凡的亲和力。你可以向任何拥有游泳速度的野兽传达简单的想法。它们可以理解你的话的意思，虽然你没有特殊的能力来明白它们的回应。</t>
  </si>
  <si>
    <t>你不需要睡眠，并且不会因魔法效应而陷入睡眠。你能够以4小时的时间完成长休，前提是如果你将这些时间花在一次出神冥想中，在此期间你保留意识。
当你结束这段冥想时，你能够获得两项你未拥有的熟练项，其中每一项都是你从《玩家手册》中选择的一个武器或是工具项。你通过抽取精灵共有记忆来神秘的获得这些熟练项，并且你保留他们直到你完成下次长休。</t>
  </si>
  <si>
    <t>靓雉族</t>
  </si>
  <si>
    <t>野雉族</t>
  </si>
  <si>
    <t>隼族</t>
  </si>
  <si>
    <t>隼族身形瘦削，肌肉发达，但他们不到4 英尺高他们的体重通常比人们想象的要轻，平均约35磅属于小型体型</t>
  </si>
  <si>
    <t>鸦后的祝福</t>
  </si>
  <si>
    <t>暗蚀抗性</t>
  </si>
  <si>
    <t>黑鸽族</t>
  </si>
  <si>
    <t>艳鸽族</t>
  </si>
  <si>
    <t>鸮族</t>
  </si>
  <si>
    <t>鸮族肌肉发达，他们的身高从4 英尺到超过5 英尺鸮族体重约110磅属于中型体型</t>
  </si>
  <si>
    <t>用一个附赠动作，你可以魔法地传送到一处30尺内且未被占据的可见空间。你可以使用该特质的次数等于你的熟练加值，当你完成一次长休后，你重新获得所有消耗的次数。
当你到达3级时，当你使用该特质进行传送，你获得所有伤害的抗性。该抗性直到你的下一个回合开始前。在此期间，你的身体呈现出如幽魂般的半透明。</t>
  </si>
  <si>
    <t>你具有暗蚀伤害的抗性。</t>
  </si>
  <si>
    <t>海隼族</t>
  </si>
  <si>
    <t>风隼族</t>
  </si>
  <si>
    <t>鹿族</t>
  </si>
  <si>
    <t>林地鹿身高5到6英尺，体型轻盈，体重130到180磅叉角鹿体型更高更重，肌肉更发达，站起来大约7英尺高，有时体重超过200镑属于中型体型</t>
  </si>
  <si>
    <t>猫之利爪</t>
  </si>
  <si>
    <t>猫之天性</t>
  </si>
  <si>
    <t>猫之迅捷</t>
  </si>
  <si>
    <t>敦实鸮</t>
  </si>
  <si>
    <t>迅疾鸮</t>
  </si>
  <si>
    <t>曼德拉</t>
  </si>
  <si>
    <t>猬族</t>
  </si>
  <si>
    <t>猬族身形短小滚圆，平均身高3到4英尺，重量在40到70磅之间属于小型体型</t>
  </si>
  <si>
    <t>你能够以爪子进行徒手攻击。当你使用它命中目标时，该打击造成1d6+力量调整值的挥砍伤害，而非一次通常徒手打击的钝击伤害。</t>
  </si>
  <si>
    <t>你拥有察觉和隐匿技能的熟练项。</t>
  </si>
  <si>
    <t>你的反应和敏捷允许你能以爆发性的速度移动。当你在战斗中移动时，你可以让你的速度直到回合结束翻倍。一旦你使用了这个特性，除非你在你的一个回合移动了0尺，否则你不能再使用它。</t>
  </si>
  <si>
    <t>林地鹿</t>
  </si>
  <si>
    <t>叉角鹿</t>
  </si>
  <si>
    <t>跳鼠族</t>
  </si>
  <si>
    <t>跳鼠族有着令人难以置信的小而轻的身体，身高2到3英尺，体重在20到40磅之间属于小型体型</t>
  </si>
  <si>
    <t>利爪</t>
  </si>
  <si>
    <t>龟壳防御</t>
  </si>
  <si>
    <t>浣熊族</t>
  </si>
  <si>
    <t>浣熊族平均身高4到5英尺他们有着各种各样的体型，从苗条到敦实，体重在90到160磅之间属于中型体型</t>
  </si>
  <si>
    <t>你能够以爪子进行徒手打击。当你使用它命中目标时，该打击造成1d6+力量调整值的挥砍伤害，代替徒手打击原本的钝击伤害。</t>
  </si>
  <si>
    <t>你能屏住呼吸长达1小时。</t>
  </si>
  <si>
    <t>你的外壳提供充足的防御，你的基础AC是17（你的敏捷调整值不会影响这个数字）。你无法穿戴轻甲、中甲和重甲，但你在使用盾牌时，仍能获得盾牌的AC加值。</t>
  </si>
  <si>
    <t>由于你与自然的神秘联系，拥有以下一项自选技能的熟练项：驯兽、医药、自然、察觉、隐匿或生存。</t>
  </si>
  <si>
    <t>你能用一个动作缩回壳内。直到你出壳，你获得+4的AC加值， 在力量豁免与体质豁免具有优势。当你在龟壳内时，你处于倒地状态，速度为0且不能增加。你的敏捷豁免具有劣势，你不能执行反应，你唯一能执行的动作是以一个附赠动作从壳中出来。</t>
  </si>
  <si>
    <t>狡狐族</t>
  </si>
  <si>
    <t>狡狐族身材瘦削，但肌肉发达他们身高约4.5到5.5英尺，但相对较轻，体重在90到140磅之间属于中型体型</t>
  </si>
  <si>
    <t>两栖</t>
  </si>
  <si>
    <t>控风操水</t>
  </si>
  <si>
    <t>海之使者</t>
  </si>
  <si>
    <t>海渊守卫</t>
  </si>
  <si>
    <t>以太裔</t>
  </si>
  <si>
    <t>以太裔和人类体型相近，并且有着修长的身形你的体型为中型</t>
  </si>
  <si>
    <t>你的基础步行速度为30尺，当你身处以太位面期间，步行速度增加到35尺</t>
  </si>
  <si>
    <t>你能在水和空气中呼吸。</t>
  </si>
  <si>
    <t>你可以用这个特质施展云雾术fog cloud。从3级开始，你能用它施展造风术gust of wind，从5级开始，你也能用它施展水上行走water walk。一旦你使用了该特质施展了这三个法术之一，直到你完成一次长休前，你都不能再次使用该特质施展那个法术。你也能用你拥有的相应法术环阶的法术位来施展这些法术。
当你使用该特质施展这些法术时，智力，感知或魅力是你的施法属性（当你选择该种族时进行决定）。</t>
  </si>
  <si>
    <t>你可以与具有游泳速度的野兽、元素或怪兽沟通。它们能够理解你的话的意思，虽然你没有特殊的能力来明白它们的回应。</t>
  </si>
  <si>
    <t>你具有寒冷伤害的抗性，能够适应海洋深处的严寒。</t>
  </si>
  <si>
    <t>凝骸</t>
  </si>
  <si>
    <t>凝骸的体型取决于骷髅部分的体型选择此种族时你可以选择中型或小型作为你的体型</t>
  </si>
  <si>
    <t>毒素抗性</t>
  </si>
  <si>
    <t>毒蛇魔法</t>
  </si>
  <si>
    <t>熊民</t>
  </si>
  <si>
    <t xml:space="preserve">熊民身高可达7尺以上，体格健壮有力你的体型为中型 </t>
  </si>
  <si>
    <t>你在避免或结束自己的中毒状态的豁免检定中具有优势。你也具有对毒素伤害的抗性。</t>
  </si>
  <si>
    <t>知晓戏法毒气喷涌poison spray。你能够无限次施展化兽为友 animal friendship，不过目标只能是蛇。从3级开始，你能够施展暗示术suggestion，一但你施展了它，在你完成一次长休前无法再次使用。你也能用你拥有的相应法术环阶的法术位来施展这些法术。
当你使用该特质施展这些法术时，智力，感知或魅力是你的施法属性（当你选择该种族时进行决定）。</t>
  </si>
  <si>
    <t>达拉库食尸鬼</t>
  </si>
  <si>
    <t>你的体型由你的继承亚种决定</t>
  </si>
  <si>
    <t>你的基础步行速度由你的继承亚种决定</t>
  </si>
  <si>
    <t>星界之火</t>
  </si>
  <si>
    <t>星光步</t>
  </si>
  <si>
    <t>星界出神</t>
  </si>
  <si>
    <t>幽影地精</t>
  </si>
  <si>
    <t>地精身高在3到4尺之间，体重在40到80磅之间你的体型为小型</t>
  </si>
  <si>
    <t xml:space="preserve">你习得下列一项你选择的戏法：舞光术Dacing Lights 、光亮术Light 、或圣火术Sacred Flame 。你施展该戏法的施法属性为智力、感知、或魅力。（选择此种族的时候决定）。 </t>
  </si>
  <si>
    <t xml:space="preserve">你进行的为避免魅惑状态或结束你身上的魅惑状态所做的豁免具有优势。 </t>
  </si>
  <si>
    <t>使用一个附赠动作，你能魔法地传送到30尺内一处你可见且未被占据的空间里。你能使用本特质的次数与你的熟练加值相同，当你完成一次长休后，你恢复所有已使用的次数。</t>
  </si>
  <si>
    <t xml:space="preserve">你不需要睡眠，魔法效应亦无法使你陷入睡眠。你能花费4小时进行出神般的冥想来完成一次长休，且整个冥想过程中你都能保持清醒。
当你完成出神时，你获得一个自选技能的熟练项，与一件自选武器或自选工具的熟练项（从《玩家手册》中选择它们）。你通过抽取共享的精灵记忆及星光位面的实体经历，神秘地获得了这些熟练，这个好处会一直持续到你完成下一次长休。 </t>
  </si>
  <si>
    <t>熊民遗承</t>
  </si>
  <si>
    <t>幽影地精遗承</t>
  </si>
  <si>
    <t>影蚀人类</t>
  </si>
  <si>
    <t>与主物质位面的人类一样，影蚀人类的身高和体型差异很大，从刚刚5尺到超过6尺不等无论你在这个范围内处于什么高度，你的体型都是中型</t>
  </si>
  <si>
    <t>装甲外壳</t>
  </si>
  <si>
    <t>铸订成功</t>
  </si>
  <si>
    <t>可被再生构造</t>
  </si>
  <si>
    <t>机械本质</t>
  </si>
  <si>
    <t>哨兵式休息</t>
  </si>
  <si>
    <t>专业设计</t>
  </si>
  <si>
    <t>疾步族</t>
  </si>
  <si>
    <t>疾步族身高在3至4英尺之间，体重在25至40磅之间你的体型属于小型</t>
  </si>
  <si>
    <t>50尺</t>
  </si>
  <si>
    <t>你的身体有着由薄金属或其他的耐用材料制成的外壳。若你未穿着护甲，你的基础护甲等级变为 13+你的敏捷调整值。</t>
  </si>
  <si>
    <t xml:space="preserve">进行攻击检定，属性检定，或豁免检定时，你可以在检定中加入一颗 d4。你能在看到d20骰值后。但该次检定的效应还没处理前再决定是否使用这一特质。你能使用此特质次数等同于 你的熟练加值 次，完成一次长休后，你重获所有已消耗的使用次数。 </t>
  </si>
  <si>
    <t xml:space="preserve">如果一次法术 修复术Mending 被施展到你身上，你可以花费并投掷一枚生命骰，你恢复 投掷结果+你的体质调整值 点生命值（至少1点生命值）。 
此外，你的创造者将你设计为能受益于一些保护生命但通常不影响构装生物的法术：疗伤术Cure Wound、治愈真言Healing Word、群体疗伤术Mass Cure Wound、群体治愈真言Mass Healing Word和维生术Spare the Dying。 </t>
  </si>
  <si>
    <t>你具有毒素伤害抗性，并免疫于疾病。你为防止陷入麻痹或中毒所做的豁免具有优势。你不需要吃、喝、呼吸。</t>
  </si>
  <si>
    <t>当你进行长休时，你需要花费6小时处于一种静止的、非激活的状态，以代替睡眠。这种状态下，你会表现的十分迟缓，但不会失去意识。</t>
  </si>
  <si>
    <t>你获得两项自选的工具熟练，从《玩家手册》中进行选择。</t>
  </si>
  <si>
    <t>嬗变者</t>
  </si>
  <si>
    <t>天赋者</t>
  </si>
  <si>
    <t>树鼠族</t>
  </si>
  <si>
    <t>你的步行速度为25尺，攀爬速度为10尺</t>
  </si>
  <si>
    <t>星界火花</t>
  </si>
  <si>
    <t>枪械精通</t>
  </si>
  <si>
    <t>河马体格</t>
  </si>
  <si>
    <t>灵魂渡者猬族</t>
  </si>
  <si>
    <t>猬族平均身高约3尺，体重约50磅。你的体型为小型。</t>
  </si>
  <si>
    <t>你与星光位面的精神连接让你拥有一簇神力火花的神秘权能，并通过你的武器来引导之。当你使用简易或军用武器命中一个目标时，你能对目标额外造成等同于你熟练加值点的力场伤害。 
你能使用此特质的次数等同于你的熟练加值，但每回合中只能使用一次。当你完成一次长休后，你重获全部已消耗的使用次数。</t>
  </si>
  <si>
    <t>你和枪械有一种神秘的联系，这背后的渊源可追寻至诘弗人那钟情枪械的神祇们。因为祂们，你拥有所有枪械的熟练项，并无视任何枪械的 装填loading 属性。此外，使用枪械攻击最大射程内的敌人时，你的远程武器攻击检定不会因为超过常规射程具有劣势。</t>
  </si>
  <si>
    <t>你在进行基于力量的属性检定与力量豁免时具有优势。此外，当决定你的载货量和推，拉，抬的重量时，你的体型视为比当前大一级。</t>
  </si>
  <si>
    <t>艾科尔</t>
  </si>
  <si>
    <t>特拉德瓦克特</t>
  </si>
  <si>
    <t>冥河幽影</t>
  </si>
  <si>
    <t>小型或中型</t>
  </si>
  <si>
    <t>巧足</t>
  </si>
  <si>
    <t>滑翔</t>
  </si>
  <si>
    <t>鼯猴坚毅</t>
  </si>
  <si>
    <t>崇高鸦族</t>
  </si>
  <si>
    <t>鸦族比人类更纤细矮小。他们的身高在4英尺到接近6英尺之间。你的体型为中型。</t>
  </si>
  <si>
    <t>以一个附赠动作，你能用你的脚操纵一个物件、打开或关上一扇门或容器、或是捡起或放下一个微型物件。</t>
  </si>
  <si>
    <t>当你从至少离地10尺的高度坠落时，你可以用你的反应展开你的翼膜，水平滑行一段等同于你步行速度的距离（其方向由你决定），本次摔落对你造成的伤害变为0。</t>
  </si>
  <si>
    <t>你血管中流淌的魔法增强了你的天生防御力。当你受到伤害时，你可以用反应投掷一枚d6。你受到的伤害减少 投掷结果+你的熟练加值点（最低降至0）。 
你能使用此特质次数等同于你的熟练加值，完成一次长休后，你重获全部已消耗的使用次数。</t>
  </si>
  <si>
    <t>不羁萨塔雷</t>
  </si>
  <si>
    <t>萨塔雷高大瘦长，身高在6到7英尺之间，有着独特的分节肢体。你的体型为中型。</t>
  </si>
  <si>
    <t>无定型体</t>
  </si>
  <si>
    <t>天生坚韧</t>
  </si>
  <si>
    <t>变化自身</t>
  </si>
  <si>
    <t>洛温幻身灵</t>
  </si>
  <si>
    <t>只要你没有携带或穿着任何东西，你就能跻身通过最窄1寸宽的空间。你为发起或逃脱擒抱所进行的属性检定具有优势。</t>
  </si>
  <si>
    <t>你能屏住呼吸达1个小时。</t>
  </si>
  <si>
    <t xml:space="preserve"> 你具有强酸和毒素伤害的抗性，你为防止陷入中毒状态所做的豁免具有优势。 </t>
  </si>
  <si>
    <t>使用一个动作，你可以重塑你的身体，让你拥有一个头、1~2只手臂、1~2条腿，以及临时的手和脚，你也可以变回没有肢体的浆团。当你具有人类般的身形时，你能穿着和你体型相同的类人生物的衣服和护甲。 
以一个附赠动作，你能挤出一条伪肢（或是将已有的伪肢收回你的体内），这条伪肢至多 6 寸宽，10 尺长。作为该附赠动作的一部分，你能用这条伪肢操纵一个物件，打开或关闭一扇门或容器，或是捡起或放下一个微型物件。这条伪肢不具有感知器官，不能用来攻击、激活魔法物品，或是举起超过10磅重的物体。</t>
  </si>
  <si>
    <t>波尬</t>
  </si>
  <si>
    <t>变色甲壳</t>
  </si>
  <si>
    <t>副臂</t>
  </si>
  <si>
    <t>无眠</t>
  </si>
  <si>
    <t>螳螂人心灵感应</t>
  </si>
  <si>
    <t>霜身</t>
  </si>
  <si>
    <t>中型（约4-7尺高）或小型（约2-4尺高），在选择此种族时决定</t>
  </si>
  <si>
    <t xml:space="preserve">若你不穿着护甲时，你的甲壳让你的基础护甲等级变为 13+敏捷调整值。
以一个动作，你能改变你甲壳的颜色来与你身边环境的颜色与纹理相匹配，这让你在这些环境中躲藏时，所进行的敏捷（隐匿）检定具有优势。 </t>
  </si>
  <si>
    <t>在你的两只主臂下，还拥有两只稍微小一些的副臂。这些副臂各能用于操纵一个物件、打开或关闭一扇门或容器、或是捡起或放下一个微型物件、或持用一把具有轻型属性的武器。</t>
  </si>
  <si>
    <t xml:space="preserve">你不需要睡眠且能在长休期间保持清醒，但你仍然必须避免剧烈活动以获得休息的好处。 </t>
  </si>
  <si>
    <t>即使你知晓其他语言，倘若没有魔法的协助，你也无法说出斯里克林语以外的语言。你使用心灵感应作为替代来传达你的想法。你拥有一种能将你的想法通过心灵传递给你120尺内且你可见的自愿生物的魔法能力。一个被你连接的生物无需与你拥有共通语言就可以理解你的思想，但是需要至少能够理解一种语言。你与一个生物的心灵感应连接会在以下情况下断裂：你和该生物之间的距离超过 120 尺，你们两者之一失能，或你们两者之一心灵上断开连接（无需动作）。</t>
  </si>
  <si>
    <t>雪人裔</t>
  </si>
  <si>
    <t>小型(约2-4尺高)或中型(约4-7尺高)，在选取此种族时选择</t>
  </si>
  <si>
    <t>构装本质</t>
  </si>
  <si>
    <t>手作品质</t>
  </si>
  <si>
    <t>匠偶构造</t>
  </si>
  <si>
    <t>常春人</t>
  </si>
  <si>
    <t>你具有60尺黑暗视觉。</t>
  </si>
  <si>
    <t>你不需要食物、水或呼吸。你无需睡眠，魔法也无法让你入睡。若你在4小时内保持静止状态，你可以用4小时完成长休，期间你将保持意识。</t>
  </si>
  <si>
    <t>你的设计或许令人不安、也或许简单直接，亦或是亲和友善。你具有威吓、表演或游说技能的熟练。</t>
  </si>
  <si>
    <t>为方便起见，匠偶以材料进行分类：素瓷是瓷器，枢木是木头，而褴布是织物做的。</t>
  </si>
  <si>
    <t>你出手以前和一具瓷娃娃别无二致。每当你在战斗的第一回合以武器攻击检定对一名生物造成伤害时，该生物额外受到等于你熟练加值的伤害，类型与造成伤害的武器一致。</t>
  </si>
  <si>
    <t>松散的提线悬挂在你的关节肢体上。当你在回合中使用不具有触及、双手或多用词条的武器，其触及范围增加5尺。</t>
  </si>
  <si>
    <t>你全身都是毛茸茸的。当你受到钝击伤害时，你能够以反应获得对触发伤害的抗性，并且你将被向远离伤害源的方向击退5尺。若你无法被向远离伤害源的方向击退，你无法执行该反应。</t>
  </si>
  <si>
    <t>驯鹿人</t>
  </si>
  <si>
    <t xml:space="preserve">中型(约7-8尺高，包括角) </t>
  </si>
  <si>
    <t>植物本质</t>
  </si>
  <si>
    <t>自然连接</t>
  </si>
  <si>
    <t>根须魔法</t>
  </si>
  <si>
    <t>藤蔓缠绕</t>
  </si>
  <si>
    <t>雪狐人</t>
  </si>
  <si>
    <t>30尺，掘穴10尺</t>
  </si>
  <si>
    <t>若你在一天中被阳光直射至少4小时，你无需进食。此外，你可以通过你的叶子呼吸，你也可以通过你的脚吸收水分和营养。</t>
  </si>
  <si>
    <t>你具有自然或求生技能的熟练。</t>
  </si>
  <si>
    <t>你知晓戏法橡棍术Shillelagh，并能以你自身为目标施展该法术，使你的其中一条肢体在法术持续时间内视为一根短棒。
当你到达3级时，你始终准备着法术神莓术Goodberry；当你到达5级时，你始终准备着法术树肤术Barkskin。你可以无需法术位地施展这些法术，一旦你以此法施展了任意一个法术，直至你完成长休你才能再次以此法施展那个法术。你也能够以你拥有的合适环阶的法术位施展这些法术。当你施展这些法术时，无需语言或材料成分。你使用该特质施展这些法术时的施法属性是智力、感知或魅力（在选取种族时选择）。</t>
  </si>
  <si>
    <t>你能够以一个附赠动作令劲草与藤蔓自地面萌发缠绕，覆盖一名30尺内你可见的不超过大型的生物。该生物速度降为0且无法提升，直至其下个回合结束。若该生物将一次攻击替换为释放其自身，该效应提前结束。你能够使用该附赠动作的次数等于你的熟练加值，当你完成长休时重获所有已消耗的使用次数。
当你到达3级时，你的藤蔓缠绕获得基于你收获季节的额外效应（在选取种族时选择）：
春Spring。你的藤蔓缠绕可以指定位于地面30尺内的空中生物为目标，当你使用该特质时，目标将被安全的拉至地面。
夏Summer。你的藤蔓缠绕可以移动目标至多10尺至一处地面或地板上的未占据空间
秋Autumn。你的藤蔓缠绕可以影响对位于首个目标5尺内的第二名目标。
冬Winter。目标受到等于你熟练加值的寒冷伤害。</t>
  </si>
  <si>
    <t>幻身灵</t>
  </si>
  <si>
    <t>中型(约4-7尺高)或小型(约2-4英尺高)，在选取此种族时选择</t>
  </si>
  <si>
    <t>觉醒技能</t>
  </si>
  <si>
    <t>制作符纸</t>
  </si>
  <si>
    <t>圣印启示</t>
  </si>
  <si>
    <t>知识传承</t>
  </si>
  <si>
    <t>知识符纸</t>
  </si>
  <si>
    <t>力量符纸</t>
  </si>
  <si>
    <t>离梦人</t>
  </si>
  <si>
    <t>中型（大约6-7尺高）</t>
  </si>
  <si>
    <t>你获得三项自选技能的熟练。</t>
  </si>
  <si>
    <t>以一个动作，你可以制作一个魔法符纸，为持有者赋予独特能力。制作时选择以下形式之一：
阳符Sun Talisman。持有者可以用附赠动作激活此符，获得撤离或疾走动作的效果（二选一）。
地符Earth Talisman。当持有者生命值降至0但未立即死亡时，此符自动激活，使其生命值变为1。
阴符Moon Talisman。可以用一个动作将此符置于任何武器上。该武器下次命中目标时，此符激活，造成等同于你等级的额外光耀伤害。
符纸在被制作后存在1小时或在被激活时提前消失。使用此特质后，需完成一次长休才能再次使用。</t>
  </si>
  <si>
    <t>你拥有一种天赋能力，能感知并吸收遍布全岛的特殊印记中的信息。这些印记呈现为类似指纹的复杂符号，可以向你传递从简单讯息到复杂技能的各种知识。以一个动作，你可以触碰并吸收这些印记中储存的信息。</t>
  </si>
  <si>
    <t>在达良人文化中，那些获得值得传承智慧的个体被赐予了一种独特能力——他们能在死前留下自己的印记。这种非凡技艺受到达良人的崇敬。
当你到达10级时，你获得通过达良印记传递信息的能力。以一个动作，你可以将手按在任何表面上，创造出独属于你的指纹状印记。创造印记时，你可以诵读一段信息，将其储存在这个魔法符号中。此印记只有达良人可见，且可通过圣印启示能力吸收。</t>
  </si>
  <si>
    <t>你可以用一个动作制作知识符纸。当持有此符纸的生物进行属性检定时，可以激活符纸，投掷一枚d6并将结果加到检定中；生物可以在进行属性检定前后选择投掷。符纸在被制作后存在1小时或在被激活时提前消失。使用此特质后，需完成一次长休才能再次使用。</t>
  </si>
  <si>
    <t>你可以用一个动作制作力量符纸。当持有此符纸的生物进行豁免检定时，可以激活符纸，投掷一枚d6并将结果加到检定中；生物可以在进行豁免检定前后选择投掷。符纸在被制作后存在1小时或在被激活时提前消失。使用此特质后，需完成一次长休才能再次使用。</t>
  </si>
  <si>
    <t>科拉瓦</t>
  </si>
  <si>
    <t>中型(约4-6尺高)或小型(约2-4英尺高)，在选取此种族时选择</t>
  </si>
  <si>
    <t>灵视</t>
  </si>
  <si>
    <t>化兽者</t>
  </si>
  <si>
    <t>得益于你的超自然天赋，你在黑暗和微光光照下拥有超常的视力。你拥有60尺黑暗视觉。</t>
  </si>
  <si>
    <t>你的视觉能力不仅限于黑暗视觉。你可以使用一个动作将视觉转换为灵视，使你能够看见灵界中的生物，这些生物会呈现为发光的轮廓。该效果持续1小时。你可以使用该特性的次数等于你的熟练加值，并在完成一次长休后恢复所有已消耗的使用次数。</t>
  </si>
  <si>
    <t>你知晓戏法抵抗术Resistance，施展时无需材料成分。当你到达3级时，你可以通过此特性以2环法术位施展一次英雄气概Heroism，在完成一次长休后恢复此能力。魅力是你施展这些法术的施法关键属性。</t>
  </si>
  <si>
    <t>你知晓戏法圣火术Sacred Flame。当你到达3级时，你可以通过此特性施展一次粉碎音波Shatter ，无需材料成分，在完成一次长休后恢复此能力。魅力是你施展这些法术的施法关键属性。</t>
  </si>
  <si>
    <t>你知晓戏法神导术Guidance。当你到达3级时，你可以通过此特性施展一次安定心神Calm Emotions ，在完成一次长休后恢复此能力。魅力是你施展这些法术的施法关键属性。</t>
  </si>
  <si>
    <t>你知晓戏法舞光术Dancing Lights ，施展时无需材料构材。当你到达3级时，你可以通过此特性施展一次动物信使Animal Messenger ，无需材料成分，在完成一次长休后恢复此能力。魅力是你施展这些法术的施法关键属性。</t>
  </si>
  <si>
    <t>你知晓戏法维生术Spare the Dying 。当你到达3级时，你可以通过此特性施展一次次等复原术Lesser Restoration ，在完成一次长休后恢复此能力。魅力是你施展这些法术的施法关键属性。</t>
  </si>
  <si>
    <t>你知晓戏法友情羁绊Resilient Friendship 。当你到达3级时，你可以通过此特性施展一次赠生术Gift ，在完成一次长休后恢复此能力。魅力是你施展这些法术的施法关键属性。</t>
  </si>
  <si>
    <t>战俑</t>
  </si>
  <si>
    <t>中型(约6-8尺高)或小型(约3-4英尺高)，在选取此种族时选择</t>
  </si>
  <si>
    <t>远跳</t>
  </si>
  <si>
    <t>捕物舌</t>
  </si>
  <si>
    <t>附着舌</t>
  </si>
  <si>
    <t>你可以在水中和空气中呼吸。</t>
  </si>
  <si>
    <t>无论是否助跑，你都能跳跃至多20尺远，或跳跃至多15尺高。</t>
  </si>
  <si>
    <t>你可以使用附赠动作将舌头伸向15尺内你能看见的一个重量不超过5磅的物体，并将其拉向你，用手接住或任其落在你脚边。如果该物体被生物穿戴或携带，该生物必须通过一次力量检定对抗，否则物体将被拉走。</t>
  </si>
  <si>
    <t>你可以使用附赠动作将舌头伸出并附着在一个体型比你大至少一级的表面或生物上，借此将自己拉向目标。目标必须在你15尺范围内。</t>
  </si>
  <si>
    <t>根深蒂固</t>
  </si>
  <si>
    <t>长老木低语</t>
  </si>
  <si>
    <t>缠枝</t>
  </si>
  <si>
    <t>根须感知</t>
  </si>
  <si>
    <t>参天之姿</t>
  </si>
  <si>
    <t>兽皮</t>
  </si>
  <si>
    <t>长牙</t>
  </si>
  <si>
    <t>迅捷</t>
  </si>
  <si>
    <t>猎食</t>
  </si>
  <si>
    <t>你为避免非自愿移动和倒地状态而进行的属性检定和豁免检定具有优势。</t>
  </si>
  <si>
    <t>你可以汲取长老木精魂的记忆。当你完成一次长休时，你获得一项你选择的技能或工具的熟练，或者掌握一门你选择的语言，持续至你完成下一次长休。</t>
  </si>
  <si>
    <t>你可以使用附赠动作魔法性地释放黑暗森林的束缚力量。选择你周边30尺范围内的一个大型或更小的生物。该生物必须进行一次力量豁免（DC=8+你的熟练加值+你的体质调整值）。豁免失败则目标会因被显现的枝条缠绕而陷入束缚状态，持续1分钟。豁免成功则目标的速度减半，直至你的下一回合结束。被束缚的生物可以在其自身每个回合结束时重复该豁免，豁免成功则终止自身效应。该状态终止时，枝条消失。使用此特质后，直至你完成一次短休或长休为止都不能再次使用。</t>
  </si>
  <si>
    <t>你可以使用附赠动作来获得60尺震颤感知，持续10分钟。使用此特质后，直至你完成一次短休或长休为止都不能再次使用。</t>
  </si>
  <si>
    <t>你为终止自身受擒状态所进行的属性检定具有优势。此外，计算自己的载重时，你视为大一级的体型。</t>
  </si>
  <si>
    <t>苍穹遗赠</t>
  </si>
  <si>
    <t>窥视命运</t>
  </si>
  <si>
    <t>魔法之风</t>
  </si>
  <si>
    <t>你习得戏法神导术Guidance。此外，从3级起，你总是准备着法术卜筮术Augury，并且你可以在不消耗法术位和材料成分的情况下施展该法术一次。你可以在完成一次长休后再次以这种方式施展该法术。你也可以使用合适的法术位施展该法术。
当你通过该特质施展这些法术时，你的施法属性为智力、感知或魅力（选择此种族时决定）。</t>
  </si>
  <si>
    <t>当你投掷先攻时，若你未被突袭，则你可以选择至多等于你熟练加值的你可见的生物。目标在其先攻检定中具有优势。使用此特质后，直至你完成一次短休或长休为止都不能再次使用。</t>
  </si>
  <si>
    <t>你可以使用附赠动作执行疾走动作，并将你的飞行速度提升10尺，直至本回合结束。你可以使用该特质的次数等于你的熟练加值，完成一次长休后，你重获全部已消耗的使用次数。</t>
  </si>
  <si>
    <t>污秽之子</t>
  </si>
  <si>
    <t>受染狡诈</t>
  </si>
  <si>
    <t>瘟疫载体</t>
  </si>
  <si>
    <t>你为避免或终止中毒状态或魔法疫病而进行的豁免检定具有优势。</t>
  </si>
  <si>
    <t>你携带的瘟疫使你与鼠类关联紧密并获得它们的狡诈。你获得欺瞒或隐匿技能的熟练。</t>
  </si>
  <si>
    <t>当你的攻击检定中命中一个生物时，你可以将魔法疫病传播给目标。目标必须进行一次体质豁免（DC=8+你的体质调整值+你的熟练加值），豁免失败时，目标被你的疫病感染，持续1分钟。
被感染期间，目标的攻击检定和属性检定中具有劣势，并且在自身每个回合开始时受到1d4毒素伤害。目标可以在其自身每个回合结束时重复该豁免，豁免成功则终止自身疫病。
使用此特质后，直至你完成一次长休为止都不能再次使用。</t>
  </si>
  <si>
    <t>灰烬遗赠</t>
  </si>
  <si>
    <t>邪魔幸运</t>
  </si>
  <si>
    <t>蝎刺</t>
  </si>
  <si>
    <t>你习得戏法次级幻象Minor Illusion。此外，从3级起，你总是准备着法术魅惑类人Charm Person；从5级起，你始终准备着法术隐形术Invisibility。你可以在不消耗法术位的情况下施展这些法术各一次。你可以在完成一次长休后再次以这种方式施展这些法术。你也可以使用合适的法术位施展这些法术。
当你通过该特质施展这些法术时，你的施法属性为智力、感知或魅力（选择此种族时决定）。</t>
  </si>
  <si>
    <t>当你被一次非重击的攻击检定命中时，你可以使用反应魔法性地使该次攻击对你失手，并且一个位于你周边5尺范围内你选择的生物会受到等于你熟练加值的力场伤害。使用此特质后，直至你完成一次短休或长休为止都不能再次使用。</t>
  </si>
  <si>
    <t>你拥有一根可用于发动徒手打击的尾刺，使用你的力量或敏捷（由你选择）进行攻击检定和伤害掷骰。命中时，你造成1d4穿刺伤害，并且你可以造成额外1d6毒素伤害。你可造成此额外伤害的次数等于你的熟练加值。你在完成短休时恢复一次已消耗的使用次数，完成长休时恢复所有已消耗的使用次数。
当你的角色等级达到10级时，额外伤害增加至2d6。</t>
  </si>
  <si>
    <t>诅咒利爪</t>
  </si>
  <si>
    <t>灰厄均衡</t>
  </si>
  <si>
    <t>狼类感官</t>
  </si>
  <si>
    <t>你拥有可用于发动徒手打击的利爪，命中时造成1d6挥砍伤害，并使用你的力量或敏捷进行攻击检定和伤害掷骰。当你以你的利爪命中一个生物时，你可以诅咒目标，直至你的下一回合开始。在被诅咒期间，目标会散发出缕缕迷雾，并在D20检定中具有劣势。你可以诅咒一个生物的次数等于你的熟练加值，完成一次长休后，你重获全部已消耗的使用次数。</t>
  </si>
  <si>
    <t>当你失败于一次豁免检定时，你可以使用反应将结果改为成功。当你这样做时，你在D20检定中具有劣势，直至你的下一回合结束。你可以使用该特质一次，完成一次长休后，你重获该能力。</t>
  </si>
  <si>
    <t>你具有调查、察觉或求生技能的熟练。</t>
  </si>
  <si>
    <t>剔除劣品</t>
  </si>
  <si>
    <t>苍翠赠礼</t>
  </si>
  <si>
    <t>南瓜灯</t>
  </si>
  <si>
    <t>稻草人本质</t>
  </si>
  <si>
    <t>警觉休息</t>
  </si>
  <si>
    <t>当你对一个浴血生物造成伤害时，你可以对其额外造成1d12暗蚀伤害。你可以使用该特质的次数等于你的熟练加值，完成一次长休后，你重获全部已消耗的使用次数。</t>
  </si>
  <si>
    <t>你可以使用附赠动作来触碰地面，选择你周边30尺范围内一个同样与地面接触的生物。该生物可以掷出并消耗1枚生命骰，恢复等于骰值 + 你熟练加值的生命值。你可以使用该特质的次数等于你的熟练加值。你在完成短休时恢复一次已消耗的使用次数，完成长休时恢复所有已消耗的使用次数。</t>
  </si>
  <si>
    <t>你习得戏法舞光术Dancing Lights 。智力、感知或魅力是你的施法属性（选择此种族时决定）。</t>
  </si>
  <si>
    <t>你无需进食、饮水或呼吸。</t>
  </si>
  <si>
    <t>你无需睡眠，并且魔法无法使你进入睡眠。若你保持4小时不活动的静止状态，则你可以仅用这4小时完成长休，且在这期间保持意识清醒。</t>
  </si>
  <si>
    <t>死亡之舞</t>
  </si>
  <si>
    <t>不息派对</t>
  </si>
  <si>
    <t>纪念一瞬</t>
  </si>
  <si>
    <t>狂欢之魂</t>
  </si>
  <si>
    <t>你可以使用附赠动作来进行一次DC15的魅力（乐器或表演）检定。检定成功则你在你的回合结束前进行的下一次攻击检定具有优势。如果你检定成功且差值为5或更多时，你可以掷出1枚你的生命骰但无需消耗它，获得等于骰值的临时生命值。</t>
  </si>
  <si>
    <t>你无需睡眠。若你进行4小时的狂欢活动，例如讲述故事或演奏歌谣，则你可以仅用这4小时完成长休。</t>
  </si>
  <si>
    <t>当你周边30尺范围内另一个你可见的生物失败于一次D20检定时，你可以使用反应在目标的总值中加入1d4，这可能将失败改为成功。一旦该特质将一次失败改为成功，则直至你完成一次短休或长休为止都不能再次使用该特质。</t>
  </si>
  <si>
    <t>你具有表演技能或一项乐器的熟练。</t>
  </si>
  <si>
    <t>珠宝甲壳</t>
  </si>
  <si>
    <t>蛛丝遗赠</t>
  </si>
  <si>
    <t>蛛行</t>
  </si>
  <si>
    <t>当你被一次攻击检定命中时，你可以使用反应将你的熟练加值加入对抗该攻击的AC中，这可能将命中改为失手。使用此特质后，直至你完成一次短休或长休为止都不能再次使用。</t>
  </si>
  <si>
    <t>你习得戏法奇术Thaumaturgy。此外，从3级起，你始终准备着法术寻获魔宠Find Familiar（魔宠以一只宝石昆虫或蛛形纲生物的形态出现）；从5级起，你始终准备着法术蛛网术Web。你可以在不消耗法术位和材料成分的情况下施展这些法术各一次。你可以在完成一次长休后再次以这种方式施展这些法术。你也可以使用合适的法术位施展这些法术。
当你通过该特质施展这些法术时，你的施法属性为智力、感知或魅力（选择此种族时决定）。</t>
  </si>
  <si>
    <t>你可以在难以攀爬的表面上攀爬，包括沿着天花板移动，无需为此进行属性检定，并且双手保持空闲。</t>
  </si>
  <si>
    <t>诡怖诳语</t>
  </si>
  <si>
    <t>无尽食欲</t>
  </si>
  <si>
    <t>得益于你与饥饿者之间的诡怖联系，你会说深潜语。你可以使用魔法动作来用该语言发出怪诞乱语。源自你的30尺光环区域内所有你选择的生物都必须进行一次感知豁免（DC=8+你的熟练加值+你的智力、感知或魅力调整值；选择此种族时决定），豁免失败则掷1d6并查阅下表。该效应持续至你的下一回合开始。一旦任何目标为对抗该特质而进行的豁免检定失败，则直至你完成一次短休或长休为止都不能再次使用该特质。
1d6	效应Effect
1-2	目标的攻击检定具有劣势。
3-4	目标的速度变为0。
5-6	目标不能执行反应。</t>
  </si>
  <si>
    <t>你可以使用附赠动作来拥抱你与饥饿者之间的联系。直至你的下一回合开始，你知晓你周边60尺范围内所有非构装非亡灵生物的位置，并且你对这些生物发动的攻击检定不会具有劣势。使用此特质后，直至你完成一次短休或长休为止都不能再次使用。</t>
  </si>
  <si>
    <t>银白闪光</t>
  </si>
  <si>
    <t>银辉壁垒</t>
  </si>
  <si>
    <t>守望感官</t>
  </si>
  <si>
    <t>你可以使用附赠动作来以如下一种你选择的方式引导一丝银辉路途之光：
路途恩泽Path’s Grace。你施展法术祝福术Bless，无需材料成分。
狂热冲锋Zealous Charge。你执行疾走动作。你在你的回合结束前进行的下一次攻击检定，无论命中或失手，都会对目标额外造成2d6光耀伤害。
一旦你使用了该特质的附赠动作，则直至你完成一次长休为止都不能再次使用该特质。</t>
  </si>
  <si>
    <t>你可以呼唤银辉路途来护佑你。当你受到钝击、穿刺或挥砍伤害时，你可以使用反应来获得这三种伤害的抗性，持续至你的下个回合开始。使用此特质后，直至你完成一次短休或长休为止都不能再次使用。</t>
  </si>
  <si>
    <t>你具有洞悉、察觉或求生技能的熟练。</t>
  </si>
  <si>
    <t>球形关节</t>
  </si>
  <si>
    <t>纯洁心智</t>
  </si>
  <si>
    <t>线装本质</t>
  </si>
  <si>
    <t>抚慰之心</t>
  </si>
  <si>
    <t>你有一个朋友</t>
  </si>
  <si>
    <t>你可以移动穿过最窄1尺宽的空间，如同穿过困难地形。</t>
  </si>
  <si>
    <t>你具有心灵伤害抗性。</t>
  </si>
  <si>
    <t>你习得戏法神导术Guidance。此外，从3级起，你总是准备着法术庇护术Sanctuary；从5级起，你总是准备着法术安定心神Calm Emotions。你可以在不消耗法术位的情况下施展这些法术各一次。你可以在完成一次长休后再次以这种方式施展这些法术。你也可以使用合适的法术位施展这些法术。
当你通过该特质施展这些法术时，你的施法属性为智力、感知或魅力（选择此种族时决定）。</t>
  </si>
  <si>
    <t>当位于你30尺内一名你可见的生物失败于一次使用技能的属性检定时，你可以使用反应对该生物施展神导术Guidance，无视该法术的常规施法距离限制。该生物可在其属性检定中加入该法术的1d4，这可能将失败改为成功，随后该法术结束。你可以使用该特质的次数等于你的熟练加值，完成一次长休后，你重获全部已消耗的使用次数。</t>
  </si>
  <si>
    <t>吞食尸体</t>
  </si>
  <si>
    <t>无惧霜寒</t>
  </si>
  <si>
    <t>注魔黯龙钢</t>
  </si>
  <si>
    <t>你可以像食用新鲜食物一样食用变质和腐烂的食物。此外，若你花费1分钟食用非构装的小型或更大生物尸体的血肉，掷出1枚生命骰但无需消耗它（即使你没有可用的生命骰）。你恢复等于骰值+你体质调整值的生命值（至少1生命值）。一旦你通过该特质恢复生命值，则直至你完成一次短休或长休为止都不能再次使用该特质。</t>
  </si>
  <si>
    <t>你具有寒冷伤害抗性。</t>
  </si>
  <si>
    <t>当你对一个生物造成伤害时，你可以无视任何其具有的抗性，并令该生物额外受到等于你熟练加值的暗蚀伤害。使用此特质后，直至你完成一次短休或长休为止都不能再次使用。</t>
  </si>
  <si>
    <t>沼泽庞躯</t>
  </si>
  <si>
    <t>引导联结</t>
  </si>
  <si>
    <t>再生</t>
  </si>
  <si>
    <t>你可以使用附赠动作魔法性地在一名位于你60尺内你可见的生物身上放置一个标记。标记持续1分钟，并且呈现为仅你可见的短生植物、苔藓、真菌或沼泽动物的形状。在持续时间内，你可以在对被标记生物进行的属性检定和攻击检定中加入1d4。你可以使用该附赠动作的次数等于你的熟练加值，完成一次长休后，你重获全部已消耗的使用次数。</t>
  </si>
  <si>
    <t>你具有察觉或求生技能的熟练。</t>
  </si>
  <si>
    <t>你能够以附赠动作消耗并投掷一枚生命值骰，恢复等于骰值加你体质调整值的生命值（至少1生命值）。
如果你受到强酸或火焰伤害，则该特质失效，直至你的下个回合结束。</t>
  </si>
  <si>
    <t>寿命</t>
  </si>
  <si>
    <t>人造之物</t>
  </si>
  <si>
    <t>仙灵的魅惑力</t>
  </si>
  <si>
    <t>孩童般的灵敏</t>
  </si>
  <si>
    <t xml:space="preserve">作为构装生物，枉替之子并不会像一般生物一样变老。它们永远被困在了某个被偷走的孩童那娃娃一般的躯体之中。就其本身而言，它们的最大寿命比起时间的作用，更多的是一种自然腐蚀与损伤的作用，偶尔有需要的时候也会修理或更换身体部件。你免疫魔法性的老化效应。 </t>
  </si>
  <si>
    <t xml:space="preserve">作为一名构装生物，你的身体机能与一般人有所不同。你在对抗中毒效应的豁免中具有优势，且你拥有对毒素伤害的抗性。你免疫疾病。你不需要吃，喝，睡觉及呼吸。但你依然被视为类人生物。 </t>
  </si>
  <si>
    <t xml:space="preserve">当仙灵留下一名枉替之子以替换一位凡人孩童时，他们将用一种魅惑力来为枉替之子作掩盖以让其看上去与被偷走的孩子极其相似。这种魅惑力会随着时间消散，但在需要的时候，枉替之子仍可将其召唤出来。你可以使用该特质施展易容术Disguise Self 一次，但只能显现你曾被替换的那个孩童的外貌，并且当你完成一次长休时，你重获该能力。你施展该法术的施法属性为魅力。 </t>
  </si>
  <si>
    <t xml:space="preserve">你可以穿过任何体型大于你的生物的空间。你获得特技技能的熟练。 </t>
  </si>
  <si>
    <t>销身遁形</t>
  </si>
  <si>
    <t>位面浪人</t>
  </si>
  <si>
    <t>奥法起源</t>
  </si>
  <si>
    <t xml:space="preserve">在你的回合内，以一个动作，你可以自物质领域中销身并遁入以太位面。在你维持销身遁形期间，你无法与物质位面进行互动，而物质位面中的效应，包括法术及生物，亦无法与你相互影响。然而，你仍可照常走动与聆听，并且能够以灰色的画面看见一切。
该效应持续1分钟，或在你使用附赠动作结束效应时提前结束。该效应结束时，你于物质位面中，距你所消失的地方最近的未占据空间中重现。此特质一经使用，直至完成长休你都无法再次使用。 </t>
  </si>
  <si>
    <t xml:space="preserve">你可以每天施展一次羽落术Feather Fall，但仅能以你自己为目标。当你到达3级时，你可以每天施展一次朦胧术Blur。当你到达5级时，你可以每天施展一次闪现术Blink 。你施展这些法术的施法属性为智力。 </t>
  </si>
  <si>
    <t xml:space="preserve">你获得奥秘技能的熟练。 </t>
  </si>
  <si>
    <t>善学</t>
  </si>
  <si>
    <t>评估之眼</t>
  </si>
  <si>
    <t>鬼鬼祟祟</t>
  </si>
  <si>
    <t>街头智慧</t>
  </si>
  <si>
    <t>令人信服</t>
  </si>
  <si>
    <t>敏锐思维</t>
  </si>
  <si>
    <t>你可以用你的羽毛手臂进行短距离滑翔，缓慢坠落。当你坠落时，你可以用你的反应来展开你的手臂，让翅膀羽毛变硬并减缓你的下坠。在这样做的同时，你持续以每轮60尺的速度轻轻下落，降落时不会受到坠落伤害。这么做的话，每下降10尺就可以向任意方向前进等于你移动速度的距离。你不能选择向上移动，但你可以在停止移动的空间着陆。你不能在持有重型武器或盾牌的情况下滑翔（作为反应的一部分，在伸展手臂同时你可以丢下任何握持的物品）。你不能在穿戴重甲或受妨碍的时候滑翔。</t>
  </si>
  <si>
    <t>你锋利的爪子帮助你徒手战斗和攀爬。你的徒手打击造成1d4点穿刺伤害。此外，如果攀爬时爪子能够抓住任何表面，你的力量（运动）检定获得优势。</t>
  </si>
  <si>
    <t>你获得一项自选的技能作为熟练项：奥秘、历史、自然或宗教。</t>
  </si>
  <si>
    <t>你有一种近乎超自然的能力来鉴别物体。通过花费一个动作检查任何物品，你可以确定该物品的任何魔法属性，如何使用或激发，以及大致的市场价格。使用这个技能会使眼睛疲劳，你必须完成一个长休或短休后才能再次使用它。</t>
  </si>
  <si>
    <t>昏暗或黑暗环境中，你的敏捷（隐匿）检定获得优势。</t>
  </si>
  <si>
    <t>你拥有洞悉技能的熟练项。</t>
  </si>
  <si>
    <t>煽鸦族能说会道，善于说出别人想要或需要听到的话。你拥有欺瞒和游说技能的熟练项。此外，你在所有的魅力相关检定中都获得优势，只要这些检定是为了说服某人相信你在任何与你选择的善学特质相关（奥秘、历史、自然或宗教）的话题方面拥有杰出知识。</t>
  </si>
  <si>
    <t>你可以学习另外一门自选语言，获得一个自选工具的熟练项，并且能够非常清晰地回忆起你在过去一个月里看到或听到的任何事物。</t>
  </si>
  <si>
    <t>襟翼</t>
  </si>
  <si>
    <t>社区文化</t>
  </si>
  <si>
    <t>民兵训练</t>
  </si>
  <si>
    <t>人民一员</t>
  </si>
  <si>
    <t>激励人心</t>
  </si>
  <si>
    <t>感同身受</t>
  </si>
  <si>
    <t>林地之子</t>
  </si>
  <si>
    <t>种子之语</t>
  </si>
  <si>
    <t>以一个附赠动作，你可以使用强有力手臂上的襟翼推动自身向上移动一段距离，距离等于你移动速度的一半。你擅于有规律的跳跃，但不能在滑翔时使用此能力。</t>
  </si>
  <si>
    <t>每当你进行与自身种族、文化或社区历史相关的智力（历史）检定时，你被视为拥有历史技能的熟练项，并可以加上双倍熟练加值，而非正常的熟练加值。</t>
  </si>
  <si>
    <t>你获得简易武器的熟练项。</t>
  </si>
  <si>
    <t>你获得一个工匠工具的熟练项：酿酒工具。木匠工具或铁匠工具。</t>
  </si>
  <si>
    <t>通过一个动作给予建议或鼓励，你可以激励一个能够看到和听到你的盟友。盟友可以掷出一个1d4，并将被掷出的数字添加到他们的下一次属性检定、攻击检定或豁免检定中。</t>
  </si>
  <si>
    <t>你拥有自然技能的熟练项。</t>
  </si>
  <si>
    <t>你和伟大韵律Great Rhythm的联系是如此紧密，以至于你可以与森林本身的青葱草木沟通。通过言语和触摸，你可以向活着的植物传递简单的想法。你可以用简单的语言解释他们的回答。森林中的植物不会通过视觉来感知世界，但是大多数植物可以感知温度的变化，描述触摸过它们的东西，以及听到周围发生的震动（包括说话）。</t>
  </si>
  <si>
    <t>神经兮兮</t>
  </si>
  <si>
    <t>命中注定</t>
  </si>
  <si>
    <t>难以捉摸</t>
  </si>
  <si>
    <t>坚韧</t>
  </si>
  <si>
    <t>万众瞩目</t>
  </si>
  <si>
    <t>鸣禽</t>
  </si>
  <si>
    <t>你可以选择一个戏法，从术士法术列表中选择之。其施法属性为魅力。</t>
  </si>
  <si>
    <t>不管是幸运还是指引你的存在，你似乎总能找到自己的方向。每天1次，你可以选择重掷任何攻击、技能检定或豁免掷骰。你可以在掷骰之后决定这样做，但必须在掷骰结果确定前声明。</t>
  </si>
  <si>
    <t>你与生俱来的怪癖让别人很难了解你。当其他人对你进行感知（洞悉）检定时，他们获得劣势。此外，在针对非鸽族时，你的魅力（欺瞒）检定获得优势。</t>
  </si>
  <si>
    <t>你进行对抗毒素的豁免时具有优势，并且拥有毒素伤害的抗性。</t>
  </si>
  <si>
    <t>你拥有表演技能的熟练项。</t>
  </si>
  <si>
    <t>每当表演时，你能显露源自个人魅力的天生神秘力量。每长休1次，你能够使用“魅惑类人”法术，但不需要任何姿势成分。与该特质相关的施法关键属性为魅力。</t>
  </si>
  <si>
    <t>林地猎手</t>
  </si>
  <si>
    <t>猎手训练</t>
  </si>
  <si>
    <t>游泳家</t>
  </si>
  <si>
    <t>耐心</t>
  </si>
  <si>
    <t>空中防御</t>
  </si>
  <si>
    <t>你可以用你的羽毛手臂进行短距离滑翔，缓慢坠落。当你坠落时，你可以用你的反应来展开你的手臂，让翅膀羽毛变硬并减缓你的下坠。在这样做的同时，你持续以每轮60尺的速度轻轻下落，降落时不会受到坠落伤害。这么做的话，每下降11尺就可以向任意方向前进等于你移动速度的距离。你不能选择向上移动，但你可以在停止移动的空间着陆。你不能在持有重型武器或盾牌的情况下滑翔（作为反应的一部分，在伸展手臂同时你可以丢下任何握持的物品）。你不能在穿戴重甲或受妨碍的时候滑翔。</t>
  </si>
  <si>
    <t>你的精准允许你将你3/4掩护视为半身掩护，并将半身掩护视为没有掩护。</t>
  </si>
  <si>
    <t>你拥有长弓、短弓和矛的熟练项。不过熟练长弓意味着它不再被视为一件重型武器。</t>
  </si>
  <si>
    <t>你拥有25尺游泳速度。</t>
  </si>
  <si>
    <t>当用反应来执行预备动作时，你的第一次攻击掷骰、技能检定或属性检定上获得优势，这属于该动作的一部分。</t>
  </si>
  <si>
    <t>你拥有运动技能的熟练项。</t>
  </si>
  <si>
    <t>在你坠落、滑翔或跳跃期间，对你发动攻击的生物在其攻击检定中具有劣势。</t>
  </si>
  <si>
    <t>图纹羽毛</t>
  </si>
  <si>
    <t>威严满满</t>
  </si>
  <si>
    <t>格斗家</t>
  </si>
  <si>
    <t>生存大师</t>
  </si>
  <si>
    <t>你可以用你的羽毛手臂进行短距离滑翔，缓慢坠落。当你坠落时，你可以用你的反应来展开你的手臂，让翅膀羽毛变硬并减缓你的下坠。在这样做的同时，你持续以每轮60尺的速度轻轻下落，降落时不会受到坠落伤害。这么做的话，每下降12尺就可以向任意方向前进等于你移动速度的距离。你不能选择向上移动，但你可以在停止移动的空间着陆。你不能在持有重型武器或盾牌的情况下滑翔（作为反应的一部分，在伸展手臂同时你可以丢下任何握持的物品）。你不能在穿戴重甲或受妨碍的时候滑翔。</t>
  </si>
  <si>
    <t>你善于在夜色的掩护下狩猎。你拥有60尺黑暗视觉。</t>
  </si>
  <si>
    <t>森林环境中，你在敏捷（隐匿）检定获得优势。</t>
  </si>
  <si>
    <t>你拥有威吓技能的熟练项。</t>
  </si>
  <si>
    <t>当你使用利爪成功命中目标时，可以用附赠动作擒抱目标。</t>
  </si>
  <si>
    <t>你的基础步行速度提升至35尺。</t>
  </si>
  <si>
    <t>你拥有生存技能的熟练项。</t>
  </si>
  <si>
    <t>注重实践</t>
  </si>
  <si>
    <t>活力澎湃</t>
  </si>
  <si>
    <t>立定跳远</t>
  </si>
  <si>
    <t>灵敏步法</t>
  </si>
  <si>
    <t>鹿角</t>
  </si>
  <si>
    <t>鹿族非常注重实践，热衷把时间花在学习对他们林地村落有用的生活技能上。你获得一项自选的技能作为熟练项：运动、医药、自然或生存。</t>
  </si>
  <si>
    <t>所有的鹿族都具有极强的韧性和求生意志，这使得他们能够从最具毁灭性的打击中恢复过来。如果一次攻击造成的伤害超过你当前剩余生命值的一半，（即使你的生命值被攻击减少到0）你立即恢复相当于1d12+你的体质调整值的生命值。在完成一次长休之前，你不能再次使用此特性。</t>
  </si>
  <si>
    <t>你的基础跳远距离是30尺，基础跳高距离是15尺，并且可以无需助跑。</t>
  </si>
  <si>
    <t>针对你的借机攻击获得劣势。</t>
  </si>
  <si>
    <t>在计算自己的负重及拖、拉、拽的重量时，你的负重翻倍。</t>
  </si>
  <si>
    <t>你有一副又大又结实的鹿角，可以用来进行毁灭性的冲锋攻击。你可以使用徒手攻击抵撞敌人，成功击中后造成等于1d6+你的力量调整值的穿刺伤害。
此外，如果你向着某个敌人直线移动了至少20尺之后，你可以立即以附赠动作进行冲锋，造成的额外1d6点穿刺伤害。如果你冲锋的目标为大体型或更小，目标必须进行一次难度等级为8+你的熟练加值+你的力量调整值的力量豁免检定。若其失败，你将其推至距离你10尺的空间，由你所选择。</t>
  </si>
  <si>
    <t>天生掘穴者</t>
  </si>
  <si>
    <t>多刺的羽发</t>
  </si>
  <si>
    <t>蜷缩</t>
  </si>
  <si>
    <t>森林魔法</t>
  </si>
  <si>
    <t>虫类交谈</t>
  </si>
  <si>
    <t>你拥有15尺掘穴速度。你有能力在松软的泥土中掘穴，但是仅凭你的爪子却无法挖掘任何坚固的东西。</t>
  </si>
  <si>
    <t>猬族的头发和背部复盖着多刺的刚毛。这些棘刺在战斗时会硬化张开，这使得猬族不适合穿戴任何盔甲。这些棘刺提供了额外的保护，你的基础AC是14+你的敏捷调整值。即使你不能穿盔甲，只要你拥有熟练项，你仍然可以从盾牌提供的AC加值中获益。</t>
  </si>
  <si>
    <t>你可以用一个动作蜷缩起来，把攻击者暴露在你坚硬的棘刺墙下。当你蜷缩的时候，你不能移动、攻击、或者施放需要姿势成分的法术，你的基础AC提升至19。当你蜷缩的时候，你的敏捷调整值不会影响AC，但是你仍然可以使用盾牌。
在你蜷缩的时候，任何生物使用近战攻击你而没有击中的话，将会受到2d4点来自你锋利棘刺的穿刺伤害。如果敌人在你蜷缩的时候命中你，你会在回合结束的时候在你的空间里处于倒地状态。在你的回合，你可以在任何时候伸展身体。</t>
  </si>
  <si>
    <t>你和森林的魔法有很深的联系。你习得戏法 德鲁伊伎俩Druidcraft 。此外，你可以用此特质免费施展1次二环法术 动物信使Animal Messenger ，你必须完成一次长休或短休才能再次从这个特性中施展此法术。与该特质相关的施法关键属性为魅力。</t>
  </si>
  <si>
    <t>通过声音和手势，你可以与生物类型为 野兽Beast 的昆虫、蜘蛛、蠕虫和其他令人不安的爬虫交流简单的想法，不论它们的体型大小。</t>
  </si>
  <si>
    <t>炎身</t>
  </si>
  <si>
    <t>振作</t>
  </si>
  <si>
    <t>洁英</t>
  </si>
  <si>
    <t>你可以穿越任何体形比你大的生物所在空间。</t>
  </si>
  <si>
    <t>你的力量豁免检定获得优势。只要你距离你的盟友在5尺之内，彼此能够互相看到听到，并且盟友没有恐慌或失能，你对抗恐慌的豁免检定具有优势。</t>
  </si>
  <si>
    <t>你能以附赠动作执行协助动作。</t>
  </si>
  <si>
    <t>攀爬专家</t>
  </si>
  <si>
    <t>拾荒艺术</t>
  </si>
  <si>
    <t>你拥有20尺攀爬速度。</t>
  </si>
  <si>
    <t>你拥有工匠工具（修补工具）的熟练项。此外，你能使用周围环境中的材料来建造普通物品的粗糙但实用的版本。你可以花费10分钟时间将材料加工为任何不超过30gp的工具或冒险用品。该物品拥有全部功能，甚至可以易容（如果你制作了一件衣服）。工具，以及易损坏的任何其他物品（铁蒺藜，箭矢）在第一次使用后会变得无法使用。其他拾荒艺术物品在1小时后将自动分崩离析。
取决于可用的材料，游戏主持人DM可能会裁定你不能以这种方式制作物品。例如，如果你碰巧在酸性甲虫幼虫的巢穴附近，或者可以将树皮装进一个临时的烧瓶里，那么制作一小瓶强酸可能很容易；但是从一堆树叶中制作一件丝质长袍的仿制品则很困难。
如果你有适当的材料，只要你在物品分崩离析之前开始制作，你可以花费8个小时把这样的一个拾荒艺术物品变成永久性的版本。以这种方式制作出来的物品，其功能性上完全可以视为该物品的正常版本。如果你拥有制作它们的工具的熟练项，它们甚至可以看起来像是专业制作的。否则，物品相当粗糙，外观像是拼凑出来的。如果你有适当的材料，你也可以使用拾荒艺术来修复损坏的装备。但你的维修能管用多久，得看DM了。</t>
  </si>
  <si>
    <t>啮咬</t>
  </si>
  <si>
    <t>反射躲闪</t>
  </si>
  <si>
    <t>迷人诡计</t>
  </si>
  <si>
    <t>你的尖牙能够进行天生的啮咬攻击。你能够以啮咬进行徒手攻击，该打击造成1d6的穿刺伤害，你可以用你的力量调整值或敏捷调整值来计算攻击掷骰和伤害加值。</t>
  </si>
  <si>
    <t>你的所有敏捷豁免检定获得加值，数值等于你的智力调整值。</t>
  </si>
  <si>
    <t>你可以用此特质免费施展1次一环法术 魅惑类人Charm Person 。达到3级后，你可以用此特质免费施展1次二环法术 伏击猎物Ambush Prey （法术见后文）。完成一次长休后你重获以此免费施展这个法术的权利。达到5级后，你可以用此特质免费施展1次3环法术 恐惧术Fear 。完成一次长休后你重获以此免费施展这个法术的权利。与该特质相关的施法关键属性为智力。</t>
  </si>
  <si>
    <t>迷雾视觉</t>
  </si>
  <si>
    <t>帷幕转移</t>
  </si>
  <si>
    <t>由于习惯了以太边境中混乱且通常不可避免的光线条件，你你在黑暗和微光光照下有着超出常人的视力。你拥有60尺黑暗视觉。</t>
  </si>
  <si>
    <t xml:space="preserve">你的眼睛天生适应了以太边境，能让你在以太位面上始终看到正常范围内的事物。
你还可以使用一个附赠动作专注于发现不可见的敌人。持续 1 分钟，或直到你的专注结束（如同专注一个法术），你可以看见隐形的生物和物体，如同他们是可见的，并且你能够看到以太位面内。使用此特性后，直到你完成一次短休或长休为止你都不能再次使用它。 </t>
  </si>
  <si>
    <t xml:space="preserve">当你身处物质位面期间，你能够以一个动作滑入以太位面，直至你的下个回合开始，反之亦然。你在另一个存在位面上所拿取的任何物品，都会在你返回原位面时留在那里。当你身处以太位面期间，你只能影响位于该位面上的生物，也只能被位于该位面上的生物影响，并且你仍然能像在物质位面一样移动。当你身处以太位面上期间，那些不在以太位面上的生物无法察觉你或与你互动，除非某种特殊能力或魔法赋予他们这样的能力，但你仍然能够看到和听到他们。该特质一经使用，直至完成长休你都无法再次使用。 </t>
  </si>
  <si>
    <t>有限盲视</t>
  </si>
  <si>
    <t>共生坚毅</t>
  </si>
  <si>
    <t>即醒</t>
  </si>
  <si>
    <t>你的眼睛是由你用泥怪部分魔法性形成的作品，其为你提供了一些在黑暗与微光中视物的能力。对于你的视觉而言，你可以将周围30尺内的微光光照视为明亮光照，同样范围内的黑暗视为微光光照。不过你无法分辨黑暗中的颜色，只能看到灰度的景象。</t>
  </si>
  <si>
    <t>你依旧保留有一部分来自泥怪部分的周遭环境感知能力。你具有5尺范围的盲视。</t>
  </si>
  <si>
    <t>你不需要呼吸。此外，你具有强酸伤害的抗性，并且免疫疾病。</t>
  </si>
  <si>
    <t>凝骸每天仅仅需要睡很少的时间便足够了。受益于你的有限盲视，即使是在睡眠期间，你也依旧保留着对周遭环境的感知能力。在完成4小时的睡眠后，你会获得如同一个人类睡眠8小时的相同增益。</t>
  </si>
  <si>
    <t>熊族天赋</t>
  </si>
  <si>
    <t>夜之斗篷</t>
  </si>
  <si>
    <t xml:space="preserve">你强健的下颚是天生武器，可用于发动徒手攻击。命中时造成1D6加你力量调整值的穿刺伤害。 </t>
  </si>
  <si>
    <t xml:space="preserve">你的皮毛厚实坚韧，使你获得13 + 你的敏捷调整值的天生护甲等级（AC）。 </t>
  </si>
  <si>
    <t xml:space="preserve">在决定你的负重能力以及你能推动、拖拽或举起的重量时，你被视为体型大一级的生物。 </t>
  </si>
  <si>
    <t xml:space="preserve">你具有运动和察觉技能的熟练。 </t>
  </si>
  <si>
    <t xml:space="preserve">身处微光或黑暗期间，你的敏捷（隐匿）检定具有优势，并且能够以附赠动作执行躲藏动作。 </t>
  </si>
  <si>
    <t>嗜肉之欲</t>
  </si>
  <si>
    <t>介死之躯</t>
  </si>
  <si>
    <t>强颚</t>
  </si>
  <si>
    <t>不死韧性</t>
  </si>
  <si>
    <t>不死活力</t>
  </si>
  <si>
    <t>熊民体型</t>
  </si>
  <si>
    <t>熊民速度</t>
  </si>
  <si>
    <t>死亡之颚</t>
  </si>
  <si>
    <t>不死坚韧</t>
  </si>
  <si>
    <t>地精体型</t>
  </si>
  <si>
    <t>地精速度</t>
  </si>
  <si>
    <t>黑暗行径</t>
  </si>
  <si>
    <t>你每天必须食用1磅生肉，否则将遭受饥饿的影响。如果你24小时内没有进食，你将获得一级力竭。当你因此特质获得任何级别的力竭时，你无法恢复生命值或移除力竭等级，直到你花费至少1小时食用10磅生肉。</t>
  </si>
  <si>
    <t>你被转化为亡灵，但这个过程并不完全。虽然你是类人生物，但你易受针对亡灵的效果影响。你可以从疗伤术等法术中恢复生命值，但也会受到特别针对亡灵的效果影响，如牧师的驱散亡灵。使生物起死回生的游戏效果对你正常生效，但会让你以达拉库食尸鬼的形态复活。完全复生术或许愿术可以将你完全恢复为活着的原种族生物。</t>
  </si>
  <si>
    <t>你沉重的下颚强大到足以将骨头碾成粉末。你的利齿被视为天生武器，可用于进行徒手攻击。命中时，你的啃咬造成1d4 + 你的力量调整值的穿刺伤害，而非普通徒手攻击的钝击伤害。</t>
  </si>
  <si>
    <t>当你、你攻击的目标或你试图察觉的对象处于阳光直射下时，你的攻击检定和依赖视觉的感知（察觉）检定具有劣势。</t>
  </si>
  <si>
    <t>你被注入了不死的黑暗能量，使你摆脱了困扰大多数生物的一些弱点。你对暗蚀和毒素伤害具有抗性，你免疫疾病，并且在对抗魅惑或中毒的豁免检定上具有优势。当你完成一次短休时，如果你在过去24小时内摄入了至少1磅生肉（参见嗜肉之欲特性），你可以减少1级力竭。</t>
  </si>
  <si>
    <t>你不需要呼吸，也不像大多数生物那样睡眠。相反，你每天会进入一种类似死亡的休眠状态6小时，保持半清醒。在休眠状态下，你的感知（察觉）检定具有劣势。以这种方式休息后，你获得与人类8小时睡眠相同的益处。</t>
  </si>
  <si>
    <t>熊民可以长到超过7尺高，拥有厚实、强壮的体格。你的体型为中型。</t>
  </si>
  <si>
    <t>你的基础步行速度为30英尺。</t>
  </si>
  <si>
    <t>作为达拉库食尸鬼，你强壮的下颚成为了你致命的武器。当你以啮咬进行徒手攻击时，你造成的穿刺伤害等同于1d6加上你的力量调整值。</t>
  </si>
  <si>
    <t>你生前的坚韧随你一同进入了不死的领域。当你的生命值降至0但没有立即死亡时，你可以改为降至1点生命值。在你使用了这个特性后，你不能再次使用这个特性，直到完成一次长休。</t>
  </si>
  <si>
    <t>幽影地精的身高在3到4尺之间，体重在40到80磅之间。你的体型为小型。</t>
  </si>
  <si>
    <t>你的基础步行速度为30尺。</t>
  </si>
  <si>
    <t>你对幽默的痴迷并未消失，但你不得不采用更为阴森可怖的手段来表现自己的幽默。以一个动作，你可以通过组合粗鲁的手势和声音来尝试恐吓30尺内你可见的一个生物。如果目标能看到并听到你，它必须通过一次感知豁免检定，否则会在其回合结束前陷入恐慌状态。这个豁免检定的DC等于10加上你的魅力调整值。</t>
  </si>
  <si>
    <t>机敏心智</t>
  </si>
  <si>
    <t>暗影伪装</t>
  </si>
  <si>
    <t>恶目</t>
  </si>
  <si>
    <t>邪眷祝福</t>
  </si>
  <si>
    <t>你拥有欺瞒和洞悉技能的熟练。</t>
  </si>
  <si>
    <t>在微光或黑暗中进行躲藏时，你的敏捷（隐匿）检定具有优势。</t>
  </si>
  <si>
    <t>以一个动作，你可以做出一系列粗鲁的手势和声音来分散30尺内一个你能看见的生物的注意力。如果目标能听见并看见你，它必须进行一次魅力豁免（DC为8 + 你的魅力调整值 + 你的熟练加值）。若豁免失败，该生物在你下回合开始前进行的下一次属性检定、攻击检定或豁免具有劣势。</t>
  </si>
  <si>
    <t>当你、你攻击的目标或你试图察觉的对象处于阳光直射下时，你的攻击骰和基于视觉的感知（察觉）检定具有劣势。</t>
  </si>
  <si>
    <t>你进行对抗魅惑的豁免时具有优势，并且不会因魔法效应而陷入睡眠。</t>
  </si>
  <si>
    <t>暗影灌注</t>
  </si>
  <si>
    <t>匿形</t>
  </si>
  <si>
    <t>虚假身份</t>
  </si>
  <si>
    <t>阴影魅力</t>
  </si>
  <si>
    <t>诅咒注入</t>
  </si>
  <si>
    <t>阴影馈赠</t>
  </si>
  <si>
    <t>你对寒冷伤害具有抗性。</t>
  </si>
  <si>
    <t>当你完全静止时，你可以以一个动作变为隐形。如果你移动或执行动作，你会重新变得可见。你每天可以使用此特性的次数等于你的熟练加值。</t>
  </si>
  <si>
    <t>你获得欺瞒或游说技能的熟练项。</t>
  </si>
  <si>
    <t>你可以以一个动作随意施放易容术。</t>
  </si>
  <si>
    <t>你对暗蚀伤害具有抗性。</t>
  </si>
  <si>
    <t>你与影妖精达成了交易，获得了一份馈赠，但付出了可怕的代价。从以下选项中选择一个来决定你拥有的增益和惩罚（或与你的游戏主持人讨论其他选项）：
你在一项自选技能上获得熟练，并且始终以优势进行该技能的能力检定。选择第二项技能，始终以劣势进行该技能的能力检定。
你不再需要进食或呼吸来生存，且只需4小时即可完成一次长休。但获得一级力竭。这级力竭无法通过任何魔法或非魔法手段移除。
将你当前的基础移动速度减半。获得一项飞行、游泳或攀爬速度，该速度等于你减半的基础移动速度。
将你的一项属性增加6点（最高20）。降低两项不同的属性各2点。
每天黎明时分，你获得等同于你体质值的临时生命值。但你不再能在短休期间消耗生命骰来治疗。</t>
  </si>
  <si>
    <t>惊人速度</t>
  </si>
  <si>
    <t>你在为自己避免或结束魅惑状态的豁免检定时具有优势，并且不会因魔法效应而陷入睡眠。</t>
  </si>
  <si>
    <t>你熟练于特技和巧手这两项技能。</t>
  </si>
  <si>
    <t>你的动作十分迅疾，移动时几近无形。如果你在自己回合中移动了至少10尺，那么在你下个回合开始前，对你发动的攻击检定具有劣势。当你陷入失能或束缚状态时，此特质无效。你每天可以使用此能力的轮数等同于你的等级。</t>
  </si>
  <si>
    <t>陨落天族</t>
  </si>
  <si>
    <t>锋利獠牙</t>
  </si>
  <si>
    <t>心灵感应</t>
  </si>
  <si>
    <t>艾科尔体型</t>
  </si>
  <si>
    <t>世界树的祝福</t>
  </si>
  <si>
    <t>微型武器</t>
  </si>
  <si>
    <t>特拉德瓦克特体型</t>
  </si>
  <si>
    <t>扰敌战嚣</t>
  </si>
  <si>
    <t>你是天族生物的后裔，但与凡世有着强烈的联系。虽然你属于类人生物，但仍会受到针对天族生物的效果影响。</t>
  </si>
  <si>
    <t>你的獠牙是天生武器，可用于进行徒手攻击。命中时造成1点穿刺伤害加1d4点心灵伤害。</t>
  </si>
  <si>
    <t>你可以与视线内的生物进行心灵感应交谈，通讯距离为你等级乘以10尺。你不需要掌握与目标生物的共通语言即可进行心灵感应，但该生物必须至少能理解一种语言。</t>
  </si>
  <si>
    <t>艾科尔树鼠族身高约1.5英尺，体重在20至50磅之间。你的体型为微型。</t>
  </si>
  <si>
    <t>你与尤格德拉希尔心意相通，能够引导其力量。你掌握传讯术message和恶言相加vicious mockery戏法。当你达到5级时，你可以使用此特性施展镜影术mirror image 。使用此特性施展非戏法法术后，你需要完成一次长休后才能再次这样做。这些法术的施法关键属性为魅力。</t>
  </si>
  <si>
    <t>你可以正常使用带有轻型或灵巧词条的武器。由于微型体型的限制，使用其他武器进行攻击检定时具有劣势，且这些武器被视为双手武器。你完全无法使用重型武器。专门为树鼠族（或在DM允许的情况下为其他微型生物）设计的武器可以正常使用。</t>
  </si>
  <si>
    <t>典型的守卫族身高在2至3英尺之间，体重在60至100磅之间。一些强壮的树鼠族军阀甚至可达到3.5英尺的高度。你的体型为小型。</t>
  </si>
  <si>
    <t>你持续不断的啁啾声会分散敌人的注意力。以一个附赠动作，30尺内能听到你声音的非树鼠族生物必须通过魅力豁免检定，否则直到你的下一回合开始前，其攻击检定具有劣势。豁免DC等于8+你的熟练加值+你的体质调整值。使用此特性后，你需要完成一次短休或长休后才能再次使用。</t>
  </si>
  <si>
    <t>掘地者</t>
  </si>
  <si>
    <t>利刺</t>
  </si>
  <si>
    <t>敏锐本能</t>
  </si>
  <si>
    <t>灵舌</t>
  </si>
  <si>
    <t>你拥有20尺的掘穴速度，但只能穿过泥土和沙地，不能穿过泥浆、冰层或岩石。</t>
  </si>
  <si>
    <t>你的尖刺比其他猬族更长且更具威力。当你对5尺内的目标进行近战攻击并命中时，该目标额外受到3（1d6）点穿刺伤害。</t>
  </si>
  <si>
    <t>除非因非魔法睡眠以外的原因而失能，否则你不会被突袭。</t>
  </si>
  <si>
    <t>你天生具有与灵界沟通的能力。你知晓传讯术。当你达到3级时，你可以使用此特质施放魅惑类人Charm Person 法术（仅能以亡灵为目标）。当你达到5级时，你可以使用此特质施放注目术Enthrall。使用此特性施放非戏法法术后，你需要完成一次长休才能再次这样做。这些法术的施法关键属性为感知。</t>
  </si>
  <si>
    <t>死亡之面</t>
  </si>
  <si>
    <t>幽魂之躯</t>
  </si>
  <si>
    <t>神秘起源</t>
  </si>
  <si>
    <t>幽魂韧性</t>
  </si>
  <si>
    <t>以一个动作，你可以剥去生者的伪装，展露真实的幽魂面容。30尺内能看见你的所有非亡灵必须通过DC 13的感知豁免，否则将陷入恐慌1分钟。被恐慌的目标可以在其每回合结束时重复豁免，成功则终止恐慌状态。如果目标豁免成功或效果结束，该目标在接下来24小时内免疫你的死亡之面特质。你每天可使用此特质的次数等于你的体质调整值。</t>
  </si>
  <si>
    <t>从3级开始，你可以用一个动作将实体溶解为灵体物质。你变得半透明且失去颜色，周围的空气变得寒冷。变形持续1分钟或直到你以附赠动作终止为止。在此期间，你获得30尺飞行速度和悬浮能力，且对非魔法且非银质武器造成的钝击、穿刺和挥砍伤害具有抗性。此外，你在逃脱擒抱或对抗束缚状态的属性检定和豁免检定上具有优势，且可以将生物和固体物体视为困难地形通过。如果你在物体内结束回合，你将受到1d10力场伤害。使用此特质后，你必须完成一次长休才能再次使用。</t>
  </si>
  <si>
    <t>你被转化为亡灵，但这个过程并不完全。虽然你是类人生物，但你易受针对亡灵的效果影响。你可以从疗伤术等法术中恢复生命值，但也会受到特别针对亡灵的效果影响，如牧师的驱散亡灵。使生物起死回生的游戏效果对你正常生效，但会让你以幽影的形态复活。完全复生术或许愿术可以将你完全恢复为活着的原种族生物。</t>
  </si>
  <si>
    <t xml:space="preserve">冥河幽影诞生时几乎没有前世记忆，但天生渴望记起自己是谁。创建冥河幽影时，决定你知道以下哪个问题的答案，其余问题则是你寻求答案的目标： 
你的名字是什么？ 
你来自哪里？ 
你最爱的人是谁？ 
你是如何死去的？ 
是什么未完成的事务让你作为幽影复生？ </t>
  </si>
  <si>
    <t>你在对抗毒素和疾病的豁免检定上具有优势，且对暗蚀伤害具有抗性。</t>
  </si>
  <si>
    <t>永恒旋律</t>
  </si>
  <si>
    <t>天宇乐师</t>
  </si>
  <si>
    <t>崇高和弦</t>
  </si>
  <si>
    <t>你在对抗魅惑或恐慌的豁免检定上具有优势。</t>
  </si>
  <si>
    <t>你得到表演技能的熟练项，并获得一种你选择的乐器的熟练项。</t>
  </si>
  <si>
    <t>以一个动作，你可以模仿那神秘的崇高之音来魅惑范围内的生物。30尺内所有能听到你的生物必须通过DC 13的魅力豁免，否则被你魅惑10分钟。被魅惑的生物会将你视为一般朋友。如果你或你的同伴正在与目标战斗，则该生物在豁免时具有优势。使用此能力后，你必须完成一次长休才能再次使用。</t>
  </si>
  <si>
    <t>守密者</t>
  </si>
  <si>
    <t>传送感知</t>
  </si>
  <si>
    <t>解构之触</t>
  </si>
  <si>
    <t>你拥有奥秘技能熟练项，并且在与位面和位面旅行相关的智力（奥秘）检定上具有优势。此外，你还可以选择以下技能之一获得熟练项。历史、洞悉或宗教。</t>
  </si>
  <si>
    <t>当处于封闭空间时，你能本能地知道通往当前区域最近的非魔法入口或出口的方向和距离。你在寻找密门、隐形门和魔法传送门时的智力（调查）或感知（察觉）检定上具有优势。</t>
  </si>
  <si>
    <t>你可以使用一个动作尝试撕裂维系一个生物存在的现实。选择30尺内你能看见的一个生物。该生物必须进行体质豁免检定。豁免DC等于8+你的体质调整值+你的熟练加值。豁免失败的生物必须在其每回合使用动作重复该豁免检定来努力维持自身的完整性。豁免成功时，效果在目标身上终止。使用此特性后，你必须完成一次长休才能再次使用。</t>
  </si>
  <si>
    <t>先祖遗赠</t>
  </si>
  <si>
    <t>亡灵本质</t>
  </si>
  <si>
    <t>吸血啃咬</t>
  </si>
  <si>
    <t>如果你将种族替换为此族裔，你可以保留该种族的下列内容：任何你从中获得的技能熟练以及任何你从中获得的攀爬、飞行或游泳速度。
如果你没有保留任何此类内容，或你在创建角色的时候就选择此血统，则你获得你所选择的两项技能的熟练。</t>
  </si>
  <si>
    <t>你不需要呼吸。</t>
  </si>
  <si>
    <t>你拥有等同于你步行速度的攀爬速度。此外，自第3级起，不需要借助双手，你可以在垂直表面上站立与行走（包括上下左右），甚至可以以此倒立着悬挂在天花板上。</t>
  </si>
  <si>
    <t>你的尖牙啃咬是一件天生武器，这视为一件你熟练的简易近战武器。当你使用此啃咬发动攻击时，你将你的体质调整值而不是力量调整值加在攻击和伤害骰上。此啃咬在命中时造成1d4点穿刺伤害。当你失去一半或以上的生命值时，你在用此啃咬做出的攻击检定上有优势。
当你使用此啃咬攻击并命中一个并非构装或亡灵生物的生物时，你可以选择以下方式之一来强化你自己：
你恢复等同于此啃咬造成的穿刺伤害的生命值。
你在下一次你做出的属性检定或攻击检定上获得等同于此啃咬造成的穿刺伤害的加值。
你能够以此啃咬强化你自己的次数等同于你的熟练加值，在你完成长休时你将重获全部已消耗的强化次数。</t>
  </si>
  <si>
    <t>先祖传承</t>
  </si>
  <si>
    <t>神秘信物</t>
  </si>
  <si>
    <t>心灵传信</t>
  </si>
  <si>
    <t>遥远视野</t>
  </si>
  <si>
    <t>巫咒魔法</t>
  </si>
  <si>
    <t>以一个附赠动作，你可以无害地移除你的一缕头发，一片指甲，或者一颗牙齿。这信物被灌注了魔力，持续到你完成一次长休为止。当此信物被以此法灌注魔力时，你可以执行以下动作：心灵传信、遥远视野</t>
  </si>
  <si>
    <t>如果你和握持或携带此信物的生物相距在10里之内，你可以以一个动作向他传递一条心灵感应信息。这条信息最多包含二十五个单词。</t>
  </si>
  <si>
    <t>如果你在信物的10里内，你可以以一个动作进入一种出神状态。此出神状态持续1分钟，若你解消此状态（无需动作）或失能则提前结束。在此出神状态下，你可以通过信物来看和听，就如同你身处那里一样。当你使你的感官处于信物的位置时，你对自身周围的状况处于目盲与耳聋状态。当此出神状态结束时，信物无害地被摧毁。
一旦你使用此特性创造一个信物，你便不能再次这样做，直到你结束了一次长休，长休结束时你失去的部分会长回来。</t>
  </si>
  <si>
    <t>你可以通过此特性施展法术易容术disguise self与脆弱诅咒hex。一旦你通过此特性使用了这些法术之一，你就不能再以这种方式施放该法术，直到你结束一次长休。你也可以使用任意你拥有的法术位来施放这些法术。
智力、感知或魅力是你施放这些法术的关键属性（当你获得此血统时选择具体是哪一个属性）。</t>
  </si>
  <si>
    <t>往昔知识</t>
  </si>
  <si>
    <t>你曾自死亡中逃脱，这一事实通过以下特性表现：
你在对抗疾病和中毒的豁免骰上有优势，并且你对毒素伤害具有抗性。
你在死亡豁免骰上有优势。
你不需要进食、喝水以及呼吸。
你不需要睡眠，且魔法无法让你睡眠。你可以花费4小时处于一种一动不动但保持知觉清醒的状态中，以此来完成长休。</t>
  </si>
  <si>
    <t>你短暂地回忆起了过去的瞬间，这可能是来自许多年前或上一世的逝去回忆。当你进行一个使用一项技能的属性检定时，你可以在看到d20的结果后立刻投掷一枚d6，并将d6的结果加在此检定上。你可以使用此特性的次数等同于你的熟练值，并且你在结束一次长休时重新获得所有已消耗的次数。</t>
  </si>
  <si>
    <t>自我塑造</t>
  </si>
  <si>
    <t>欢乐模仿</t>
  </si>
  <si>
    <t>莫测诡移</t>
  </si>
  <si>
    <t>以一个动作，你重塑你的身躯为两足类人的形状或四足野兽的形状。若你的形状为类人，你能够穿着为与你体型相同的类人生物制造的衣物或护甲。</t>
  </si>
  <si>
    <t>你具有120尺黑暗视觉。</t>
  </si>
  <si>
    <t>你具有表演或欺瞒技能的熟练。</t>
  </si>
  <si>
    <t>每当你投掷先攻时，只要本次先攻检定不具有劣势，你就能够立即移动等于你速度一半的距离</t>
  </si>
  <si>
    <t>冷火魔法</t>
  </si>
  <si>
    <t>寒冷抗性</t>
  </si>
  <si>
    <t>你知晓戏法冷冻射线Ray of Frost。当你的角色等级到达3级和5级时，你分别习得法术冰刃Ice Knife和火焰刀Flame Blade。你始终准备着这些习得的法术，且可以不消耗法术位施展这些法术一次，当你完成一次长休时，你重获以此法施展该道法术的能力。你也可以用任何你拥有的相应环阶法术位施展该道法术。你使用此特质施展火焰刀Flame Blade时，此法术造成寒冷伤害而非火焰伤害。
智力、感知、或魅力是你用此特质施展法术时的施法属性（在你选择此种族时选择施法属性）。</t>
  </si>
  <si>
    <t>你拥有对寒冷伤害的抗性。</t>
  </si>
  <si>
    <t>洁英灵巧</t>
  </si>
  <si>
    <t>颤栗解剖</t>
  </si>
  <si>
    <t>稠密之雪</t>
  </si>
  <si>
    <t>极寒构装</t>
  </si>
  <si>
    <t>冰川形态</t>
  </si>
  <si>
    <t>你具有对寒冷伤害的抗性。你还知晓戏法颤栗之触Chill Touch。</t>
  </si>
  <si>
    <t>你可以穿越任何体型比你大的生物所在的空间，但你不能在其内停下。此外，你能够跻身通过足以令体型比你小一级的生物通过的空间而无需承受移动力惩罚。</t>
  </si>
  <si>
    <t>你无需睡眠，且魔法无法令你睡眠。若你在期间保持静止，你能够以4小时完成长休；在此期间你看上去就像个雪人，但你保持清醒。你无需吃、喝或呼吸。</t>
  </si>
  <si>
    <t>每长休一次，你能够无需材料成分且无需消耗法术位地施展法术虚假生命False Life，并令你的躯体冰化。</t>
  </si>
  <si>
    <t>户外适性</t>
  </si>
  <si>
    <t>自然庇佑</t>
  </si>
  <si>
    <t>动物之友</t>
  </si>
  <si>
    <t>你能够移动穿过因土地或树叶导致的困难地形而无需额外消耗移动力。</t>
  </si>
  <si>
    <t>即使你仅处于因树叶，暴雨/雪，薄雾或其他自然现象导致的轻度遮蔽下，你也能尝试躲藏。</t>
  </si>
  <si>
    <t>每长休一次，你能无需材料成分且无需法术位地施展法术兽之联结Beast Bond 。</t>
  </si>
  <si>
    <t>指引之光</t>
  </si>
  <si>
    <t>角之御</t>
  </si>
  <si>
    <t>蹄技</t>
  </si>
  <si>
    <t>天生导航</t>
  </si>
  <si>
    <t xml:space="preserve">你能以附赠动作自你的鼻子散发半径20尺的微光光照。你能以附赠动作结束此效应。 </t>
  </si>
  <si>
    <t>每短休一次，你能以反应低下角进入防御姿态。直至你的下个回合开始，你对抗近战攻击的护甲等级获得+2加值。</t>
  </si>
  <si>
    <t>若你以徒手打击命中一名目标，你能造成1d4加你的力量调整值的钝击伤害。</t>
  </si>
  <si>
    <t>后足狂奔</t>
  </si>
  <si>
    <t>尖牙利齿</t>
  </si>
  <si>
    <t>集猎者</t>
  </si>
  <si>
    <t>先祖祝福</t>
  </si>
  <si>
    <t>每当你使用疾走或撤离动作时，你获得额外10尺移动速度，持续至你的回合结束。</t>
  </si>
  <si>
    <t>若你以徒手打击命中一名目标，你能造成1d4加你力量调整值的穿刺伤害。</t>
  </si>
  <si>
    <t>你具有自然、求生或隐匿技能的熟练。</t>
  </si>
  <si>
    <t>每短休一次，你能以动作施展法术神导术Guidance 。</t>
  </si>
  <si>
    <t>幻身本能</t>
  </si>
  <si>
    <t>变形</t>
  </si>
  <si>
    <t>多亏了和妖精领域的联系，你自以下技能中选择两项获得熟练：欺瞒，洞悉，威吓，表演或游说。</t>
  </si>
  <si>
    <t xml:space="preserve">你能以动作变形来改变你的外貌和声音。你可以决定变形的细节，包括你的肤色、发长和性别。你也能调整你的身高和体重并令你的体型在中型和小型间转变。你可以让你看起来好像其他玩家可玩种族的成员，但你的游戏数据不会因此改变。你无法复制你从未见过的外貌，且你变形形态的肢体基本结构需与你本体相同。
此特质不会改变你的衣物和装备。
以此特质变形期间，你的魅力检定具有优势。
你将保持新形态直至你以动作变回你的真实形态。 </t>
  </si>
  <si>
    <t>双重心灵</t>
  </si>
  <si>
    <t>心能训练</t>
  </si>
  <si>
    <t>心灵链接</t>
  </si>
  <si>
    <t>离梦</t>
  </si>
  <si>
    <t>你在感知和魅力豁免中具有优势。</t>
  </si>
  <si>
    <t>你对心灵伤害具有抗性。</t>
  </si>
  <si>
    <t>你拥有心灵感应能力，其距离尺数等于你等级的十倍。当你使用此特质与一个生物进行心灵感应沟通时，你可以用一个魔法动作给予该生物与你心灵感应沟通的能力，持续1小时或直到你用一个魔法动作结束此效应。</t>
  </si>
  <si>
    <t xml:space="preserve">你不能成为托梦术Dream 法术的目标。此外，当你完成一次长休时，你获得自选的一项技能熟练。此熟练会持续到你完成另一次长休为止。 </t>
  </si>
  <si>
    <t>昏睡抗力</t>
  </si>
  <si>
    <t>你在为避免或结束魅惑状态进行的豁免中具有优势。</t>
  </si>
  <si>
    <t>你知晓戏法交友术Friends 。每当你完成一次长休时，你可以将该戏法替换为牧师、德鲁伊或法师法术表中的一道不同戏法。你在使用此特性进行施法时使用的施法属性为智力、感知或魅力（在你选择此种族时进行选择）。</t>
  </si>
  <si>
    <t>当你在为避免或结束昏迷状态进行的豁免中失败时，你可以令其变为成功。此特质一经使用，直到你完成1d4次长休前不能再次使用。</t>
  </si>
  <si>
    <t xml:space="preserve">你获得由你选择的一项技能或工具的熟练。每当你完成一次长休时，你可以将其替换为另一技能或工具的熟练。 </t>
  </si>
  <si>
    <t>兽性本能</t>
  </si>
  <si>
    <t>化兽</t>
  </si>
  <si>
    <t>由于和内在兽性的联系，你拥有以下一项自选技能的熟练项：特技，运动，威吓，或求生。</t>
  </si>
  <si>
    <t xml:space="preserve">你能以附赠动作变形成更加野性的样貌。这种转变持续1分钟或在你以附赠动作恢复原状时提前结束。当你化兽时，你获得等于你熟练加值2倍的临时生命值。你能够化兽的次数等于你的熟练加值，当你完成长休时重获所有已消耗的使用次数。
每当你化兽时，你获得以下增益中的一种（当你选取此种族时选择）。 </t>
  </si>
  <si>
    <t xml:space="preserve">你额外获得1d6临时生命值。化兽期间，你的护甲等级获得+1加值。 </t>
  </si>
  <si>
    <t xml:space="preserve">当你化兽时及化兽期间的其他回合中作为附赠动作，你能使用伸长的獠牙发动一次徒手打击。若你以此徒手打击命中并造成伤害，你可以造成等于1d6+你的力量调整值的穿刺伤害以替代徒手打击通常的伤害。 </t>
  </si>
  <si>
    <t xml:space="preserve">当你处于化兽期间，你的速度提升10尺。此外，当一名生物在你5尺内结束其回合时，你能以反应移动至多10尺。该反应不会引发借机攻击动作。 </t>
  </si>
  <si>
    <t xml:space="preserve">化兽期间，你的感知检定具有优势。此外，只要你未陷入失能状态，位于你30尺内的生物对你的攻击检定就无法具有优势。 </t>
  </si>
  <si>
    <t>构装坚韧</t>
  </si>
  <si>
    <t>内嵌防护</t>
  </si>
  <si>
    <t>哨兵之憩</t>
  </si>
  <si>
    <t>特化设计</t>
  </si>
  <si>
    <t>不知疲倦</t>
  </si>
  <si>
    <t>你拥有对毒素伤害的抗性，且你在为避免或结束中毒状态而进行的豁免时具有优势。</t>
  </si>
  <si>
    <t>你的AC具有+1加值。此外，只要你还活着，你所着装的护甲就不能在你非自愿的情况下被卸下。</t>
  </si>
  <si>
    <t>你不需要睡眠，魔法不能令你入睡。你可以花费6小时进入一种非激活的静止状态，以完成一次长休。这段时间内，你变得迟缓，但仍具有意识。</t>
  </si>
  <si>
    <t>你获得由你选择的一项技能和一项工具的熟练。</t>
  </si>
  <si>
    <t xml:space="preserve">你不会因脱水、饥饿或窒息而获得力竭等级。 </t>
  </si>
  <si>
    <r>
      <rPr>
        <sz val="11"/>
        <color theme="1"/>
        <rFont val="宋体"/>
        <charset val="134"/>
      </rPr>
      <t>专长</t>
    </r>
  </si>
  <si>
    <r>
      <rPr>
        <sz val="11"/>
        <color theme="1"/>
        <rFont val="宋体"/>
        <charset val="134"/>
      </rPr>
      <t>描述</t>
    </r>
  </si>
  <si>
    <r>
      <rPr>
        <sz val="11"/>
        <color theme="1"/>
        <rFont val="宋体"/>
        <charset val="134"/>
      </rPr>
      <t>据点</t>
    </r>
  </si>
  <si>
    <r>
      <rPr>
        <sz val="11"/>
        <color theme="1"/>
        <rFont val="宋体"/>
        <charset val="134"/>
      </rPr>
      <t>先决条件</t>
    </r>
  </si>
  <si>
    <r>
      <rPr>
        <sz val="11"/>
        <color theme="1"/>
        <rFont val="宋体"/>
        <charset val="134"/>
      </rPr>
      <t>空间</t>
    </r>
  </si>
  <si>
    <r>
      <rPr>
        <sz val="11"/>
        <color theme="1"/>
        <rFont val="宋体"/>
        <charset val="134"/>
      </rPr>
      <t>雇员</t>
    </r>
  </si>
  <si>
    <r>
      <rPr>
        <sz val="11"/>
        <color theme="1"/>
        <rFont val="宋体"/>
        <charset val="134"/>
      </rPr>
      <t>指令</t>
    </r>
  </si>
  <si>
    <t>据点</t>
  </si>
  <si>
    <t>先决条件</t>
  </si>
  <si>
    <t>空间</t>
  </si>
  <si>
    <t>雇员</t>
  </si>
  <si>
    <t>指令</t>
  </si>
  <si>
    <t>警戒</t>
  </si>
  <si>
    <t>起源专长
先攻熟练Initiative Proficiency。当你投掷先攻时，你可以将你的熟练加值加入结果。
先攻互换Initiative Swap。当你掷完先攻，你可以立即与处于同一场战斗中的一名自愿的盟友交换先攻。如果你或那个盟友正处于失能状态，则不能进行交换。</t>
  </si>
  <si>
    <t>箭术</t>
  </si>
  <si>
    <t>你使用远程武器进行的攻击检定获得+2加值。</t>
  </si>
  <si>
    <r>
      <rPr>
        <sz val="11"/>
        <color theme="1"/>
        <rFont val="微软雅黑"/>
        <charset val="134"/>
      </rPr>
      <t>奥术研究室</t>
    </r>
  </si>
  <si>
    <t>可以使用奥术法器或可以将工具作为施法法器</t>
  </si>
  <si>
    <r>
      <rPr>
        <sz val="11"/>
        <color theme="1"/>
        <rFont val="宋体"/>
        <charset val="134"/>
      </rPr>
      <t>宽敞</t>
    </r>
  </si>
  <si>
    <r>
      <rPr>
        <sz val="11"/>
        <color theme="1"/>
        <rFont val="宋体"/>
        <charset val="134"/>
      </rPr>
      <t>制造</t>
    </r>
  </si>
  <si>
    <r>
      <rPr>
        <sz val="11"/>
        <color theme="1"/>
        <rFont val="宋体"/>
        <charset val="134"/>
      </rPr>
      <t>奥术研究室是一个安静的实验场所，包含一台或更多的书桌与书架。</t>
    </r>
    <r>
      <rPr>
        <sz val="11"/>
        <color theme="1"/>
        <rFont val="Times New Roman"/>
        <charset val="134"/>
      </rPr>
      <t xml:space="preserve">
</t>
    </r>
    <r>
      <rPr>
        <sz val="11"/>
        <color theme="1"/>
        <rFont val="宋体"/>
        <charset val="134"/>
      </rPr>
      <t>秘学护咒</t>
    </r>
    <r>
      <rPr>
        <sz val="11"/>
        <color theme="1"/>
        <rFont val="Times New Roman"/>
        <charset val="134"/>
      </rPr>
      <t xml:space="preserve"> Arcane Study Charm </t>
    </r>
    <r>
      <rPr>
        <sz val="11"/>
        <color theme="1"/>
        <rFont val="宋体"/>
        <charset val="134"/>
      </rPr>
      <t>：当你在据点内进行一次长休后，你获得一个魔法护咒</t>
    </r>
    <r>
      <rPr>
        <sz val="11"/>
        <color theme="1"/>
        <rFont val="Times New Roman"/>
        <charset val="134"/>
      </rPr>
      <t>Charm</t>
    </r>
    <r>
      <rPr>
        <sz val="11"/>
        <color theme="1"/>
        <rFont val="宋体"/>
        <charset val="134"/>
      </rPr>
      <t>（见第三章</t>
    </r>
    <r>
      <rPr>
        <sz val="11"/>
        <color theme="1"/>
        <rFont val="Times New Roman"/>
        <charset val="134"/>
      </rPr>
      <t>“</t>
    </r>
    <r>
      <rPr>
        <sz val="11"/>
        <color theme="1"/>
        <rFont val="宋体"/>
        <charset val="134"/>
      </rPr>
      <t>超自然恩惠</t>
    </r>
    <r>
      <rPr>
        <sz val="11"/>
        <color theme="1"/>
        <rFont val="Times New Roman"/>
        <charset val="134"/>
      </rPr>
      <t xml:space="preserve"> Supernatural Gifts”</t>
    </r>
    <r>
      <rPr>
        <sz val="11"/>
        <color theme="1"/>
        <rFont val="宋体"/>
        <charset val="134"/>
      </rPr>
      <t>一节），此护咒持续</t>
    </r>
    <r>
      <rPr>
        <sz val="11"/>
        <color theme="1"/>
        <rFont val="Times New Roman"/>
        <charset val="134"/>
      </rPr>
      <t>7</t>
    </r>
    <r>
      <rPr>
        <sz val="11"/>
        <color theme="1"/>
        <rFont val="宋体"/>
        <charset val="134"/>
      </rPr>
      <t>天或持续至你将其使用为止。此护咒允许你施展一次鉴定术</t>
    </r>
    <r>
      <rPr>
        <sz val="11"/>
        <color theme="1"/>
        <rFont val="Times New Roman"/>
        <charset val="134"/>
      </rPr>
      <t xml:space="preserve">Identify </t>
    </r>
    <r>
      <rPr>
        <sz val="11"/>
        <color theme="1"/>
        <rFont val="宋体"/>
        <charset val="134"/>
      </rPr>
      <t>，无需消耗法术位也无需准备施法材料。你无法在已拥有该护咒时再次获得它。</t>
    </r>
    <r>
      <rPr>
        <sz val="11"/>
        <color theme="1"/>
        <rFont val="Times New Roman"/>
        <charset val="134"/>
      </rPr>
      <t xml:space="preserve">
</t>
    </r>
    <r>
      <rPr>
        <sz val="11"/>
        <color theme="1"/>
        <rFont val="宋体"/>
        <charset val="134"/>
      </rPr>
      <t>制造选项</t>
    </r>
    <r>
      <rPr>
        <sz val="11"/>
        <color theme="1"/>
        <rFont val="Times New Roman"/>
        <charset val="134"/>
      </rPr>
      <t xml:space="preserve"> Craft Option </t>
    </r>
    <r>
      <rPr>
        <sz val="11"/>
        <color theme="1"/>
        <rFont val="宋体"/>
        <charset val="134"/>
      </rPr>
      <t>：当你对此设施下达制造指令时，从以下选项中选择一项：</t>
    </r>
    <r>
      <rPr>
        <sz val="11"/>
        <color theme="1"/>
        <rFont val="Times New Roman"/>
        <charset val="134"/>
      </rPr>
      <t xml:space="preserve">
</t>
    </r>
    <r>
      <rPr>
        <sz val="11"/>
        <color theme="1"/>
        <rFont val="宋体"/>
        <charset val="134"/>
      </rPr>
      <t>制造：奥术法器</t>
    </r>
    <r>
      <rPr>
        <sz val="11"/>
        <color theme="1"/>
        <rFont val="Times New Roman"/>
        <charset val="134"/>
      </rPr>
      <t xml:space="preserve"> Craft: Arcane Focus </t>
    </r>
    <r>
      <rPr>
        <sz val="11"/>
        <color theme="1"/>
        <rFont val="宋体"/>
        <charset val="134"/>
      </rPr>
      <t>：你委托该设施的雇员制造一个奥术法器</t>
    </r>
    <r>
      <rPr>
        <sz val="11"/>
        <color theme="1"/>
        <rFont val="Times New Roman"/>
        <charset val="134"/>
      </rPr>
      <t>Arcane Focus</t>
    </r>
    <r>
      <rPr>
        <sz val="11"/>
        <color theme="1"/>
        <rFont val="宋体"/>
        <charset val="134"/>
      </rPr>
      <t>，这项工作需要</t>
    </r>
    <r>
      <rPr>
        <sz val="11"/>
        <color theme="1"/>
        <rFont val="Times New Roman"/>
        <charset val="134"/>
      </rPr>
      <t>7</t>
    </r>
    <r>
      <rPr>
        <sz val="11"/>
        <color theme="1"/>
        <rFont val="宋体"/>
        <charset val="134"/>
      </rPr>
      <t>天且无需花费金钱。在你领取它之前，造好的法器会留在你的据点内。</t>
    </r>
    <r>
      <rPr>
        <sz val="11"/>
        <color theme="1"/>
        <rFont val="Times New Roman"/>
        <charset val="134"/>
      </rPr>
      <t xml:space="preserve">
</t>
    </r>
    <r>
      <rPr>
        <sz val="11"/>
        <color theme="1"/>
        <rFont val="宋体"/>
        <charset val="134"/>
      </rPr>
      <t>制造：书卷</t>
    </r>
    <r>
      <rPr>
        <sz val="11"/>
        <color theme="1"/>
        <rFont val="Times New Roman"/>
        <charset val="134"/>
      </rPr>
      <t xml:space="preserve"> Craft</t>
    </r>
    <r>
      <rPr>
        <sz val="11"/>
        <color theme="1"/>
        <rFont val="宋体"/>
        <charset val="134"/>
      </rPr>
      <t>：</t>
    </r>
    <r>
      <rPr>
        <sz val="11"/>
        <color theme="1"/>
        <rFont val="Times New Roman"/>
        <charset val="134"/>
      </rPr>
      <t xml:space="preserve">Book </t>
    </r>
    <r>
      <rPr>
        <sz val="11"/>
        <color theme="1"/>
        <rFont val="宋体"/>
        <charset val="134"/>
      </rPr>
      <t>：你委托该设施的雇员制造一本空白的书。</t>
    </r>
    <r>
      <rPr>
        <sz val="11"/>
        <color theme="1"/>
        <rFont val="Times New Roman"/>
        <charset val="134"/>
      </rPr>
      <t xml:space="preserve"> </t>
    </r>
    <r>
      <rPr>
        <sz val="11"/>
        <color theme="1"/>
        <rFont val="宋体"/>
        <charset val="134"/>
      </rPr>
      <t>这项工作需要</t>
    </r>
    <r>
      <rPr>
        <sz val="11"/>
        <color theme="1"/>
        <rFont val="Times New Roman"/>
        <charset val="134"/>
      </rPr>
      <t>7</t>
    </r>
    <r>
      <rPr>
        <sz val="11"/>
        <color theme="1"/>
        <rFont val="宋体"/>
        <charset val="134"/>
      </rPr>
      <t>天并且需要花费</t>
    </r>
    <r>
      <rPr>
        <sz val="11"/>
        <color theme="1"/>
        <rFont val="Times New Roman"/>
        <charset val="134"/>
      </rPr>
      <t>10GP</t>
    </r>
    <r>
      <rPr>
        <sz val="11"/>
        <color theme="1"/>
        <rFont val="宋体"/>
        <charset val="134"/>
      </rPr>
      <t>。在你将其领取前，造出的书会留在你的据点内。</t>
    </r>
    <r>
      <rPr>
        <sz val="11"/>
        <color theme="1"/>
        <rFont val="Times New Roman"/>
        <charset val="134"/>
      </rPr>
      <t xml:space="preserve">
</t>
    </r>
    <r>
      <rPr>
        <sz val="11"/>
        <color theme="1"/>
        <rFont val="宋体"/>
        <charset val="134"/>
      </rPr>
      <t>制造：魔法物品</t>
    </r>
    <r>
      <rPr>
        <sz val="11"/>
        <color theme="1"/>
        <rFont val="Times New Roman"/>
        <charset val="134"/>
      </rPr>
      <t>(</t>
    </r>
    <r>
      <rPr>
        <sz val="11"/>
        <color theme="1"/>
        <rFont val="宋体"/>
        <charset val="134"/>
      </rPr>
      <t>奥秘</t>
    </r>
    <r>
      <rPr>
        <sz val="11"/>
        <color theme="1"/>
        <rFont val="Times New Roman"/>
        <charset val="134"/>
      </rPr>
      <t>) Craft</t>
    </r>
    <r>
      <rPr>
        <sz val="11"/>
        <color theme="1"/>
        <rFont val="宋体"/>
        <charset val="134"/>
      </rPr>
      <t>：</t>
    </r>
    <r>
      <rPr>
        <sz val="11"/>
        <color theme="1"/>
        <rFont val="Times New Roman"/>
        <charset val="134"/>
      </rPr>
      <t>Magic Item</t>
    </r>
    <r>
      <rPr>
        <sz val="11"/>
        <color theme="1"/>
        <rFont val="宋体"/>
        <charset val="134"/>
      </rPr>
      <t>（</t>
    </r>
    <r>
      <rPr>
        <sz val="11"/>
        <color theme="1"/>
        <rFont val="Times New Roman"/>
        <charset val="134"/>
      </rPr>
      <t>Arcana</t>
    </r>
    <r>
      <rPr>
        <sz val="11"/>
        <color theme="1"/>
        <rFont val="宋体"/>
        <charset val="134"/>
      </rPr>
      <t>）</t>
    </r>
    <r>
      <rPr>
        <sz val="11"/>
        <color theme="1"/>
        <rFont val="Times New Roman"/>
        <charset val="134"/>
      </rPr>
      <t xml:space="preserve"> </t>
    </r>
    <r>
      <rPr>
        <sz val="11"/>
        <color theme="1"/>
        <rFont val="宋体"/>
        <charset val="134"/>
      </rPr>
      <t>：如果你的等级达到或高于</t>
    </r>
    <r>
      <rPr>
        <sz val="11"/>
        <color theme="1"/>
        <rFont val="Times New Roman"/>
        <charset val="134"/>
      </rPr>
      <t>9</t>
    </r>
    <r>
      <rPr>
        <sz val="11"/>
        <color theme="1"/>
        <rFont val="宋体"/>
        <charset val="134"/>
      </rPr>
      <t>级，你可以委托此设施的雇员制造一件由你选择的普通</t>
    </r>
    <r>
      <rPr>
        <sz val="11"/>
        <color theme="1"/>
        <rFont val="Times New Roman"/>
        <charset val="134"/>
      </rPr>
      <t>Common</t>
    </r>
    <r>
      <rPr>
        <sz val="11"/>
        <color theme="1"/>
        <rFont val="宋体"/>
        <charset val="134"/>
      </rPr>
      <t>或非普通</t>
    </r>
    <r>
      <rPr>
        <sz val="11"/>
        <color theme="1"/>
        <rFont val="Times New Roman"/>
        <charset val="134"/>
      </rPr>
      <t>Uncommon</t>
    </r>
    <r>
      <rPr>
        <sz val="11"/>
        <color theme="1"/>
        <rFont val="宋体"/>
        <charset val="134"/>
      </rPr>
      <t>魔法物品，该物品必须来自第七章的奥秘</t>
    </r>
    <r>
      <rPr>
        <sz val="11"/>
        <color theme="1"/>
        <rFont val="Times New Roman"/>
        <charset val="134"/>
      </rPr>
      <t>Arcana</t>
    </r>
    <r>
      <rPr>
        <sz val="11"/>
        <color theme="1"/>
        <rFont val="宋体"/>
        <charset val="134"/>
      </rPr>
      <t>表格。此设施拥有制造该物品所需的工具，而其雇员拥有该工具的熟练以及奥秘</t>
    </r>
    <r>
      <rPr>
        <sz val="11"/>
        <color theme="1"/>
        <rFont val="Times New Roman"/>
        <charset val="134"/>
      </rPr>
      <t>Arcana</t>
    </r>
    <r>
      <rPr>
        <sz val="11"/>
        <color theme="1"/>
        <rFont val="宋体"/>
        <charset val="134"/>
      </rPr>
      <t>技能的熟练。参考第七章</t>
    </r>
    <r>
      <rPr>
        <sz val="11"/>
        <color theme="1"/>
        <rFont val="Times New Roman"/>
        <charset val="134"/>
      </rPr>
      <t>“</t>
    </r>
    <r>
      <rPr>
        <sz val="11"/>
        <color theme="1"/>
        <rFont val="宋体"/>
        <charset val="134"/>
      </rPr>
      <t>制造魔法物品</t>
    </r>
    <r>
      <rPr>
        <sz val="11"/>
        <color theme="1"/>
        <rFont val="Times New Roman"/>
        <charset val="134"/>
      </rPr>
      <t xml:space="preserve"> Crafting Magic Items”</t>
    </r>
    <r>
      <rPr>
        <sz val="11"/>
        <color theme="1"/>
        <rFont val="宋体"/>
        <charset val="134"/>
      </rPr>
      <t>一节来决定制造该物品所需的时间与金钱花费。如果该物品允许使用者用它施展任何法术，你必须亲自制造它（设施雇员可以协助你），并且在制造该物品期间，你每天都必须准备所有该物品可以施展的法术。</t>
    </r>
  </si>
  <si>
    <t>巧匠</t>
  </si>
  <si>
    <t>起源专长
工具熟练Tool Proficiency。你从快速制作表中自选三项不同的工匠工具并获得其熟练。
折扣Discount。你在购买非魔法物品时具有20%的折扣。
快速制作Fast Crafting。当你完成一次长休时，你可以制作一件快速制作栏中的装备。你必须拥有与该物品对应的工匠工具以及与这些工具对应的工具熟练才能尝试制作。造出的物品会持续存在到你下次完成长休，随后该物品解体坏损。
快速制作Fast Crafting 
工匠工具 可制造的装备
木匠工具Carpenter’s Tools 梯子、火把
皮匠工具Leatherworker’s Tools 小箱子、小包
石匠工具Mason’s Tools 滑轮组
陶匠工具Potter’s Tools 壶、油灯
铁匠工具Smith’s Tools 滚珠、桶、铁蒺藜、爪钩、铁壶
修补工具Tinker’s Tools 铃铛、铲子、火绒盒
织布工具Weaver’s Tools 篮子、绳索、捕网、帐篷
木雕工具Woodcarver’s Tools 短棒、巨棒、长棍</t>
  </si>
  <si>
    <t>盲斗</t>
  </si>
  <si>
    <t>你具有10尺盲视。</t>
  </si>
  <si>
    <r>
      <rPr>
        <sz val="11"/>
        <color theme="1"/>
        <rFont val="微软雅黑"/>
        <charset val="134"/>
      </rPr>
      <t>军械库</t>
    </r>
  </si>
  <si>
    <t>贸易</t>
  </si>
  <si>
    <r>
      <rPr>
        <sz val="11"/>
        <color theme="1"/>
        <rFont val="微软雅黑"/>
        <charset val="134"/>
      </rPr>
      <t>军械库包含展示盔甲的假人、悬挂盾牌的挂钩、存放武器的架子以及储存弹药的箱子。</t>
    </r>
    <r>
      <rPr>
        <sz val="11"/>
        <color theme="1"/>
        <rFont val="Times New Roman"/>
        <charset val="134"/>
      </rPr>
      <t xml:space="preserve">
</t>
    </r>
    <r>
      <rPr>
        <sz val="11"/>
        <color theme="1"/>
        <rFont val="微软雅黑"/>
        <charset val="134"/>
      </rPr>
      <t>贸易：补充军械库</t>
    </r>
    <r>
      <rPr>
        <sz val="11"/>
        <color theme="1"/>
        <rFont val="Times New Roman"/>
        <charset val="134"/>
      </rPr>
      <t xml:space="preserve"> Trade</t>
    </r>
    <r>
      <rPr>
        <sz val="11"/>
        <color theme="1"/>
        <rFont val="微软雅黑"/>
        <charset val="134"/>
      </rPr>
      <t>：</t>
    </r>
    <r>
      <rPr>
        <sz val="11"/>
        <color theme="1"/>
        <rFont val="Times New Roman"/>
        <charset val="134"/>
      </rPr>
      <t xml:space="preserve">Stock Armory </t>
    </r>
    <r>
      <rPr>
        <sz val="11"/>
        <color theme="1"/>
        <rFont val="微软雅黑"/>
        <charset val="134"/>
      </rPr>
      <t>：当你对此设施下达贸易指令时，你委托设施雇员为军械库补充护甲、盾牌、武器和弹药。这些装备会花费你</t>
    </r>
    <r>
      <rPr>
        <sz val="11"/>
        <color theme="1"/>
        <rFont val="Times New Roman"/>
        <charset val="134"/>
      </rPr>
      <t xml:space="preserve"> 100 GP </t>
    </r>
    <r>
      <rPr>
        <sz val="11"/>
        <color theme="1"/>
        <rFont val="微软雅黑"/>
        <charset val="134"/>
      </rPr>
      <t>，据点内每有一个据点卫兵就需要额外花费</t>
    </r>
    <r>
      <rPr>
        <sz val="11"/>
        <color theme="1"/>
        <rFont val="Times New Roman"/>
        <charset val="134"/>
      </rPr>
      <t xml:space="preserve"> 100 GP </t>
    </r>
    <r>
      <rPr>
        <sz val="11"/>
        <color theme="1"/>
        <rFont val="微软雅黑"/>
        <charset val="134"/>
      </rPr>
      <t>。如果你的据点拥有铁匠铺，总价格将减半。</t>
    </r>
    <r>
      <rPr>
        <sz val="11"/>
        <color theme="1"/>
        <rFont val="Times New Roman"/>
        <charset val="134"/>
      </rPr>
      <t xml:space="preserve">
</t>
    </r>
    <r>
      <rPr>
        <sz val="11"/>
        <color theme="1"/>
        <rFont val="微软雅黑"/>
        <charset val="134"/>
      </rPr>
      <t>当你的军械库补充完毕后，你的据点卫兵会更难被杀死。当一个事件迫使你掷骰以决定自己是否失去了一个或更多的据点卫兵时（见本章末“据点事件”一节），你投掷</t>
    </r>
    <r>
      <rPr>
        <sz val="11"/>
        <color theme="1"/>
        <rFont val="Times New Roman"/>
        <charset val="134"/>
      </rPr>
      <t>d8</t>
    </r>
    <r>
      <rPr>
        <sz val="11"/>
        <color theme="1"/>
        <rFont val="微软雅黑"/>
        <charset val="134"/>
      </rPr>
      <t>，而非</t>
    </r>
    <r>
      <rPr>
        <sz val="11"/>
        <color theme="1"/>
        <rFont val="Times New Roman"/>
        <charset val="134"/>
      </rPr>
      <t>d6</t>
    </r>
    <r>
      <rPr>
        <sz val="11"/>
        <color theme="1"/>
        <rFont val="微软雅黑"/>
        <charset val="134"/>
      </rPr>
      <t>。在该事件结束后，无论是否有据点卫兵损失，你储存的装备都会被消耗。这会导致你的军械库失去作用，直至你再次对其下达贸易指令来重新补货。</t>
    </r>
  </si>
  <si>
    <t>医疗师</t>
  </si>
  <si>
    <t>起源专长
战地医师Battle Medic。如果你有医疗包，以一个利用动作，你可以消耗医疗包的一次使用次数来救治一个位于你5尺内的生物。该生物可以消耗一枚生命骰，然后由你来投掷它，令该生物恢复等于所掷出的点数+你的熟练加值点生命值。
治疗重掷Healing Rerolls。当你掷骰以决定用法术或此专长的战地医师增益所恢复的生命值时，你可以重掷其中掷出1的骰子，但你必须使用重掷的结果。</t>
  </si>
  <si>
    <t>防御</t>
  </si>
  <si>
    <t>着装轻甲、中甲或重甲期间，你的护甲等级获得+1加值。</t>
  </si>
  <si>
    <t>种植园</t>
  </si>
  <si>
    <t>收获</t>
  </si>
  <si>
    <r>
      <rPr>
        <sz val="11"/>
        <color theme="1"/>
        <rFont val="宋体"/>
        <charset val="134"/>
      </rPr>
      <t>每个据点可以拥有多个种植园。当一座种植园被加入你的据点时，你从种植园类型</t>
    </r>
    <r>
      <rPr>
        <sz val="11"/>
        <color theme="1"/>
        <rFont val="Times New Roman"/>
        <charset val="134"/>
      </rPr>
      <t>Garden Types</t>
    </r>
    <r>
      <rPr>
        <sz val="11"/>
        <color theme="1"/>
        <rFont val="宋体"/>
        <charset val="134"/>
      </rPr>
      <t>表格中选择该种植园的类型。</t>
    </r>
    <r>
      <rPr>
        <sz val="11"/>
        <color theme="1"/>
        <rFont val="Times New Roman"/>
        <charset val="134"/>
      </rPr>
      <t xml:space="preserve">
</t>
    </r>
    <r>
      <rPr>
        <sz val="11"/>
        <color theme="1"/>
        <rFont val="宋体"/>
        <charset val="134"/>
      </rPr>
      <t>当你位于据点内时，你可以指示此设施的雇员将种植园从当前类型改为另一种类型。这项工作需要花费</t>
    </r>
    <r>
      <rPr>
        <sz val="11"/>
        <color theme="1"/>
        <rFont val="Times New Roman"/>
        <charset val="134"/>
      </rPr>
      <t xml:space="preserve"> 21 </t>
    </r>
    <r>
      <rPr>
        <sz val="11"/>
        <color theme="1"/>
        <rFont val="宋体"/>
        <charset val="134"/>
      </rPr>
      <t>天，在这段时间内，此设施无法进行其他活动。</t>
    </r>
    <r>
      <rPr>
        <sz val="11"/>
        <color theme="1"/>
        <rFont val="Times New Roman"/>
        <charset val="134"/>
      </rPr>
      <t xml:space="preserve">
</t>
    </r>
    <r>
      <rPr>
        <sz val="11"/>
        <color theme="1"/>
        <rFont val="宋体"/>
        <charset val="134"/>
      </rPr>
      <t>收获：种植园产物</t>
    </r>
    <r>
      <rPr>
        <sz val="11"/>
        <color theme="1"/>
        <rFont val="Times New Roman"/>
        <charset val="134"/>
      </rPr>
      <t xml:space="preserve"> Harvest</t>
    </r>
    <r>
      <rPr>
        <sz val="11"/>
        <color theme="1"/>
        <rFont val="宋体"/>
        <charset val="134"/>
      </rPr>
      <t>：</t>
    </r>
    <r>
      <rPr>
        <sz val="11"/>
        <color theme="1"/>
        <rFont val="Times New Roman"/>
        <charset val="134"/>
      </rPr>
      <t xml:space="preserve">Garden Growth </t>
    </r>
    <r>
      <rPr>
        <sz val="11"/>
        <color theme="1"/>
        <rFont val="宋体"/>
        <charset val="134"/>
      </rPr>
      <t>：当你对此设施下达收获指令时，你委托设施雇员采收种植园的作物，如种植园类型表格中所示。这项工作需要</t>
    </r>
    <r>
      <rPr>
        <sz val="11"/>
        <color theme="1"/>
        <rFont val="Times New Roman"/>
        <charset val="134"/>
      </rPr>
      <t xml:space="preserve"> 7 </t>
    </r>
    <r>
      <rPr>
        <sz val="11"/>
        <color theme="1"/>
        <rFont val="宋体"/>
        <charset val="134"/>
      </rPr>
      <t>天时间且无需花费任何金钱。</t>
    </r>
    <r>
      <rPr>
        <sz val="11"/>
        <color theme="1"/>
        <rFont val="Times New Roman"/>
        <charset val="134"/>
      </rPr>
      <t xml:space="preserve">
</t>
    </r>
    <r>
      <rPr>
        <sz val="11"/>
        <color theme="1"/>
        <rFont val="宋体"/>
        <charset val="134"/>
      </rPr>
      <t>扩大设施</t>
    </r>
    <r>
      <rPr>
        <sz val="11"/>
        <color theme="1"/>
        <rFont val="Times New Roman"/>
        <charset val="134"/>
      </rPr>
      <t xml:space="preserve"> Enlarging the Facility </t>
    </r>
    <r>
      <rPr>
        <sz val="11"/>
        <color theme="1"/>
        <rFont val="宋体"/>
        <charset val="134"/>
      </rPr>
      <t>：你可以花费</t>
    </r>
    <r>
      <rPr>
        <sz val="11"/>
        <color theme="1"/>
        <rFont val="Times New Roman"/>
        <charset val="134"/>
      </rPr>
      <t xml:space="preserve"> 2000 GP </t>
    </r>
    <r>
      <rPr>
        <sz val="11"/>
        <color theme="1"/>
        <rFont val="宋体"/>
        <charset val="134"/>
      </rPr>
      <t>，将种植园扩大为庞大设施。一个庞大的种植园其功能等同于两个宽敞的种植园，这两个种植园类型可以相同也可以不同。每当你对一个庞大的种植园下达收获指令，其包含的两个种植园都将产出各自的收获。庞大的种植园获得一个额外雇员。</t>
    </r>
    <r>
      <rPr>
        <sz val="11"/>
        <color theme="1"/>
        <rFont val="Times New Roman"/>
        <charset val="134"/>
      </rPr>
      <t xml:space="preserve"> 
</t>
    </r>
    <r>
      <rPr>
        <sz val="11"/>
        <color theme="1"/>
        <rFont val="宋体"/>
        <charset val="134"/>
      </rPr>
      <t>种植园类型</t>
    </r>
    <r>
      <rPr>
        <sz val="11"/>
        <color theme="1"/>
        <rFont val="Times New Roman"/>
        <charset val="134"/>
      </rPr>
      <t xml:space="preserve"> Garden Types
</t>
    </r>
    <r>
      <rPr>
        <sz val="11"/>
        <color theme="1"/>
        <rFont val="宋体"/>
        <charset val="134"/>
      </rPr>
      <t>种植园类型</t>
    </r>
    <r>
      <rPr>
        <sz val="11"/>
        <color theme="1"/>
        <rFont val="Times New Roman"/>
        <charset val="134"/>
      </rPr>
      <t xml:space="preserve"> </t>
    </r>
    <r>
      <rPr>
        <sz val="11"/>
        <color theme="1"/>
        <rFont val="宋体"/>
        <charset val="134"/>
      </rPr>
      <t>描述</t>
    </r>
    <r>
      <rPr>
        <sz val="11"/>
        <color theme="1"/>
        <rFont val="Times New Roman"/>
        <charset val="134"/>
      </rPr>
      <t xml:space="preserve"> </t>
    </r>
    <r>
      <rPr>
        <sz val="11"/>
        <color theme="1"/>
        <rFont val="宋体"/>
        <charset val="134"/>
      </rPr>
      <t>收获</t>
    </r>
    <r>
      <rPr>
        <sz val="11"/>
        <color theme="1"/>
        <rFont val="Times New Roman"/>
        <charset val="134"/>
      </rPr>
      <t xml:space="preserve">
</t>
    </r>
    <r>
      <rPr>
        <sz val="11"/>
        <color theme="1"/>
        <rFont val="宋体"/>
        <charset val="134"/>
      </rPr>
      <t>花园</t>
    </r>
    <r>
      <rPr>
        <sz val="11"/>
        <color theme="1"/>
        <rFont val="Times New Roman"/>
        <charset val="134"/>
      </rPr>
      <t xml:space="preserve"> </t>
    </r>
    <r>
      <rPr>
        <sz val="11"/>
        <color theme="1"/>
        <rFont val="宋体"/>
        <charset val="134"/>
      </rPr>
      <t>经过精心打理的花园，长满了花丛和灌木。</t>
    </r>
    <r>
      <rPr>
        <sz val="11"/>
        <color theme="1"/>
        <rFont val="Times New Roman"/>
        <charset val="134"/>
      </rPr>
      <t xml:space="preserve"> 10 </t>
    </r>
    <r>
      <rPr>
        <sz val="11"/>
        <color theme="1"/>
        <rFont val="宋体"/>
        <charset val="134"/>
      </rPr>
      <t>株美丽的花束（每株价值</t>
    </r>
    <r>
      <rPr>
        <sz val="11"/>
        <color theme="1"/>
        <rFont val="Times New Roman"/>
        <charset val="134"/>
      </rPr>
      <t xml:space="preserve"> 5 GP </t>
    </r>
    <r>
      <rPr>
        <sz val="11"/>
        <color theme="1"/>
        <rFont val="宋体"/>
        <charset val="134"/>
      </rPr>
      <t>）、或</t>
    </r>
    <r>
      <rPr>
        <sz val="11"/>
        <color theme="1"/>
        <rFont val="Times New Roman"/>
        <charset val="134"/>
      </rPr>
      <t>10</t>
    </r>
    <r>
      <rPr>
        <sz val="11"/>
        <color theme="1"/>
        <rFont val="宋体"/>
        <charset val="134"/>
      </rPr>
      <t>瓶香水</t>
    </r>
    <r>
      <rPr>
        <sz val="11"/>
        <color theme="1"/>
        <rFont val="Times New Roman"/>
        <charset val="134"/>
      </rPr>
      <t xml:space="preserve"> Perfume</t>
    </r>
    <r>
      <rPr>
        <sz val="11"/>
        <color theme="1"/>
        <rFont val="宋体"/>
        <charset val="134"/>
      </rPr>
      <t>、或</t>
    </r>
    <r>
      <rPr>
        <sz val="11"/>
        <color theme="1"/>
        <rFont val="Times New Roman"/>
        <charset val="134"/>
      </rPr>
      <t>10</t>
    </r>
    <r>
      <rPr>
        <sz val="11"/>
        <color theme="1"/>
        <rFont val="宋体"/>
        <charset val="134"/>
      </rPr>
      <t>支蜡烛</t>
    </r>
    <r>
      <rPr>
        <sz val="11"/>
        <color theme="1"/>
        <rFont val="Times New Roman"/>
        <charset val="134"/>
      </rPr>
      <t xml:space="preserve"> Candles</t>
    </r>
    <r>
      <rPr>
        <sz val="11"/>
        <color theme="1"/>
        <rFont val="宋体"/>
        <charset val="134"/>
      </rPr>
      <t>。</t>
    </r>
    <r>
      <rPr>
        <sz val="11"/>
        <color theme="1"/>
        <rFont val="Times New Roman"/>
        <charset val="134"/>
      </rPr>
      <t xml:space="preserve">
</t>
    </r>
    <r>
      <rPr>
        <sz val="11"/>
        <color theme="1"/>
        <rFont val="宋体"/>
        <charset val="134"/>
      </rPr>
      <t>菜园</t>
    </r>
    <r>
      <rPr>
        <sz val="11"/>
        <color theme="1"/>
        <rFont val="Times New Roman"/>
        <charset val="134"/>
      </rPr>
      <t xml:space="preserve"> </t>
    </r>
    <r>
      <rPr>
        <sz val="11"/>
        <color theme="1"/>
        <rFont val="宋体"/>
        <charset val="134"/>
      </rPr>
      <t>菜园种植着美味的蔬菜和菌类。</t>
    </r>
    <r>
      <rPr>
        <sz val="11"/>
        <color theme="1"/>
        <rFont val="Times New Roman"/>
        <charset val="134"/>
      </rPr>
      <t xml:space="preserve"> 100 </t>
    </r>
    <r>
      <rPr>
        <sz val="11"/>
        <color theme="1"/>
        <rFont val="宋体"/>
        <charset val="134"/>
      </rPr>
      <t>天的口粮</t>
    </r>
    <r>
      <rPr>
        <sz val="11"/>
        <color theme="1"/>
        <rFont val="Times New Roman"/>
        <charset val="134"/>
      </rPr>
      <t xml:space="preserve"> Rations </t>
    </r>
    <r>
      <rPr>
        <sz val="11"/>
        <color theme="1"/>
        <rFont val="宋体"/>
        <charset val="134"/>
      </rPr>
      <t>。</t>
    </r>
    <r>
      <rPr>
        <sz val="11"/>
        <color theme="1"/>
        <rFont val="Times New Roman"/>
        <charset val="134"/>
      </rPr>
      <t xml:space="preserve">
</t>
    </r>
    <r>
      <rPr>
        <sz val="11"/>
        <color theme="1"/>
        <rFont val="宋体"/>
        <charset val="134"/>
      </rPr>
      <t>草药园</t>
    </r>
    <r>
      <rPr>
        <sz val="11"/>
        <color theme="1"/>
        <rFont val="Times New Roman"/>
        <charset val="134"/>
      </rPr>
      <t xml:space="preserve"> </t>
    </r>
    <r>
      <rPr>
        <sz val="11"/>
        <color theme="1"/>
        <rFont val="宋体"/>
        <charset val="134"/>
      </rPr>
      <t>草药园种植着稀有的草药，其中某些草药具有药用价值。</t>
    </r>
    <r>
      <rPr>
        <sz val="11"/>
        <color theme="1"/>
        <rFont val="Times New Roman"/>
        <charset val="134"/>
      </rPr>
      <t xml:space="preserve"> </t>
    </r>
    <r>
      <rPr>
        <sz val="11"/>
        <color theme="1"/>
        <rFont val="宋体"/>
        <charset val="134"/>
      </rPr>
      <t>足以制造</t>
    </r>
    <r>
      <rPr>
        <sz val="11"/>
        <color theme="1"/>
        <rFont val="Times New Roman"/>
        <charset val="134"/>
      </rPr>
      <t>10</t>
    </r>
    <r>
      <rPr>
        <sz val="11"/>
        <color theme="1"/>
        <rFont val="宋体"/>
        <charset val="134"/>
      </rPr>
      <t>个急救包</t>
    </r>
    <r>
      <rPr>
        <sz val="11"/>
        <color theme="1"/>
        <rFont val="Times New Roman"/>
        <charset val="134"/>
      </rPr>
      <t xml:space="preserve"> Healer‘s Kits </t>
    </r>
    <r>
      <rPr>
        <sz val="11"/>
        <color theme="1"/>
        <rFont val="宋体"/>
        <charset val="134"/>
      </rPr>
      <t>或</t>
    </r>
    <r>
      <rPr>
        <sz val="11"/>
        <color theme="1"/>
        <rFont val="Times New Roman"/>
        <charset val="134"/>
      </rPr>
      <t>1</t>
    </r>
    <r>
      <rPr>
        <sz val="11"/>
        <color theme="1"/>
        <rFont val="宋体"/>
        <charset val="134"/>
      </rPr>
      <t>瓶治疗药水</t>
    </r>
    <r>
      <rPr>
        <sz val="11"/>
        <color theme="1"/>
        <rFont val="Times New Roman"/>
        <charset val="134"/>
      </rPr>
      <t xml:space="preserve"> Potion of Healing </t>
    </r>
    <r>
      <rPr>
        <sz val="11"/>
        <color theme="1"/>
        <rFont val="宋体"/>
        <charset val="134"/>
      </rPr>
      <t>的草药。</t>
    </r>
    <r>
      <rPr>
        <sz val="11"/>
        <color theme="1"/>
        <rFont val="Times New Roman"/>
        <charset val="134"/>
      </rPr>
      <t xml:space="preserve">
</t>
    </r>
    <r>
      <rPr>
        <sz val="11"/>
        <color theme="1"/>
        <rFont val="宋体"/>
        <charset val="134"/>
      </rPr>
      <t>毒药园</t>
    </r>
    <r>
      <rPr>
        <sz val="11"/>
        <color theme="1"/>
        <rFont val="Times New Roman"/>
        <charset val="134"/>
      </rPr>
      <t xml:space="preserve"> </t>
    </r>
    <r>
      <rPr>
        <sz val="11"/>
        <color theme="1"/>
        <rFont val="宋体"/>
        <charset val="134"/>
      </rPr>
      <t>毒药园种满了可以用于提取毒素和抗毒剂的植物和真菌。</t>
    </r>
    <r>
      <rPr>
        <sz val="11"/>
        <color theme="1"/>
        <rFont val="Times New Roman"/>
        <charset val="134"/>
      </rPr>
      <t xml:space="preserve"> </t>
    </r>
    <r>
      <rPr>
        <sz val="11"/>
        <color theme="1"/>
        <rFont val="宋体"/>
        <charset val="134"/>
      </rPr>
      <t>足以制造</t>
    </r>
    <r>
      <rPr>
        <sz val="11"/>
        <color theme="1"/>
        <rFont val="Times New Roman"/>
        <charset val="134"/>
      </rPr>
      <t>2</t>
    </r>
    <r>
      <rPr>
        <sz val="11"/>
        <color theme="1"/>
        <rFont val="宋体"/>
        <charset val="134"/>
      </rPr>
      <t>瓶抗毒剂</t>
    </r>
    <r>
      <rPr>
        <sz val="11"/>
        <color theme="1"/>
        <rFont val="Times New Roman"/>
        <charset val="134"/>
      </rPr>
      <t xml:space="preserve"> Antitoxin </t>
    </r>
    <r>
      <rPr>
        <sz val="11"/>
        <color theme="1"/>
        <rFont val="宋体"/>
        <charset val="134"/>
      </rPr>
      <t>或</t>
    </r>
    <r>
      <rPr>
        <sz val="11"/>
        <color theme="1"/>
        <rFont val="Times New Roman"/>
        <charset val="134"/>
      </rPr>
      <t>1</t>
    </r>
    <r>
      <rPr>
        <sz val="11"/>
        <color theme="1"/>
        <rFont val="宋体"/>
        <charset val="134"/>
      </rPr>
      <t>瓶基础毒药</t>
    </r>
    <r>
      <rPr>
        <sz val="11"/>
        <color theme="1"/>
        <rFont val="Times New Roman"/>
        <charset val="134"/>
      </rPr>
      <t xml:space="preserve"> Basic Poison </t>
    </r>
    <r>
      <rPr>
        <sz val="11"/>
        <color theme="1"/>
        <rFont val="宋体"/>
        <charset val="134"/>
      </rPr>
      <t>的植物。</t>
    </r>
  </si>
  <si>
    <t>起源专长
幸运点Lucky Point。你拥有一些幸运点，其数量等同于你的熟练加值。你可以将点数花在下列的增益上。你在完成一次长休时重新获得所有已消耗的幸运点。
优势Advantage。当你为了一次D20检定而投掷d20时，你可以花费一个幸运点来给予这次检定优势。
劣势Disadvantage。当一个生物为了一次对你发动的攻击检定而投掷d20时，你可以花费一个幸运点来为这次检定施加劣势。</t>
  </si>
  <si>
    <t>对决</t>
  </si>
  <si>
    <t>当你单手持用一把近战武器且没有持用其他武器时，你使用那把武器进行的伤害掷骰获得+2加值。</t>
  </si>
  <si>
    <t>图书馆</t>
  </si>
  <si>
    <r>
      <rPr>
        <sz val="11"/>
        <color theme="1"/>
        <rFont val="宋体"/>
        <charset val="134"/>
      </rPr>
      <t>调查：专题报告</t>
    </r>
    <r>
      <rPr>
        <sz val="11"/>
        <color theme="1"/>
        <rFont val="Times New Roman"/>
        <charset val="134"/>
      </rPr>
      <t xml:space="preserve"> Research</t>
    </r>
    <r>
      <rPr>
        <sz val="11"/>
        <color theme="1"/>
        <rFont val="宋体"/>
        <charset val="134"/>
      </rPr>
      <t>：</t>
    </r>
    <r>
      <rPr>
        <sz val="11"/>
        <color theme="1"/>
        <rFont val="Times New Roman"/>
        <charset val="134"/>
      </rPr>
      <t xml:space="preserve">Topical Lore </t>
    </r>
    <r>
      <rPr>
        <sz val="11"/>
        <color theme="1"/>
        <rFont val="宋体"/>
        <charset val="134"/>
      </rPr>
      <t>：当你对此设施下达调查指令时，你委托设施雇员针对某个主题进行研究。该主题可以是某个传说、某位重要的人、某种生物或某个知名的物件。这项工作需要</t>
    </r>
    <r>
      <rPr>
        <sz val="11"/>
        <color theme="1"/>
        <rFont val="Times New Roman"/>
        <charset val="134"/>
      </rPr>
      <t xml:space="preserve"> 7 </t>
    </r>
    <r>
      <rPr>
        <sz val="11"/>
        <color theme="1"/>
        <rFont val="宋体"/>
        <charset val="134"/>
      </rPr>
      <t>天时间。当研究完成后，雇员将获取三条你之前不知道的有关该主题的信息，这些信息是准确无误的。在你下次与该雇员交谈时，雇员将这些信息传达给你。由</t>
    </r>
    <r>
      <rPr>
        <sz val="11"/>
        <color theme="1"/>
        <rFont val="Times New Roman"/>
        <charset val="134"/>
      </rPr>
      <t xml:space="preserve"> DM </t>
    </r>
    <r>
      <rPr>
        <sz val="11"/>
        <color theme="1"/>
        <rFont val="宋体"/>
        <charset val="134"/>
      </rPr>
      <t>决定你具体获得了怎样的信息。</t>
    </r>
  </si>
  <si>
    <t>魔法学徒</t>
  </si>
  <si>
    <t>起源专长
两道戏法Two Cantrips。从牧师法术列表、德鲁伊法术列表、法师法术列表中选择一个列表，你从该法术列表中选择两道戏法并习得之。再从智力、感知、魅力中选择一项属性，你从这个专长中习得的法术使用该属性作为施法属性。
一环法术Level 1 Spell。你从前面所选的法术列表中再选择一道一环法术，并始终准备了这道法术。你可以无需法术位地施展该法术一次，并在完成长休后重获以此法施展该法术的能力。你也可以使用你拥有的任何法术位来施展该法术。
改变法术Spell Change。每当你获得一级新等级，你都能将通过本专长习得的一道法术替换为同法术列表中同环阶的另一道法术。
复选Repeatable。你可多次选择本专长，但是你每次都必须选择一个不同的法术列表。</t>
  </si>
  <si>
    <t>巨武器战斗</t>
  </si>
  <si>
    <t>当你双手持握一把近战武器发动了一次攻击并为其进行伤害掷骰时，若该武器具有双手或多用词条，那么你便可以将伤害骰中的任何1和2都视作3。</t>
  </si>
  <si>
    <t>圣坛</t>
  </si>
  <si>
    <r>
      <rPr>
        <sz val="11"/>
        <color theme="1"/>
        <rFont val="宋体"/>
        <charset val="134"/>
      </rPr>
      <t>可以使用圣徽或德鲁伊法器作为施法法器</t>
    </r>
    <r>
      <rPr>
        <sz val="11"/>
        <color theme="1"/>
        <rFont val="Times New Roman"/>
        <charset val="134"/>
      </rPr>
      <t xml:space="preserve"> </t>
    </r>
  </si>
  <si>
    <r>
      <rPr>
        <sz val="11"/>
        <color theme="1"/>
        <rFont val="宋体"/>
        <charset val="134"/>
      </rPr>
      <t>圣坛提供了一个安静的敬拜场所，你宗教的标志挂在圣坛的墙壁上。</t>
    </r>
    <r>
      <rPr>
        <sz val="11"/>
        <color theme="1"/>
        <rFont val="Times New Roman"/>
        <charset val="134"/>
      </rPr>
      <t xml:space="preserve">
</t>
    </r>
    <r>
      <rPr>
        <sz val="11"/>
        <color theme="1"/>
        <rFont val="宋体"/>
        <charset val="134"/>
      </rPr>
      <t>圣坛护咒</t>
    </r>
    <r>
      <rPr>
        <sz val="11"/>
        <color theme="1"/>
        <rFont val="Times New Roman"/>
        <charset val="134"/>
      </rPr>
      <t xml:space="preserve"> Sanctuary Charm </t>
    </r>
    <r>
      <rPr>
        <sz val="11"/>
        <color theme="1"/>
        <rFont val="宋体"/>
        <charset val="134"/>
      </rPr>
      <t>：当你在据点内完成一次长休后，你获得一个魔法护咒</t>
    </r>
    <r>
      <rPr>
        <sz val="11"/>
        <color theme="1"/>
        <rFont val="Times New Roman"/>
        <charset val="134"/>
      </rPr>
      <t xml:space="preserve"> Charm</t>
    </r>
    <r>
      <rPr>
        <sz val="11"/>
        <color theme="1"/>
        <rFont val="宋体"/>
        <charset val="134"/>
      </rPr>
      <t>（见第三章“超自然恩惠</t>
    </r>
    <r>
      <rPr>
        <sz val="11"/>
        <color theme="1"/>
        <rFont val="Times New Roman"/>
        <charset val="134"/>
      </rPr>
      <t xml:space="preserve"> Supernatural Gifts”</t>
    </r>
    <r>
      <rPr>
        <sz val="11"/>
        <color theme="1"/>
        <rFont val="宋体"/>
        <charset val="134"/>
      </rPr>
      <t>一节），该护咒持续</t>
    </r>
    <r>
      <rPr>
        <sz val="11"/>
        <color theme="1"/>
        <rFont val="Times New Roman"/>
        <charset val="134"/>
      </rPr>
      <t>7</t>
    </r>
    <r>
      <rPr>
        <sz val="11"/>
        <color theme="1"/>
        <rFont val="宋体"/>
        <charset val="134"/>
      </rPr>
      <t>天或持续至你将其使用为止。该护咒允许你施展一次治愈真言</t>
    </r>
    <r>
      <rPr>
        <sz val="11"/>
        <color theme="1"/>
        <rFont val="Times New Roman"/>
        <charset val="134"/>
      </rPr>
      <t xml:space="preserve"> Healing Word </t>
    </r>
    <r>
      <rPr>
        <sz val="11"/>
        <color theme="1"/>
        <rFont val="宋体"/>
        <charset val="134"/>
      </rPr>
      <t>，无需消耗法术位。你无法在已拥有该护咒时再次获得它。</t>
    </r>
    <r>
      <rPr>
        <sz val="11"/>
        <color theme="1"/>
        <rFont val="Times New Roman"/>
        <charset val="134"/>
      </rPr>
      <t xml:space="preserve">
</t>
    </r>
    <r>
      <rPr>
        <sz val="11"/>
        <color theme="1"/>
        <rFont val="宋体"/>
        <charset val="134"/>
      </rPr>
      <t>制造：神圣法器</t>
    </r>
    <r>
      <rPr>
        <sz val="11"/>
        <color theme="1"/>
        <rFont val="Times New Roman"/>
        <charset val="134"/>
      </rPr>
      <t xml:space="preserve"> Craft</t>
    </r>
    <r>
      <rPr>
        <sz val="11"/>
        <color theme="1"/>
        <rFont val="宋体"/>
        <charset val="134"/>
      </rPr>
      <t>：</t>
    </r>
    <r>
      <rPr>
        <sz val="11"/>
        <color theme="1"/>
        <rFont val="Times New Roman"/>
        <charset val="134"/>
      </rPr>
      <t xml:space="preserve">Sacred Focus </t>
    </r>
    <r>
      <rPr>
        <sz val="11"/>
        <color theme="1"/>
        <rFont val="宋体"/>
        <charset val="134"/>
      </rPr>
      <t>：你委托该设施的雇员制造一个德鲁伊法器（木杖）</t>
    </r>
    <r>
      <rPr>
        <sz val="11"/>
        <color theme="1"/>
        <rFont val="Times New Roman"/>
        <charset val="134"/>
      </rPr>
      <t>Druidic Focus</t>
    </r>
    <r>
      <rPr>
        <sz val="11"/>
        <color theme="1"/>
        <rFont val="宋体"/>
        <charset val="134"/>
      </rPr>
      <t>（</t>
    </r>
    <r>
      <rPr>
        <sz val="11"/>
        <color theme="1"/>
        <rFont val="Times New Roman"/>
        <charset val="134"/>
      </rPr>
      <t>Wooden Staff</t>
    </r>
    <r>
      <rPr>
        <sz val="11"/>
        <color theme="1"/>
        <rFont val="宋体"/>
        <charset val="134"/>
      </rPr>
      <t>）或者一个圣徽</t>
    </r>
    <r>
      <rPr>
        <sz val="11"/>
        <color theme="1"/>
        <rFont val="Times New Roman"/>
        <charset val="134"/>
      </rPr>
      <t xml:space="preserve"> Holy Symbol</t>
    </r>
    <r>
      <rPr>
        <sz val="11"/>
        <color theme="1"/>
        <rFont val="宋体"/>
        <charset val="134"/>
      </rPr>
      <t>，这项工作需要</t>
    </r>
    <r>
      <rPr>
        <sz val="11"/>
        <color theme="1"/>
        <rFont val="Times New Roman"/>
        <charset val="134"/>
      </rPr>
      <t>7</t>
    </r>
    <r>
      <rPr>
        <sz val="11"/>
        <color theme="1"/>
        <rFont val="宋体"/>
        <charset val="134"/>
      </rPr>
      <t>天且无需花费金钱。在你领取它之前，造好的法器会留在你的据点内。</t>
    </r>
  </si>
  <si>
    <t>音乐家</t>
  </si>
  <si>
    <t>起源专长
乐器训练Instrument Training。 你获得三种自选的乐器的熟练项。
鼓舞之歌Encouraging Song。作为你完成短休或长休的一部分，你可以用你熟练的乐器演奏一首歌曲，并令听到这首乐歌的盟友获得英雄激励。以这种方式所能影响的盟友数量最多等于你的熟练加值。</t>
  </si>
  <si>
    <t>拦截</t>
  </si>
  <si>
    <t>当一名你可见的生物用攻击检定命中了另一生物，且被命中的生物位于你5尺内，你可以用反应减少来袭伤害，使该次攻击对其目标的伤害降低1d10+你的熟练加值点。你必须持握着一面盾牌或者一把简易/军用武器才能使用这个反应。</t>
  </si>
  <si>
    <t>铁匠铺</t>
  </si>
  <si>
    <r>
      <rPr>
        <sz val="11"/>
        <color theme="1"/>
        <rFont val="宋体"/>
        <charset val="134"/>
      </rPr>
      <t>制造选项</t>
    </r>
    <r>
      <rPr>
        <sz val="11"/>
        <color theme="1"/>
        <rFont val="Times New Roman"/>
        <charset val="134"/>
      </rPr>
      <t xml:space="preserve"> Craft Options </t>
    </r>
    <r>
      <rPr>
        <sz val="11"/>
        <color theme="1"/>
        <rFont val="宋体"/>
        <charset val="134"/>
      </rPr>
      <t>：当你对此设施下达制造指令时，从以下选项中选择一项：</t>
    </r>
    <r>
      <rPr>
        <sz val="11"/>
        <color theme="1"/>
        <rFont val="Times New Roman"/>
        <charset val="134"/>
      </rPr>
      <t xml:space="preserve">
</t>
    </r>
    <r>
      <rPr>
        <sz val="11"/>
        <color theme="1"/>
        <rFont val="宋体"/>
        <charset val="134"/>
      </rPr>
      <t>制造：铁匠工具</t>
    </r>
    <r>
      <rPr>
        <sz val="11"/>
        <color theme="1"/>
        <rFont val="Times New Roman"/>
        <charset val="134"/>
      </rPr>
      <t xml:space="preserve"> Craft</t>
    </r>
    <r>
      <rPr>
        <sz val="11"/>
        <color theme="1"/>
        <rFont val="宋体"/>
        <charset val="134"/>
      </rPr>
      <t>：</t>
    </r>
    <r>
      <rPr>
        <sz val="11"/>
        <color theme="1"/>
        <rFont val="Times New Roman"/>
        <charset val="134"/>
      </rPr>
      <t xml:space="preserve">Smith’s Tools </t>
    </r>
    <r>
      <rPr>
        <sz val="11"/>
        <color theme="1"/>
        <rFont val="宋体"/>
        <charset val="134"/>
      </rPr>
      <t>：设施雇员制造任意能用铁匠工具</t>
    </r>
    <r>
      <rPr>
        <sz val="11"/>
        <color theme="1"/>
        <rFont val="Times New Roman"/>
        <charset val="134"/>
      </rPr>
      <t>Smith’s Tools</t>
    </r>
    <r>
      <rPr>
        <sz val="11"/>
        <color theme="1"/>
        <rFont val="宋体"/>
        <charset val="134"/>
      </rPr>
      <t>制造的物品，使用玩家手册的相关规则。</t>
    </r>
    <r>
      <rPr>
        <sz val="11"/>
        <color theme="1"/>
        <rFont val="Times New Roman"/>
        <charset val="134"/>
      </rPr>
      <t xml:space="preserve">
</t>
    </r>
    <r>
      <rPr>
        <sz val="11"/>
        <color theme="1"/>
        <rFont val="宋体"/>
        <charset val="134"/>
      </rPr>
      <t>制造：魔法物品（武具）</t>
    </r>
    <r>
      <rPr>
        <sz val="11"/>
        <color theme="1"/>
        <rFont val="Times New Roman"/>
        <charset val="134"/>
      </rPr>
      <t xml:space="preserve"> Craft</t>
    </r>
    <r>
      <rPr>
        <sz val="11"/>
        <color theme="1"/>
        <rFont val="宋体"/>
        <charset val="134"/>
      </rPr>
      <t>：</t>
    </r>
    <r>
      <rPr>
        <sz val="11"/>
        <color theme="1"/>
        <rFont val="Times New Roman"/>
        <charset val="134"/>
      </rPr>
      <t>Magic Item</t>
    </r>
    <r>
      <rPr>
        <sz val="11"/>
        <color theme="1"/>
        <rFont val="宋体"/>
        <charset val="134"/>
      </rPr>
      <t>（</t>
    </r>
    <r>
      <rPr>
        <sz val="11"/>
        <color theme="1"/>
        <rFont val="Times New Roman"/>
        <charset val="134"/>
      </rPr>
      <t>Armament</t>
    </r>
    <r>
      <rPr>
        <sz val="11"/>
        <color theme="1"/>
        <rFont val="宋体"/>
        <charset val="134"/>
      </rPr>
      <t>）</t>
    </r>
    <r>
      <rPr>
        <sz val="11"/>
        <color theme="1"/>
        <rFont val="Times New Roman"/>
        <charset val="134"/>
      </rPr>
      <t xml:space="preserve"> </t>
    </r>
    <r>
      <rPr>
        <sz val="11"/>
        <color theme="1"/>
        <rFont val="宋体"/>
        <charset val="134"/>
      </rPr>
      <t>：如果你的等级达到或高于</t>
    </r>
    <r>
      <rPr>
        <sz val="11"/>
        <color theme="1"/>
        <rFont val="Times New Roman"/>
        <charset val="134"/>
      </rPr>
      <t>9</t>
    </r>
    <r>
      <rPr>
        <sz val="11"/>
        <color theme="1"/>
        <rFont val="宋体"/>
        <charset val="134"/>
      </rPr>
      <t>级，你可以委托此设施的雇员制造一件由你选择的普通或非普通魔法物品，该物品必须来自第</t>
    </r>
    <r>
      <rPr>
        <sz val="11"/>
        <color theme="1"/>
        <rFont val="Times New Roman"/>
        <charset val="134"/>
      </rPr>
      <t xml:space="preserve"> 7 </t>
    </r>
    <r>
      <rPr>
        <sz val="11"/>
        <color theme="1"/>
        <rFont val="宋体"/>
        <charset val="134"/>
      </rPr>
      <t>章的武具</t>
    </r>
    <r>
      <rPr>
        <sz val="11"/>
        <color theme="1"/>
        <rFont val="Times New Roman"/>
        <charset val="134"/>
      </rPr>
      <t>Armament</t>
    </r>
    <r>
      <rPr>
        <sz val="11"/>
        <color theme="1"/>
        <rFont val="宋体"/>
        <charset val="134"/>
      </rPr>
      <t>表格。此设施拥有制造该物品所需的工具，而其雇员拥有该工具的熟练以及奥秘技能的熟练。参考第</t>
    </r>
    <r>
      <rPr>
        <sz val="11"/>
        <color theme="1"/>
        <rFont val="Times New Roman"/>
        <charset val="134"/>
      </rPr>
      <t xml:space="preserve"> 7 </t>
    </r>
    <r>
      <rPr>
        <sz val="11"/>
        <color theme="1"/>
        <rFont val="宋体"/>
        <charset val="134"/>
      </rPr>
      <t>章“制造魔法物品</t>
    </r>
    <r>
      <rPr>
        <sz val="11"/>
        <color theme="1"/>
        <rFont val="Times New Roman"/>
        <charset val="134"/>
      </rPr>
      <t xml:space="preserve"> ”</t>
    </r>
    <r>
      <rPr>
        <sz val="11"/>
        <color theme="1"/>
        <rFont val="宋体"/>
        <charset val="134"/>
      </rPr>
      <t>一节来决定制造该物品所需的时间与金钱。如果该物品允许使用者用它施展任何法术，你必须亲自制造它（设施雇员可以协助你），并且在制造该物品期间，你每天都必须准备所有该物品可以施展的法术。</t>
    </r>
  </si>
  <si>
    <t>凶蛮打手</t>
  </si>
  <si>
    <t>起源专长
你专门训练过如何做出更具破坏性的进攻。每回合一次，当你使用武器命中目标时，你可以掷两次武器的伤害骰，并自选其中一次应用在目标上。</t>
  </si>
  <si>
    <t>守护</t>
  </si>
  <si>
    <t>当一名你可见的生物以一名位于你5尺内的、除你以外的生物为目标发动攻击，如果你正持握着一面盾牌，你可以用反应将你的盾牌挡在其面前。你对触发反应的攻击检定施加劣势，并且直到你的下一回合开始为止，只要你还处于被守护的目标5尺范围内，其他的任何对守护目标进行的所有攻击检定也都将具有劣势。</t>
  </si>
  <si>
    <t>仓库</t>
  </si>
  <si>
    <r>
      <rPr>
        <sz val="11"/>
        <color theme="1"/>
        <rFont val="宋体"/>
        <charset val="134"/>
      </rPr>
      <t>仓库是一个凉爽而阴暗的空间，用于存放贸易物品，这些物品来自本书第七章的</t>
    </r>
    <r>
      <rPr>
        <sz val="11"/>
        <color theme="1"/>
        <rFont val="Times New Roman"/>
        <charset val="134"/>
      </rPr>
      <t xml:space="preserve"> </t>
    </r>
    <r>
      <rPr>
        <sz val="11"/>
        <color theme="1"/>
        <rFont val="宋体"/>
        <charset val="134"/>
      </rPr>
      <t>贸易商品</t>
    </r>
    <r>
      <rPr>
        <sz val="11"/>
        <color theme="1"/>
        <rFont val="Times New Roman"/>
        <charset val="134"/>
      </rPr>
      <t>Trade Goods</t>
    </r>
    <r>
      <rPr>
        <sz val="11"/>
        <color theme="1"/>
        <rFont val="宋体"/>
        <charset val="134"/>
      </rPr>
      <t>表和玩家手册第六章的冒险装备。</t>
    </r>
    <r>
      <rPr>
        <sz val="11"/>
        <color theme="1"/>
        <rFont val="Times New Roman"/>
        <charset val="134"/>
      </rPr>
      <t xml:space="preserve">
</t>
    </r>
    <r>
      <rPr>
        <sz val="11"/>
        <color theme="1"/>
        <rFont val="宋体"/>
        <charset val="134"/>
      </rPr>
      <t>贸易：商品</t>
    </r>
    <r>
      <rPr>
        <sz val="11"/>
        <color theme="1"/>
        <rFont val="Times New Roman"/>
        <charset val="134"/>
      </rPr>
      <t xml:space="preserve"> Trade</t>
    </r>
    <r>
      <rPr>
        <sz val="11"/>
        <color theme="1"/>
        <rFont val="宋体"/>
        <charset val="134"/>
      </rPr>
      <t>：</t>
    </r>
    <r>
      <rPr>
        <sz val="11"/>
        <color theme="1"/>
        <rFont val="Times New Roman"/>
        <charset val="134"/>
      </rPr>
      <t xml:space="preserve">Goods </t>
    </r>
    <r>
      <rPr>
        <sz val="11"/>
        <color theme="1"/>
        <rFont val="宋体"/>
        <charset val="134"/>
      </rPr>
      <t>：当你对此设施下达贸易指令时，你委托设施雇员在之后</t>
    </r>
    <r>
      <rPr>
        <sz val="11"/>
        <color theme="1"/>
        <rFont val="Times New Roman"/>
        <charset val="134"/>
      </rPr>
      <t>7</t>
    </r>
    <r>
      <rPr>
        <sz val="11"/>
        <color theme="1"/>
        <rFont val="宋体"/>
        <charset val="134"/>
      </rPr>
      <t>天里购买总价不超过</t>
    </r>
    <r>
      <rPr>
        <sz val="11"/>
        <color theme="1"/>
        <rFont val="Times New Roman"/>
        <charset val="134"/>
      </rPr>
      <t xml:space="preserve"> 500 GP </t>
    </r>
    <r>
      <rPr>
        <sz val="11"/>
        <color theme="1"/>
        <rFont val="宋体"/>
        <charset val="134"/>
      </rPr>
      <t>的非魔法物品，并将其储存在仓库中；或者，你委托设施雇员花费</t>
    </r>
    <r>
      <rPr>
        <sz val="11"/>
        <color theme="1"/>
        <rFont val="Times New Roman"/>
        <charset val="134"/>
      </rPr>
      <t>7</t>
    </r>
    <r>
      <rPr>
        <sz val="11"/>
        <color theme="1"/>
        <rFont val="宋体"/>
        <charset val="134"/>
      </rPr>
      <t>天时间将之前储存在仓库内的商品卖出。你承担购买商品所需的金钱成本，并且能购买的商品总价在你达到</t>
    </r>
    <r>
      <rPr>
        <sz val="11"/>
        <color theme="1"/>
        <rFont val="Times New Roman"/>
        <charset val="134"/>
      </rPr>
      <t>9</t>
    </r>
    <r>
      <rPr>
        <sz val="11"/>
        <color theme="1"/>
        <rFont val="宋体"/>
        <charset val="134"/>
      </rPr>
      <t>级时提升至</t>
    </r>
    <r>
      <rPr>
        <sz val="11"/>
        <color theme="1"/>
        <rFont val="Times New Roman"/>
        <charset val="134"/>
      </rPr>
      <t xml:space="preserve"> 2000 GP </t>
    </r>
    <r>
      <rPr>
        <sz val="11"/>
        <color theme="1"/>
        <rFont val="宋体"/>
        <charset val="134"/>
      </rPr>
      <t>，</t>
    </r>
    <r>
      <rPr>
        <sz val="11"/>
        <color theme="1"/>
        <rFont val="Times New Roman"/>
        <charset val="134"/>
      </rPr>
      <t xml:space="preserve"> 13 </t>
    </r>
    <r>
      <rPr>
        <sz val="11"/>
        <color theme="1"/>
        <rFont val="宋体"/>
        <charset val="134"/>
      </rPr>
      <t>级时提升至</t>
    </r>
    <r>
      <rPr>
        <sz val="11"/>
        <color theme="1"/>
        <rFont val="Times New Roman"/>
        <charset val="134"/>
      </rPr>
      <t xml:space="preserve"> 5000 GP </t>
    </r>
    <r>
      <rPr>
        <sz val="11"/>
        <color theme="1"/>
        <rFont val="宋体"/>
        <charset val="134"/>
      </rPr>
      <t>。</t>
    </r>
    <r>
      <rPr>
        <sz val="11"/>
        <color theme="1"/>
        <rFont val="Times New Roman"/>
        <charset val="134"/>
      </rPr>
      <t xml:space="preserve">
</t>
    </r>
    <r>
      <rPr>
        <sz val="11"/>
        <color theme="1"/>
        <rFont val="宋体"/>
        <charset val="134"/>
      </rPr>
      <t>当你从仓库中出售商品时，买家会额外支付你</t>
    </r>
    <r>
      <rPr>
        <sz val="11"/>
        <color theme="1"/>
        <rFont val="Times New Roman"/>
        <charset val="134"/>
      </rPr>
      <t xml:space="preserve"> 10% </t>
    </r>
    <r>
      <rPr>
        <sz val="11"/>
        <color theme="1"/>
        <rFont val="宋体"/>
        <charset val="134"/>
      </rPr>
      <t>于标准价格的酬金；额外酬金将在你达到</t>
    </r>
    <r>
      <rPr>
        <sz val="11"/>
        <color theme="1"/>
        <rFont val="Times New Roman"/>
        <charset val="134"/>
      </rPr>
      <t xml:space="preserve"> 9 </t>
    </r>
    <r>
      <rPr>
        <sz val="11"/>
        <color theme="1"/>
        <rFont val="宋体"/>
        <charset val="134"/>
      </rPr>
      <t>级后提升至</t>
    </r>
    <r>
      <rPr>
        <sz val="11"/>
        <color theme="1"/>
        <rFont val="Times New Roman"/>
        <charset val="134"/>
      </rPr>
      <t xml:space="preserve"> 20% </t>
    </r>
    <r>
      <rPr>
        <sz val="11"/>
        <color theme="1"/>
        <rFont val="宋体"/>
        <charset val="134"/>
      </rPr>
      <t>、</t>
    </r>
    <r>
      <rPr>
        <sz val="11"/>
        <color theme="1"/>
        <rFont val="Times New Roman"/>
        <charset val="134"/>
      </rPr>
      <t xml:space="preserve"> 13 </t>
    </r>
    <r>
      <rPr>
        <sz val="11"/>
        <color theme="1"/>
        <rFont val="宋体"/>
        <charset val="134"/>
      </rPr>
      <t>级后提升至</t>
    </r>
    <r>
      <rPr>
        <sz val="11"/>
        <color theme="1"/>
        <rFont val="Times New Roman"/>
        <charset val="134"/>
      </rPr>
      <t xml:space="preserve"> 50% </t>
    </r>
    <r>
      <rPr>
        <sz val="11"/>
        <color theme="1"/>
        <rFont val="宋体"/>
        <charset val="134"/>
      </rPr>
      <t>、</t>
    </r>
    <r>
      <rPr>
        <sz val="11"/>
        <color theme="1"/>
        <rFont val="Times New Roman"/>
        <charset val="134"/>
      </rPr>
      <t xml:space="preserve"> 17 </t>
    </r>
    <r>
      <rPr>
        <sz val="11"/>
        <color theme="1"/>
        <rFont val="宋体"/>
        <charset val="134"/>
      </rPr>
      <t>级后提升至</t>
    </r>
    <r>
      <rPr>
        <sz val="11"/>
        <color theme="1"/>
        <rFont val="Times New Roman"/>
        <charset val="134"/>
      </rPr>
      <t xml:space="preserve"> 100% </t>
    </r>
    <r>
      <rPr>
        <sz val="11"/>
        <color theme="1"/>
        <rFont val="宋体"/>
        <charset val="134"/>
      </rPr>
      <t>。</t>
    </r>
  </si>
  <si>
    <t>熟习</t>
  </si>
  <si>
    <t>起源专长
你获得共计三项自选的技能和工具熟练。
复选Repeatable。你可多次选择本专长。</t>
  </si>
  <si>
    <t>投掷武器战斗</t>
  </si>
  <si>
    <t>当你使用具有投掷词条的武器进行远程攻击检定并命中时，你在该次伤害掷骰中获得+2加值。</t>
  </si>
  <si>
    <t>工坊</t>
  </si>
  <si>
    <r>
      <rPr>
        <sz val="11"/>
        <color theme="1"/>
        <rFont val="宋体"/>
        <charset val="134"/>
      </rPr>
      <t>工匠工具</t>
    </r>
    <r>
      <rPr>
        <sz val="11"/>
        <color theme="1"/>
        <rFont val="Times New Roman"/>
        <charset val="134"/>
      </rPr>
      <t xml:space="preserve"> Artisans’s Tools </t>
    </r>
    <r>
      <rPr>
        <sz val="11"/>
        <color theme="1"/>
        <rFont val="宋体"/>
        <charset val="134"/>
      </rPr>
      <t>：工坊被加入据点时，其内有六种工匠工具</t>
    </r>
    <r>
      <rPr>
        <sz val="11"/>
        <color theme="1"/>
        <rFont val="Times New Roman"/>
        <charset val="134"/>
      </rPr>
      <t>Artisans’s Tools</t>
    </r>
    <r>
      <rPr>
        <sz val="11"/>
        <color theme="1"/>
        <rFont val="宋体"/>
        <charset val="134"/>
      </rPr>
      <t>可以投入使用。从下述列表中进行选择：</t>
    </r>
    <r>
      <rPr>
        <sz val="11"/>
        <color theme="1"/>
        <rFont val="Times New Roman"/>
        <charset val="134"/>
      </rPr>
      <t xml:space="preserve">
</t>
    </r>
    <r>
      <rPr>
        <sz val="11"/>
        <color theme="1"/>
        <rFont val="宋体"/>
        <charset val="134"/>
      </rPr>
      <t>木工工具</t>
    </r>
    <r>
      <rPr>
        <sz val="11"/>
        <color theme="1"/>
        <rFont val="Times New Roman"/>
        <charset val="134"/>
      </rPr>
      <t xml:space="preserve"> Carpenter’s Tools </t>
    </r>
    <r>
      <rPr>
        <sz val="11"/>
        <color theme="1"/>
        <rFont val="宋体"/>
        <charset val="134"/>
      </rPr>
      <t>，鞋匠工具</t>
    </r>
    <r>
      <rPr>
        <sz val="11"/>
        <color theme="1"/>
        <rFont val="Times New Roman"/>
        <charset val="134"/>
      </rPr>
      <t xml:space="preserve"> Cobbler’s Tools</t>
    </r>
    <r>
      <rPr>
        <sz val="11"/>
        <color theme="1"/>
        <rFont val="宋体"/>
        <charset val="134"/>
      </rPr>
      <t>，玻璃匠工具</t>
    </r>
    <r>
      <rPr>
        <sz val="11"/>
        <color theme="1"/>
        <rFont val="Times New Roman"/>
        <charset val="134"/>
      </rPr>
      <t xml:space="preserve"> Glassblower’s Tools </t>
    </r>
    <r>
      <rPr>
        <sz val="11"/>
        <color theme="1"/>
        <rFont val="宋体"/>
        <charset val="134"/>
      </rPr>
      <t xml:space="preserve">
珠宝匠工具</t>
    </r>
    <r>
      <rPr>
        <sz val="11"/>
        <color theme="1"/>
        <rFont val="Times New Roman"/>
        <charset val="134"/>
      </rPr>
      <t xml:space="preserve"> Jeweler’s Tools </t>
    </r>
    <r>
      <rPr>
        <sz val="11"/>
        <color theme="1"/>
        <rFont val="宋体"/>
        <charset val="134"/>
      </rPr>
      <t>，皮革匠工具</t>
    </r>
    <r>
      <rPr>
        <sz val="11"/>
        <color theme="1"/>
        <rFont val="Times New Roman"/>
        <charset val="134"/>
      </rPr>
      <t xml:space="preserve"> Leatherworker’s Tools </t>
    </r>
    <r>
      <rPr>
        <sz val="11"/>
        <color theme="1"/>
        <rFont val="宋体"/>
        <charset val="134"/>
      </rPr>
      <t>，画家工具</t>
    </r>
    <r>
      <rPr>
        <sz val="11"/>
        <color theme="1"/>
        <rFont val="Times New Roman"/>
        <charset val="134"/>
      </rPr>
      <t xml:space="preserve"> Pianter’s Tools</t>
    </r>
    <r>
      <rPr>
        <sz val="11"/>
        <color theme="1"/>
        <rFont val="宋体"/>
        <charset val="134"/>
      </rPr>
      <t xml:space="preserve">
陶艺工具</t>
    </r>
    <r>
      <rPr>
        <sz val="11"/>
        <color theme="1"/>
        <rFont val="Times New Roman"/>
        <charset val="134"/>
      </rPr>
      <t xml:space="preserve"> Potter’s Tools </t>
    </r>
    <r>
      <rPr>
        <sz val="11"/>
        <color theme="1"/>
        <rFont val="宋体"/>
        <charset val="134"/>
      </rPr>
      <t>，石匠工具</t>
    </r>
    <r>
      <rPr>
        <sz val="11"/>
        <color theme="1"/>
        <rFont val="Times New Roman"/>
        <charset val="134"/>
      </rPr>
      <t xml:space="preserve"> Mason’s Tools</t>
    </r>
    <r>
      <rPr>
        <sz val="11"/>
        <color theme="1"/>
        <rFont val="宋体"/>
        <charset val="134"/>
      </rPr>
      <t>，修补工具</t>
    </r>
    <r>
      <rPr>
        <sz val="11"/>
        <color theme="1"/>
        <rFont val="Times New Roman"/>
        <charset val="134"/>
      </rPr>
      <t xml:space="preserve"> Tinker’s Tools</t>
    </r>
    <r>
      <rPr>
        <sz val="11"/>
        <color theme="1"/>
        <rFont val="宋体"/>
        <charset val="134"/>
      </rPr>
      <t xml:space="preserve">
织布工具</t>
    </r>
    <r>
      <rPr>
        <sz val="11"/>
        <color theme="1"/>
        <rFont val="Times New Roman"/>
        <charset val="134"/>
      </rPr>
      <t xml:space="preserve"> Weaver’s Tools</t>
    </r>
    <r>
      <rPr>
        <sz val="11"/>
        <color theme="1"/>
        <rFont val="宋体"/>
        <charset val="134"/>
      </rPr>
      <t>，木雕工具</t>
    </r>
    <r>
      <rPr>
        <sz val="11"/>
        <color theme="1"/>
        <rFont val="Times New Roman"/>
        <charset val="134"/>
      </rPr>
      <t xml:space="preserve"> Woodcarver’s Tools
</t>
    </r>
    <r>
      <rPr>
        <sz val="11"/>
        <color theme="1"/>
        <rFont val="宋体"/>
        <charset val="134"/>
      </rPr>
      <t>制造选项</t>
    </r>
    <r>
      <rPr>
        <sz val="11"/>
        <color theme="1"/>
        <rFont val="Times New Roman"/>
        <charset val="134"/>
      </rPr>
      <t xml:space="preserve"> Craft Options </t>
    </r>
    <r>
      <rPr>
        <sz val="11"/>
        <color theme="1"/>
        <rFont val="宋体"/>
        <charset val="134"/>
      </rPr>
      <t>：当你对此设施下达制造指令时，从以下选项中选择一项：</t>
    </r>
    <r>
      <rPr>
        <sz val="11"/>
        <color theme="1"/>
        <rFont val="Times New Roman"/>
        <charset val="134"/>
      </rPr>
      <t xml:space="preserve">
</t>
    </r>
    <r>
      <rPr>
        <sz val="11"/>
        <color theme="1"/>
        <rFont val="宋体"/>
        <charset val="134"/>
      </rPr>
      <t>制造：冒险装备</t>
    </r>
    <r>
      <rPr>
        <sz val="11"/>
        <color theme="1"/>
        <rFont val="Times New Roman"/>
        <charset val="134"/>
      </rPr>
      <t xml:space="preserve"> Craft</t>
    </r>
    <r>
      <rPr>
        <sz val="11"/>
        <color theme="1"/>
        <rFont val="宋体"/>
        <charset val="134"/>
      </rPr>
      <t>：</t>
    </r>
    <r>
      <rPr>
        <sz val="11"/>
        <color theme="1"/>
        <rFont val="Times New Roman"/>
        <charset val="134"/>
      </rPr>
      <t xml:space="preserve">Adventuring Gear </t>
    </r>
    <r>
      <rPr>
        <sz val="11"/>
        <color theme="1"/>
        <rFont val="宋体"/>
        <charset val="134"/>
      </rPr>
      <t>：设施雇员制造任意能用工坊内已有的工匠工具（见上文）制造的物品，使用玩家手册中的相关规则。</t>
    </r>
    <r>
      <rPr>
        <sz val="11"/>
        <color theme="1"/>
        <rFont val="Times New Roman"/>
        <charset val="134"/>
      </rPr>
      <t xml:space="preserve">
</t>
    </r>
    <r>
      <rPr>
        <sz val="11"/>
        <color theme="1"/>
        <rFont val="宋体"/>
        <charset val="134"/>
      </rPr>
      <t>制造：魔法物品（器具）</t>
    </r>
    <r>
      <rPr>
        <sz val="11"/>
        <color theme="1"/>
        <rFont val="Times New Roman"/>
        <charset val="134"/>
      </rPr>
      <t xml:space="preserve"> Craft</t>
    </r>
    <r>
      <rPr>
        <sz val="11"/>
        <color theme="1"/>
        <rFont val="宋体"/>
        <charset val="134"/>
      </rPr>
      <t>：</t>
    </r>
    <r>
      <rPr>
        <sz val="11"/>
        <color theme="1"/>
        <rFont val="Times New Roman"/>
        <charset val="134"/>
      </rPr>
      <t>Magic Item</t>
    </r>
    <r>
      <rPr>
        <sz val="11"/>
        <color theme="1"/>
        <rFont val="宋体"/>
        <charset val="134"/>
      </rPr>
      <t>（</t>
    </r>
    <r>
      <rPr>
        <sz val="11"/>
        <color theme="1"/>
        <rFont val="Times New Roman"/>
        <charset val="134"/>
      </rPr>
      <t>Implement</t>
    </r>
    <r>
      <rPr>
        <sz val="11"/>
        <color theme="1"/>
        <rFont val="宋体"/>
        <charset val="134"/>
      </rPr>
      <t>）</t>
    </r>
    <r>
      <rPr>
        <sz val="11"/>
        <color theme="1"/>
        <rFont val="Times New Roman"/>
        <charset val="134"/>
      </rPr>
      <t xml:space="preserve"> </t>
    </r>
    <r>
      <rPr>
        <sz val="11"/>
        <color theme="1"/>
        <rFont val="宋体"/>
        <charset val="134"/>
      </rPr>
      <t>：如果你的等级达到或高于</t>
    </r>
    <r>
      <rPr>
        <sz val="11"/>
        <color theme="1"/>
        <rFont val="Times New Roman"/>
        <charset val="134"/>
      </rPr>
      <t xml:space="preserve"> 9 </t>
    </r>
    <r>
      <rPr>
        <sz val="11"/>
        <color theme="1"/>
        <rFont val="宋体"/>
        <charset val="134"/>
      </rPr>
      <t>级，你可以委托此设施的雇员制造一件由你选择的普通或非普通魔法物品，该物品必须来自第</t>
    </r>
    <r>
      <rPr>
        <sz val="11"/>
        <color theme="1"/>
        <rFont val="Times New Roman"/>
        <charset val="134"/>
      </rPr>
      <t xml:space="preserve"> 7 </t>
    </r>
    <r>
      <rPr>
        <sz val="11"/>
        <color theme="1"/>
        <rFont val="宋体"/>
        <charset val="134"/>
      </rPr>
      <t>章的器具</t>
    </r>
    <r>
      <rPr>
        <sz val="11"/>
        <color theme="1"/>
        <rFont val="Times New Roman"/>
        <charset val="134"/>
      </rPr>
      <t xml:space="preserve"> Implement</t>
    </r>
    <r>
      <rPr>
        <sz val="11"/>
        <color theme="1"/>
        <rFont val="宋体"/>
        <charset val="134"/>
      </rPr>
      <t>表格。此设施拥有制造该物品所需的工具，而其雇员拥有该工具的熟练以及奥秘技能的熟练。参考第</t>
    </r>
    <r>
      <rPr>
        <sz val="11"/>
        <color theme="1"/>
        <rFont val="Times New Roman"/>
        <charset val="134"/>
      </rPr>
      <t xml:space="preserve"> 7 </t>
    </r>
    <r>
      <rPr>
        <sz val="11"/>
        <color theme="1"/>
        <rFont val="宋体"/>
        <charset val="134"/>
      </rPr>
      <t>章“制造魔法物品”一节来决定制造该物品所需的时间与金钱。如果该物品允许使用者用它施展任何法术，你必须亲自制造它（设施雇员可以协助你），并且在制造该物品期间，你每天都必须准备所有该物品可以施展的法术。</t>
    </r>
    <r>
      <rPr>
        <sz val="11"/>
        <color theme="1"/>
        <rFont val="Times New Roman"/>
        <charset val="134"/>
      </rPr>
      <t xml:space="preserve">
</t>
    </r>
    <r>
      <rPr>
        <sz val="11"/>
        <color theme="1"/>
        <rFont val="宋体"/>
        <charset val="134"/>
      </rPr>
      <t>灵感之源</t>
    </r>
    <r>
      <rPr>
        <sz val="11"/>
        <color theme="1"/>
        <rFont val="Times New Roman"/>
        <charset val="134"/>
      </rPr>
      <t xml:space="preserve"> Source of Inspiration </t>
    </r>
    <r>
      <rPr>
        <sz val="11"/>
        <color theme="1"/>
        <rFont val="宋体"/>
        <charset val="134"/>
      </rPr>
      <t>：当你在工坊内完成一次完整的短休后，你获得英雄激励</t>
    </r>
    <r>
      <rPr>
        <sz val="11"/>
        <color theme="1"/>
        <rFont val="Times New Roman"/>
        <charset val="134"/>
      </rPr>
      <t xml:space="preserve"> Heroic Inspiration</t>
    </r>
    <r>
      <rPr>
        <sz val="11"/>
        <color theme="1"/>
        <rFont val="宋体"/>
        <charset val="134"/>
      </rPr>
      <t>。你在完成一次长休前不能再次获得此增益。</t>
    </r>
    <r>
      <rPr>
        <sz val="11"/>
        <color theme="1"/>
        <rFont val="Times New Roman"/>
        <charset val="134"/>
      </rPr>
      <t xml:space="preserve">
</t>
    </r>
    <r>
      <rPr>
        <sz val="11"/>
        <color theme="1"/>
        <rFont val="宋体"/>
        <charset val="134"/>
      </rPr>
      <t>扩大设施</t>
    </r>
    <r>
      <rPr>
        <sz val="11"/>
        <color theme="1"/>
        <rFont val="Times New Roman"/>
        <charset val="134"/>
      </rPr>
      <t xml:space="preserve"> Enlarging the Facility </t>
    </r>
    <r>
      <rPr>
        <sz val="11"/>
        <color theme="1"/>
        <rFont val="宋体"/>
        <charset val="134"/>
      </rPr>
      <t>：你可以花费</t>
    </r>
    <r>
      <rPr>
        <sz val="11"/>
        <color theme="1"/>
        <rFont val="Times New Roman"/>
        <charset val="134"/>
      </rPr>
      <t xml:space="preserve"> 2000 GP </t>
    </r>
    <r>
      <rPr>
        <sz val="11"/>
        <color theme="1"/>
        <rFont val="宋体"/>
        <charset val="134"/>
      </rPr>
      <t>，将工坊扩大为庞大设施。这样做之后，工坊获得额外两位雇员以及额外三种工匠工具（从上述列表中选择）。</t>
    </r>
  </si>
  <si>
    <t>酒馆斗殴者</t>
  </si>
  <si>
    <t>起源专长
强化徒手打击Enhanced Unarmed Strike。当你使用徒手打击命中并造成伤害时，你可以造成1d4+你力量调整值的钝击伤害，而非徒手打击的原本伤害。
伤害重掷Damage Rerolls。当你为徒手打击掷伤害骰时，你可以重掷其中掷出1的骰子，但你必须使用重掷的结果。
临时武器专家Improvised Weaponry。你拥有临时武器的熟练项。
推离Push。在你的回合内，如果你用攻击动作中的一次徒手打击命中了一个生物，你可以在对目标造成伤害的同时将它推离5尺。你每回合只能使用这个增益一次。</t>
  </si>
  <si>
    <t>双武器战斗</t>
  </si>
  <si>
    <t>当你因使用具有轻型词条的武器而得以发动追加攻击时，若该次追加攻击的伤害本来无法加入你的属性调整值，你可以加入你的属性调整值。</t>
  </si>
  <si>
    <t>马厩</t>
  </si>
  <si>
    <r>
      <rPr>
        <sz val="11"/>
        <color theme="1"/>
        <rFont val="宋体"/>
        <charset val="134"/>
      </rPr>
      <t>每个据点可以拥有多个马厩，马厩在加入据点时默认带有一匹骑用马</t>
    </r>
    <r>
      <rPr>
        <sz val="11"/>
        <color theme="1"/>
        <rFont val="Times New Roman"/>
        <charset val="134"/>
      </rPr>
      <t xml:space="preserve"> Riding Horse</t>
    </r>
    <r>
      <rPr>
        <sz val="11"/>
        <color theme="1"/>
        <rFont val="宋体"/>
        <charset val="134"/>
      </rPr>
      <t>或骆驼</t>
    </r>
    <r>
      <rPr>
        <sz val="11"/>
        <color theme="1"/>
        <rFont val="Times New Roman"/>
        <charset val="134"/>
      </rPr>
      <t xml:space="preserve"> Camel</t>
    </r>
    <r>
      <rPr>
        <sz val="11"/>
        <color theme="1"/>
        <rFont val="宋体"/>
        <charset val="134"/>
      </rPr>
      <t>，外加两匹矮种马</t>
    </r>
    <r>
      <rPr>
        <sz val="11"/>
        <color theme="1"/>
        <rFont val="Times New Roman"/>
        <charset val="134"/>
      </rPr>
      <t xml:space="preserve"> Ponies</t>
    </r>
    <r>
      <rPr>
        <sz val="11"/>
        <color theme="1"/>
        <rFont val="宋体"/>
        <charset val="134"/>
      </rPr>
      <t>或骡子</t>
    </r>
    <r>
      <rPr>
        <sz val="11"/>
        <color theme="1"/>
        <rFont val="Times New Roman"/>
        <charset val="134"/>
      </rPr>
      <t xml:space="preserve"> Mules</t>
    </r>
    <r>
      <rPr>
        <sz val="11"/>
        <color theme="1"/>
        <rFont val="宋体"/>
        <charset val="134"/>
      </rPr>
      <t>；这些生物的数据详见玩家手册或怪物图鉴。马厩可以容纳三只大型生物，每两只中型生物在这里占据的空间等同于一只大型生物。设施雇员会照料这些生物。</t>
    </r>
    <r>
      <rPr>
        <sz val="11"/>
        <color theme="1"/>
        <rFont val="Times New Roman"/>
        <charset val="134"/>
      </rPr>
      <t xml:space="preserve">
</t>
    </r>
    <r>
      <rPr>
        <sz val="11"/>
        <color theme="1"/>
        <rFont val="宋体"/>
        <charset val="134"/>
      </rPr>
      <t>当一只可以作为坐骑的野兽</t>
    </r>
    <r>
      <rPr>
        <sz val="11"/>
        <color theme="1"/>
        <rFont val="Times New Roman"/>
        <charset val="134"/>
      </rPr>
      <t xml:space="preserve"> Beast</t>
    </r>
    <r>
      <rPr>
        <sz val="11"/>
        <color theme="1"/>
        <rFont val="宋体"/>
        <charset val="134"/>
      </rPr>
      <t>在这里待了超过</t>
    </r>
    <r>
      <rPr>
        <sz val="11"/>
        <color theme="1"/>
        <rFont val="Times New Roman"/>
        <charset val="134"/>
      </rPr>
      <t>14</t>
    </r>
    <r>
      <rPr>
        <sz val="11"/>
        <color theme="1"/>
        <rFont val="宋体"/>
        <charset val="134"/>
      </rPr>
      <t>天后，任何在尊重它的前提下对它所做的感知（驯兽）检定具有优势。</t>
    </r>
    <r>
      <rPr>
        <sz val="11"/>
        <color theme="1"/>
        <rFont val="Times New Roman"/>
        <charset val="134"/>
      </rPr>
      <t xml:space="preserve">
</t>
    </r>
    <r>
      <rPr>
        <sz val="11"/>
        <color theme="1"/>
        <rFont val="宋体"/>
        <charset val="134"/>
      </rPr>
      <t>贸易：动物</t>
    </r>
    <r>
      <rPr>
        <sz val="11"/>
        <color theme="1"/>
        <rFont val="Times New Roman"/>
        <charset val="134"/>
      </rPr>
      <t xml:space="preserve"> Trade</t>
    </r>
    <r>
      <rPr>
        <sz val="11"/>
        <color theme="1"/>
        <rFont val="宋体"/>
        <charset val="134"/>
      </rPr>
      <t>：</t>
    </r>
    <r>
      <rPr>
        <sz val="11"/>
        <color theme="1"/>
        <rFont val="Times New Roman"/>
        <charset val="134"/>
      </rPr>
      <t xml:space="preserve">Animals </t>
    </r>
    <r>
      <rPr>
        <sz val="11"/>
        <color theme="1"/>
        <rFont val="宋体"/>
        <charset val="134"/>
      </rPr>
      <t>：当你对此设施下达贸易指令时，你委托设施雇员以常规价格购买或贩卖一只或更多坐骑，购买来的坐骑会安置于马厩。这项工作需要</t>
    </r>
    <r>
      <rPr>
        <sz val="11"/>
        <color theme="1"/>
        <rFont val="Times New Roman"/>
        <charset val="134"/>
      </rPr>
      <t xml:space="preserve"> 7 </t>
    </r>
    <r>
      <rPr>
        <sz val="11"/>
        <color theme="1"/>
        <rFont val="宋体"/>
        <charset val="134"/>
      </rPr>
      <t>天时间，</t>
    </r>
    <r>
      <rPr>
        <sz val="11"/>
        <color theme="1"/>
        <rFont val="Times New Roman"/>
        <charset val="134"/>
      </rPr>
      <t xml:space="preserve"> DM </t>
    </r>
    <r>
      <rPr>
        <sz val="11"/>
        <color theme="1"/>
        <rFont val="宋体"/>
        <charset val="134"/>
      </rPr>
      <t>决定可以购买到的坐骑种类——马，矮种马和骡子是最常见的。玩家手册中的坐骑和其他动物</t>
    </r>
    <r>
      <rPr>
        <sz val="11"/>
        <color theme="1"/>
        <rFont val="Times New Roman"/>
        <charset val="134"/>
      </rPr>
      <t xml:space="preserve"> The Mounts and Other Animals</t>
    </r>
    <r>
      <rPr>
        <sz val="11"/>
        <color theme="1"/>
        <rFont val="宋体"/>
        <charset val="134"/>
      </rPr>
      <t>表格给出了不同坐骑的标准价格。你需要支付购买这些坐骑的总花费。</t>
    </r>
    <r>
      <rPr>
        <sz val="11"/>
        <color theme="1"/>
        <rFont val="Times New Roman"/>
        <charset val="134"/>
      </rPr>
      <t xml:space="preserve">
</t>
    </r>
    <r>
      <rPr>
        <sz val="11"/>
        <color theme="1"/>
        <rFont val="宋体"/>
        <charset val="134"/>
      </rPr>
      <t>当你从马厩里出售坐骑时，买家会额外支付你</t>
    </r>
    <r>
      <rPr>
        <sz val="11"/>
        <color theme="1"/>
        <rFont val="Times New Roman"/>
        <charset val="134"/>
      </rPr>
      <t xml:space="preserve"> 20% </t>
    </r>
    <r>
      <rPr>
        <sz val="11"/>
        <color theme="1"/>
        <rFont val="宋体"/>
        <charset val="134"/>
      </rPr>
      <t>于标准价格的酬金；额外酬金将在你达到</t>
    </r>
    <r>
      <rPr>
        <sz val="11"/>
        <color theme="1"/>
        <rFont val="Times New Roman"/>
        <charset val="134"/>
      </rPr>
      <t xml:space="preserve"> 13 </t>
    </r>
    <r>
      <rPr>
        <sz val="11"/>
        <color theme="1"/>
        <rFont val="宋体"/>
        <charset val="134"/>
      </rPr>
      <t>级后提升至</t>
    </r>
    <r>
      <rPr>
        <sz val="11"/>
        <color theme="1"/>
        <rFont val="Times New Roman"/>
        <charset val="134"/>
      </rPr>
      <t xml:space="preserve"> 50% </t>
    </r>
    <r>
      <rPr>
        <sz val="11"/>
        <color theme="1"/>
        <rFont val="宋体"/>
        <charset val="134"/>
      </rPr>
      <t>、</t>
    </r>
    <r>
      <rPr>
        <sz val="11"/>
        <color theme="1"/>
        <rFont val="Times New Roman"/>
        <charset val="134"/>
      </rPr>
      <t xml:space="preserve"> 17 </t>
    </r>
    <r>
      <rPr>
        <sz val="11"/>
        <color theme="1"/>
        <rFont val="宋体"/>
        <charset val="134"/>
      </rPr>
      <t>级后提升至</t>
    </r>
    <r>
      <rPr>
        <sz val="11"/>
        <color theme="1"/>
        <rFont val="Times New Roman"/>
        <charset val="134"/>
      </rPr>
      <t xml:space="preserve"> 100% </t>
    </r>
    <r>
      <rPr>
        <sz val="11"/>
        <color theme="1"/>
        <rFont val="宋体"/>
        <charset val="134"/>
      </rPr>
      <t>。</t>
    </r>
    <r>
      <rPr>
        <sz val="11"/>
        <color theme="1"/>
        <rFont val="Times New Roman"/>
        <charset val="134"/>
      </rPr>
      <t xml:space="preserve">
</t>
    </r>
    <r>
      <rPr>
        <sz val="11"/>
        <color theme="1"/>
        <rFont val="宋体"/>
        <charset val="134"/>
      </rPr>
      <t>扩大设施</t>
    </r>
    <r>
      <rPr>
        <sz val="11"/>
        <color theme="1"/>
        <rFont val="Times New Roman"/>
        <charset val="134"/>
      </rPr>
      <t xml:space="preserve"> Enlarging the Facility </t>
    </r>
    <r>
      <rPr>
        <sz val="11"/>
        <color theme="1"/>
        <rFont val="宋体"/>
        <charset val="134"/>
      </rPr>
      <t>：你可以花费</t>
    </r>
    <r>
      <rPr>
        <sz val="11"/>
        <color theme="1"/>
        <rFont val="Times New Roman"/>
        <charset val="134"/>
      </rPr>
      <t xml:space="preserve"> 2000 GP </t>
    </r>
    <r>
      <rPr>
        <sz val="11"/>
        <color theme="1"/>
        <rFont val="宋体"/>
        <charset val="134"/>
      </rPr>
      <t>，将马厩扩大为庞大设施。这样做之后，马厩将能够容纳六只大型动物。</t>
    </r>
  </si>
  <si>
    <t>健壮</t>
  </si>
  <si>
    <t>起源专长
获得该专长时，你的生命值上限增加你当前角色等级两倍的数值。并且在你随后每次升级时，你的生命值上限都会额外增加2点。</t>
  </si>
  <si>
    <t>徒手战斗</t>
  </si>
  <si>
    <t>当你使用徒手打击命中并造成了伤害时，你可以改为造成1d6+你的力量调整值点钝击伤害，而非原本的徒手打击伤害。如果你进行攻击检定时并没有持握任何武器与盾牌，则上述伤害中的d6将变为d8。
每当你的回合开始时，你还可以对一个因你受擒的生物造成1d4点钝击伤害。</t>
  </si>
  <si>
    <t>游戏厅</t>
  </si>
  <si>
    <t>庞大</t>
  </si>
  <si>
    <r>
      <rPr>
        <sz val="11"/>
        <color theme="1"/>
        <rFont val="宋体"/>
        <charset val="134"/>
      </rPr>
      <t>贸易：赌场</t>
    </r>
    <r>
      <rPr>
        <sz val="11"/>
        <color theme="1"/>
        <rFont val="Times New Roman"/>
        <charset val="134"/>
      </rPr>
      <t xml:space="preserve"> Gambling Hall </t>
    </r>
    <r>
      <rPr>
        <sz val="11"/>
        <color theme="1"/>
        <rFont val="宋体"/>
        <charset val="134"/>
      </rPr>
      <t>：当你对此设施下达贸易指令时，设施雇员将游戏厅变为一个赌场，持续</t>
    </r>
    <r>
      <rPr>
        <sz val="11"/>
        <color theme="1"/>
        <rFont val="Times New Roman"/>
        <charset val="134"/>
      </rPr>
      <t xml:space="preserve"> 7 </t>
    </r>
    <r>
      <rPr>
        <sz val="11"/>
        <color theme="1"/>
        <rFont val="宋体"/>
        <charset val="134"/>
      </rPr>
      <t>天时间。在第七天结束时，掷</t>
    </r>
    <r>
      <rPr>
        <sz val="11"/>
        <color theme="1"/>
        <rFont val="Times New Roman"/>
        <charset val="134"/>
      </rPr>
      <t xml:space="preserve"> d100 </t>
    </r>
    <r>
      <rPr>
        <sz val="11"/>
        <color theme="1"/>
        <rFont val="宋体"/>
        <charset val="134"/>
      </rPr>
      <t>并根据下列表格来决定你作为庄家赚了多少钱。</t>
    </r>
    <r>
      <rPr>
        <sz val="11"/>
        <color theme="1"/>
        <rFont val="Times New Roman"/>
        <charset val="134"/>
      </rPr>
      <t xml:space="preserve">
d100</t>
    </r>
    <r>
      <rPr>
        <sz val="11"/>
        <color theme="1"/>
        <rFont val="宋体"/>
        <charset val="134"/>
      </rPr>
      <t>骰点</t>
    </r>
    <r>
      <rPr>
        <sz val="11"/>
        <color theme="1"/>
        <rFont val="Times New Roman"/>
        <charset val="134"/>
      </rPr>
      <t xml:space="preserve"> </t>
    </r>
    <r>
      <rPr>
        <sz val="11"/>
        <color theme="1"/>
        <rFont val="宋体"/>
        <charset val="134"/>
      </rPr>
      <t>赢得的钱</t>
    </r>
    <r>
      <rPr>
        <sz val="11"/>
        <color theme="1"/>
        <rFont val="Times New Roman"/>
        <charset val="134"/>
      </rPr>
      <t xml:space="preserve">
01-50  1d6*10GP
50-85  2d6*10GP
86-95  4d6*10GP
96-100  10d6*10GP</t>
    </r>
  </si>
  <si>
    <t>通用专长（先决：等级4+）
你选择的一项属性提升2，或者你选择的两项属性各提升1。你无法依靠本专长令某个属性值超出20。
复选Repeatable。你可多次选择本专长。</t>
  </si>
  <si>
    <t>受祝福的勇士</t>
  </si>
  <si>
    <t>你习得两道你选择的牧师戏法（牧师法术列表见牧师职业部分），推荐选取神导术Guidance和圣火术Sacred Flame 。它们对你视作圣武士法术，且这些法术的施法属性是魅力。每当你获得一个圣武士等级时，你都能从你的戏法中选择其一替换为另一道你所选择的圣武士戏法。</t>
  </si>
  <si>
    <t>狭窄</t>
  </si>
  <si>
    <t>温室</t>
  </si>
  <si>
    <r>
      <rPr>
        <sz val="11"/>
        <color theme="1"/>
        <rFont val="宋体"/>
        <charset val="134"/>
      </rPr>
      <t>温室是在受控气候下培育稀有真菌和植物的场所。</t>
    </r>
    <r>
      <rPr>
        <sz val="11"/>
        <color theme="1"/>
        <rFont val="Times New Roman"/>
        <charset val="134"/>
      </rPr>
      <t xml:space="preserve">
</t>
    </r>
    <r>
      <rPr>
        <sz val="11"/>
        <color theme="1"/>
        <rFont val="宋体"/>
        <charset val="134"/>
      </rPr>
      <t>复原之果</t>
    </r>
    <r>
      <rPr>
        <sz val="11"/>
        <color theme="1"/>
        <rFont val="Times New Roman"/>
        <charset val="134"/>
      </rPr>
      <t xml:space="preserve"> Fruit of Restoration </t>
    </r>
    <r>
      <rPr>
        <sz val="11"/>
        <color theme="1"/>
        <rFont val="宋体"/>
        <charset val="134"/>
      </rPr>
      <t>：你温室里的一株植物上长有三颗魔法果实。吃下这三颗果实之一的生物将获得</t>
    </r>
    <r>
      <rPr>
        <sz val="11"/>
        <color theme="1"/>
        <rFont val="Times New Roman"/>
        <charset val="134"/>
      </rPr>
      <t xml:space="preserve"> </t>
    </r>
    <r>
      <rPr>
        <sz val="11"/>
        <color theme="1"/>
        <rFont val="宋体"/>
        <charset val="134"/>
      </rPr>
      <t>次等复原术</t>
    </r>
    <r>
      <rPr>
        <sz val="11"/>
        <color theme="1"/>
        <rFont val="Times New Roman"/>
        <charset val="134"/>
      </rPr>
      <t xml:space="preserve"> Lesser Restoration </t>
    </r>
    <r>
      <rPr>
        <sz val="11"/>
        <color theme="1"/>
        <rFont val="宋体"/>
        <charset val="134"/>
      </rPr>
      <t>的增益。如果魔法果实在被摘下后</t>
    </r>
    <r>
      <rPr>
        <sz val="11"/>
        <color theme="1"/>
        <rFont val="Times New Roman"/>
        <charset val="134"/>
      </rPr>
      <t>24</t>
    </r>
    <r>
      <rPr>
        <sz val="11"/>
        <color theme="1"/>
        <rFont val="宋体"/>
        <charset val="134"/>
      </rPr>
      <t>小时内没有被吃掉，它们将失去魔力。这株植物在每天黎明重新长出被摘走的果实。这株植物无法被移植到其他地方，因为这会杀死该植物。</t>
    </r>
    <r>
      <rPr>
        <sz val="11"/>
        <color theme="1"/>
        <rFont val="Times New Roman"/>
        <charset val="134"/>
      </rPr>
      <t xml:space="preserve">
</t>
    </r>
    <r>
      <rPr>
        <sz val="11"/>
        <color theme="1"/>
        <rFont val="宋体"/>
        <charset val="134"/>
      </rPr>
      <t>收获选项</t>
    </r>
    <r>
      <rPr>
        <sz val="11"/>
        <color theme="1"/>
        <rFont val="Times New Roman"/>
        <charset val="134"/>
      </rPr>
      <t xml:space="preserve"> Harvest Options </t>
    </r>
    <r>
      <rPr>
        <sz val="11"/>
        <color theme="1"/>
        <rFont val="宋体"/>
        <charset val="134"/>
      </rPr>
      <t>：当你对此设施下达收获指令时，从以下选项中选择一项：</t>
    </r>
    <r>
      <rPr>
        <sz val="11"/>
        <color theme="1"/>
        <rFont val="Times New Roman"/>
        <charset val="134"/>
      </rPr>
      <t xml:space="preserve">
</t>
    </r>
    <r>
      <rPr>
        <sz val="11"/>
        <color theme="1"/>
        <rFont val="宋体"/>
        <charset val="134"/>
      </rPr>
      <t>收获：治疗草药</t>
    </r>
    <r>
      <rPr>
        <sz val="11"/>
        <color theme="1"/>
        <rFont val="Times New Roman"/>
        <charset val="134"/>
      </rPr>
      <t xml:space="preserve"> Harvest: Healing Herb </t>
    </r>
    <r>
      <rPr>
        <sz val="11"/>
        <color theme="1"/>
        <rFont val="宋体"/>
        <charset val="134"/>
      </rPr>
      <t>：你委托设施雇员用温室内种植的治疗草药制作一瓶治疗药水（高等）</t>
    </r>
    <r>
      <rPr>
        <sz val="11"/>
        <color theme="1"/>
        <rFont val="Times New Roman"/>
        <charset val="134"/>
      </rPr>
      <t xml:space="preserve"> Potion of Healing</t>
    </r>
    <r>
      <rPr>
        <sz val="11"/>
        <color theme="1"/>
        <rFont val="宋体"/>
        <charset val="134"/>
      </rPr>
      <t>（</t>
    </r>
    <r>
      <rPr>
        <sz val="11"/>
        <color theme="1"/>
        <rFont val="Times New Roman"/>
        <charset val="134"/>
      </rPr>
      <t>greater</t>
    </r>
    <r>
      <rPr>
        <sz val="11"/>
        <color theme="1"/>
        <rFont val="宋体"/>
        <charset val="134"/>
      </rPr>
      <t>）</t>
    </r>
    <r>
      <rPr>
        <sz val="11"/>
        <color theme="1"/>
        <rFont val="Times New Roman"/>
        <charset val="134"/>
      </rPr>
      <t xml:space="preserve"> </t>
    </r>
    <r>
      <rPr>
        <sz val="11"/>
        <color theme="1"/>
        <rFont val="宋体"/>
        <charset val="134"/>
      </rPr>
      <t>。这项工作需要</t>
    </r>
    <r>
      <rPr>
        <sz val="11"/>
        <color theme="1"/>
        <rFont val="Times New Roman"/>
        <charset val="134"/>
      </rPr>
      <t>7</t>
    </r>
    <r>
      <rPr>
        <sz val="11"/>
        <color theme="1"/>
        <rFont val="宋体"/>
        <charset val="134"/>
      </rPr>
      <t>天时间并且不花费任何金钱。</t>
    </r>
    <r>
      <rPr>
        <sz val="11"/>
        <color theme="1"/>
        <rFont val="Times New Roman"/>
        <charset val="134"/>
      </rPr>
      <t xml:space="preserve">
</t>
    </r>
    <r>
      <rPr>
        <sz val="11"/>
        <color theme="1"/>
        <rFont val="宋体"/>
        <charset val="134"/>
      </rPr>
      <t>收获：毒药</t>
    </r>
    <r>
      <rPr>
        <sz val="11"/>
        <color theme="1"/>
        <rFont val="Times New Roman"/>
        <charset val="134"/>
      </rPr>
      <t xml:space="preserve"> Harvest</t>
    </r>
    <r>
      <rPr>
        <sz val="11"/>
        <color theme="1"/>
        <rFont val="宋体"/>
        <charset val="134"/>
      </rPr>
      <t>：</t>
    </r>
    <r>
      <rPr>
        <sz val="11"/>
        <color theme="1"/>
        <rFont val="Times New Roman"/>
        <charset val="134"/>
      </rPr>
      <t xml:space="preserve">Posion </t>
    </r>
    <r>
      <rPr>
        <sz val="11"/>
        <color theme="1"/>
        <rFont val="宋体"/>
        <charset val="134"/>
      </rPr>
      <t>：你委托该设施的雇员从稀有植物和真菌中提取一剂毒药。从以下选项中选择一项：刺客之血</t>
    </r>
    <r>
      <rPr>
        <sz val="11"/>
        <color theme="1"/>
        <rFont val="Times New Roman"/>
        <charset val="134"/>
      </rPr>
      <t xml:space="preserve"> Assassin’s Blood</t>
    </r>
    <r>
      <rPr>
        <sz val="11"/>
        <color theme="1"/>
        <rFont val="宋体"/>
        <charset val="134"/>
      </rPr>
      <t>、怨恨</t>
    </r>
    <r>
      <rPr>
        <sz val="11"/>
        <color theme="1"/>
        <rFont val="Times New Roman"/>
        <charset val="134"/>
      </rPr>
      <t xml:space="preserve"> Malice</t>
    </r>
    <r>
      <rPr>
        <sz val="11"/>
        <color theme="1"/>
        <rFont val="宋体"/>
        <charset val="134"/>
      </rPr>
      <t>、苍白酊剂</t>
    </r>
    <r>
      <rPr>
        <sz val="11"/>
        <color theme="1"/>
        <rFont val="Times New Roman"/>
        <charset val="134"/>
      </rPr>
      <t xml:space="preserve"> Pale Tincture</t>
    </r>
    <r>
      <rPr>
        <sz val="11"/>
        <color theme="1"/>
        <rFont val="宋体"/>
        <charset val="134"/>
      </rPr>
      <t>、真理血清</t>
    </r>
    <r>
      <rPr>
        <sz val="11"/>
        <color theme="1"/>
        <rFont val="Times New Roman"/>
        <charset val="134"/>
      </rPr>
      <t>Turth Serum</t>
    </r>
    <r>
      <rPr>
        <sz val="11"/>
        <color theme="1"/>
        <rFont val="宋体"/>
        <charset val="134"/>
      </rPr>
      <t>。它们的具体功效见第三章“毒药</t>
    </r>
    <r>
      <rPr>
        <sz val="11"/>
        <color theme="1"/>
        <rFont val="Times New Roman"/>
        <charset val="134"/>
      </rPr>
      <t xml:space="preserve"> Posion”</t>
    </r>
    <r>
      <rPr>
        <sz val="11"/>
        <color theme="1"/>
        <rFont val="宋体"/>
        <charset val="134"/>
      </rPr>
      <t>一节。收获完成后，毒药将被保存在一个小瓶中。这项工作需要</t>
    </r>
    <r>
      <rPr>
        <sz val="11"/>
        <color theme="1"/>
        <rFont val="Times New Roman"/>
        <charset val="134"/>
      </rPr>
      <t>7</t>
    </r>
    <r>
      <rPr>
        <sz val="11"/>
        <color theme="1"/>
        <rFont val="宋体"/>
        <charset val="134"/>
      </rPr>
      <t>天时间并且不花费任何金钱。</t>
    </r>
  </si>
  <si>
    <t>演员</t>
  </si>
  <si>
    <t xml:space="preserve">通用专长（先决：等级4+，魅力13+）
属性值提升Ability Score Increase。你的魅力提升1，至多提升至20。
伪装Impersonation。伪装成某个虚构或真实的个体的情况下，你为使别人相信你就是那个个体所做的魅力（欺瞒或表演）检定具有优势。
拟声Mimicry。你可以模仿出另一个生物的语音，甚至包括它的说话方式。听见你的拟声的生物必须通过一次感知（洞悉）检定才能发觉这种拟声是由他人伪造的（DC等于8+你的魅力调整值+你的熟练加值）。  </t>
  </si>
  <si>
    <t>德鲁伊教战士</t>
  </si>
  <si>
    <t>你习得两道你选择的德鲁伊戏法（德鲁伊法术列表见德鲁伊职业部分），推荐选取神导术Guidance 和点点星芒Starry wisp。它们对你视作游侠法术，且这些法术的施法属性是感知。每当你获得一个游侠等级时，你都能从你的戏法中选择其一替换为另一道你所选择的游侠戏法。</t>
  </si>
  <si>
    <t>宽敞</t>
  </si>
  <si>
    <t>实验室</t>
  </si>
  <si>
    <r>
      <rPr>
        <sz val="11"/>
        <color theme="1"/>
        <rFont val="宋体"/>
        <charset val="134"/>
      </rPr>
      <t>实验室包含了存放炼金材料的储藏间以及制造各类调和物的工作间。</t>
    </r>
    <r>
      <rPr>
        <sz val="11"/>
        <color theme="1"/>
        <rFont val="Times New Roman"/>
        <charset val="134"/>
      </rPr>
      <t xml:space="preserve">
</t>
    </r>
    <r>
      <rPr>
        <sz val="11"/>
        <color theme="1"/>
        <rFont val="宋体"/>
        <charset val="134"/>
      </rPr>
      <t>制造选项</t>
    </r>
    <r>
      <rPr>
        <sz val="11"/>
        <color theme="1"/>
        <rFont val="Times New Roman"/>
        <charset val="134"/>
      </rPr>
      <t xml:space="preserve"> Craft Options </t>
    </r>
    <r>
      <rPr>
        <sz val="11"/>
        <color theme="1"/>
        <rFont val="宋体"/>
        <charset val="134"/>
      </rPr>
      <t>：当你对此设施下达制造指令时，从下列选项中选择一项：</t>
    </r>
    <r>
      <rPr>
        <sz val="11"/>
        <color theme="1"/>
        <rFont val="Times New Roman"/>
        <charset val="134"/>
      </rPr>
      <t xml:space="preserve">
</t>
    </r>
    <r>
      <rPr>
        <sz val="11"/>
        <color theme="1"/>
        <rFont val="宋体"/>
        <charset val="134"/>
      </rPr>
      <t>制造：炼金工具</t>
    </r>
    <r>
      <rPr>
        <sz val="11"/>
        <color theme="1"/>
        <rFont val="Times New Roman"/>
        <charset val="134"/>
      </rPr>
      <t xml:space="preserve"> Craft</t>
    </r>
    <r>
      <rPr>
        <sz val="11"/>
        <color theme="1"/>
        <rFont val="宋体"/>
        <charset val="134"/>
      </rPr>
      <t>：</t>
    </r>
    <r>
      <rPr>
        <sz val="11"/>
        <color theme="1"/>
        <rFont val="Times New Roman"/>
        <charset val="134"/>
      </rPr>
      <t xml:space="preserve">Alchemist’s Supplies </t>
    </r>
    <r>
      <rPr>
        <sz val="11"/>
        <color theme="1"/>
        <rFont val="宋体"/>
        <charset val="134"/>
      </rPr>
      <t>：设施雇员制造任意能用炼金工具</t>
    </r>
    <r>
      <rPr>
        <sz val="11"/>
        <color theme="1"/>
        <rFont val="Times New Roman"/>
        <charset val="134"/>
      </rPr>
      <t xml:space="preserve"> Alchemist’s Supplies</t>
    </r>
    <r>
      <rPr>
        <sz val="11"/>
        <color theme="1"/>
        <rFont val="宋体"/>
        <charset val="134"/>
      </rPr>
      <t>制造的物品，使用玩家手册和本书第七章的相关规则。</t>
    </r>
    <r>
      <rPr>
        <sz val="11"/>
        <color theme="1"/>
        <rFont val="Times New Roman"/>
        <charset val="134"/>
      </rPr>
      <t xml:space="preserve">
</t>
    </r>
    <r>
      <rPr>
        <sz val="11"/>
        <color theme="1"/>
        <rFont val="宋体"/>
        <charset val="134"/>
      </rPr>
      <t>制造：毒药</t>
    </r>
    <r>
      <rPr>
        <sz val="11"/>
        <color theme="1"/>
        <rFont val="Times New Roman"/>
        <charset val="134"/>
      </rPr>
      <t xml:space="preserve"> Craft</t>
    </r>
    <r>
      <rPr>
        <sz val="11"/>
        <color theme="1"/>
        <rFont val="宋体"/>
        <charset val="134"/>
      </rPr>
      <t>：</t>
    </r>
    <r>
      <rPr>
        <sz val="11"/>
        <color theme="1"/>
        <rFont val="Times New Roman"/>
        <charset val="134"/>
      </rPr>
      <t xml:space="preserve">Posion </t>
    </r>
    <r>
      <rPr>
        <sz val="11"/>
        <color theme="1"/>
        <rFont val="宋体"/>
        <charset val="134"/>
      </rPr>
      <t>：你委托设施雇员制造一小瓶毒药。该毒药可以是下列任意一种：焦引熏烟</t>
    </r>
    <r>
      <rPr>
        <sz val="11"/>
        <color theme="1"/>
        <rFont val="Times New Roman"/>
        <charset val="134"/>
      </rPr>
      <t xml:space="preserve"> Burnt Othur Fumes</t>
    </r>
    <r>
      <rPr>
        <sz val="11"/>
        <color theme="1"/>
        <rFont val="宋体"/>
        <charset val="134"/>
      </rPr>
      <t>、乙醚精</t>
    </r>
    <r>
      <rPr>
        <sz val="11"/>
        <color theme="1"/>
        <rFont val="Times New Roman"/>
        <charset val="134"/>
      </rPr>
      <t xml:space="preserve"> Essence of Ether</t>
    </r>
    <r>
      <rPr>
        <sz val="11"/>
        <color theme="1"/>
        <rFont val="宋体"/>
        <charset val="134"/>
      </rPr>
      <t>、蒙汗药</t>
    </r>
    <r>
      <rPr>
        <sz val="11"/>
        <color theme="1"/>
        <rFont val="Times New Roman"/>
        <charset val="134"/>
      </rPr>
      <t xml:space="preserve"> Tropor</t>
    </r>
    <r>
      <rPr>
        <sz val="11"/>
        <color theme="1"/>
        <rFont val="宋体"/>
        <charset val="134"/>
      </rPr>
      <t>。这项工作需要</t>
    </r>
    <r>
      <rPr>
        <sz val="11"/>
        <color theme="1"/>
        <rFont val="Times New Roman"/>
        <charset val="134"/>
      </rPr>
      <t>7</t>
    </r>
    <r>
      <rPr>
        <sz val="11"/>
        <color theme="1"/>
        <rFont val="宋体"/>
        <charset val="134"/>
      </rPr>
      <t>天，你必须支付毒药价格一半的成本费用。该毒药的具体功效和价格见第三章“毒药”一节。</t>
    </r>
  </si>
  <si>
    <t>运动精英</t>
  </si>
  <si>
    <t>通用专长（先决：等级4+，力量或敏捷13+）
属性值提升Ability Score Increase。你的力量或敏捷提升1，至多提升至20。
攀爬速度Climb Speed。你获得等同于你速度的攀爬速度。
鲤鱼打挺Hop Up。处于倒地状态的情况下，你可以仅花费5尺移动力来站起来。
跳跃Jumping。你只需移动5尺距离便能进行一次助跑跳远或一次助跑跳高。</t>
  </si>
  <si>
    <t>圣器室</t>
  </si>
  <si>
    <r>
      <rPr>
        <sz val="11"/>
        <color theme="1"/>
        <rFont val="宋体"/>
        <charset val="134"/>
      </rPr>
      <t>圣器室是圣物和宗教长袍的存放室和准备室。</t>
    </r>
    <r>
      <rPr>
        <sz val="11"/>
        <color theme="1"/>
        <rFont val="Times New Roman"/>
        <charset val="134"/>
      </rPr>
      <t xml:space="preserve">
</t>
    </r>
    <r>
      <rPr>
        <sz val="11"/>
        <color theme="1"/>
        <rFont val="宋体"/>
        <charset val="134"/>
      </rPr>
      <t>制造选项</t>
    </r>
    <r>
      <rPr>
        <sz val="11"/>
        <color theme="1"/>
        <rFont val="Times New Roman"/>
        <charset val="134"/>
      </rPr>
      <t xml:space="preserve"> Craft Options </t>
    </r>
    <r>
      <rPr>
        <sz val="11"/>
        <color theme="1"/>
        <rFont val="宋体"/>
        <charset val="134"/>
      </rPr>
      <t>：当你对此设施下达制造命令时，从下列选项中选择一项：</t>
    </r>
    <r>
      <rPr>
        <sz val="11"/>
        <color theme="1"/>
        <rFont val="Times New Roman"/>
        <charset val="134"/>
      </rPr>
      <t xml:space="preserve">
</t>
    </r>
    <r>
      <rPr>
        <sz val="11"/>
        <color theme="1"/>
        <rFont val="宋体"/>
        <charset val="134"/>
      </rPr>
      <t>制造：圣水</t>
    </r>
    <r>
      <rPr>
        <sz val="11"/>
        <color theme="1"/>
        <rFont val="Times New Roman"/>
        <charset val="134"/>
      </rPr>
      <t xml:space="preserve"> Craft</t>
    </r>
    <r>
      <rPr>
        <sz val="11"/>
        <color theme="1"/>
        <rFont val="宋体"/>
        <charset val="134"/>
      </rPr>
      <t>：</t>
    </r>
    <r>
      <rPr>
        <sz val="11"/>
        <color theme="1"/>
        <rFont val="Times New Roman"/>
        <charset val="134"/>
      </rPr>
      <t xml:space="preserve">Holy Water </t>
    </r>
    <r>
      <rPr>
        <sz val="11"/>
        <color theme="1"/>
        <rFont val="宋体"/>
        <charset val="134"/>
      </rPr>
      <t>：你委托设施雇员制造一瓶圣水</t>
    </r>
    <r>
      <rPr>
        <sz val="11"/>
        <color theme="1"/>
        <rFont val="Times New Roman"/>
        <charset val="134"/>
      </rPr>
      <t xml:space="preserve"> Holy Water</t>
    </r>
    <r>
      <rPr>
        <sz val="11"/>
        <color theme="1"/>
        <rFont val="宋体"/>
        <charset val="134"/>
      </rPr>
      <t>。这项工作需要</t>
    </r>
    <r>
      <rPr>
        <sz val="11"/>
        <color theme="1"/>
        <rFont val="Times New Roman"/>
        <charset val="134"/>
      </rPr>
      <t>7</t>
    </r>
    <r>
      <rPr>
        <sz val="11"/>
        <color theme="1"/>
        <rFont val="宋体"/>
        <charset val="134"/>
      </rPr>
      <t>天时间并且无需花费金钱。你可以在制造过程中花费额外的金钱来增强圣水的效用，每花费</t>
    </r>
    <r>
      <rPr>
        <sz val="11"/>
        <color theme="1"/>
        <rFont val="Times New Roman"/>
        <charset val="134"/>
      </rPr>
      <t xml:space="preserve"> 100 GP </t>
    </r>
    <r>
      <rPr>
        <sz val="11"/>
        <color theme="1"/>
        <rFont val="宋体"/>
        <charset val="134"/>
      </rPr>
      <t>，圣水的伤害便增加</t>
    </r>
    <r>
      <rPr>
        <sz val="11"/>
        <color theme="1"/>
        <rFont val="Times New Roman"/>
        <charset val="134"/>
      </rPr>
      <t xml:space="preserve"> 1d8 </t>
    </r>
    <r>
      <rPr>
        <sz val="11"/>
        <color theme="1"/>
        <rFont val="宋体"/>
        <charset val="134"/>
      </rPr>
      <t>。以此法最多额外花费</t>
    </r>
    <r>
      <rPr>
        <sz val="11"/>
        <color theme="1"/>
        <rFont val="Times New Roman"/>
        <charset val="134"/>
      </rPr>
      <t xml:space="preserve"> 500 GP </t>
    </r>
    <r>
      <rPr>
        <sz val="11"/>
        <color theme="1"/>
        <rFont val="宋体"/>
        <charset val="134"/>
      </rPr>
      <t>。</t>
    </r>
    <r>
      <rPr>
        <sz val="11"/>
        <color theme="1"/>
        <rFont val="Times New Roman"/>
        <charset val="134"/>
      </rPr>
      <t xml:space="preserve">
</t>
    </r>
    <r>
      <rPr>
        <sz val="11"/>
        <color theme="1"/>
        <rFont val="宋体"/>
        <charset val="134"/>
      </rPr>
      <t>制造：魔法物品（圣物）</t>
    </r>
    <r>
      <rPr>
        <sz val="11"/>
        <color theme="1"/>
        <rFont val="Times New Roman"/>
        <charset val="134"/>
      </rPr>
      <t>Craft</t>
    </r>
    <r>
      <rPr>
        <sz val="11"/>
        <color theme="1"/>
        <rFont val="宋体"/>
        <charset val="134"/>
      </rPr>
      <t>：</t>
    </r>
    <r>
      <rPr>
        <sz val="11"/>
        <color theme="1"/>
        <rFont val="Times New Roman"/>
        <charset val="134"/>
      </rPr>
      <t>Magic Item</t>
    </r>
    <r>
      <rPr>
        <sz val="11"/>
        <color theme="1"/>
        <rFont val="宋体"/>
        <charset val="134"/>
      </rPr>
      <t>（</t>
    </r>
    <r>
      <rPr>
        <sz val="11"/>
        <color theme="1"/>
        <rFont val="Times New Roman"/>
        <charset val="134"/>
      </rPr>
      <t>Relic</t>
    </r>
    <r>
      <rPr>
        <sz val="11"/>
        <color theme="1"/>
        <rFont val="宋体"/>
        <charset val="134"/>
      </rPr>
      <t>）</t>
    </r>
    <r>
      <rPr>
        <sz val="11"/>
        <color theme="1"/>
        <rFont val="Times New Roman"/>
        <charset val="134"/>
      </rPr>
      <t xml:space="preserve"> </t>
    </r>
    <r>
      <rPr>
        <sz val="11"/>
        <color theme="1"/>
        <rFont val="宋体"/>
        <charset val="134"/>
      </rPr>
      <t>：如果你的等级达到或高于</t>
    </r>
    <r>
      <rPr>
        <sz val="11"/>
        <color theme="1"/>
        <rFont val="Times New Roman"/>
        <charset val="134"/>
      </rPr>
      <t>9</t>
    </r>
    <r>
      <rPr>
        <sz val="11"/>
        <color theme="1"/>
        <rFont val="宋体"/>
        <charset val="134"/>
      </rPr>
      <t>级，你可以委托此设施的雇员制造一件由你选择的普通或非普通魔法物品，该物品必须来自第七章的圣物</t>
    </r>
    <r>
      <rPr>
        <sz val="11"/>
        <color theme="1"/>
        <rFont val="Times New Roman"/>
        <charset val="134"/>
      </rPr>
      <t xml:space="preserve"> Relic</t>
    </r>
    <r>
      <rPr>
        <sz val="11"/>
        <color theme="1"/>
        <rFont val="宋体"/>
        <charset val="134"/>
      </rPr>
      <t>表格。此设施拥有制造该物品所需的工具，而其雇员拥有该工具的熟练以及奥秘技能的熟练。参考第七章“制造魔法物品”一节来决定制造该物品所需的时间与金钱。如果该物品允许使用者用它施展任何法术，你必须亲自制造它（设施雇员可以协助你），并且在制造该物品期间，你每天都必须准备所有该物品可以施展的法术。</t>
    </r>
    <r>
      <rPr>
        <sz val="11"/>
        <color theme="1"/>
        <rFont val="Times New Roman"/>
        <charset val="134"/>
      </rPr>
      <t xml:space="preserve">
</t>
    </r>
    <r>
      <rPr>
        <sz val="11"/>
        <color theme="1"/>
        <rFont val="宋体"/>
        <charset val="134"/>
      </rPr>
      <t>法术刷新</t>
    </r>
    <r>
      <rPr>
        <sz val="11"/>
        <color theme="1"/>
        <rFont val="Times New Roman"/>
        <charset val="134"/>
      </rPr>
      <t xml:space="preserve"> Spell Refreshment </t>
    </r>
    <r>
      <rPr>
        <sz val="11"/>
        <color theme="1"/>
        <rFont val="宋体"/>
        <charset val="134"/>
      </rPr>
      <t>：建造圣器室后，如果你在整个短休</t>
    </r>
    <r>
      <rPr>
        <sz val="11"/>
        <color theme="1"/>
        <rFont val="Times New Roman"/>
        <charset val="134"/>
      </rPr>
      <t xml:space="preserve"> Short Rest</t>
    </r>
    <r>
      <rPr>
        <sz val="11"/>
        <color theme="1"/>
        <rFont val="宋体"/>
        <charset val="134"/>
      </rPr>
      <t>期间都待在自己的据点内，你可以恢复一个五环或更低环阶的法术位。你在完成一次长休前不能再次获得此增益。</t>
    </r>
  </si>
  <si>
    <t>冲锋手</t>
  </si>
  <si>
    <t>通用专长（先决：等级4+，力量或敏捷13+）
属性值提升Ability Score Increase。你的力量或敏捷提升1，至多提升至20。
进阶疾走Improved Dash。当你执行疾走动作时，对该动作而言，你的速度增长了10尺。
冲锋攻击Charge Attack。在用攻击动作中的一次近战攻击检定命中目标时，若你在此次攻击前立即向着该目标直线移动了至少10尺，你可以为这次攻击增添以下其中一个效果：此次攻击的伤害掷骰获得1d8的加值；将目标推离10尺，前提是目标体型不比你大超过一级。你只能在每个你自己的回合使用这个增益一次。</t>
  </si>
  <si>
    <t>抄写室</t>
  </si>
  <si>
    <r>
      <rPr>
        <sz val="11"/>
        <color theme="1"/>
        <rFont val="宋体"/>
        <charset val="134"/>
      </rPr>
      <t>抄写室包含桌子和书写工具。</t>
    </r>
    <r>
      <rPr>
        <sz val="11"/>
        <color theme="1"/>
        <rFont val="Times New Roman"/>
        <charset val="134"/>
      </rPr>
      <t xml:space="preserve">
</t>
    </r>
    <r>
      <rPr>
        <sz val="11"/>
        <color theme="1"/>
        <rFont val="宋体"/>
        <charset val="134"/>
      </rPr>
      <t>制造选项</t>
    </r>
    <r>
      <rPr>
        <sz val="11"/>
        <color theme="1"/>
        <rFont val="Times New Roman"/>
        <charset val="134"/>
      </rPr>
      <t xml:space="preserve"> Craft Options </t>
    </r>
    <r>
      <rPr>
        <sz val="11"/>
        <color theme="1"/>
        <rFont val="宋体"/>
        <charset val="134"/>
      </rPr>
      <t>：当你对此设施下达制造指令时，从以下选项中选择一项：</t>
    </r>
    <r>
      <rPr>
        <sz val="11"/>
        <color theme="1"/>
        <rFont val="Times New Roman"/>
        <charset val="134"/>
      </rPr>
      <t xml:space="preserve">
</t>
    </r>
    <r>
      <rPr>
        <sz val="11"/>
        <color theme="1"/>
        <rFont val="宋体"/>
        <charset val="134"/>
      </rPr>
      <t>制造：书卷抄本</t>
    </r>
    <r>
      <rPr>
        <sz val="11"/>
        <color theme="1"/>
        <rFont val="Times New Roman"/>
        <charset val="134"/>
      </rPr>
      <t xml:space="preserve"> Craft</t>
    </r>
    <r>
      <rPr>
        <sz val="11"/>
        <color theme="1"/>
        <rFont val="宋体"/>
        <charset val="134"/>
      </rPr>
      <t>：</t>
    </r>
    <r>
      <rPr>
        <sz val="11"/>
        <color theme="1"/>
        <rFont val="Times New Roman"/>
        <charset val="134"/>
      </rPr>
      <t xml:space="preserve">Book Replica </t>
    </r>
    <r>
      <rPr>
        <sz val="11"/>
        <color theme="1"/>
        <rFont val="宋体"/>
        <charset val="134"/>
      </rPr>
      <t>：你委托设施雇员制造某本非魔法书籍的手抄本。这项工作需要一本空白的书，并且要花费</t>
    </r>
    <r>
      <rPr>
        <sz val="11"/>
        <color theme="1"/>
        <rFont val="Times New Roman"/>
        <charset val="134"/>
      </rPr>
      <t xml:space="preserve"> 7 </t>
    </r>
    <r>
      <rPr>
        <sz val="11"/>
        <color theme="1"/>
        <rFont val="宋体"/>
        <charset val="134"/>
      </rPr>
      <t>天时间。</t>
    </r>
    <r>
      <rPr>
        <sz val="11"/>
        <color theme="1"/>
        <rFont val="Times New Roman"/>
        <charset val="134"/>
      </rPr>
      <t xml:space="preserve">
</t>
    </r>
    <r>
      <rPr>
        <sz val="11"/>
        <color theme="1"/>
        <rFont val="宋体"/>
        <charset val="134"/>
      </rPr>
      <t>制造：法术卷轴</t>
    </r>
    <r>
      <rPr>
        <sz val="11"/>
        <color theme="1"/>
        <rFont val="Times New Roman"/>
        <charset val="134"/>
      </rPr>
      <t xml:space="preserve"> Craft: Spell Scroll </t>
    </r>
    <r>
      <rPr>
        <sz val="11"/>
        <color theme="1"/>
        <rFont val="宋体"/>
        <charset val="134"/>
      </rPr>
      <t>：你委托设施雇员制造一张法术卷轴</t>
    </r>
    <r>
      <rPr>
        <sz val="11"/>
        <color theme="1"/>
        <rFont val="Times New Roman"/>
        <charset val="134"/>
      </rPr>
      <t xml:space="preserve"> Spell Scroll</t>
    </r>
    <r>
      <rPr>
        <sz val="11"/>
        <color theme="1"/>
        <rFont val="宋体"/>
        <charset val="134"/>
      </rPr>
      <t>，该卷轴包含一道牧师法术或法师法术，其环位不得超过</t>
    </r>
    <r>
      <rPr>
        <sz val="11"/>
        <color theme="1"/>
        <rFont val="Times New Roman"/>
        <charset val="134"/>
      </rPr>
      <t xml:space="preserve"> 3 </t>
    </r>
    <r>
      <rPr>
        <sz val="11"/>
        <color theme="1"/>
        <rFont val="宋体"/>
        <charset val="134"/>
      </rPr>
      <t>环。此设施拥有制造卷轴所需的书法工具，并且其员工能满足制造卷轴所需的条件。制造该卷轴所需的时间和金钱如玩家手册中的“</t>
    </r>
    <r>
      <rPr>
        <sz val="11"/>
        <color theme="1"/>
        <rFont val="Times New Roman"/>
        <charset val="134"/>
      </rPr>
      <t xml:space="preserve"> </t>
    </r>
    <r>
      <rPr>
        <sz val="11"/>
        <color theme="1"/>
        <rFont val="宋体"/>
        <charset val="134"/>
      </rPr>
      <t>制作装备</t>
    </r>
    <r>
      <rPr>
        <sz val="11"/>
        <color theme="1"/>
        <rFont val="Times New Roman"/>
        <charset val="134"/>
      </rPr>
      <t xml:space="preserve"> Crafting Equipment ”</t>
    </r>
    <r>
      <rPr>
        <sz val="11"/>
        <color theme="1"/>
        <rFont val="宋体"/>
        <charset val="134"/>
      </rPr>
      <t>一节所示，你必须支付相应的金钱。</t>
    </r>
    <r>
      <rPr>
        <sz val="11"/>
        <color theme="1"/>
        <rFont val="Times New Roman"/>
        <charset val="134"/>
      </rPr>
      <t xml:space="preserve">
</t>
    </r>
    <r>
      <rPr>
        <sz val="11"/>
        <color theme="1"/>
        <rFont val="宋体"/>
        <charset val="134"/>
      </rPr>
      <t>制造：文书工作</t>
    </r>
    <r>
      <rPr>
        <sz val="11"/>
        <color theme="1"/>
        <rFont val="Times New Roman"/>
        <charset val="134"/>
      </rPr>
      <t xml:space="preserve"> Paperwork </t>
    </r>
    <r>
      <rPr>
        <sz val="11"/>
        <color theme="1"/>
        <rFont val="宋体"/>
        <charset val="134"/>
      </rPr>
      <t>：你委托设施雇员制造最多</t>
    </r>
    <r>
      <rPr>
        <sz val="11"/>
        <color theme="1"/>
        <rFont val="Times New Roman"/>
        <charset val="134"/>
      </rPr>
      <t>50</t>
    </r>
    <r>
      <rPr>
        <sz val="11"/>
        <color theme="1"/>
        <rFont val="宋体"/>
        <charset val="134"/>
      </rPr>
      <t>份单幅大报纸、纸质小册子或者其他活页纸质产品。这项工作需要</t>
    </r>
    <r>
      <rPr>
        <sz val="11"/>
        <color theme="1"/>
        <rFont val="Times New Roman"/>
        <charset val="134"/>
      </rPr>
      <t xml:space="preserve"> 7 </t>
    </r>
    <r>
      <rPr>
        <sz val="11"/>
        <color theme="1"/>
        <rFont val="宋体"/>
        <charset val="134"/>
      </rPr>
      <t>天时间，每一份产品都需要花费</t>
    </r>
    <r>
      <rPr>
        <sz val="11"/>
        <color theme="1"/>
        <rFont val="Times New Roman"/>
        <charset val="134"/>
      </rPr>
      <t xml:space="preserve"> 1 GP </t>
    </r>
    <r>
      <rPr>
        <sz val="11"/>
        <color theme="1"/>
        <rFont val="宋体"/>
        <charset val="134"/>
      </rPr>
      <t>。此外，设施雇员可以将这些产品分发到你据点</t>
    </r>
    <r>
      <rPr>
        <sz val="11"/>
        <color theme="1"/>
        <rFont val="Times New Roman"/>
        <charset val="134"/>
      </rPr>
      <t xml:space="preserve"> 50 </t>
    </r>
    <r>
      <rPr>
        <sz val="11"/>
        <color theme="1"/>
        <rFont val="宋体"/>
        <charset val="134"/>
      </rPr>
      <t>里以内的一个或多个地点，无需花费额外的时间和金钱。</t>
    </r>
  </si>
  <si>
    <t>大厨</t>
  </si>
  <si>
    <t>通用专长（先决：等级4+）
属性值提升Ability Score Increase。你的体质或感知提升1，至多提升至20。
厨师工具Cook’s Utensils。如果你没有厨师工具的熟练，你获得之。
大补食膳Replenishing Meal。作为短休的一部分，只要你手上有食材和厨师工具，你就可以烹饪一顿特别的美食。你可以为数个生物准备足够的此类食物，其数量等于4+你的熟练加值。在这一次短休结束时，任何吃了这些食物且花费了生命骰来恢复生命值的生物都能额外恢复1d8的生命值。
应急零嘴Bolstering Treats。如果你手上有食材和厨师工具，你可以花费一小时的时间，或在完成一次长休时，烹饪出一定份数的零嘴，其数量等于你熟练加值。这些特别的小零嘴在做好后能保存八小时。一个生物可以使用一个附赠动作来吃掉其中一份零嘴，并获得等同于你熟练加值的临时生命值。</t>
  </si>
  <si>
    <t>传送法阵</t>
  </si>
  <si>
    <t>招募</t>
  </si>
  <si>
    <r>
      <rPr>
        <sz val="11"/>
        <color theme="1"/>
        <rFont val="宋体"/>
        <charset val="134"/>
      </rPr>
      <t>一个由法术</t>
    </r>
    <r>
      <rPr>
        <sz val="11"/>
        <color theme="1"/>
        <rFont val="Times New Roman"/>
        <charset val="134"/>
      </rPr>
      <t xml:space="preserve"> </t>
    </r>
    <r>
      <rPr>
        <sz val="11"/>
        <color theme="1"/>
        <rFont val="宋体"/>
        <charset val="134"/>
      </rPr>
      <t>传送法阵</t>
    </r>
    <r>
      <rPr>
        <sz val="11"/>
        <color theme="1"/>
        <rFont val="Times New Roman"/>
        <charset val="134"/>
      </rPr>
      <t xml:space="preserve"> Teleportation Circle </t>
    </r>
    <r>
      <rPr>
        <sz val="11"/>
        <color theme="1"/>
        <rFont val="宋体"/>
        <charset val="134"/>
      </rPr>
      <t>制造的永久法阵铭刻在这个房间的地板上。</t>
    </r>
    <r>
      <rPr>
        <sz val="11"/>
        <color theme="1"/>
        <rFont val="Times New Roman"/>
        <charset val="134"/>
      </rPr>
      <t xml:space="preserve"> 
</t>
    </r>
    <r>
      <rPr>
        <sz val="11"/>
        <color theme="1"/>
        <rFont val="宋体"/>
        <charset val="134"/>
      </rPr>
      <t>招募：施法者</t>
    </r>
    <r>
      <rPr>
        <sz val="11"/>
        <color theme="1"/>
        <rFont val="Times New Roman"/>
        <charset val="134"/>
      </rPr>
      <t xml:space="preserve"> Recurit</t>
    </r>
    <r>
      <rPr>
        <sz val="11"/>
        <color theme="1"/>
        <rFont val="宋体"/>
        <charset val="134"/>
      </rPr>
      <t>：</t>
    </r>
    <r>
      <rPr>
        <sz val="11"/>
        <color theme="1"/>
        <rFont val="Times New Roman"/>
        <charset val="134"/>
      </rPr>
      <t xml:space="preserve">Spellcaster </t>
    </r>
    <r>
      <rPr>
        <sz val="11"/>
        <color theme="1"/>
        <rFont val="宋体"/>
        <charset val="134"/>
      </rPr>
      <t>：当你对此设施下达招募指令时，设施雇员会向一个</t>
    </r>
    <r>
      <rPr>
        <sz val="11"/>
        <color theme="1"/>
        <rFont val="Times New Roman"/>
        <charset val="134"/>
      </rPr>
      <t xml:space="preserve"> </t>
    </r>
    <r>
      <rPr>
        <sz val="11"/>
        <color theme="1"/>
        <rFont val="宋体"/>
        <charset val="134"/>
      </rPr>
      <t>友善</t>
    </r>
    <r>
      <rPr>
        <sz val="11"/>
        <color theme="1"/>
        <rFont val="Times New Roman"/>
        <charset val="134"/>
      </rPr>
      <t xml:space="preserve"> Friendly </t>
    </r>
    <r>
      <rPr>
        <sz val="11"/>
        <color theme="1"/>
        <rFont val="宋体"/>
        <charset val="134"/>
      </rPr>
      <t>的</t>
    </r>
    <r>
      <rPr>
        <sz val="11"/>
        <color theme="1"/>
        <rFont val="Times New Roman"/>
        <charset val="134"/>
      </rPr>
      <t xml:space="preserve"> </t>
    </r>
    <r>
      <rPr>
        <sz val="11"/>
        <color theme="1"/>
        <rFont val="宋体"/>
        <charset val="134"/>
      </rPr>
      <t>非玩家角色</t>
    </r>
    <r>
      <rPr>
        <sz val="11"/>
        <color theme="1"/>
        <rFont val="Times New Roman"/>
        <charset val="134"/>
      </rPr>
      <t xml:space="preserve"> NPC</t>
    </r>
    <r>
      <rPr>
        <sz val="11"/>
        <color theme="1"/>
        <rFont val="宋体"/>
        <charset val="134"/>
      </rPr>
      <t>发出邀请。掷一次骰，如果结果为偶数，则该角色拒绝了邀请，你不会从这个指令中获得任何好处；如果结果为奇数，则该角色接受了邀请，并使用传送法阵来到你的据点内。</t>
    </r>
    <r>
      <rPr>
        <sz val="11"/>
        <color theme="1"/>
        <rFont val="Times New Roman"/>
        <charset val="134"/>
      </rPr>
      <t xml:space="preserve">
</t>
    </r>
    <r>
      <rPr>
        <sz val="11"/>
        <color theme="1"/>
        <rFont val="宋体"/>
        <charset val="134"/>
      </rPr>
      <t>在你位于据点内时，你可以请求这位施法者为你施展一个不超过</t>
    </r>
    <r>
      <rPr>
        <sz val="11"/>
        <color theme="1"/>
        <rFont val="Times New Roman"/>
        <charset val="134"/>
      </rPr>
      <t>4</t>
    </r>
    <r>
      <rPr>
        <sz val="11"/>
        <color theme="1"/>
        <rFont val="宋体"/>
        <charset val="134"/>
      </rPr>
      <t>环的法师法术</t>
    </r>
    <r>
      <rPr>
        <sz val="11"/>
        <color theme="1"/>
        <rFont val="Times New Roman"/>
        <charset val="134"/>
      </rPr>
      <t xml:space="preserve"> Wizard Spell</t>
    </r>
    <r>
      <rPr>
        <sz val="11"/>
        <color theme="1"/>
        <rFont val="宋体"/>
        <charset val="134"/>
      </rPr>
      <t>；在你达到</t>
    </r>
    <r>
      <rPr>
        <sz val="11"/>
        <color theme="1"/>
        <rFont val="Times New Roman"/>
        <charset val="134"/>
      </rPr>
      <t>17</t>
    </r>
    <r>
      <rPr>
        <sz val="11"/>
        <color theme="1"/>
        <rFont val="宋体"/>
        <charset val="134"/>
      </rPr>
      <t>级后，能施展的法术环位限制提高到</t>
    </r>
    <r>
      <rPr>
        <sz val="11"/>
        <color theme="1"/>
        <rFont val="Times New Roman"/>
        <charset val="134"/>
      </rPr>
      <t>8</t>
    </r>
    <r>
      <rPr>
        <sz val="11"/>
        <color theme="1"/>
        <rFont val="宋体"/>
        <charset val="134"/>
      </rPr>
      <t>环。施法者被视为准备了该法术，如果该法术需要任何标有价格的材料，你必须在法术施展前准备好这些材料。</t>
    </r>
    <r>
      <rPr>
        <sz val="11"/>
        <color theme="1"/>
        <rFont val="Times New Roman"/>
        <charset val="134"/>
      </rPr>
      <t xml:space="preserve">
</t>
    </r>
    <r>
      <rPr>
        <sz val="11"/>
        <color theme="1"/>
        <rFont val="宋体"/>
        <charset val="134"/>
      </rPr>
      <t>这位施法者会在</t>
    </r>
    <r>
      <rPr>
        <sz val="11"/>
        <color theme="1"/>
        <rFont val="Times New Roman"/>
        <charset val="134"/>
      </rPr>
      <t>14</t>
    </r>
    <r>
      <rPr>
        <sz val="11"/>
        <color theme="1"/>
        <rFont val="宋体"/>
        <charset val="134"/>
      </rPr>
      <t>天后或他为你施展一个法术后离开。他不会帮忙防御你的据点，并且在据点遭受攻击（见“据点事件”）时立刻离开。</t>
    </r>
  </si>
  <si>
    <t>强弩专家</t>
  </si>
  <si>
    <t xml:space="preserve">通用专长（先决：等级4+，敏捷13+）
属性值提升Ability Score Increase。你的敏捷提升1，至多提升至20。
无视装填Ignore Loading。你无视手弩、重弩和轻弩的装填词条（在这个专长里统称弩）。如果你正手持着一把弩，你即使没有空手也能够为它装填一发弹药。
抵近射击Firing in Melee。你用弩进行的攻击检定不会因你在敌人的5尺内而具有劣势。
双持射击Dual Wielding。当你发动由轻型词条所提供的追加攻击时，如果这次追加攻击是由一把具有轻型词条的弩所发动的，且你原本无法在伤害中加入属性调整值，你就可以改为可以将你的属性调整值加入本次伤害中。 </t>
  </si>
  <si>
    <t>增强</t>
  </si>
  <si>
    <t>剧院</t>
  </si>
  <si>
    <r>
      <rPr>
        <sz val="11"/>
        <color theme="1"/>
        <rFont val="宋体"/>
        <charset val="134"/>
      </rPr>
      <t>剧院包含一座舞台、一个用于存放道具和布景的后台区域、以及为一小群观众准备的观众席。</t>
    </r>
    <r>
      <rPr>
        <sz val="11"/>
        <color theme="1"/>
        <rFont val="Times New Roman"/>
        <charset val="134"/>
      </rPr>
      <t xml:space="preserve">
</t>
    </r>
    <r>
      <rPr>
        <sz val="11"/>
        <color theme="1"/>
        <rFont val="宋体"/>
        <charset val="134"/>
      </rPr>
      <t>增强：剧场演出</t>
    </r>
    <r>
      <rPr>
        <sz val="11"/>
        <color theme="1"/>
        <rFont val="Times New Roman"/>
        <charset val="134"/>
      </rPr>
      <t xml:space="preserve"> Empower</t>
    </r>
    <r>
      <rPr>
        <sz val="11"/>
        <color theme="1"/>
        <rFont val="宋体"/>
        <charset val="134"/>
      </rPr>
      <t>：</t>
    </r>
    <r>
      <rPr>
        <sz val="11"/>
        <color theme="1"/>
        <rFont val="Times New Roman"/>
        <charset val="134"/>
      </rPr>
      <t xml:space="preserve">Theatrical Event </t>
    </r>
    <r>
      <rPr>
        <sz val="11"/>
        <color theme="1"/>
        <rFont val="宋体"/>
        <charset val="134"/>
      </rPr>
      <t>：当你对此设施下达增强指令时，设施雇员将开始编排一场戏剧或音乐会。排练和其他准备工作需要</t>
    </r>
    <r>
      <rPr>
        <sz val="11"/>
        <color theme="1"/>
        <rFont val="Times New Roman"/>
        <charset val="134"/>
      </rPr>
      <t xml:space="preserve"> 14 </t>
    </r>
    <r>
      <rPr>
        <sz val="11"/>
        <color theme="1"/>
        <rFont val="宋体"/>
        <charset val="134"/>
      </rPr>
      <t>天，而之后的演出会持续至少</t>
    </r>
    <r>
      <rPr>
        <sz val="11"/>
        <color theme="1"/>
        <rFont val="Times New Roman"/>
        <charset val="134"/>
      </rPr>
      <t xml:space="preserve"> 7 </t>
    </r>
    <r>
      <rPr>
        <sz val="11"/>
        <color theme="1"/>
        <rFont val="宋体"/>
        <charset val="134"/>
      </rPr>
      <t>天。演出可以无限期地进行下去，直至新的节目上演。</t>
    </r>
    <r>
      <rPr>
        <sz val="11"/>
        <color theme="1"/>
        <rFont val="Times New Roman"/>
        <charset val="134"/>
      </rPr>
      <t xml:space="preserve">
</t>
    </r>
    <r>
      <rPr>
        <sz val="11"/>
        <color theme="1"/>
        <rFont val="宋体"/>
        <charset val="134"/>
      </rPr>
      <t>你或其他角色可以选择用下列方式参与节目：</t>
    </r>
    <r>
      <rPr>
        <sz val="11"/>
        <color theme="1"/>
        <rFont val="Times New Roman"/>
        <charset val="134"/>
      </rPr>
      <t xml:space="preserve">
</t>
    </r>
    <r>
      <rPr>
        <sz val="11"/>
        <color theme="1"/>
        <rFont val="宋体"/>
        <charset val="134"/>
      </rPr>
      <t>作曲家</t>
    </r>
    <r>
      <rPr>
        <sz val="11"/>
        <color theme="1"/>
        <rFont val="Times New Roman"/>
        <charset val="134"/>
      </rPr>
      <t>/</t>
    </r>
    <r>
      <rPr>
        <sz val="11"/>
        <color theme="1"/>
        <rFont val="宋体"/>
        <charset val="134"/>
      </rPr>
      <t>作家</t>
    </r>
    <r>
      <rPr>
        <sz val="11"/>
        <color theme="1"/>
        <rFont val="Times New Roman"/>
        <charset val="134"/>
      </rPr>
      <t xml:space="preserve"> Composer/Writer </t>
    </r>
    <r>
      <rPr>
        <sz val="11"/>
        <color theme="1"/>
        <rFont val="宋体"/>
        <charset val="134"/>
      </rPr>
      <t>：角色可以给音乐会创作曲目或者给戏剧编写剧本，这项工作需要</t>
    </r>
    <r>
      <rPr>
        <sz val="11"/>
        <color theme="1"/>
        <rFont val="Times New Roman"/>
        <charset val="134"/>
      </rPr>
      <t xml:space="preserve"> 14 </t>
    </r>
    <r>
      <rPr>
        <sz val="11"/>
        <color theme="1"/>
        <rFont val="宋体"/>
        <charset val="134"/>
      </rPr>
      <t>天，并且必须在节目开始排练前完成。</t>
    </r>
    <r>
      <rPr>
        <sz val="11"/>
        <color theme="1"/>
        <rFont val="Times New Roman"/>
        <charset val="134"/>
      </rPr>
      <t xml:space="preserve">
</t>
    </r>
    <r>
      <rPr>
        <sz val="11"/>
        <color theme="1"/>
        <rFont val="宋体"/>
        <charset val="134"/>
      </rPr>
      <t>指挥家</t>
    </r>
    <r>
      <rPr>
        <sz val="11"/>
        <color theme="1"/>
        <rFont val="Times New Roman"/>
        <charset val="134"/>
      </rPr>
      <t>/</t>
    </r>
    <r>
      <rPr>
        <sz val="11"/>
        <color theme="1"/>
        <rFont val="宋体"/>
        <charset val="134"/>
      </rPr>
      <t>导演</t>
    </r>
    <r>
      <rPr>
        <sz val="11"/>
        <color theme="1"/>
        <rFont val="Times New Roman"/>
        <charset val="134"/>
      </rPr>
      <t xml:space="preserve"> Conductor/Director </t>
    </r>
    <r>
      <rPr>
        <sz val="11"/>
        <color theme="1"/>
        <rFont val="宋体"/>
        <charset val="134"/>
      </rPr>
      <t>：在整个节目编排期间一直待在此据点内的角色可以担任音乐会的指挥家或戏剧的导演。</t>
    </r>
    <r>
      <rPr>
        <sz val="11"/>
        <color theme="1"/>
        <rFont val="Times New Roman"/>
        <charset val="134"/>
      </rPr>
      <t xml:space="preserve">
</t>
    </r>
    <r>
      <rPr>
        <sz val="11"/>
        <color theme="1"/>
        <rFont val="宋体"/>
        <charset val="134"/>
      </rPr>
      <t>演奏家</t>
    </r>
    <r>
      <rPr>
        <sz val="11"/>
        <color theme="1"/>
        <rFont val="Times New Roman"/>
        <charset val="134"/>
      </rPr>
      <t>/</t>
    </r>
    <r>
      <rPr>
        <sz val="11"/>
        <color theme="1"/>
        <rFont val="宋体"/>
        <charset val="134"/>
      </rPr>
      <t>演员</t>
    </r>
    <r>
      <rPr>
        <sz val="11"/>
        <color theme="1"/>
        <rFont val="Times New Roman"/>
        <charset val="134"/>
      </rPr>
      <t xml:space="preserve"> Performer </t>
    </r>
    <r>
      <rPr>
        <sz val="11"/>
        <color theme="1"/>
        <rFont val="宋体"/>
        <charset val="134"/>
      </rPr>
      <t>：在整个节目排练期间一直待在此据点内的角色在一次或更多次演出中担任领衔主演。设施的某位雇员将作为替补，在其他场次中代替该角色出演。</t>
    </r>
    <r>
      <rPr>
        <sz val="11"/>
        <color theme="1"/>
        <rFont val="Times New Roman"/>
        <charset val="134"/>
      </rPr>
      <t xml:space="preserve">
</t>
    </r>
    <r>
      <rPr>
        <sz val="11"/>
        <color theme="1"/>
        <rFont val="宋体"/>
        <charset val="134"/>
      </rPr>
      <t>在排练结束时，每个参与了节目编排的角色都可以进行一次</t>
    </r>
    <r>
      <rPr>
        <sz val="11"/>
        <color theme="1"/>
        <rFont val="Times New Roman"/>
        <charset val="134"/>
      </rPr>
      <t>DC15</t>
    </r>
    <r>
      <rPr>
        <sz val="11"/>
        <color theme="1"/>
        <rFont val="宋体"/>
        <charset val="134"/>
      </rPr>
      <t>的魅力（表演）检定。如果检定成功的人数多于失败的人数，那么所有进行了检定的角色都将获得一枚</t>
    </r>
    <r>
      <rPr>
        <sz val="11"/>
        <color theme="1"/>
        <rFont val="Times New Roman"/>
        <charset val="134"/>
      </rPr>
      <t>d6</t>
    </r>
    <r>
      <rPr>
        <sz val="11"/>
        <color theme="1"/>
        <rFont val="宋体"/>
        <charset val="134"/>
      </rPr>
      <t>的剧院骰</t>
    </r>
    <r>
      <rPr>
        <sz val="11"/>
        <color theme="1"/>
        <rFont val="Times New Roman"/>
        <charset val="134"/>
      </rPr>
      <t>Theater die</t>
    </r>
    <r>
      <rPr>
        <sz val="11"/>
        <color theme="1"/>
        <rFont val="宋体"/>
        <charset val="134"/>
      </rPr>
      <t>。剧院骰在你达到</t>
    </r>
    <r>
      <rPr>
        <sz val="11"/>
        <color theme="1"/>
        <rFont val="Times New Roman"/>
        <charset val="134"/>
      </rPr>
      <t xml:space="preserve"> 13 </t>
    </r>
    <r>
      <rPr>
        <sz val="11"/>
        <color theme="1"/>
        <rFont val="宋体"/>
        <charset val="134"/>
      </rPr>
      <t>级时提升为</t>
    </r>
    <r>
      <rPr>
        <sz val="11"/>
        <color theme="1"/>
        <rFont val="Times New Roman"/>
        <charset val="134"/>
      </rPr>
      <t xml:space="preserve"> d8</t>
    </r>
    <r>
      <rPr>
        <sz val="11"/>
        <color theme="1"/>
        <rFont val="宋体"/>
        <charset val="134"/>
      </rPr>
      <t>，</t>
    </r>
    <r>
      <rPr>
        <sz val="11"/>
        <color theme="1"/>
        <rFont val="Times New Roman"/>
        <charset val="134"/>
      </rPr>
      <t xml:space="preserve">17 </t>
    </r>
    <r>
      <rPr>
        <sz val="11"/>
        <color theme="1"/>
        <rFont val="宋体"/>
        <charset val="134"/>
      </rPr>
      <t>级时提升为</t>
    </r>
    <r>
      <rPr>
        <sz val="11"/>
        <color theme="1"/>
        <rFont val="Times New Roman"/>
        <charset val="134"/>
      </rPr>
      <t xml:space="preserve"> d10 </t>
    </r>
    <r>
      <rPr>
        <sz val="11"/>
        <color theme="1"/>
        <rFont val="宋体"/>
        <charset val="134"/>
      </rPr>
      <t>。此后，拥有剧院骰的角色可以在进行一次</t>
    </r>
    <r>
      <rPr>
        <sz val="11"/>
        <color theme="1"/>
        <rFont val="Times New Roman"/>
        <charset val="134"/>
      </rPr>
      <t xml:space="preserve"> D20 </t>
    </r>
    <r>
      <rPr>
        <sz val="11"/>
        <color theme="1"/>
        <rFont val="宋体"/>
        <charset val="134"/>
      </rPr>
      <t>检定后立刻投掷自己的剧院骰，将其结果加到检定结果上。如果一个角色在已有一枚剧院骰时再次获得剧院骰，他将失去先前的剧院骰。</t>
    </r>
  </si>
  <si>
    <t>粉碎者</t>
  </si>
  <si>
    <t xml:space="preserve">通用专长（先决：等级4+）
属性值提升Ability Score Increase。你的力量或体质提升1，至多提升至20。
推动Push。每回合一次，当你以造成钝击伤害的一次攻击命中了一个生物时，只要这个生物的体型不比你大超过一级，你就能将它移动5尺至一处未占据空间中。
强化重击Enhanced Critical。当你掷出一次重击命中一名生物并对其造成钝击伤害后，直到你的下个回合开始前，任何以该生物为目标的攻击检定都会具有优势。  </t>
  </si>
  <si>
    <t>训练场</t>
  </si>
  <si>
    <r>
      <rPr>
        <sz val="11"/>
        <color theme="1"/>
        <rFont val="宋体"/>
        <charset val="134"/>
      </rPr>
      <t>每个据点可以拥有多个训练场。训练场可以是开放式庭院、体育场、歌舞厅、亦或是精心打造的充满陷阱和危险的试炼场。它还可能包含固定靶（供武器训练）、软垫以及其他设备。此设施的其中一位雇员是专业教练，其他雇员则是陪练人员。</t>
    </r>
    <r>
      <rPr>
        <sz val="11"/>
        <color theme="1"/>
        <rFont val="Times New Roman"/>
        <charset val="134"/>
      </rPr>
      <t xml:space="preserve">
</t>
    </r>
    <r>
      <rPr>
        <sz val="11"/>
        <color theme="1"/>
        <rFont val="宋体"/>
        <charset val="134"/>
      </rPr>
      <t>当训练场被加入到你的据点时，从</t>
    </r>
    <r>
      <rPr>
        <sz val="11"/>
        <color theme="1"/>
        <rFont val="Times New Roman"/>
        <charset val="134"/>
      </rPr>
      <t xml:space="preserve"> </t>
    </r>
    <r>
      <rPr>
        <sz val="11"/>
        <color theme="1"/>
        <rFont val="宋体"/>
        <charset val="134"/>
      </rPr>
      <t>专业教练</t>
    </r>
    <r>
      <rPr>
        <sz val="11"/>
        <color theme="1"/>
        <rFont val="Times New Roman"/>
        <charset val="134"/>
      </rPr>
      <t xml:space="preserve"> Expert Trainer</t>
    </r>
    <r>
      <rPr>
        <sz val="11"/>
        <color theme="1"/>
        <rFont val="宋体"/>
        <charset val="134"/>
      </rPr>
      <t>表格中选择一位教练。你可以在每个据点回合内更改一次专业教练的类型。</t>
    </r>
    <r>
      <rPr>
        <sz val="11"/>
        <color theme="1"/>
        <rFont val="Times New Roman"/>
        <charset val="134"/>
      </rPr>
      <t xml:space="preserve">
</t>
    </r>
    <r>
      <rPr>
        <sz val="11"/>
        <color theme="1"/>
        <rFont val="宋体"/>
        <charset val="134"/>
      </rPr>
      <t>专业教练</t>
    </r>
    <r>
      <rPr>
        <sz val="11"/>
        <color theme="1"/>
        <rFont val="Times New Roman"/>
        <charset val="134"/>
      </rPr>
      <t xml:space="preserve"> Expert Trainer
</t>
    </r>
    <r>
      <rPr>
        <sz val="11"/>
        <color theme="1"/>
        <rFont val="宋体"/>
        <charset val="134"/>
      </rPr>
      <t>专业教练</t>
    </r>
    <r>
      <rPr>
        <sz val="11"/>
        <color theme="1"/>
        <rFont val="Times New Roman"/>
        <charset val="134"/>
      </rPr>
      <t xml:space="preserve"> </t>
    </r>
    <r>
      <rPr>
        <sz val="11"/>
        <color theme="1"/>
        <rFont val="宋体"/>
        <charset val="134"/>
      </rPr>
      <t>增强效应</t>
    </r>
    <r>
      <rPr>
        <sz val="11"/>
        <color theme="1"/>
        <rFont val="Times New Roman"/>
        <charset val="134"/>
      </rPr>
      <t xml:space="preserve">
</t>
    </r>
    <r>
      <rPr>
        <sz val="11"/>
        <color theme="1"/>
        <rFont val="宋体"/>
        <charset val="134"/>
      </rPr>
      <t>战斗专家</t>
    </r>
    <r>
      <rPr>
        <sz val="11"/>
        <color theme="1"/>
        <rFont val="Times New Roman"/>
        <charset val="134"/>
      </rPr>
      <t xml:space="preserve"> </t>
    </r>
    <r>
      <rPr>
        <sz val="11"/>
        <color theme="1"/>
        <rFont val="宋体"/>
        <charset val="134"/>
      </rPr>
      <t>当你受到来自武器或徒手打击的伤害时，你可以用反应将伤害减少</t>
    </r>
    <r>
      <rPr>
        <sz val="11"/>
        <color theme="1"/>
        <rFont val="Times New Roman"/>
        <charset val="134"/>
      </rPr>
      <t xml:space="preserve"> 1d4 </t>
    </r>
    <r>
      <rPr>
        <sz val="11"/>
        <color theme="1"/>
        <rFont val="宋体"/>
        <charset val="134"/>
      </rPr>
      <t>点。</t>
    </r>
    <r>
      <rPr>
        <sz val="11"/>
        <color theme="1"/>
        <rFont val="Times New Roman"/>
        <charset val="134"/>
      </rPr>
      <t xml:space="preserve">
</t>
    </r>
    <r>
      <rPr>
        <sz val="11"/>
        <color theme="1"/>
        <rFont val="宋体"/>
        <charset val="134"/>
      </rPr>
      <t>技能专家</t>
    </r>
    <r>
      <rPr>
        <sz val="11"/>
        <color theme="1"/>
        <rFont val="Times New Roman"/>
        <charset val="134"/>
      </rPr>
      <t xml:space="preserve"> </t>
    </r>
    <r>
      <rPr>
        <sz val="11"/>
        <color theme="1"/>
        <rFont val="宋体"/>
        <charset val="134"/>
      </rPr>
      <t>你选择下列技能之一并获得它的熟练：特技、运动、表演、巧手或隐匿。</t>
    </r>
    <r>
      <rPr>
        <sz val="11"/>
        <color theme="1"/>
        <rFont val="Times New Roman"/>
        <charset val="134"/>
      </rPr>
      <t xml:space="preserve">
</t>
    </r>
    <r>
      <rPr>
        <sz val="11"/>
        <color theme="1"/>
        <rFont val="宋体"/>
        <charset val="134"/>
      </rPr>
      <t>工具专家</t>
    </r>
    <r>
      <rPr>
        <sz val="11"/>
        <color theme="1"/>
        <rFont val="Times New Roman"/>
        <charset val="134"/>
      </rPr>
      <t xml:space="preserve"> </t>
    </r>
    <r>
      <rPr>
        <sz val="11"/>
        <color theme="1"/>
        <rFont val="宋体"/>
        <charset val="134"/>
      </rPr>
      <t>你选择一项工具并获得它的熟练。</t>
    </r>
    <r>
      <rPr>
        <sz val="11"/>
        <color theme="1"/>
        <rFont val="Times New Roman"/>
        <charset val="134"/>
      </rPr>
      <t xml:space="preserve">
</t>
    </r>
    <r>
      <rPr>
        <sz val="11"/>
        <color theme="1"/>
        <rFont val="宋体"/>
        <charset val="134"/>
      </rPr>
      <t>徒手战斗专家</t>
    </r>
    <r>
      <rPr>
        <sz val="11"/>
        <color theme="1"/>
        <rFont val="Times New Roman"/>
        <charset val="134"/>
      </rPr>
      <t xml:space="preserve"> </t>
    </r>
    <r>
      <rPr>
        <sz val="11"/>
        <color theme="1"/>
        <rFont val="宋体"/>
        <charset val="134"/>
      </rPr>
      <t>当你以徒手打击命中并造成伤害时，该次攻击造成额外</t>
    </r>
    <r>
      <rPr>
        <sz val="11"/>
        <color theme="1"/>
        <rFont val="Times New Roman"/>
        <charset val="134"/>
      </rPr>
      <t xml:space="preserve"> 1d4 </t>
    </r>
    <r>
      <rPr>
        <sz val="11"/>
        <color theme="1"/>
        <rFont val="宋体"/>
        <charset val="134"/>
      </rPr>
      <t>点伤害。</t>
    </r>
    <r>
      <rPr>
        <sz val="11"/>
        <color theme="1"/>
        <rFont val="Times New Roman"/>
        <charset val="134"/>
      </rPr>
      <t xml:space="preserve">
</t>
    </r>
    <r>
      <rPr>
        <sz val="11"/>
        <color theme="1"/>
        <rFont val="宋体"/>
        <charset val="134"/>
      </rPr>
      <t>武器专家</t>
    </r>
    <r>
      <rPr>
        <sz val="11"/>
        <color theme="1"/>
        <rFont val="Times New Roman"/>
        <charset val="134"/>
      </rPr>
      <t xml:space="preserve"> </t>
    </r>
    <r>
      <rPr>
        <sz val="11"/>
        <color theme="1"/>
        <rFont val="宋体"/>
        <charset val="134"/>
      </rPr>
      <t>选择一种简易或军用武器，例如矛或长弓。如果你尚未熟练于该武器，你获得其熟练；如果你已经熟练于该武器，你可以使用其精通词条。</t>
    </r>
    <r>
      <rPr>
        <sz val="11"/>
        <color theme="1"/>
        <rFont val="Times New Roman"/>
        <charset val="134"/>
      </rPr>
      <t xml:space="preserve">
</t>
    </r>
    <r>
      <rPr>
        <sz val="11"/>
        <color theme="1"/>
        <rFont val="宋体"/>
        <charset val="134"/>
      </rPr>
      <t>增强：训练</t>
    </r>
    <r>
      <rPr>
        <sz val="11"/>
        <color theme="1"/>
        <rFont val="Times New Roman"/>
        <charset val="134"/>
      </rPr>
      <t xml:space="preserve"> Empower</t>
    </r>
    <r>
      <rPr>
        <sz val="11"/>
        <color theme="1"/>
        <rFont val="宋体"/>
        <charset val="134"/>
      </rPr>
      <t>：</t>
    </r>
    <r>
      <rPr>
        <sz val="11"/>
        <color theme="1"/>
        <rFont val="Times New Roman"/>
        <charset val="134"/>
      </rPr>
      <t xml:space="preserve">Training </t>
    </r>
    <r>
      <rPr>
        <sz val="11"/>
        <color theme="1"/>
        <rFont val="宋体"/>
        <charset val="134"/>
      </rPr>
      <t>：当你对此设施下达增强指令时，设施雇员将在之后</t>
    </r>
    <r>
      <rPr>
        <sz val="11"/>
        <color theme="1"/>
        <rFont val="Times New Roman"/>
        <charset val="134"/>
      </rPr>
      <t>7</t>
    </r>
    <r>
      <rPr>
        <sz val="11"/>
        <color theme="1"/>
        <rFont val="宋体"/>
        <charset val="134"/>
      </rPr>
      <t>天里开展训练课程。任何角色只要在这</t>
    </r>
    <r>
      <rPr>
        <sz val="11"/>
        <color theme="1"/>
        <rFont val="Times New Roman"/>
        <charset val="134"/>
      </rPr>
      <t>7</t>
    </r>
    <r>
      <rPr>
        <sz val="11"/>
        <color theme="1"/>
        <rFont val="宋体"/>
        <charset val="134"/>
      </rPr>
      <t>天内每天花费至少</t>
    </r>
    <r>
      <rPr>
        <sz val="11"/>
        <color theme="1"/>
        <rFont val="Times New Roman"/>
        <charset val="134"/>
      </rPr>
      <t>8</t>
    </r>
    <r>
      <rPr>
        <sz val="11"/>
        <color theme="1"/>
        <rFont val="宋体"/>
        <charset val="134"/>
      </rPr>
      <t>小时在这里训练，即可在课程结束时获得增益。增益的具体效果由训练场的专业教练类型决定，参考上述表格。训练获得的增益将持续</t>
    </r>
    <r>
      <rPr>
        <sz val="11"/>
        <color theme="1"/>
        <rFont val="Times New Roman"/>
        <charset val="134"/>
      </rPr>
      <t>7</t>
    </r>
    <r>
      <rPr>
        <sz val="11"/>
        <color theme="1"/>
        <rFont val="宋体"/>
        <charset val="134"/>
      </rPr>
      <t>天时间。</t>
    </r>
  </si>
  <si>
    <t>防御式决斗</t>
  </si>
  <si>
    <t xml:space="preserve">通用专长（先决：等级4+，敏捷13+）
属性值提升Ability Score Increase。你的敏捷提升1，至多提升至20。
招架Parry。如果其他生物的近战攻击命中你时你正握着一把灵巧武器，则你可以执行反应来将你的熟练加值加入到你的护甲等级中，此举可能导致本次攻击变为未命中。那之后，直到你的下一回合开始前，你的AC在面对近战攻击时都将具有相同的加值。  </t>
  </si>
  <si>
    <t>维护</t>
  </si>
  <si>
    <t>陈列室</t>
  </si>
  <si>
    <r>
      <rPr>
        <sz val="11"/>
        <color theme="1"/>
        <rFont val="宋体"/>
        <charset val="134"/>
      </rPr>
      <t>这个房间存放着一系列纪念品，譬如来自旧日战争的武器、猎物装裱好的头颅、在地城里捡到的小饰品、以及先祖流传下来的战利品。</t>
    </r>
    <r>
      <rPr>
        <sz val="11"/>
        <color theme="1"/>
        <rFont val="Times New Roman"/>
        <charset val="134"/>
      </rPr>
      <t xml:space="preserve">
</t>
    </r>
    <r>
      <rPr>
        <sz val="11"/>
        <color theme="1"/>
        <rFont val="宋体"/>
        <charset val="134"/>
      </rPr>
      <t>调查选项</t>
    </r>
    <r>
      <rPr>
        <sz val="11"/>
        <color theme="1"/>
        <rFont val="Times New Roman"/>
        <charset val="134"/>
      </rPr>
      <t xml:space="preserve"> Research Options </t>
    </r>
    <r>
      <rPr>
        <sz val="11"/>
        <color theme="1"/>
        <rFont val="宋体"/>
        <charset val="134"/>
      </rPr>
      <t>：当你对此设施下达调查指令时，从以下选项中选择一项：</t>
    </r>
    <r>
      <rPr>
        <sz val="11"/>
        <color theme="1"/>
        <rFont val="Times New Roman"/>
        <charset val="134"/>
      </rPr>
      <t xml:space="preserve">
</t>
    </r>
    <r>
      <rPr>
        <sz val="11"/>
        <color theme="1"/>
        <rFont val="宋体"/>
        <charset val="134"/>
      </rPr>
      <t>调查：学识</t>
    </r>
    <r>
      <rPr>
        <sz val="11"/>
        <color theme="1"/>
        <rFont val="Times New Roman"/>
        <charset val="134"/>
      </rPr>
      <t xml:space="preserve"> Research</t>
    </r>
    <r>
      <rPr>
        <sz val="11"/>
        <color theme="1"/>
        <rFont val="宋体"/>
        <charset val="134"/>
      </rPr>
      <t>：</t>
    </r>
    <r>
      <rPr>
        <sz val="11"/>
        <color theme="1"/>
        <rFont val="Times New Roman"/>
        <charset val="134"/>
      </rPr>
      <t xml:space="preserve">Lore </t>
    </r>
    <r>
      <rPr>
        <sz val="11"/>
        <color theme="1"/>
        <rFont val="宋体"/>
        <charset val="134"/>
      </rPr>
      <t>：你委托设施雇员针对某个主题进行研究。该主题可以是某个传说、某位重要的人、某种生物或某个知名的物件。陈列室内的收藏可以为相当广泛的研究课题提供线索，因此要研究的主题并不需要与这些收藏直接相关。研究工作需要</t>
    </r>
    <r>
      <rPr>
        <sz val="11"/>
        <color theme="1"/>
        <rFont val="Times New Roman"/>
        <charset val="134"/>
      </rPr>
      <t>7</t>
    </r>
    <r>
      <rPr>
        <sz val="11"/>
        <color theme="1"/>
        <rFont val="宋体"/>
        <charset val="134"/>
      </rPr>
      <t>天时间。当研究完成后，雇员将获取三条你之前不知道的有关该主题的信息，这些信息是准确无误的。在你下次与该雇员交谈时，雇员将这些信息传达给你。由</t>
    </r>
    <r>
      <rPr>
        <sz val="11"/>
        <color theme="1"/>
        <rFont val="Times New Roman"/>
        <charset val="134"/>
      </rPr>
      <t xml:space="preserve"> DM </t>
    </r>
    <r>
      <rPr>
        <sz val="11"/>
        <color theme="1"/>
        <rFont val="宋体"/>
        <charset val="134"/>
      </rPr>
      <t>决定你具体获得了怎样的信息。</t>
    </r>
    <r>
      <rPr>
        <sz val="11"/>
        <color theme="1"/>
        <rFont val="Times New Roman"/>
        <charset val="134"/>
      </rPr>
      <t xml:space="preserve">
</t>
    </r>
    <r>
      <rPr>
        <sz val="11"/>
        <color theme="1"/>
        <rFont val="宋体"/>
        <charset val="134"/>
      </rPr>
      <t>调查：饰品收藏</t>
    </r>
    <r>
      <rPr>
        <sz val="11"/>
        <color theme="1"/>
        <rFont val="Times New Roman"/>
        <charset val="134"/>
      </rPr>
      <t xml:space="preserve"> Research</t>
    </r>
    <r>
      <rPr>
        <sz val="11"/>
        <color theme="1"/>
        <rFont val="宋体"/>
        <charset val="134"/>
      </rPr>
      <t>：</t>
    </r>
    <r>
      <rPr>
        <sz val="11"/>
        <color theme="1"/>
        <rFont val="Times New Roman"/>
        <charset val="134"/>
      </rPr>
      <t xml:space="preserve">Trinket Trophy </t>
    </r>
    <r>
      <rPr>
        <sz val="11"/>
        <color theme="1"/>
        <rFont val="宋体"/>
        <charset val="134"/>
      </rPr>
      <t>：你委托设施雇员寻找一件可能对你有用的饰品。这项工作需要</t>
    </r>
    <r>
      <rPr>
        <sz val="11"/>
        <color theme="1"/>
        <rFont val="Times New Roman"/>
        <charset val="134"/>
      </rPr>
      <t xml:space="preserve"> 7 </t>
    </r>
    <r>
      <rPr>
        <sz val="11"/>
        <color theme="1"/>
        <rFont val="宋体"/>
        <charset val="134"/>
      </rPr>
      <t>天时间，在这段时间结束时，掷一次骰。若结果为偶数，则雇员没有找到任何有用的物品；若结果为奇数，则雇员找到了一件魔法物品。在第七章的器具—普通</t>
    </r>
    <r>
      <rPr>
        <sz val="11"/>
        <color theme="1"/>
        <rFont val="Times New Roman"/>
        <charset val="134"/>
      </rPr>
      <t xml:space="preserve"> Implement—Common</t>
    </r>
    <r>
      <rPr>
        <sz val="11"/>
        <color theme="1"/>
        <rFont val="宋体"/>
        <charset val="134"/>
      </rPr>
      <t>表格中掷骰以决定你获得了哪件物品。</t>
    </r>
  </si>
  <si>
    <t>双持客</t>
  </si>
  <si>
    <t xml:space="preserve">通用专长（先决：等级4+，力量或敏捷13+）
属性值提升Ability Score Increase。你的力量或敏捷提升1，至多提升至20。
强化双持Enhanced Dual Wielding。当你在自己的回合中执行了攻击动作，并使用具有轻型词条的武器发动了一次攻击后，你可以在同一回合中，以一个附赠动作发动一次追加攻击。这次追加攻击必须由另一把不具有双手词条的近战武器发动。追加攻击的伤害无法加入你的属性调整值（除非该调整值为负数）。
（译注：因为WSZ的文字游戏，此效果难以被准确翻译，简而言之：此效果的攻击属于“因使用具有轻型词条的武器而发动的追加攻击”；但不属于“由轻型词条提供的追加攻击”）
快速拔刀Quick Draw。拔出或入鞘武器时，你可以同时拔出或入鞘两把不具有双手词条的武器，而非通常情况下的一把。  </t>
  </si>
  <si>
    <t>档案馆</t>
  </si>
  <si>
    <r>
      <rPr>
        <sz val="11"/>
        <color theme="1"/>
        <rFont val="宋体"/>
        <charset val="134"/>
      </rPr>
      <t>档案馆是储存书籍，地图和卷轴的地方。它通常连接着一座图书馆，隔着一扇上锁的门或密门。</t>
    </r>
    <r>
      <rPr>
        <sz val="11"/>
        <color theme="1"/>
        <rFont val="Times New Roman"/>
        <charset val="134"/>
      </rPr>
      <t xml:space="preserve">
</t>
    </r>
    <r>
      <rPr>
        <sz val="11"/>
        <color theme="1"/>
        <rFont val="宋体"/>
        <charset val="134"/>
      </rPr>
      <t>调查：有益学识</t>
    </r>
    <r>
      <rPr>
        <sz val="11"/>
        <color theme="1"/>
        <rFont val="Times New Roman"/>
        <charset val="134"/>
      </rPr>
      <t xml:space="preserve"> Research</t>
    </r>
    <r>
      <rPr>
        <sz val="11"/>
        <color theme="1"/>
        <rFont val="宋体"/>
        <charset val="134"/>
      </rPr>
      <t>：</t>
    </r>
    <r>
      <rPr>
        <sz val="11"/>
        <color theme="1"/>
        <rFont val="Times New Roman"/>
        <charset val="134"/>
      </rPr>
      <t xml:space="preserve">Helpful Lore </t>
    </r>
    <r>
      <rPr>
        <sz val="11"/>
        <color theme="1"/>
        <rFont val="宋体"/>
        <charset val="134"/>
      </rPr>
      <t>：当你对此设施下达调查指令时，你委托设施的雇员搜索档案馆，寻找需要的知识。这项工作需要</t>
    </r>
    <r>
      <rPr>
        <sz val="11"/>
        <color theme="1"/>
        <rFont val="Times New Roman"/>
        <charset val="134"/>
      </rPr>
      <t>7</t>
    </r>
    <r>
      <rPr>
        <sz val="11"/>
        <color theme="1"/>
        <rFont val="宋体"/>
        <charset val="134"/>
      </rPr>
      <t>天时间。雇员将如同施展了通晓传奇</t>
    </r>
    <r>
      <rPr>
        <sz val="11"/>
        <color theme="1"/>
        <rFont val="Times New Roman"/>
        <charset val="134"/>
      </rPr>
      <t xml:space="preserve"> Legend Lore </t>
    </r>
    <r>
      <rPr>
        <sz val="11"/>
        <color theme="1"/>
        <rFont val="宋体"/>
        <charset val="134"/>
      </rPr>
      <t>法术那样获得相关的知识。在你下次和他对话时，雇员将这些知识传达给你。</t>
    </r>
    <r>
      <rPr>
        <sz val="11"/>
        <color theme="1"/>
        <rFont val="Times New Roman"/>
        <charset val="134"/>
      </rPr>
      <t xml:space="preserve">
</t>
    </r>
    <r>
      <rPr>
        <sz val="11"/>
        <color theme="1"/>
        <rFont val="宋体"/>
        <charset val="134"/>
      </rPr>
      <t>参考书</t>
    </r>
    <r>
      <rPr>
        <sz val="11"/>
        <color theme="1"/>
        <rFont val="Times New Roman"/>
        <charset val="134"/>
      </rPr>
      <t xml:space="preserve"> Reference Book </t>
    </r>
    <r>
      <rPr>
        <sz val="11"/>
        <color theme="1"/>
        <rFont val="宋体"/>
        <charset val="134"/>
      </rPr>
      <t>：你的档案馆中存放了某本参考书的抄本，当你和这本书都位于据点内时，它会赋予你相应的好处。你可以从下列选项中选择一项（</t>
    </r>
    <r>
      <rPr>
        <sz val="11"/>
        <color theme="1"/>
        <rFont val="Times New Roman"/>
        <charset val="134"/>
      </rPr>
      <t>DM</t>
    </r>
    <r>
      <rPr>
        <sz val="11"/>
        <color theme="1"/>
        <rFont val="宋体"/>
        <charset val="134"/>
      </rPr>
      <t>可能会创作额外的选项）：</t>
    </r>
    <r>
      <rPr>
        <sz val="11"/>
        <color theme="1"/>
        <rFont val="Times New Roman"/>
        <charset val="134"/>
      </rPr>
      <t xml:space="preserve">
</t>
    </r>
    <r>
      <rPr>
        <sz val="11"/>
        <color theme="1"/>
        <rFont val="宋体"/>
        <charset val="134"/>
      </rPr>
      <t>毕格比之手边奥术原典</t>
    </r>
    <r>
      <rPr>
        <sz val="11"/>
        <color theme="1"/>
        <rFont val="Times New Roman"/>
        <charset val="134"/>
      </rPr>
      <t xml:space="preserve"> Bigdy’s Handy Arcana Codex </t>
    </r>
    <r>
      <rPr>
        <sz val="11"/>
        <color theme="1"/>
        <rFont val="宋体"/>
        <charset val="134"/>
      </rPr>
      <t>：当你执行研究</t>
    </r>
    <r>
      <rPr>
        <sz val="11"/>
        <color theme="1"/>
        <rFont val="Times New Roman"/>
        <charset val="134"/>
      </rPr>
      <t xml:space="preserve"> Study</t>
    </r>
    <r>
      <rPr>
        <sz val="11"/>
        <color theme="1"/>
        <rFont val="宋体"/>
        <charset val="134"/>
      </rPr>
      <t>动作以回想有关法术、魔法物品、秘术符号、魔法传统以及存在位面的知识时，你所做的所有智力（奥秘）检定具有优势。</t>
    </r>
    <r>
      <rPr>
        <sz val="11"/>
        <color theme="1"/>
        <rFont val="Times New Roman"/>
        <charset val="134"/>
      </rPr>
      <t xml:space="preserve">
</t>
    </r>
    <r>
      <rPr>
        <sz val="11"/>
        <color theme="1"/>
        <rFont val="宋体"/>
        <charset val="134"/>
      </rPr>
      <t>库若尼普斯编年史</t>
    </r>
    <r>
      <rPr>
        <sz val="11"/>
        <color theme="1"/>
        <rFont val="Times New Roman"/>
        <charset val="134"/>
      </rPr>
      <t xml:space="preserve"> The Chronepsis Chronicles </t>
    </r>
    <r>
      <rPr>
        <sz val="11"/>
        <color theme="1"/>
        <rFont val="宋体"/>
        <charset val="134"/>
      </rPr>
      <t>：当你执行研究动作以回想有关历史事件、传奇人物、古代帝国、过去的冲突与战争以及失落的文明的知识时，你所做的所有智力（历史）检定具有优势。</t>
    </r>
    <r>
      <rPr>
        <sz val="11"/>
        <color theme="1"/>
        <rFont val="Times New Roman"/>
        <charset val="134"/>
      </rPr>
      <t xml:space="preserve">
</t>
    </r>
    <r>
      <rPr>
        <sz val="11"/>
        <color theme="1"/>
        <rFont val="宋体"/>
        <charset val="134"/>
      </rPr>
      <t>调查员的调查报告</t>
    </r>
    <r>
      <rPr>
        <sz val="11"/>
        <color theme="1"/>
        <rFont val="Times New Roman"/>
        <charset val="134"/>
      </rPr>
      <t xml:space="preserve"> Investigations of the Inquisitive </t>
    </r>
    <r>
      <rPr>
        <sz val="11"/>
        <color theme="1"/>
        <rFont val="宋体"/>
        <charset val="134"/>
      </rPr>
      <t>：当你执行研究动作以根据线索和证据进行推理，或者回想有关陷阱、密码、谜题以及小装置的知识时，你所做的所有智力（调查）检定具有优势。</t>
    </r>
    <r>
      <rPr>
        <sz val="11"/>
        <color theme="1"/>
        <rFont val="Times New Roman"/>
        <charset val="134"/>
      </rPr>
      <t xml:space="preserve">
</t>
    </r>
    <r>
      <rPr>
        <sz val="11"/>
        <color theme="1"/>
        <rFont val="宋体"/>
        <charset val="134"/>
      </rPr>
      <t>对于世界本质的物质性思考</t>
    </r>
    <r>
      <rPr>
        <sz val="11"/>
        <color theme="1"/>
        <rFont val="Times New Roman"/>
        <charset val="134"/>
      </rPr>
      <t xml:space="preserve"> Material Musing of the Nature of the World </t>
    </r>
    <r>
      <rPr>
        <sz val="11"/>
        <color theme="1"/>
        <rFont val="宋体"/>
        <charset val="134"/>
      </rPr>
      <t>：当你执行研究动作以回想有关地形、植物、动物和天气的知识时，你所做的所有智力（自然）检定具有优势。</t>
    </r>
    <r>
      <rPr>
        <sz val="11"/>
        <color theme="1"/>
        <rFont val="Times New Roman"/>
        <charset val="134"/>
      </rPr>
      <t xml:space="preserve">
</t>
    </r>
    <r>
      <rPr>
        <sz val="11"/>
        <color theme="1"/>
        <rFont val="宋体"/>
        <charset val="134"/>
      </rPr>
      <t>旧日信仰和其他宗教</t>
    </r>
    <r>
      <rPr>
        <sz val="11"/>
        <color theme="1"/>
        <rFont val="Times New Roman"/>
        <charset val="134"/>
      </rPr>
      <t xml:space="preserve"> The Old Faith and Ohter Religion </t>
    </r>
    <r>
      <rPr>
        <sz val="11"/>
        <color theme="1"/>
        <rFont val="宋体"/>
        <charset val="134"/>
      </rPr>
      <t>：当你执行研究动作以回想有关神祗、仪式、祈祷、宗教制度、圣徽以及秘密邪教的行为的知识时，你所做的所有智力（宗教）检定具有优势。</t>
    </r>
    <r>
      <rPr>
        <sz val="11"/>
        <color theme="1"/>
        <rFont val="Times New Roman"/>
        <charset val="134"/>
      </rPr>
      <t xml:space="preserve">
</t>
    </r>
    <r>
      <rPr>
        <sz val="11"/>
        <color theme="1"/>
        <rFont val="宋体"/>
        <charset val="134"/>
      </rPr>
      <t>扩大设施</t>
    </r>
    <r>
      <rPr>
        <sz val="11"/>
        <color theme="1"/>
        <rFont val="Times New Roman"/>
        <charset val="134"/>
      </rPr>
      <t xml:space="preserve"> Enlarging the Facility </t>
    </r>
    <r>
      <rPr>
        <sz val="11"/>
        <color theme="1"/>
        <rFont val="宋体"/>
        <charset val="134"/>
      </rPr>
      <t>：你可以花费</t>
    </r>
    <r>
      <rPr>
        <sz val="11"/>
        <color theme="1"/>
        <rFont val="Times New Roman"/>
        <charset val="134"/>
      </rPr>
      <t xml:space="preserve"> 2000 GP </t>
    </r>
    <r>
      <rPr>
        <sz val="11"/>
        <color theme="1"/>
        <rFont val="宋体"/>
        <charset val="134"/>
      </rPr>
      <t>，将档案馆扩大为庞大设施。这样做之后，你从上述列表中获得额外两本参考书。</t>
    </r>
  </si>
  <si>
    <t>耐性</t>
  </si>
  <si>
    <t xml:space="preserve">通用专长（先决：等级4+）
属性值提升Ability Score Increase。你的体质提升1，至多提升至20。
悍不畏死Defy Death。你进行的死亡豁免具有优势。
高速恢复Speedy Recovery。以一个附赠动作，你可以消耗并投掷一枚生命骰，来恢复与投掷结果相等的生命值。 </t>
  </si>
  <si>
    <t>冥想间</t>
  </si>
  <si>
    <r>
      <rPr>
        <sz val="11"/>
        <color theme="1"/>
        <rFont val="宋体"/>
        <charset val="134"/>
      </rPr>
      <t>增强：内心宁静</t>
    </r>
    <r>
      <rPr>
        <sz val="11"/>
        <color theme="1"/>
        <rFont val="Times New Roman"/>
        <charset val="134"/>
      </rPr>
      <t xml:space="preserve"> Empower</t>
    </r>
    <r>
      <rPr>
        <sz val="11"/>
        <color theme="1"/>
        <rFont val="宋体"/>
        <charset val="134"/>
      </rPr>
      <t>：</t>
    </r>
    <r>
      <rPr>
        <sz val="11"/>
        <color theme="1"/>
        <rFont val="Times New Roman"/>
        <charset val="134"/>
      </rPr>
      <t xml:space="preserve">Inner Peace </t>
    </r>
    <r>
      <rPr>
        <sz val="11"/>
        <color theme="1"/>
        <rFont val="宋体"/>
        <charset val="134"/>
      </rPr>
      <t>：当你对此设施下达增强指令时，你据点的雇员可以使用冥想间以获取内心的宁静。当你下次掷骰决定据点事件时，你可以掷两次并选择其中一个结果。</t>
    </r>
    <r>
      <rPr>
        <sz val="11"/>
        <color theme="1"/>
        <rFont val="Times New Roman"/>
        <charset val="134"/>
      </rPr>
      <t xml:space="preserve">
</t>
    </r>
    <r>
      <rPr>
        <sz val="11"/>
        <color theme="1"/>
        <rFont val="宋体"/>
        <charset val="134"/>
      </rPr>
      <t>自我强化</t>
    </r>
    <r>
      <rPr>
        <sz val="11"/>
        <color theme="1"/>
        <rFont val="Times New Roman"/>
        <charset val="134"/>
      </rPr>
      <t xml:space="preserve"> Forify Self </t>
    </r>
    <r>
      <rPr>
        <sz val="11"/>
        <color theme="1"/>
        <rFont val="宋体"/>
        <charset val="134"/>
      </rPr>
      <t>：你可以在连续</t>
    </r>
    <r>
      <rPr>
        <sz val="11"/>
        <color theme="1"/>
        <rFont val="Times New Roman"/>
        <charset val="134"/>
      </rPr>
      <t>7</t>
    </r>
    <r>
      <rPr>
        <sz val="11"/>
        <color theme="1"/>
        <rFont val="宋体"/>
        <charset val="134"/>
      </rPr>
      <t>天时间里，在此设施内进行冥想。如果你在此期间离开了据点，你不会获得任何增益。反之，在第七天结束时，你于之后</t>
    </r>
    <r>
      <rPr>
        <sz val="11"/>
        <color theme="1"/>
        <rFont val="Times New Roman"/>
        <charset val="134"/>
      </rPr>
      <t>7</t>
    </r>
    <r>
      <rPr>
        <sz val="11"/>
        <color theme="1"/>
        <rFont val="宋体"/>
        <charset val="134"/>
      </rPr>
      <t>天内在两种属性豁免</t>
    </r>
    <r>
      <rPr>
        <sz val="11"/>
        <color theme="1"/>
        <rFont val="Times New Roman"/>
        <charset val="134"/>
      </rPr>
      <t xml:space="preserve"> Ability Saving Throws</t>
    </r>
    <r>
      <rPr>
        <sz val="11"/>
        <color theme="1"/>
        <rFont val="宋体"/>
        <charset val="134"/>
      </rPr>
      <t>上获得优势。从下列表格中掷骰两次以随机决定你获得了哪两种属性豁免的优势，出现重复结果则重投。</t>
    </r>
    <r>
      <rPr>
        <sz val="11"/>
        <color theme="1"/>
        <rFont val="Times New Roman"/>
        <charset val="134"/>
      </rPr>
      <t xml:space="preserve">
d6</t>
    </r>
    <r>
      <rPr>
        <sz val="11"/>
        <color theme="1"/>
        <rFont val="宋体"/>
        <charset val="134"/>
      </rPr>
      <t>骰点</t>
    </r>
    <r>
      <rPr>
        <sz val="11"/>
        <color theme="1"/>
        <rFont val="Times New Roman"/>
        <charset val="134"/>
      </rPr>
      <t xml:space="preserve"> </t>
    </r>
    <r>
      <rPr>
        <sz val="11"/>
        <color theme="1"/>
        <rFont val="宋体"/>
        <charset val="134"/>
      </rPr>
      <t>豁免</t>
    </r>
    <r>
      <rPr>
        <sz val="11"/>
        <color theme="1"/>
        <rFont val="Times New Roman"/>
        <charset val="134"/>
      </rPr>
      <t xml:space="preserve">
1 </t>
    </r>
    <r>
      <rPr>
        <sz val="11"/>
        <color theme="1"/>
        <rFont val="宋体"/>
        <charset val="134"/>
      </rPr>
      <t>力量</t>
    </r>
    <r>
      <rPr>
        <sz val="11"/>
        <color theme="1"/>
        <rFont val="Times New Roman"/>
        <charset val="134"/>
      </rPr>
      <t xml:space="preserve">
2 </t>
    </r>
    <r>
      <rPr>
        <sz val="11"/>
        <color theme="1"/>
        <rFont val="宋体"/>
        <charset val="134"/>
      </rPr>
      <t>敏捷</t>
    </r>
    <r>
      <rPr>
        <sz val="11"/>
        <color theme="1"/>
        <rFont val="Times New Roman"/>
        <charset val="134"/>
      </rPr>
      <t xml:space="preserve">
3 </t>
    </r>
    <r>
      <rPr>
        <sz val="11"/>
        <color theme="1"/>
        <rFont val="宋体"/>
        <charset val="134"/>
      </rPr>
      <t>体质</t>
    </r>
    <r>
      <rPr>
        <sz val="11"/>
        <color theme="1"/>
        <rFont val="Times New Roman"/>
        <charset val="134"/>
      </rPr>
      <t xml:space="preserve">
4 </t>
    </r>
    <r>
      <rPr>
        <sz val="11"/>
        <color theme="1"/>
        <rFont val="宋体"/>
        <charset val="134"/>
      </rPr>
      <t>智力</t>
    </r>
    <r>
      <rPr>
        <sz val="11"/>
        <color theme="1"/>
        <rFont val="Times New Roman"/>
        <charset val="134"/>
      </rPr>
      <t xml:space="preserve">
5 </t>
    </r>
    <r>
      <rPr>
        <sz val="11"/>
        <color theme="1"/>
        <rFont val="宋体"/>
        <charset val="134"/>
      </rPr>
      <t>感知</t>
    </r>
    <r>
      <rPr>
        <sz val="11"/>
        <color theme="1"/>
        <rFont val="Times New Roman"/>
        <charset val="134"/>
      </rPr>
      <t xml:space="preserve">
6 </t>
    </r>
    <r>
      <rPr>
        <sz val="11"/>
        <color theme="1"/>
        <rFont val="宋体"/>
        <charset val="134"/>
      </rPr>
      <t>魅力</t>
    </r>
  </si>
  <si>
    <t>元素掌控</t>
  </si>
  <si>
    <t xml:space="preserve">通用专长（先决：等级4+，施法或契约魔法特性）
属性值提升Ability Score Increase。你的智力、感知或魅力提升1点，至多提升至20。
能量掌控Energy Mastery。选择以下伤害类型之一：强酸、寒冷、火焰、闪电、雷鸣。你施展的法术无视所选伤害类型的抗性。此外，当你为你施展的造成该类型伤害的法术投掷伤害时，你可以将伤害骰中骰出的1都视为2。
复选Repeatable。你可多次选取本专长，但每次选取时都必须为能量掌控增益选择一个不同的伤害类型。  </t>
  </si>
  <si>
    <t>兽栏</t>
  </si>
  <si>
    <r>
      <rPr>
        <sz val="11"/>
        <color theme="1"/>
        <rFont val="宋体"/>
        <charset val="134"/>
      </rPr>
      <t>兽栏有着足以容纳四只</t>
    </r>
    <r>
      <rPr>
        <sz val="11"/>
        <color theme="1"/>
        <rFont val="Times New Roman"/>
        <charset val="134"/>
      </rPr>
      <t xml:space="preserve"> </t>
    </r>
    <r>
      <rPr>
        <sz val="11"/>
        <color theme="1"/>
        <rFont val="宋体"/>
        <charset val="134"/>
      </rPr>
      <t>大型</t>
    </r>
    <r>
      <rPr>
        <sz val="11"/>
        <color theme="1"/>
        <rFont val="Times New Roman"/>
        <charset val="134"/>
      </rPr>
      <t>Huge</t>
    </r>
    <r>
      <rPr>
        <sz val="11"/>
        <color theme="1"/>
        <rFont val="宋体"/>
        <charset val="134"/>
      </rPr>
      <t>生物的围墙。每四只</t>
    </r>
    <r>
      <rPr>
        <sz val="11"/>
        <color theme="1"/>
        <rFont val="Times New Roman"/>
        <charset val="134"/>
      </rPr>
      <t xml:space="preserve"> </t>
    </r>
    <r>
      <rPr>
        <sz val="11"/>
        <color theme="1"/>
        <rFont val="宋体"/>
        <charset val="134"/>
      </rPr>
      <t>中型</t>
    </r>
    <r>
      <rPr>
        <sz val="11"/>
        <color theme="1"/>
        <rFont val="Times New Roman"/>
        <charset val="134"/>
      </rPr>
      <t xml:space="preserve"> Medium</t>
    </r>
    <r>
      <rPr>
        <sz val="11"/>
        <color theme="1"/>
        <rFont val="宋体"/>
        <charset val="134"/>
      </rPr>
      <t>或</t>
    </r>
    <r>
      <rPr>
        <sz val="11"/>
        <color theme="1"/>
        <rFont val="Times New Roman"/>
        <charset val="134"/>
      </rPr>
      <t xml:space="preserve"> </t>
    </r>
    <r>
      <rPr>
        <sz val="11"/>
        <color theme="1"/>
        <rFont val="宋体"/>
        <charset val="134"/>
      </rPr>
      <t>小型</t>
    </r>
    <r>
      <rPr>
        <sz val="11"/>
        <color theme="1"/>
        <rFont val="Times New Roman"/>
        <charset val="134"/>
      </rPr>
      <t xml:space="preserve"> Small</t>
    </r>
    <r>
      <rPr>
        <sz val="11"/>
        <color theme="1"/>
        <rFont val="宋体"/>
        <charset val="134"/>
      </rPr>
      <t>生物在这里占据的空间等同于一只大型生物。</t>
    </r>
    <r>
      <rPr>
        <sz val="11"/>
        <color theme="1"/>
        <rFont val="Times New Roman"/>
        <charset val="134"/>
      </rPr>
      <t xml:space="preserve">
</t>
    </r>
    <r>
      <rPr>
        <sz val="11"/>
        <color theme="1"/>
        <rFont val="宋体"/>
        <charset val="134"/>
      </rPr>
      <t>招募：生物</t>
    </r>
    <r>
      <rPr>
        <sz val="11"/>
        <color theme="1"/>
        <rFont val="Times New Roman"/>
        <charset val="134"/>
      </rPr>
      <t xml:space="preserve"> Recruit</t>
    </r>
    <r>
      <rPr>
        <sz val="11"/>
        <color theme="1"/>
        <rFont val="宋体"/>
        <charset val="134"/>
      </rPr>
      <t>：</t>
    </r>
    <r>
      <rPr>
        <sz val="11"/>
        <color theme="1"/>
        <rFont val="Times New Roman"/>
        <charset val="134"/>
      </rPr>
      <t xml:space="preserve">Creature </t>
    </r>
    <r>
      <rPr>
        <sz val="11"/>
        <color theme="1"/>
        <rFont val="宋体"/>
        <charset val="134"/>
      </rPr>
      <t>：当你对此设施下达招募指令时，你委托设施雇员向兽栏内加入一只生物，从兽栏生物</t>
    </r>
    <r>
      <rPr>
        <sz val="11"/>
        <color theme="1"/>
        <rFont val="Times New Roman"/>
        <charset val="134"/>
      </rPr>
      <t xml:space="preserve"> Menagerie Creature</t>
    </r>
    <r>
      <rPr>
        <sz val="11"/>
        <color theme="1"/>
        <rFont val="宋体"/>
        <charset val="134"/>
      </rPr>
      <t>表格中选择。这项工作需要</t>
    </r>
    <r>
      <rPr>
        <sz val="11"/>
        <color theme="1"/>
        <rFont val="Times New Roman"/>
        <charset val="134"/>
      </rPr>
      <t>7</t>
    </r>
    <r>
      <rPr>
        <sz val="11"/>
        <color theme="1"/>
        <rFont val="宋体"/>
        <charset val="134"/>
      </rPr>
      <t>天时间，所需的金钱如表格所示。设施雇员会照顾这些生物。</t>
    </r>
    <r>
      <rPr>
        <sz val="11"/>
        <color theme="1"/>
        <rFont val="Times New Roman"/>
        <charset val="134"/>
      </rPr>
      <t xml:space="preserve">
</t>
    </r>
    <r>
      <rPr>
        <sz val="11"/>
        <color theme="1"/>
        <rFont val="宋体"/>
        <charset val="134"/>
      </rPr>
      <t>你兽栏内的生物算作据点卫兵。如果它们遭受任何损失，便将损失的生物从你的据点卫兵名单中划去。你可以选择不将一只或更多生物视为据点卫兵，此时这些生物不会参与据点的防御，而是按照自己的天性活动，使用怪物图鉴</t>
    </r>
    <r>
      <rPr>
        <sz val="11"/>
        <color theme="1"/>
        <rFont val="Times New Roman"/>
        <charset val="134"/>
      </rPr>
      <t xml:space="preserve"> Monster Manual</t>
    </r>
    <r>
      <rPr>
        <sz val="11"/>
        <color theme="1"/>
        <rFont val="宋体"/>
        <charset val="134"/>
      </rPr>
      <t>中的数据。</t>
    </r>
    <r>
      <rPr>
        <sz val="11"/>
        <color theme="1"/>
        <rFont val="Times New Roman"/>
        <charset val="134"/>
      </rPr>
      <t xml:space="preserve">
</t>
    </r>
    <r>
      <rPr>
        <sz val="11"/>
        <color theme="1"/>
        <rFont val="宋体"/>
        <charset val="134"/>
      </rPr>
      <t>兽栏生物</t>
    </r>
    <r>
      <rPr>
        <sz val="11"/>
        <color theme="1"/>
        <rFont val="Times New Roman"/>
        <charset val="134"/>
      </rPr>
      <t xml:space="preserve"> Menagerie Creature
</t>
    </r>
    <r>
      <rPr>
        <sz val="11"/>
        <color theme="1"/>
        <rFont val="宋体"/>
        <charset val="134"/>
      </rPr>
      <t>生物</t>
    </r>
    <r>
      <rPr>
        <sz val="11"/>
        <color theme="1"/>
        <rFont val="Times New Roman"/>
        <charset val="134"/>
      </rPr>
      <t xml:space="preserve"> </t>
    </r>
    <r>
      <rPr>
        <sz val="11"/>
        <color theme="1"/>
        <rFont val="宋体"/>
        <charset val="134"/>
      </rPr>
      <t>体型</t>
    </r>
    <r>
      <rPr>
        <sz val="11"/>
        <color theme="1"/>
        <rFont val="Times New Roman"/>
        <charset val="134"/>
      </rPr>
      <t xml:space="preserve"> </t>
    </r>
    <r>
      <rPr>
        <sz val="11"/>
        <color theme="1"/>
        <rFont val="宋体"/>
        <charset val="134"/>
      </rPr>
      <t>花费</t>
    </r>
    <r>
      <rPr>
        <sz val="11"/>
        <color theme="1"/>
        <rFont val="Times New Roman"/>
        <charset val="134"/>
      </rPr>
      <t xml:space="preserve">
</t>
    </r>
    <r>
      <rPr>
        <sz val="11"/>
        <color theme="1"/>
        <rFont val="宋体"/>
        <charset val="134"/>
      </rPr>
      <t>猿</t>
    </r>
    <r>
      <rPr>
        <sz val="11"/>
        <color theme="1"/>
        <rFont val="Times New Roman"/>
        <charset val="134"/>
      </rPr>
      <t xml:space="preserve"> Ape  </t>
    </r>
    <r>
      <rPr>
        <sz val="11"/>
        <color theme="1"/>
        <rFont val="宋体"/>
        <charset val="134"/>
      </rPr>
      <t>中型</t>
    </r>
    <r>
      <rPr>
        <sz val="11"/>
        <color theme="1"/>
        <rFont val="Times New Roman"/>
        <charset val="134"/>
      </rPr>
      <t xml:space="preserve"> 500 GP
</t>
    </r>
    <r>
      <rPr>
        <sz val="11"/>
        <color theme="1"/>
        <rFont val="宋体"/>
        <charset val="134"/>
      </rPr>
      <t>黑熊</t>
    </r>
    <r>
      <rPr>
        <sz val="11"/>
        <color theme="1"/>
        <rFont val="Times New Roman"/>
        <charset val="134"/>
      </rPr>
      <t xml:space="preserve"> Black Bear  </t>
    </r>
    <r>
      <rPr>
        <sz val="11"/>
        <color theme="1"/>
        <rFont val="宋体"/>
        <charset val="134"/>
      </rPr>
      <t>中型</t>
    </r>
    <r>
      <rPr>
        <sz val="11"/>
        <color theme="1"/>
        <rFont val="Times New Roman"/>
        <charset val="134"/>
      </rPr>
      <t xml:space="preserve"> 500 GP
</t>
    </r>
    <r>
      <rPr>
        <sz val="11"/>
        <color theme="1"/>
        <rFont val="宋体"/>
        <charset val="134"/>
      </rPr>
      <t>棕熊</t>
    </r>
    <r>
      <rPr>
        <sz val="11"/>
        <color theme="1"/>
        <rFont val="Times New Roman"/>
        <charset val="134"/>
      </rPr>
      <t xml:space="preserve"> Brown Bear  </t>
    </r>
    <r>
      <rPr>
        <sz val="11"/>
        <color theme="1"/>
        <rFont val="宋体"/>
        <charset val="134"/>
      </rPr>
      <t>大型</t>
    </r>
    <r>
      <rPr>
        <sz val="11"/>
        <color theme="1"/>
        <rFont val="Times New Roman"/>
        <charset val="134"/>
      </rPr>
      <t xml:space="preserve"> 1000 GP
</t>
    </r>
    <r>
      <rPr>
        <sz val="11"/>
        <color theme="1"/>
        <rFont val="宋体"/>
        <charset val="134"/>
      </rPr>
      <t>蟒蛇</t>
    </r>
    <r>
      <rPr>
        <sz val="11"/>
        <color theme="1"/>
        <rFont val="Times New Roman"/>
        <charset val="134"/>
      </rPr>
      <t xml:space="preserve"> Constrictor Snake
 </t>
    </r>
    <r>
      <rPr>
        <sz val="11"/>
        <color theme="1"/>
        <rFont val="宋体"/>
        <charset val="134"/>
      </rPr>
      <t>大型</t>
    </r>
    <r>
      <rPr>
        <sz val="11"/>
        <color theme="1"/>
        <rFont val="Times New Roman"/>
        <charset val="134"/>
      </rPr>
      <t xml:space="preserve"> 250 GP
</t>
    </r>
    <r>
      <rPr>
        <sz val="11"/>
        <color theme="1"/>
        <rFont val="宋体"/>
        <charset val="134"/>
      </rPr>
      <t>鳄鱼</t>
    </r>
    <r>
      <rPr>
        <sz val="11"/>
        <color theme="1"/>
        <rFont val="Times New Roman"/>
        <charset val="134"/>
      </rPr>
      <t xml:space="preserve"> Crocodile  </t>
    </r>
    <r>
      <rPr>
        <sz val="11"/>
        <color theme="1"/>
        <rFont val="宋体"/>
        <charset val="134"/>
      </rPr>
      <t>大型</t>
    </r>
    <r>
      <rPr>
        <sz val="11"/>
        <color theme="1"/>
        <rFont val="Times New Roman"/>
        <charset val="134"/>
      </rPr>
      <t xml:space="preserve"> 500 GP
</t>
    </r>
    <r>
      <rPr>
        <sz val="11"/>
        <color theme="1"/>
        <rFont val="宋体"/>
        <charset val="134"/>
      </rPr>
      <t>恐狼</t>
    </r>
    <r>
      <rPr>
        <sz val="11"/>
        <color theme="1"/>
        <rFont val="Times New Roman"/>
        <charset val="134"/>
      </rPr>
      <t xml:space="preserve"> Dire Wolf  </t>
    </r>
    <r>
      <rPr>
        <sz val="11"/>
        <color theme="1"/>
        <rFont val="宋体"/>
        <charset val="134"/>
      </rPr>
      <t>大型</t>
    </r>
    <r>
      <rPr>
        <sz val="11"/>
        <color theme="1"/>
        <rFont val="Times New Roman"/>
        <charset val="134"/>
      </rPr>
      <t xml:space="preserve"> 1000 GP
</t>
    </r>
    <r>
      <rPr>
        <sz val="11"/>
        <color theme="1"/>
        <rFont val="宋体"/>
        <charset val="134"/>
      </rPr>
      <t>巨秃鹫</t>
    </r>
    <r>
      <rPr>
        <sz val="11"/>
        <color theme="1"/>
        <rFont val="Times New Roman"/>
        <charset val="134"/>
      </rPr>
      <t xml:space="preserve"> Gaint Vulture  </t>
    </r>
    <r>
      <rPr>
        <sz val="11"/>
        <color theme="1"/>
        <rFont val="宋体"/>
        <charset val="134"/>
      </rPr>
      <t>大型</t>
    </r>
    <r>
      <rPr>
        <sz val="11"/>
        <color theme="1"/>
        <rFont val="Times New Roman"/>
        <charset val="134"/>
      </rPr>
      <t xml:space="preserve"> 1000 GP
</t>
    </r>
    <r>
      <rPr>
        <sz val="11"/>
        <color theme="1"/>
        <rFont val="宋体"/>
        <charset val="134"/>
      </rPr>
      <t>鬣狗</t>
    </r>
    <r>
      <rPr>
        <sz val="11"/>
        <color theme="1"/>
        <rFont val="Times New Roman"/>
        <charset val="134"/>
      </rPr>
      <t xml:space="preserve"> Hyena  </t>
    </r>
    <r>
      <rPr>
        <sz val="11"/>
        <color theme="1"/>
        <rFont val="宋体"/>
        <charset val="134"/>
      </rPr>
      <t>中型</t>
    </r>
    <r>
      <rPr>
        <sz val="11"/>
        <color theme="1"/>
        <rFont val="Times New Roman"/>
        <charset val="134"/>
      </rPr>
      <t xml:space="preserve"> 50 GP
</t>
    </r>
    <r>
      <rPr>
        <sz val="11"/>
        <color theme="1"/>
        <rFont val="宋体"/>
        <charset val="134"/>
      </rPr>
      <t>豺狼</t>
    </r>
    <r>
      <rPr>
        <sz val="11"/>
        <color theme="1"/>
        <rFont val="Times New Roman"/>
        <charset val="134"/>
      </rPr>
      <t xml:space="preserve"> Jackal  </t>
    </r>
    <r>
      <rPr>
        <sz val="11"/>
        <color theme="1"/>
        <rFont val="宋体"/>
        <charset val="134"/>
      </rPr>
      <t>小型</t>
    </r>
    <r>
      <rPr>
        <sz val="11"/>
        <color theme="1"/>
        <rFont val="Times New Roman"/>
        <charset val="134"/>
      </rPr>
      <t xml:space="preserve"> 50 GP
</t>
    </r>
    <r>
      <rPr>
        <sz val="11"/>
        <color theme="1"/>
        <rFont val="宋体"/>
        <charset val="134"/>
      </rPr>
      <t>狮子</t>
    </r>
    <r>
      <rPr>
        <sz val="11"/>
        <color theme="1"/>
        <rFont val="Times New Roman"/>
        <charset val="134"/>
      </rPr>
      <t xml:space="preserve"> Lion  </t>
    </r>
    <r>
      <rPr>
        <sz val="11"/>
        <color theme="1"/>
        <rFont val="宋体"/>
        <charset val="134"/>
      </rPr>
      <t>大型</t>
    </r>
    <r>
      <rPr>
        <sz val="11"/>
        <color theme="1"/>
        <rFont val="Times New Roman"/>
        <charset val="134"/>
      </rPr>
      <t xml:space="preserve"> 1000 GP
</t>
    </r>
    <r>
      <rPr>
        <sz val="11"/>
        <color theme="1"/>
        <rFont val="宋体"/>
        <charset val="134"/>
      </rPr>
      <t>枭熊</t>
    </r>
    <r>
      <rPr>
        <sz val="11"/>
        <color theme="1"/>
        <rFont val="Times New Roman"/>
        <charset val="134"/>
      </rPr>
      <t xml:space="preserve"> Owlbear  </t>
    </r>
    <r>
      <rPr>
        <sz val="11"/>
        <color theme="1"/>
        <rFont val="宋体"/>
        <charset val="134"/>
      </rPr>
      <t>大型</t>
    </r>
    <r>
      <rPr>
        <sz val="11"/>
        <color theme="1"/>
        <rFont val="Times New Roman"/>
        <charset val="134"/>
      </rPr>
      <t xml:space="preserve"> 3500 GP
</t>
    </r>
    <r>
      <rPr>
        <sz val="11"/>
        <color theme="1"/>
        <rFont val="宋体"/>
        <charset val="134"/>
      </rPr>
      <t>豹</t>
    </r>
    <r>
      <rPr>
        <sz val="11"/>
        <color theme="1"/>
        <rFont val="Times New Roman"/>
        <charset val="134"/>
      </rPr>
      <t xml:space="preserve">Panther  </t>
    </r>
    <r>
      <rPr>
        <sz val="11"/>
        <color theme="1"/>
        <rFont val="宋体"/>
        <charset val="134"/>
      </rPr>
      <t>中型</t>
    </r>
    <r>
      <rPr>
        <sz val="11"/>
        <color theme="1"/>
        <rFont val="Times New Roman"/>
        <charset val="134"/>
      </rPr>
      <t xml:space="preserve"> 250 GP
</t>
    </r>
    <r>
      <rPr>
        <sz val="11"/>
        <color theme="1"/>
        <rFont val="宋体"/>
        <charset val="134"/>
      </rPr>
      <t>老虎</t>
    </r>
    <r>
      <rPr>
        <sz val="11"/>
        <color theme="1"/>
        <rFont val="Times New Roman"/>
        <charset val="134"/>
      </rPr>
      <t xml:space="preserve"> Tiger  </t>
    </r>
    <r>
      <rPr>
        <sz val="11"/>
        <color theme="1"/>
        <rFont val="宋体"/>
        <charset val="134"/>
      </rPr>
      <t>大型</t>
    </r>
    <r>
      <rPr>
        <sz val="11"/>
        <color theme="1"/>
        <rFont val="Times New Roman"/>
        <charset val="134"/>
      </rPr>
      <t xml:space="preserve"> 1000 GP
</t>
    </r>
    <r>
      <rPr>
        <sz val="11"/>
        <color theme="1"/>
        <rFont val="宋体"/>
        <charset val="134"/>
      </rPr>
      <t>在</t>
    </r>
    <r>
      <rPr>
        <sz val="11"/>
        <color theme="1"/>
        <rFont val="Times New Roman"/>
        <charset val="134"/>
      </rPr>
      <t>DM</t>
    </r>
    <r>
      <rPr>
        <sz val="11"/>
        <color theme="1"/>
        <rFont val="宋体"/>
        <charset val="134"/>
      </rPr>
      <t>的允许下，你也可以向兽栏内加入上述表格之外的生物。生物的价格取决于它们的挑战等级，如下列表格所示。一般而言，只有野兽</t>
    </r>
    <r>
      <rPr>
        <sz val="11"/>
        <color theme="1"/>
        <rFont val="Times New Roman"/>
        <charset val="134"/>
      </rPr>
      <t>Beasts</t>
    </r>
    <r>
      <rPr>
        <sz val="11"/>
        <color theme="1"/>
        <rFont val="宋体"/>
        <charset val="134"/>
      </rPr>
      <t>和某些怪兽</t>
    </r>
    <r>
      <rPr>
        <sz val="11"/>
        <color theme="1"/>
        <rFont val="Times New Roman"/>
        <charset val="134"/>
      </rPr>
      <t>Monstrosities</t>
    </r>
    <r>
      <rPr>
        <sz val="11"/>
        <color theme="1"/>
        <rFont val="宋体"/>
        <charset val="134"/>
      </rPr>
      <t>能被安置在兽栏内，不过其他生物也有可能得到</t>
    </r>
    <r>
      <rPr>
        <sz val="11"/>
        <color theme="1"/>
        <rFont val="Times New Roman"/>
        <charset val="134"/>
      </rPr>
      <t>DM</t>
    </r>
    <r>
      <rPr>
        <sz val="11"/>
        <color theme="1"/>
        <rFont val="宋体"/>
        <charset val="134"/>
      </rPr>
      <t>的许可。</t>
    </r>
    <r>
      <rPr>
        <sz val="11"/>
        <color theme="1"/>
        <rFont val="Times New Roman"/>
        <charset val="134"/>
      </rPr>
      <t xml:space="preserve">
</t>
    </r>
    <r>
      <rPr>
        <sz val="11"/>
        <color theme="1"/>
        <rFont val="宋体"/>
        <charset val="134"/>
      </rPr>
      <t>按照挑战等级的生物价格</t>
    </r>
    <r>
      <rPr>
        <sz val="11"/>
        <color theme="1"/>
        <rFont val="Times New Roman"/>
        <charset val="134"/>
      </rPr>
      <t xml:space="preserve"> Creature Cost by Challenge Rating
</t>
    </r>
    <r>
      <rPr>
        <sz val="11"/>
        <color theme="1"/>
        <rFont val="宋体"/>
        <charset val="134"/>
      </rPr>
      <t>挑战等级</t>
    </r>
    <r>
      <rPr>
        <sz val="11"/>
        <color theme="1"/>
        <rFont val="Times New Roman"/>
        <charset val="134"/>
      </rPr>
      <t xml:space="preserve"> </t>
    </r>
    <r>
      <rPr>
        <sz val="11"/>
        <color theme="1"/>
        <rFont val="宋体"/>
        <charset val="134"/>
      </rPr>
      <t>价格</t>
    </r>
    <r>
      <rPr>
        <sz val="11"/>
        <color theme="1"/>
        <rFont val="Times New Roman"/>
        <charset val="134"/>
      </rPr>
      <t xml:space="preserve">
0</t>
    </r>
    <r>
      <rPr>
        <sz val="11"/>
        <color theme="1"/>
        <rFont val="宋体"/>
        <charset val="134"/>
      </rPr>
      <t>或</t>
    </r>
    <r>
      <rPr>
        <sz val="11"/>
        <color theme="1"/>
        <rFont val="Times New Roman"/>
        <charset val="134"/>
      </rPr>
      <t>1/8 50 GP
1/4  250 GP
1/2 500 GP
1 1000 GP
2 2000 GP
3 3500 GP</t>
    </r>
  </si>
  <si>
    <t>妖精触碰</t>
  </si>
  <si>
    <t xml:space="preserve">通用专长（先决：等级4+）
暴露在妖精荒野Feywild的魔法之下给予你了以下增益：
属性值提升Ability Score Increase。你的智力、感知或魅力提升1，至多提升至20。
妖精魔法Fey Magic。选择一道预言系或者惑控系的一环法术。你总是准备了你选的这道法术与迷踪步Misty Step。你可以在不消耗法术位的情况下施展这些法术各一次，而当你以此法施展某道法术后，完成一次长休前你都不能再次以此法施展该法术。你也可以消耗合适的法术位来施展这些法术。
这些法术的施法属性是你由此专长提升的属性。  </t>
  </si>
  <si>
    <t>天文台</t>
  </si>
  <si>
    <t>可以使用施法法器</t>
  </si>
  <si>
    <r>
      <rPr>
        <sz val="11"/>
        <color theme="1"/>
        <rFont val="宋体"/>
        <charset val="134"/>
      </rPr>
      <t>天文台坐落在你据点的最高处，其中包含一座直指夜空的望远镜。</t>
    </r>
    <r>
      <rPr>
        <sz val="11"/>
        <color theme="1"/>
        <rFont val="Times New Roman"/>
        <charset val="134"/>
      </rPr>
      <t xml:space="preserve">
</t>
    </r>
    <r>
      <rPr>
        <sz val="11"/>
        <color theme="1"/>
        <rFont val="宋体"/>
        <charset val="134"/>
      </rPr>
      <t>天文护咒</t>
    </r>
    <r>
      <rPr>
        <sz val="11"/>
        <color theme="1"/>
        <rFont val="Times New Roman"/>
        <charset val="134"/>
      </rPr>
      <t xml:space="preserve"> Observatory Charm </t>
    </r>
    <r>
      <rPr>
        <sz val="11"/>
        <color theme="1"/>
        <rFont val="宋体"/>
        <charset val="134"/>
      </rPr>
      <t>：你可以用天文台观察到荒宇和星光位面的遥远角落。当你在天文台内完成一次长休后，你获得一个魔法护咒</t>
    </r>
    <r>
      <rPr>
        <sz val="11"/>
        <color theme="1"/>
        <rFont val="Times New Roman"/>
        <charset val="134"/>
      </rPr>
      <t xml:space="preserve"> Charm</t>
    </r>
    <r>
      <rPr>
        <sz val="11"/>
        <color theme="1"/>
        <rFont val="宋体"/>
        <charset val="134"/>
      </rPr>
      <t>（见第三章“超自然恩惠”一节），此护咒持续</t>
    </r>
    <r>
      <rPr>
        <sz val="11"/>
        <color theme="1"/>
        <rFont val="Times New Roman"/>
        <charset val="134"/>
      </rPr>
      <t>7</t>
    </r>
    <r>
      <rPr>
        <sz val="11"/>
        <color theme="1"/>
        <rFont val="宋体"/>
        <charset val="134"/>
      </rPr>
      <t>天或持续至你将其使用为止。此护咒允许你施展一次异界探知</t>
    </r>
    <r>
      <rPr>
        <sz val="11"/>
        <color theme="1"/>
        <rFont val="Times New Roman"/>
        <charset val="134"/>
      </rPr>
      <t xml:space="preserve"> Contact Other Plane </t>
    </r>
    <r>
      <rPr>
        <sz val="11"/>
        <color theme="1"/>
        <rFont val="宋体"/>
        <charset val="134"/>
      </rPr>
      <t>，无需消耗法术位。你无法在已拥有该护咒时再次获得它。</t>
    </r>
    <r>
      <rPr>
        <sz val="11"/>
        <color theme="1"/>
        <rFont val="Times New Roman"/>
        <charset val="134"/>
      </rPr>
      <t xml:space="preserve">
</t>
    </r>
    <r>
      <rPr>
        <sz val="11"/>
        <color theme="1"/>
        <rFont val="宋体"/>
        <charset val="134"/>
      </rPr>
      <t>增强：奇异发现</t>
    </r>
    <r>
      <rPr>
        <sz val="11"/>
        <color theme="1"/>
        <rFont val="Times New Roman"/>
        <charset val="134"/>
      </rPr>
      <t xml:space="preserve"> Empower</t>
    </r>
    <r>
      <rPr>
        <sz val="11"/>
        <color theme="1"/>
        <rFont val="宋体"/>
        <charset val="134"/>
      </rPr>
      <t>：</t>
    </r>
    <r>
      <rPr>
        <sz val="11"/>
        <color theme="1"/>
        <rFont val="Times New Roman"/>
        <charset val="134"/>
      </rPr>
      <t xml:space="preserve">Eldritch Discovery </t>
    </r>
    <r>
      <rPr>
        <sz val="11"/>
        <color theme="1"/>
        <rFont val="宋体"/>
        <charset val="134"/>
      </rPr>
      <t>：当你对此设施下达增强指令时，你让自己或设施雇员在连续</t>
    </r>
    <r>
      <rPr>
        <sz val="11"/>
        <color theme="1"/>
        <rFont val="Times New Roman"/>
        <charset val="134"/>
      </rPr>
      <t>7</t>
    </r>
    <r>
      <rPr>
        <sz val="11"/>
        <color theme="1"/>
        <rFont val="宋体"/>
        <charset val="134"/>
      </rPr>
      <t>天夜里探索奇异诡谲的星空之秘。在这段时间结束后，丢一个骰子。如果结果为偶数，那么一无所获；如果结果为奇数，那么某种未知的伟力向你或者你所选的一个与你同一位面的生物赠予了一个护咒</t>
    </r>
    <r>
      <rPr>
        <sz val="11"/>
        <color theme="1"/>
        <rFont val="Times New Roman"/>
        <charset val="134"/>
      </rPr>
      <t>Charm</t>
    </r>
    <r>
      <rPr>
        <sz val="11"/>
        <color theme="1"/>
        <rFont val="宋体"/>
        <charset val="134"/>
      </rPr>
      <t>。该护咒为下列护咒之一：黑暗视觉护咒</t>
    </r>
    <r>
      <rPr>
        <sz val="11"/>
        <color theme="1"/>
        <rFont val="Times New Roman"/>
        <charset val="134"/>
      </rPr>
      <t xml:space="preserve"> Charm of Darkvision</t>
    </r>
    <r>
      <rPr>
        <sz val="11"/>
        <color theme="1"/>
        <rFont val="宋体"/>
        <charset val="134"/>
      </rPr>
      <t>、英雄气概护咒</t>
    </r>
    <r>
      <rPr>
        <sz val="11"/>
        <color theme="1"/>
        <rFont val="Times New Roman"/>
        <charset val="134"/>
      </rPr>
      <t>Charm of Heroism</t>
    </r>
    <r>
      <rPr>
        <sz val="11"/>
        <color theme="1"/>
        <rFont val="宋体"/>
        <charset val="134"/>
      </rPr>
      <t>、活力护咒</t>
    </r>
    <r>
      <rPr>
        <sz val="11"/>
        <color theme="1"/>
        <rFont val="Times New Roman"/>
        <charset val="134"/>
      </rPr>
      <t>Charm of Vitality</t>
    </r>
    <r>
      <rPr>
        <sz val="11"/>
        <color theme="1"/>
        <rFont val="宋体"/>
        <charset val="134"/>
      </rPr>
      <t>（详细描述均见第三章）。</t>
    </r>
  </si>
  <si>
    <t>擒抱者</t>
  </si>
  <si>
    <t xml:space="preserve">通用专长（先决：等级4+，力量或敏捷13+）
属性值提升Ability Score Increase。你的力量或敏捷提升1，至多提升至20。
连擒带打Punch and Grab。你的回合中，当你用攻击动作中的一次徒手打击命中了一个生物，你可以同时进行擒抱和造成伤害两个选项。你每回合只能使用这个增益一次。
优势攻击Attack Advantage。你攻击因你受擒的生物时的攻击检定具有优势。
高速拖行Fast Wrestler。当你移动一个因你受擒的生物时，如果这个生物的体型和你一致或比你更小，你的速度不会因此减半。  </t>
  </si>
  <si>
    <t>酒馆</t>
  </si>
  <si>
    <r>
      <rPr>
        <sz val="11"/>
        <color theme="1"/>
        <rFont val="宋体"/>
        <charset val="134"/>
      </rPr>
      <t>人们来到酒馆，饮用美酒，参与社交。你的酒馆可以是一个小酒吧、咖啡厅、或茶室；它也可能有着丰富多彩的名字，比如锈壶酒馆或者龙阁旅店。此设施的雇员在这里担任酒保，并运营着一个地下情报网络，其间谍分布在附近的社群中。这些间谍是有用的情报来源，同时也是酒馆的常客，常常隐姓埋名出入酒馆。</t>
    </r>
    <r>
      <rPr>
        <sz val="11"/>
        <color theme="1"/>
        <rFont val="Times New Roman"/>
        <charset val="134"/>
      </rPr>
      <t xml:space="preserve">
</t>
    </r>
    <r>
      <rPr>
        <sz val="11"/>
        <color theme="1"/>
        <rFont val="宋体"/>
        <charset val="134"/>
      </rPr>
      <t>调查：情报收集</t>
    </r>
    <r>
      <rPr>
        <sz val="11"/>
        <color theme="1"/>
        <rFont val="Times New Roman"/>
        <charset val="134"/>
      </rPr>
      <t xml:space="preserve"> Research</t>
    </r>
    <r>
      <rPr>
        <sz val="11"/>
        <color theme="1"/>
        <rFont val="宋体"/>
        <charset val="134"/>
      </rPr>
      <t>：</t>
    </r>
    <r>
      <rPr>
        <sz val="11"/>
        <color theme="1"/>
        <rFont val="Times New Roman"/>
        <charset val="134"/>
      </rPr>
      <t xml:space="preserve">Information Gathering </t>
    </r>
    <r>
      <rPr>
        <sz val="11"/>
        <color theme="1"/>
        <rFont val="宋体"/>
        <charset val="134"/>
      </rPr>
      <t>：当你对此设施下达调查指令时，你委托酒馆的酒保从情报网的间谍处收集情报。这些间谍对未来</t>
    </r>
    <r>
      <rPr>
        <sz val="11"/>
        <color theme="1"/>
        <rFont val="Times New Roman"/>
        <charset val="134"/>
      </rPr>
      <t xml:space="preserve"> 7 </t>
    </r>
    <r>
      <rPr>
        <sz val="11"/>
        <color theme="1"/>
        <rFont val="宋体"/>
        <charset val="134"/>
      </rPr>
      <t>天中将在你据点周围</t>
    </r>
    <r>
      <rPr>
        <sz val="11"/>
        <color theme="1"/>
        <rFont val="Times New Roman"/>
        <charset val="134"/>
      </rPr>
      <t xml:space="preserve"> 10 </t>
    </r>
    <r>
      <rPr>
        <sz val="11"/>
        <color theme="1"/>
        <rFont val="宋体"/>
        <charset val="134"/>
      </rPr>
      <t>里内发生的重大事件了如指掌；他们也将在未来</t>
    </r>
    <r>
      <rPr>
        <sz val="11"/>
        <color theme="1"/>
        <rFont val="Times New Roman"/>
        <charset val="134"/>
      </rPr>
      <t>7</t>
    </r>
    <r>
      <rPr>
        <sz val="11"/>
        <color theme="1"/>
        <rFont val="宋体"/>
        <charset val="134"/>
      </rPr>
      <t>天内掌握任何你熟知的生物的具体位置，只要该生物位于你据点</t>
    </r>
    <r>
      <rPr>
        <sz val="11"/>
        <color theme="1"/>
        <rFont val="Times New Roman"/>
        <charset val="134"/>
      </rPr>
      <t xml:space="preserve"> 50 </t>
    </r>
    <r>
      <rPr>
        <sz val="11"/>
        <color theme="1"/>
        <rFont val="宋体"/>
        <charset val="134"/>
      </rPr>
      <t>里以内，并且没有被魔法隐藏起来或身处</t>
    </r>
    <r>
      <rPr>
        <sz val="11"/>
        <color theme="1"/>
        <rFont val="Times New Roman"/>
        <charset val="134"/>
      </rPr>
      <t xml:space="preserve"> DM </t>
    </r>
    <r>
      <rPr>
        <sz val="11"/>
        <color theme="1"/>
        <rFont val="宋体"/>
        <charset val="134"/>
      </rPr>
      <t>认为间谍无法追踪到的地点。如果一个生物的位置被间谍掌握到了，那么间谍同时也会得知该生物在之前的</t>
    </r>
    <r>
      <rPr>
        <sz val="11"/>
        <color theme="1"/>
        <rFont val="Times New Roman"/>
        <charset val="134"/>
      </rPr>
      <t>7</t>
    </r>
    <r>
      <rPr>
        <sz val="11"/>
        <color theme="1"/>
        <rFont val="宋体"/>
        <charset val="134"/>
      </rPr>
      <t>天时间里到达过的位置。</t>
    </r>
    <r>
      <rPr>
        <sz val="11"/>
        <color theme="1"/>
        <rFont val="Times New Roman"/>
        <charset val="134"/>
      </rPr>
      <t xml:space="preserve">
</t>
    </r>
    <r>
      <rPr>
        <sz val="11"/>
        <color theme="1"/>
        <rFont val="宋体"/>
        <charset val="134"/>
      </rPr>
      <t>酒馆特饮</t>
    </r>
    <r>
      <rPr>
        <sz val="11"/>
        <color theme="1"/>
        <rFont val="Times New Roman"/>
        <charset val="134"/>
      </rPr>
      <t xml:space="preserve"> Pub’s Special </t>
    </r>
    <r>
      <rPr>
        <sz val="11"/>
        <color theme="1"/>
        <rFont val="宋体"/>
        <charset val="134"/>
      </rPr>
      <t>：酒馆供应一种魔法饮料，从下列选项中选择一项：</t>
    </r>
    <r>
      <rPr>
        <sz val="11"/>
        <color theme="1"/>
        <rFont val="Times New Roman"/>
        <charset val="134"/>
      </rPr>
      <t xml:space="preserve">
</t>
    </r>
    <r>
      <rPr>
        <sz val="11"/>
        <color theme="1"/>
        <rFont val="宋体"/>
        <charset val="134"/>
      </rPr>
      <t>毕格比之重</t>
    </r>
    <r>
      <rPr>
        <sz val="11"/>
        <color theme="1"/>
        <rFont val="Times New Roman"/>
        <charset val="134"/>
      </rPr>
      <t xml:space="preserve"> Bigby’s Burden </t>
    </r>
    <r>
      <rPr>
        <sz val="11"/>
        <color theme="1"/>
        <rFont val="宋体"/>
        <charset val="134"/>
      </rPr>
      <t>：喝下一品脱这种饮料，你将获得法术变大</t>
    </r>
    <r>
      <rPr>
        <sz val="11"/>
        <color theme="1"/>
        <rFont val="Times New Roman"/>
        <charset val="134"/>
      </rPr>
      <t>/</t>
    </r>
    <r>
      <rPr>
        <sz val="11"/>
        <color theme="1"/>
        <rFont val="宋体"/>
        <charset val="134"/>
      </rPr>
      <t>缩小术</t>
    </r>
    <r>
      <rPr>
        <sz val="11"/>
        <color theme="1"/>
        <rFont val="Times New Roman"/>
        <charset val="134"/>
      </rPr>
      <t xml:space="preserve"> Enlarge/Reduce </t>
    </r>
    <r>
      <rPr>
        <sz val="11"/>
        <color theme="1"/>
        <rFont val="宋体"/>
        <charset val="134"/>
      </rPr>
      <t>中“变大”的效应，该效应持续</t>
    </r>
    <r>
      <rPr>
        <sz val="11"/>
        <color theme="1"/>
        <rFont val="Times New Roman"/>
        <charset val="134"/>
      </rPr>
      <t>24</t>
    </r>
    <r>
      <rPr>
        <sz val="11"/>
        <color theme="1"/>
        <rFont val="宋体"/>
        <charset val="134"/>
      </rPr>
      <t>小时（无法进行豁免）。</t>
    </r>
    <r>
      <rPr>
        <sz val="11"/>
        <color theme="1"/>
        <rFont val="Times New Roman"/>
        <charset val="134"/>
      </rPr>
      <t xml:space="preserve">
</t>
    </r>
    <r>
      <rPr>
        <sz val="11"/>
        <color theme="1"/>
        <rFont val="宋体"/>
        <charset val="134"/>
      </rPr>
      <t>蛛后之吻</t>
    </r>
    <r>
      <rPr>
        <sz val="11"/>
        <color theme="1"/>
        <rFont val="Times New Roman"/>
        <charset val="134"/>
      </rPr>
      <t xml:space="preserve"> Kiss of the Spider Queen </t>
    </r>
    <r>
      <rPr>
        <sz val="11"/>
        <color theme="1"/>
        <rFont val="宋体"/>
        <charset val="134"/>
      </rPr>
      <t>：喝下一品脱这种饮料，你将获得法术蛛行术</t>
    </r>
    <r>
      <rPr>
        <sz val="11"/>
        <color theme="1"/>
        <rFont val="Times New Roman"/>
        <charset val="134"/>
      </rPr>
      <t xml:space="preserve"> Spider Climb </t>
    </r>
    <r>
      <rPr>
        <sz val="11"/>
        <color theme="1"/>
        <rFont val="宋体"/>
        <charset val="134"/>
      </rPr>
      <t>的效应，该效应持续</t>
    </r>
    <r>
      <rPr>
        <sz val="11"/>
        <color theme="1"/>
        <rFont val="Times New Roman"/>
        <charset val="134"/>
      </rPr>
      <t>24</t>
    </r>
    <r>
      <rPr>
        <sz val="11"/>
        <color theme="1"/>
        <rFont val="宋体"/>
        <charset val="134"/>
      </rPr>
      <t>小时。</t>
    </r>
    <r>
      <rPr>
        <sz val="11"/>
        <color theme="1"/>
        <rFont val="Times New Roman"/>
        <charset val="134"/>
      </rPr>
      <t xml:space="preserve">
</t>
    </r>
    <r>
      <rPr>
        <sz val="11"/>
        <color theme="1"/>
        <rFont val="宋体"/>
        <charset val="134"/>
      </rPr>
      <t>月光小夜曲</t>
    </r>
    <r>
      <rPr>
        <sz val="11"/>
        <color theme="1"/>
        <rFont val="Times New Roman"/>
        <charset val="134"/>
      </rPr>
      <t xml:space="preserve"> Moonlight Serenade </t>
    </r>
    <r>
      <rPr>
        <sz val="11"/>
        <color theme="1"/>
        <rFont val="宋体"/>
        <charset val="134"/>
      </rPr>
      <t>：喝下一品脱这种饮料，你将获得</t>
    </r>
    <r>
      <rPr>
        <sz val="11"/>
        <color theme="1"/>
        <rFont val="Times New Roman"/>
        <charset val="134"/>
      </rPr>
      <t>60</t>
    </r>
    <r>
      <rPr>
        <sz val="11"/>
        <color theme="1"/>
        <rFont val="宋体"/>
        <charset val="134"/>
      </rPr>
      <t>尺黑暗视觉</t>
    </r>
    <r>
      <rPr>
        <sz val="11"/>
        <color theme="1"/>
        <rFont val="Times New Roman"/>
        <charset val="134"/>
      </rPr>
      <t xml:space="preserve"> Darkvision</t>
    </r>
    <r>
      <rPr>
        <sz val="11"/>
        <color theme="1"/>
        <rFont val="宋体"/>
        <charset val="134"/>
      </rPr>
      <t>，持续</t>
    </r>
    <r>
      <rPr>
        <sz val="11"/>
        <color theme="1"/>
        <rFont val="Times New Roman"/>
        <charset val="134"/>
      </rPr>
      <t>24</t>
    </r>
    <r>
      <rPr>
        <sz val="11"/>
        <color theme="1"/>
        <rFont val="宋体"/>
        <charset val="134"/>
      </rPr>
      <t>小时。如果你已经拥有黑暗视觉，则其范围扩大</t>
    </r>
    <r>
      <rPr>
        <sz val="11"/>
        <color theme="1"/>
        <rFont val="Times New Roman"/>
        <charset val="134"/>
      </rPr>
      <t>60</t>
    </r>
    <r>
      <rPr>
        <sz val="11"/>
        <color theme="1"/>
        <rFont val="宋体"/>
        <charset val="134"/>
      </rPr>
      <t>尺，持续</t>
    </r>
    <r>
      <rPr>
        <sz val="11"/>
        <color theme="1"/>
        <rFont val="Times New Roman"/>
        <charset val="134"/>
      </rPr>
      <t>24</t>
    </r>
    <r>
      <rPr>
        <sz val="11"/>
        <color theme="1"/>
        <rFont val="宋体"/>
        <charset val="134"/>
      </rPr>
      <t>小时。</t>
    </r>
    <r>
      <rPr>
        <sz val="11"/>
        <color theme="1"/>
        <rFont val="Times New Roman"/>
        <charset val="134"/>
      </rPr>
      <t xml:space="preserve">
</t>
    </r>
    <r>
      <rPr>
        <sz val="11"/>
        <color theme="1"/>
        <rFont val="宋体"/>
        <charset val="134"/>
      </rPr>
      <t>正能量支援</t>
    </r>
    <r>
      <rPr>
        <sz val="11"/>
        <color theme="1"/>
        <rFont val="Times New Roman"/>
        <charset val="134"/>
      </rPr>
      <t xml:space="preserve"> Positive Reinforcement </t>
    </r>
    <r>
      <rPr>
        <sz val="11"/>
        <color theme="1"/>
        <rFont val="宋体"/>
        <charset val="134"/>
      </rPr>
      <t>：喝下一品脱这种饮料，你将获得对暗蚀</t>
    </r>
    <r>
      <rPr>
        <sz val="11"/>
        <color theme="1"/>
        <rFont val="Times New Roman"/>
        <charset val="134"/>
      </rPr>
      <t xml:space="preserve"> Necrotic</t>
    </r>
    <r>
      <rPr>
        <sz val="11"/>
        <color theme="1"/>
        <rFont val="宋体"/>
        <charset val="134"/>
      </rPr>
      <t>伤害的抗性</t>
    </r>
    <r>
      <rPr>
        <sz val="11"/>
        <color theme="1"/>
        <rFont val="Times New Roman"/>
        <charset val="134"/>
      </rPr>
      <t xml:space="preserve"> Resistance</t>
    </r>
    <r>
      <rPr>
        <sz val="11"/>
        <color theme="1"/>
        <rFont val="宋体"/>
        <charset val="134"/>
      </rPr>
      <t>，持续</t>
    </r>
    <r>
      <rPr>
        <sz val="11"/>
        <color theme="1"/>
        <rFont val="Times New Roman"/>
        <charset val="134"/>
      </rPr>
      <t>24</t>
    </r>
    <r>
      <rPr>
        <sz val="11"/>
        <color theme="1"/>
        <rFont val="宋体"/>
        <charset val="134"/>
      </rPr>
      <t>小时。</t>
    </r>
    <r>
      <rPr>
        <sz val="11"/>
        <color theme="1"/>
        <rFont val="Times New Roman"/>
        <charset val="134"/>
      </rPr>
      <t xml:space="preserve">
</t>
    </r>
    <r>
      <rPr>
        <sz val="11"/>
        <color theme="1"/>
        <rFont val="宋体"/>
        <charset val="134"/>
      </rPr>
      <t>坚强特饮</t>
    </r>
    <r>
      <rPr>
        <sz val="11"/>
        <color theme="1"/>
        <rFont val="Times New Roman"/>
        <charset val="134"/>
      </rPr>
      <t xml:space="preserve"> Sterner Stuff </t>
    </r>
    <r>
      <rPr>
        <sz val="11"/>
        <color theme="1"/>
        <rFont val="宋体"/>
        <charset val="134"/>
      </rPr>
      <t>：喝下一品脱这种饮料，你将在所有为避免或结束恐慌</t>
    </r>
    <r>
      <rPr>
        <sz val="11"/>
        <color theme="1"/>
        <rFont val="Times New Roman"/>
        <charset val="134"/>
      </rPr>
      <t xml:space="preserve"> Frightened</t>
    </r>
    <r>
      <rPr>
        <sz val="11"/>
        <color theme="1"/>
        <rFont val="宋体"/>
        <charset val="134"/>
      </rPr>
      <t>状态所做的豁免中自动成功，此效应持续</t>
    </r>
    <r>
      <rPr>
        <sz val="11"/>
        <color theme="1"/>
        <rFont val="Times New Roman"/>
        <charset val="134"/>
      </rPr>
      <t>24</t>
    </r>
    <r>
      <rPr>
        <sz val="11"/>
        <color theme="1"/>
        <rFont val="宋体"/>
        <charset val="134"/>
      </rPr>
      <t>小时。</t>
    </r>
    <r>
      <rPr>
        <sz val="11"/>
        <color theme="1"/>
        <rFont val="Times New Roman"/>
        <charset val="134"/>
      </rPr>
      <t xml:space="preserve">
</t>
    </r>
    <r>
      <rPr>
        <sz val="11"/>
        <color theme="1"/>
        <rFont val="宋体"/>
        <charset val="134"/>
      </rPr>
      <t>在每个据点回合开始时，你可以改变魔法饮料的种类。</t>
    </r>
    <r>
      <rPr>
        <sz val="11"/>
        <color theme="1"/>
        <rFont val="Times New Roman"/>
        <charset val="134"/>
      </rPr>
      <t>DM</t>
    </r>
    <r>
      <rPr>
        <sz val="11"/>
        <color theme="1"/>
        <rFont val="宋体"/>
        <charset val="134"/>
      </rPr>
      <t>可以创作更多可选的魔法饮料。魔法饮料如果在被倒出后的</t>
    </r>
    <r>
      <rPr>
        <sz val="11"/>
        <color theme="1"/>
        <rFont val="Times New Roman"/>
        <charset val="134"/>
      </rPr>
      <t xml:space="preserve"> 24 </t>
    </r>
    <r>
      <rPr>
        <sz val="11"/>
        <color theme="1"/>
        <rFont val="宋体"/>
        <charset val="134"/>
      </rPr>
      <t>小时内没有被喝下，就会失去魔力。</t>
    </r>
    <r>
      <rPr>
        <sz val="11"/>
        <color theme="1"/>
        <rFont val="Times New Roman"/>
        <charset val="134"/>
      </rPr>
      <t xml:space="preserve">
</t>
    </r>
    <r>
      <rPr>
        <sz val="11"/>
        <color theme="1"/>
        <rFont val="宋体"/>
        <charset val="134"/>
      </rPr>
      <t>扩大设施</t>
    </r>
    <r>
      <rPr>
        <sz val="11"/>
        <color theme="1"/>
        <rFont val="Times New Roman"/>
        <charset val="134"/>
      </rPr>
      <t xml:space="preserve"> Enlarging the Facility </t>
    </r>
    <r>
      <rPr>
        <sz val="11"/>
        <color theme="1"/>
        <rFont val="宋体"/>
        <charset val="134"/>
      </rPr>
      <t>：你可以花费</t>
    </r>
    <r>
      <rPr>
        <sz val="11"/>
        <color theme="1"/>
        <rFont val="Times New Roman"/>
        <charset val="134"/>
      </rPr>
      <t xml:space="preserve"> 2000 GP </t>
    </r>
    <r>
      <rPr>
        <sz val="11"/>
        <color theme="1"/>
        <rFont val="宋体"/>
        <charset val="134"/>
      </rPr>
      <t>，将酒馆扩大为庞大设施。这样做之后，酒馆将同时供应两种酒馆特饮。庞大的酒馆获得额外三名雇员，共计四名雇员。新招募的雇员将担任酒馆的服务生，你可以按自己的喜好为他们分配姓名和个性。</t>
    </r>
  </si>
  <si>
    <t>巨武器大师</t>
  </si>
  <si>
    <t>通用专长（先决：等级4+，力量13+）
属性值提升Ability Score Increase。你的力量提升1，至多提升至20。
重武器掌握Heavy Weapon Master。在你的回合内，你的攻击动作中，当你用具有重型词条的武器命中了一名生物时，你可以让这把武器对目标额外造成一定的伤害，额外伤害等同于你的熟练加值。
顺势斩Hew。当你使用近战武器掷出一次重击时，或当你用其将一个生物的生命值降低至0时，你可以立即使用你的附赠动作用同一把武器发动一次攻击。</t>
  </si>
  <si>
    <t>圣物库</t>
  </si>
  <si>
    <r>
      <rPr>
        <sz val="11"/>
        <color theme="1"/>
        <rFont val="宋体"/>
        <charset val="134"/>
      </rPr>
      <t>这个宝库存放着神圣物件。</t>
    </r>
    <r>
      <rPr>
        <sz val="11"/>
        <color theme="1"/>
        <rFont val="Times New Roman"/>
        <charset val="134"/>
      </rPr>
      <t xml:space="preserve">
</t>
    </r>
    <r>
      <rPr>
        <sz val="11"/>
        <color theme="1"/>
        <rFont val="宋体"/>
        <charset val="134"/>
      </rPr>
      <t>圣物护咒</t>
    </r>
    <r>
      <rPr>
        <sz val="11"/>
        <color theme="1"/>
        <rFont val="Times New Roman"/>
        <charset val="134"/>
      </rPr>
      <t xml:space="preserve"> Reliquary Charm </t>
    </r>
    <r>
      <rPr>
        <sz val="11"/>
        <color theme="1"/>
        <rFont val="宋体"/>
        <charset val="134"/>
      </rPr>
      <t>：当你在据点内完成一次长休后，你获得一个魔法护咒</t>
    </r>
    <r>
      <rPr>
        <sz val="11"/>
        <color theme="1"/>
        <rFont val="Times New Roman"/>
        <charset val="134"/>
      </rPr>
      <t xml:space="preserve"> Charm</t>
    </r>
    <r>
      <rPr>
        <sz val="11"/>
        <color theme="1"/>
        <rFont val="宋体"/>
        <charset val="134"/>
      </rPr>
      <t>（见第三章“超自然恩惠”一节），该护咒持续</t>
    </r>
    <r>
      <rPr>
        <sz val="11"/>
        <color theme="1"/>
        <rFont val="Times New Roman"/>
        <charset val="134"/>
      </rPr>
      <t>7</t>
    </r>
    <r>
      <rPr>
        <sz val="11"/>
        <color theme="1"/>
        <rFont val="宋体"/>
        <charset val="134"/>
      </rPr>
      <t>天或持续至你将其使用为止。该护咒允许你施展一次高等复原术</t>
    </r>
    <r>
      <rPr>
        <sz val="11"/>
        <color theme="1"/>
        <rFont val="Times New Roman"/>
        <charset val="134"/>
      </rPr>
      <t xml:space="preserve"> Greater Restoration </t>
    </r>
    <r>
      <rPr>
        <sz val="11"/>
        <color theme="1"/>
        <rFont val="宋体"/>
        <charset val="134"/>
      </rPr>
      <t>，无需消耗法术位也无需材料成分。你无法在已拥有该护咒时再次获得它。</t>
    </r>
    <r>
      <rPr>
        <sz val="11"/>
        <color theme="1"/>
        <rFont val="Times New Roman"/>
        <charset val="134"/>
      </rPr>
      <t xml:space="preserve">
</t>
    </r>
    <r>
      <rPr>
        <sz val="11"/>
        <color theme="1"/>
        <rFont val="宋体"/>
        <charset val="134"/>
      </rPr>
      <t>收获：护符</t>
    </r>
    <r>
      <rPr>
        <sz val="11"/>
        <color theme="1"/>
        <rFont val="Times New Roman"/>
        <charset val="134"/>
      </rPr>
      <t xml:space="preserve"> Harvest</t>
    </r>
    <r>
      <rPr>
        <sz val="11"/>
        <color theme="1"/>
        <rFont val="宋体"/>
        <charset val="134"/>
      </rPr>
      <t>：</t>
    </r>
    <r>
      <rPr>
        <sz val="11"/>
        <color theme="1"/>
        <rFont val="Times New Roman"/>
        <charset val="134"/>
      </rPr>
      <t xml:space="preserve">Talisman </t>
    </r>
    <r>
      <rPr>
        <sz val="11"/>
        <color theme="1"/>
        <rFont val="宋体"/>
        <charset val="134"/>
      </rPr>
      <t>：当你对此设施下达收获指令时，你委托设施雇员对一枚护符进行祝圣，然后将其交付给你。护符的形式通常为一支吊坠、一个刻满符文的小箱子、或一尊小雕像，但它也可以是任何具有宗教意义的微型非魔法物件。这项工作需要</t>
    </r>
    <r>
      <rPr>
        <sz val="11"/>
        <color theme="1"/>
        <rFont val="Times New Roman"/>
        <charset val="134"/>
      </rPr>
      <t xml:space="preserve"> 7 </t>
    </r>
    <r>
      <rPr>
        <sz val="11"/>
        <color theme="1"/>
        <rFont val="宋体"/>
        <charset val="134"/>
      </rPr>
      <t>天时间并且不花费任何金钱。你可以用该护符替代任何一个法术的材料成分，只要该法术的材料成分价格不超过</t>
    </r>
    <r>
      <rPr>
        <sz val="11"/>
        <color theme="1"/>
        <rFont val="Times New Roman"/>
        <charset val="134"/>
      </rPr>
      <t xml:space="preserve"> 1000 GP</t>
    </r>
    <r>
      <rPr>
        <sz val="11"/>
        <color theme="1"/>
        <rFont val="宋体"/>
        <charset val="134"/>
      </rPr>
      <t>。在护符以这种方式被使用一次之后，它便不能再次被使用，直至你将其送回圣物库并重新下达一次收获指令将其祝圣。</t>
    </r>
  </si>
  <si>
    <t>重甲运用</t>
  </si>
  <si>
    <t xml:space="preserve">通用专长（先决：等级4+，中甲受训）
属性值提升Ability Score Increase。你的体质或力量提升1，至多提升至20。
护甲受训Armor Training。你获得重甲受训。 </t>
  </si>
  <si>
    <t>半位面</t>
  </si>
  <si>
    <r>
      <rPr>
        <sz val="11"/>
        <color theme="1"/>
        <rFont val="宋体"/>
        <charset val="134"/>
      </rPr>
      <t>一个至多</t>
    </r>
    <r>
      <rPr>
        <sz val="11"/>
        <color theme="1"/>
        <rFont val="Times New Roman"/>
        <charset val="134"/>
      </rPr>
      <t>5</t>
    </r>
    <r>
      <rPr>
        <sz val="11"/>
        <color theme="1"/>
        <rFont val="宋体"/>
        <charset val="134"/>
      </rPr>
      <t>尺宽，</t>
    </r>
    <r>
      <rPr>
        <sz val="11"/>
        <color theme="1"/>
        <rFont val="Times New Roman"/>
        <charset val="134"/>
      </rPr>
      <t>10</t>
    </r>
    <r>
      <rPr>
        <sz val="11"/>
        <color theme="1"/>
        <rFont val="宋体"/>
        <charset val="134"/>
      </rPr>
      <t>尺高的门出现在你据点里某个设施内的一个平坦，坚硬的表面。其位置由你选择。如果你位于你的据点内，你可以将这道门移动到另一个设施里。</t>
    </r>
    <r>
      <rPr>
        <sz val="11"/>
        <color theme="1"/>
        <rFont val="Times New Roman"/>
        <charset val="134"/>
      </rPr>
      <t xml:space="preserve">
</t>
    </r>
    <r>
      <rPr>
        <sz val="11"/>
        <color theme="1"/>
        <rFont val="宋体"/>
        <charset val="134"/>
      </rPr>
      <t>只有你和你据点的雇员可以打开这扇门，它通往一个半位面，其形式类似于一个石质房间。半位面位于超维空间中，因此不在物理上与据点的其他部分相连。半位面本身和通往它的门都不能被解消。</t>
    </r>
    <r>
      <rPr>
        <sz val="11"/>
        <color theme="1"/>
        <rFont val="Times New Roman"/>
        <charset val="134"/>
      </rPr>
      <t xml:space="preserve">
</t>
    </r>
    <r>
      <rPr>
        <sz val="11"/>
        <color theme="1"/>
        <rFont val="宋体"/>
        <charset val="134"/>
      </rPr>
      <t>增强：奥术活力</t>
    </r>
    <r>
      <rPr>
        <sz val="11"/>
        <color theme="1"/>
        <rFont val="Times New Roman"/>
        <charset val="134"/>
      </rPr>
      <t xml:space="preserve"> Empower</t>
    </r>
    <r>
      <rPr>
        <sz val="11"/>
        <color theme="1"/>
        <rFont val="宋体"/>
        <charset val="134"/>
      </rPr>
      <t>：</t>
    </r>
    <r>
      <rPr>
        <sz val="11"/>
        <color theme="1"/>
        <rFont val="Times New Roman"/>
        <charset val="134"/>
      </rPr>
      <t>Arcane Resilience :</t>
    </r>
    <r>
      <rPr>
        <sz val="11"/>
        <color theme="1"/>
        <rFont val="宋体"/>
        <charset val="134"/>
      </rPr>
      <t>当你对此设施下达增强指令时，魔法符文将在半位面的墙壁上浮现，持续</t>
    </r>
    <r>
      <rPr>
        <sz val="11"/>
        <color theme="1"/>
        <rFont val="Times New Roman"/>
        <charset val="134"/>
      </rPr>
      <t>7</t>
    </r>
    <r>
      <rPr>
        <sz val="11"/>
        <color theme="1"/>
        <rFont val="宋体"/>
        <charset val="134"/>
      </rPr>
      <t>天时间。在符文消失前，如果你在半位面内进行了一整个长休</t>
    </r>
    <r>
      <rPr>
        <sz val="11"/>
        <color theme="1"/>
        <rFont val="Times New Roman"/>
        <charset val="134"/>
      </rPr>
      <t xml:space="preserve"> Long Rest</t>
    </r>
    <r>
      <rPr>
        <sz val="11"/>
        <color theme="1"/>
        <rFont val="宋体"/>
        <charset val="134"/>
      </rPr>
      <t>，你将获得等同于你等级</t>
    </r>
    <r>
      <rPr>
        <sz val="11"/>
        <color theme="1"/>
        <rFont val="Times New Roman"/>
        <charset val="134"/>
      </rPr>
      <t>5</t>
    </r>
    <r>
      <rPr>
        <sz val="11"/>
        <color theme="1"/>
        <rFont val="宋体"/>
        <charset val="134"/>
      </rPr>
      <t>倍的临时生命值</t>
    </r>
    <r>
      <rPr>
        <sz val="11"/>
        <color theme="1"/>
        <rFont val="Times New Roman"/>
        <charset val="134"/>
      </rPr>
      <t xml:space="preserve"> Temporary Hit Point</t>
    </r>
    <r>
      <rPr>
        <sz val="11"/>
        <color theme="1"/>
        <rFont val="宋体"/>
        <charset val="134"/>
      </rPr>
      <t>。</t>
    </r>
    <r>
      <rPr>
        <sz val="11"/>
        <color theme="1"/>
        <rFont val="Times New Roman"/>
        <charset val="134"/>
      </rPr>
      <t xml:space="preserve">
</t>
    </r>
    <r>
      <rPr>
        <sz val="11"/>
        <color theme="1"/>
        <rFont val="宋体"/>
        <charset val="134"/>
      </rPr>
      <t>造物</t>
    </r>
    <r>
      <rPr>
        <sz val="11"/>
        <color theme="1"/>
        <rFont val="Times New Roman"/>
        <charset val="134"/>
      </rPr>
      <t xml:space="preserve"> Fabrication :</t>
    </r>
    <r>
      <rPr>
        <sz val="11"/>
        <color theme="1"/>
        <rFont val="宋体"/>
        <charset val="134"/>
      </rPr>
      <t>位于半位面内时，你可以用一个魔法</t>
    </r>
    <r>
      <rPr>
        <sz val="11"/>
        <color theme="1"/>
        <rFont val="Times New Roman"/>
        <charset val="134"/>
      </rPr>
      <t xml:space="preserve"> Magic</t>
    </r>
    <r>
      <rPr>
        <sz val="11"/>
        <color theme="1"/>
        <rFont val="宋体"/>
        <charset val="134"/>
      </rPr>
      <t>动作，凭空创造一个你所选择的非魔法物件。该物件会出现在半位面内的一个未被占据的空间。该物件不能在任何方向上超过</t>
    </r>
    <r>
      <rPr>
        <sz val="11"/>
        <color theme="1"/>
        <rFont val="Times New Roman"/>
        <charset val="134"/>
      </rPr>
      <t>5</t>
    </r>
    <r>
      <rPr>
        <sz val="11"/>
        <color theme="1"/>
        <rFont val="宋体"/>
        <charset val="134"/>
      </rPr>
      <t>尺长，其价值不能超过</t>
    </r>
    <r>
      <rPr>
        <sz val="11"/>
        <color theme="1"/>
        <rFont val="Times New Roman"/>
        <charset val="134"/>
      </rPr>
      <t xml:space="preserve"> 5 GP</t>
    </r>
    <r>
      <rPr>
        <sz val="11"/>
        <color theme="1"/>
        <rFont val="宋体"/>
        <charset val="134"/>
      </rPr>
      <t>，并且必须由木头、石头、黏土、陶瓷、纸张、无价值的水晶或者非贵重金属构成。你不能再次使用该魔法动作，直至你完成一次长休。</t>
    </r>
  </si>
  <si>
    <t>重甲大师</t>
  </si>
  <si>
    <t xml:space="preserve">通用专长（先决：等级4+，重甲受训）
属性值提升Ability Score Increase。你的体质或力量提升1，至多提升至20。
伤害减免Damage Reduction。穿着重甲期间，当你被一次攻击命中时，该次攻击对你造成的任何钝击伤害、穿刺伤害与挥砍伤害均减去你的熟练加值点。 </t>
  </si>
  <si>
    <t>公会大厅</t>
  </si>
  <si>
    <t>专精于一项技能</t>
  </si>
  <si>
    <r>
      <rPr>
        <sz val="11"/>
        <color theme="1"/>
        <rFont val="宋体"/>
        <charset val="134"/>
      </rPr>
      <t>建立公会大厅意味着一个公会的成立，而你就是公会的会长。从范例公会</t>
    </r>
    <r>
      <rPr>
        <sz val="11"/>
        <color theme="1"/>
        <rFont val="Times New Roman"/>
        <charset val="134"/>
      </rPr>
      <t xml:space="preserve"> Sample Guilds </t>
    </r>
    <r>
      <rPr>
        <sz val="11"/>
        <color theme="1"/>
        <rFont val="宋体"/>
        <charset val="134"/>
      </rPr>
      <t>表格中选择一项，或者和</t>
    </r>
    <r>
      <rPr>
        <sz val="11"/>
        <color theme="1"/>
        <rFont val="Times New Roman"/>
        <charset val="134"/>
      </rPr>
      <t>DM</t>
    </r>
    <r>
      <rPr>
        <sz val="11"/>
        <color theme="1"/>
        <rFont val="宋体"/>
        <charset val="134"/>
      </rPr>
      <t>协商来创造一种新的公会。此设施是你公会的会议室，在这里，你公会的成员们可以在你面前讨论各种重要事项。</t>
    </r>
    <r>
      <rPr>
        <sz val="11"/>
        <color theme="1"/>
        <rFont val="Times New Roman"/>
        <charset val="134"/>
      </rPr>
      <t xml:space="preserve">
</t>
    </r>
    <r>
      <rPr>
        <sz val="11"/>
        <color theme="1"/>
        <rFont val="宋体"/>
        <charset val="134"/>
      </rPr>
      <t xml:space="preserve">你的公会由大约五十名技艺精湛的成员组成，他们在居住和工作在你据点之外的地方，通常是靠近这里的聚落。
</t>
    </r>
    <r>
      <rPr>
        <sz val="11"/>
        <color theme="1"/>
        <rFont val="Times New Roman"/>
        <charset val="134"/>
      </rPr>
      <t xml:space="preserve">
</t>
    </r>
    <r>
      <rPr>
        <sz val="11"/>
        <color theme="1"/>
        <rFont val="宋体"/>
        <charset val="134"/>
      </rPr>
      <t>招募：公会任务</t>
    </r>
    <r>
      <rPr>
        <sz val="11"/>
        <color theme="1"/>
        <rFont val="Times New Roman"/>
        <charset val="134"/>
      </rPr>
      <t xml:space="preserve"> Recruit</t>
    </r>
    <r>
      <rPr>
        <sz val="11"/>
        <color theme="1"/>
        <rFont val="宋体"/>
        <charset val="134"/>
      </rPr>
      <t>：</t>
    </r>
    <r>
      <rPr>
        <sz val="11"/>
        <color theme="1"/>
        <rFont val="Times New Roman"/>
        <charset val="134"/>
      </rPr>
      <t xml:space="preserve">Guild Assignment </t>
    </r>
    <r>
      <rPr>
        <sz val="11"/>
        <color theme="1"/>
        <rFont val="宋体"/>
        <charset val="134"/>
      </rPr>
      <t>：每当你对此设施下达招募指令时，你委托设施雇员招募公会成员来执行一项特别任务。范例公会表格中给出了每个公会的任务形式。在</t>
    </r>
    <r>
      <rPr>
        <sz val="11"/>
        <color theme="1"/>
        <rFont val="Times New Roman"/>
        <charset val="134"/>
      </rPr>
      <t>DM</t>
    </r>
    <r>
      <rPr>
        <sz val="11"/>
        <color theme="1"/>
        <rFont val="宋体"/>
        <charset val="134"/>
      </rPr>
      <t>的协助下，你可以创作新的任务交给公会成员执行。</t>
    </r>
    <r>
      <rPr>
        <sz val="11"/>
        <color theme="1"/>
        <rFont val="Times New Roman"/>
        <charset val="134"/>
      </rPr>
      <t xml:space="preserve">
</t>
    </r>
    <r>
      <rPr>
        <sz val="11"/>
        <color theme="1"/>
        <rFont val="宋体"/>
        <charset val="134"/>
      </rPr>
      <t>范例公会</t>
    </r>
    <r>
      <rPr>
        <sz val="11"/>
        <color theme="1"/>
        <rFont val="Times New Roman"/>
        <charset val="134"/>
      </rPr>
      <t xml:space="preserve"> Sample Guilds
</t>
    </r>
    <r>
      <rPr>
        <sz val="11"/>
        <color theme="1"/>
        <rFont val="宋体"/>
        <charset val="134"/>
      </rPr>
      <t>公会</t>
    </r>
    <r>
      <rPr>
        <sz val="11"/>
        <color theme="1"/>
        <rFont val="Times New Roman"/>
        <charset val="134"/>
      </rPr>
      <t xml:space="preserve">  </t>
    </r>
    <r>
      <rPr>
        <sz val="11"/>
        <color theme="1"/>
        <rFont val="宋体"/>
        <charset val="134"/>
      </rPr>
      <t>标志</t>
    </r>
    <r>
      <rPr>
        <sz val="11"/>
        <color theme="1"/>
        <rFont val="Times New Roman"/>
        <charset val="134"/>
      </rPr>
      <t xml:space="preserve"> </t>
    </r>
    <r>
      <rPr>
        <sz val="11"/>
        <color theme="1"/>
        <rFont val="宋体"/>
        <charset val="134"/>
      </rPr>
      <t>任务</t>
    </r>
    <r>
      <rPr>
        <sz val="11"/>
        <color theme="1"/>
        <rFont val="Times New Roman"/>
        <charset val="134"/>
      </rPr>
      <t xml:space="preserve">
</t>
    </r>
    <r>
      <rPr>
        <sz val="11"/>
        <color theme="1"/>
        <rFont val="宋体"/>
        <charset val="134"/>
      </rPr>
      <t>冒险者公会</t>
    </r>
    <r>
      <rPr>
        <sz val="11"/>
        <color theme="1"/>
        <rFont val="Times New Roman"/>
        <charset val="134"/>
      </rPr>
      <t xml:space="preserve"> </t>
    </r>
    <r>
      <rPr>
        <sz val="11"/>
        <color theme="1"/>
        <rFont val="宋体"/>
        <charset val="134"/>
      </rPr>
      <t>点燃的火炬</t>
    </r>
    <r>
      <rPr>
        <sz val="11"/>
        <color theme="1"/>
        <rFont val="Times New Roman"/>
        <charset val="134"/>
      </rPr>
      <t xml:space="preserve">
 </t>
    </r>
    <r>
      <rPr>
        <sz val="11"/>
        <color theme="1"/>
        <rFont val="宋体"/>
        <charset val="134"/>
      </rPr>
      <t>你委托冒险者去追捕一只挑战等级</t>
    </r>
    <r>
      <rPr>
        <sz val="11"/>
        <color theme="1"/>
        <rFont val="Times New Roman"/>
        <charset val="134"/>
      </rPr>
      <t xml:space="preserve"> Challenge Rating</t>
    </r>
    <r>
      <rPr>
        <sz val="11"/>
        <color theme="1"/>
        <rFont val="宋体"/>
        <charset val="134"/>
      </rPr>
      <t>不高于</t>
    </r>
    <r>
      <rPr>
        <sz val="11"/>
        <color theme="1"/>
        <rFont val="Times New Roman"/>
        <charset val="134"/>
      </rPr>
      <t>2</t>
    </r>
    <r>
      <rPr>
        <sz val="11"/>
        <color theme="1"/>
        <rFont val="宋体"/>
        <charset val="134"/>
      </rPr>
      <t>的野兽</t>
    </r>
    <r>
      <rPr>
        <sz val="11"/>
        <color theme="1"/>
        <rFont val="Times New Roman"/>
        <charset val="134"/>
      </rPr>
      <t xml:space="preserve"> Beast</t>
    </r>
    <r>
      <rPr>
        <sz val="11"/>
        <color theme="1"/>
        <rFont val="宋体"/>
        <charset val="134"/>
      </rPr>
      <t>，该野兽被认为栖息在你据点周围</t>
    </r>
    <r>
      <rPr>
        <sz val="11"/>
        <color theme="1"/>
        <rFont val="Times New Roman"/>
        <charset val="134"/>
      </rPr>
      <t>50</t>
    </r>
    <r>
      <rPr>
        <sz val="11"/>
        <color theme="1"/>
        <rFont val="宋体"/>
        <charset val="134"/>
      </rPr>
      <t>里内。冒险者们在</t>
    </r>
    <r>
      <rPr>
        <sz val="11"/>
        <color theme="1"/>
        <rFont val="Times New Roman"/>
        <charset val="134"/>
      </rPr>
      <t>1d6+1</t>
    </r>
    <r>
      <rPr>
        <sz val="11"/>
        <color theme="1"/>
        <rFont val="宋体"/>
        <charset val="134"/>
      </rPr>
      <t>天内杀死或捕获该生物（由你选择）。如果该生物被杀死而你的据点内有一个陈列室</t>
    </r>
    <r>
      <rPr>
        <sz val="11"/>
        <color theme="1"/>
        <rFont val="Times New Roman"/>
        <charset val="134"/>
      </rPr>
      <t xml:space="preserve"> Trophy Room</t>
    </r>
    <r>
      <rPr>
        <sz val="11"/>
        <color theme="1"/>
        <rFont val="宋体"/>
        <charset val="134"/>
      </rPr>
      <t>，你可以将一份从该生物身上获取的猎获添加到陈列室内。如果该生物被捕获而你的据点内有一个动物园</t>
    </r>
    <r>
      <rPr>
        <sz val="11"/>
        <color theme="1"/>
        <rFont val="Times New Roman"/>
        <charset val="134"/>
      </rPr>
      <t xml:space="preserve"> Menagerie </t>
    </r>
    <r>
      <rPr>
        <sz val="11"/>
        <color theme="1"/>
        <rFont val="宋体"/>
        <charset val="134"/>
      </rPr>
      <t>，你可以将该生物添加到动物园内，前提是该设施有空间容纳它。</t>
    </r>
    <r>
      <rPr>
        <sz val="11"/>
        <color theme="1"/>
        <rFont val="Times New Roman"/>
        <charset val="134"/>
      </rPr>
      <t xml:space="preserve">
</t>
    </r>
    <r>
      <rPr>
        <sz val="11"/>
        <color theme="1"/>
        <rFont val="宋体"/>
        <charset val="134"/>
      </rPr>
      <t>烘培师公会</t>
    </r>
    <r>
      <rPr>
        <sz val="11"/>
        <color theme="1"/>
        <rFont val="Times New Roman"/>
        <charset val="134"/>
      </rPr>
      <t xml:space="preserve"> </t>
    </r>
    <r>
      <rPr>
        <sz val="11"/>
        <color theme="1"/>
        <rFont val="宋体"/>
        <charset val="134"/>
      </rPr>
      <t>甜点</t>
    </r>
    <r>
      <rPr>
        <sz val="11"/>
        <color theme="1"/>
        <rFont val="Times New Roman"/>
        <charset val="134"/>
      </rPr>
      <t xml:space="preserve">
 </t>
    </r>
    <r>
      <rPr>
        <sz val="11"/>
        <color theme="1"/>
        <rFont val="宋体"/>
        <charset val="134"/>
      </rPr>
      <t>你委托烘培师为即将在</t>
    </r>
    <r>
      <rPr>
        <sz val="11"/>
        <color theme="1"/>
        <rFont val="Times New Roman"/>
        <charset val="134"/>
      </rPr>
      <t xml:space="preserve"> 7 </t>
    </r>
    <r>
      <rPr>
        <sz val="11"/>
        <color theme="1"/>
        <rFont val="宋体"/>
        <charset val="134"/>
      </rPr>
      <t>天内举行的一场重要活动烘培食品。你可以选择以金钱形式获得报酬（</t>
    </r>
    <r>
      <rPr>
        <sz val="11"/>
        <color theme="1"/>
        <rFont val="Times New Roman"/>
        <charset val="134"/>
      </rPr>
      <t xml:space="preserve"> 500 GP </t>
    </r>
    <r>
      <rPr>
        <sz val="11"/>
        <color theme="1"/>
        <rFont val="宋体"/>
        <charset val="134"/>
      </rPr>
      <t>）</t>
    </r>
    <r>
      <rPr>
        <sz val="11"/>
        <color theme="1"/>
        <rFont val="Times New Roman"/>
        <charset val="134"/>
      </rPr>
      <t>,</t>
    </r>
    <r>
      <rPr>
        <sz val="11"/>
        <color theme="1"/>
        <rFont val="宋体"/>
        <charset val="134"/>
      </rPr>
      <t>或者活动举办者会欠你一个人情，具体情况由你和</t>
    </r>
    <r>
      <rPr>
        <sz val="11"/>
        <color theme="1"/>
        <rFont val="Times New Roman"/>
        <charset val="134"/>
      </rPr>
      <t xml:space="preserve"> DM </t>
    </r>
    <r>
      <rPr>
        <sz val="11"/>
        <color theme="1"/>
        <rFont val="宋体"/>
        <charset val="134"/>
      </rPr>
      <t>决定。</t>
    </r>
    <r>
      <rPr>
        <sz val="11"/>
        <color theme="1"/>
        <rFont val="Times New Roman"/>
        <charset val="134"/>
      </rPr>
      <t xml:space="preserve">
</t>
    </r>
    <r>
      <rPr>
        <sz val="11"/>
        <color theme="1"/>
        <rFont val="宋体"/>
        <charset val="134"/>
      </rPr>
      <t>酿酒师公会</t>
    </r>
    <r>
      <rPr>
        <sz val="11"/>
        <color theme="1"/>
        <rFont val="Times New Roman"/>
        <charset val="134"/>
      </rPr>
      <t xml:space="preserve"> </t>
    </r>
    <r>
      <rPr>
        <sz val="11"/>
        <color theme="1"/>
        <rFont val="宋体"/>
        <charset val="134"/>
      </rPr>
      <t>冒泡的酒杯</t>
    </r>
    <r>
      <rPr>
        <sz val="11"/>
        <color theme="1"/>
        <rFont val="Times New Roman"/>
        <charset val="134"/>
      </rPr>
      <t xml:space="preserve">
 </t>
    </r>
    <r>
      <rPr>
        <sz val="11"/>
        <color theme="1"/>
        <rFont val="宋体"/>
        <charset val="134"/>
      </rPr>
      <t>你委托酿酒师在</t>
    </r>
    <r>
      <rPr>
        <sz val="11"/>
        <color theme="1"/>
        <rFont val="Times New Roman"/>
        <charset val="134"/>
      </rPr>
      <t xml:space="preserve"> 7 </t>
    </r>
    <r>
      <rPr>
        <sz val="11"/>
        <color theme="1"/>
        <rFont val="宋体"/>
        <charset val="134"/>
      </rPr>
      <t>天内将</t>
    </r>
    <r>
      <rPr>
        <sz val="11"/>
        <color theme="1"/>
        <rFont val="Times New Roman"/>
        <charset val="134"/>
      </rPr>
      <t xml:space="preserve"> 50 </t>
    </r>
    <r>
      <rPr>
        <sz val="11"/>
        <color theme="1"/>
        <rFont val="宋体"/>
        <charset val="134"/>
      </rPr>
      <t>桶麦酒送到你的据点内，每桶麦酒重</t>
    </r>
    <r>
      <rPr>
        <sz val="11"/>
        <color theme="1"/>
        <rFont val="Times New Roman"/>
        <charset val="134"/>
      </rPr>
      <t xml:space="preserve"> 40 </t>
    </r>
    <r>
      <rPr>
        <sz val="11"/>
        <color theme="1"/>
        <rFont val="宋体"/>
        <charset val="134"/>
      </rPr>
      <t>加仑，并且能以</t>
    </r>
    <r>
      <rPr>
        <sz val="11"/>
        <color theme="1"/>
        <rFont val="Times New Roman"/>
        <charset val="134"/>
      </rPr>
      <t xml:space="preserve"> 10 GP</t>
    </r>
    <r>
      <rPr>
        <sz val="11"/>
        <color theme="1"/>
        <rFont val="宋体"/>
        <charset val="134"/>
      </rPr>
      <t>的价格卖出。</t>
    </r>
    <r>
      <rPr>
        <sz val="11"/>
        <color theme="1"/>
        <rFont val="Times New Roman"/>
        <charset val="134"/>
      </rPr>
      <t xml:space="preserve">
</t>
    </r>
    <r>
      <rPr>
        <sz val="11"/>
        <color theme="1"/>
        <rFont val="宋体"/>
        <charset val="134"/>
      </rPr>
      <t>石匠公会</t>
    </r>
    <r>
      <rPr>
        <sz val="11"/>
        <color theme="1"/>
        <rFont val="Times New Roman"/>
        <charset val="134"/>
      </rPr>
      <t xml:space="preserve"> </t>
    </r>
    <r>
      <rPr>
        <sz val="11"/>
        <color theme="1"/>
        <rFont val="宋体"/>
        <charset val="134"/>
      </rPr>
      <t>石制面具</t>
    </r>
    <r>
      <rPr>
        <sz val="11"/>
        <color theme="1"/>
        <rFont val="Times New Roman"/>
        <charset val="134"/>
      </rPr>
      <t xml:space="preserve">
 </t>
    </r>
    <r>
      <rPr>
        <sz val="11"/>
        <color theme="1"/>
        <rFont val="宋体"/>
        <charset val="134"/>
      </rPr>
      <t>你委托石匠免费为你的据点建造防御墙</t>
    </r>
    <r>
      <rPr>
        <sz val="11"/>
        <color theme="1"/>
        <rFont val="Times New Roman"/>
        <charset val="134"/>
      </rPr>
      <t>Defend Wall</t>
    </r>
    <r>
      <rPr>
        <sz val="11"/>
        <color theme="1"/>
        <rFont val="宋体"/>
        <charset val="134"/>
      </rPr>
      <t>。或者，你可以派他们去给另一位玩家的据点建造防御墙，只要该据点位于你的据点</t>
    </r>
    <r>
      <rPr>
        <sz val="11"/>
        <color theme="1"/>
        <rFont val="Times New Roman"/>
        <charset val="134"/>
      </rPr>
      <t>1</t>
    </r>
    <r>
      <rPr>
        <sz val="11"/>
        <color theme="1"/>
        <rFont val="宋体"/>
        <charset val="134"/>
      </rPr>
      <t>里之内。以此法建造每</t>
    </r>
    <r>
      <rPr>
        <sz val="11"/>
        <color theme="1"/>
        <rFont val="Times New Roman"/>
        <charset val="134"/>
      </rPr>
      <t>5</t>
    </r>
    <r>
      <rPr>
        <sz val="11"/>
        <color theme="1"/>
        <rFont val="宋体"/>
        <charset val="134"/>
      </rPr>
      <t>尺方格的防御墙需要</t>
    </r>
    <r>
      <rPr>
        <sz val="11"/>
        <color theme="1"/>
        <rFont val="Times New Roman"/>
        <charset val="134"/>
      </rPr>
      <t>1</t>
    </r>
    <r>
      <rPr>
        <sz val="11"/>
        <color theme="1"/>
        <rFont val="宋体"/>
        <charset val="134"/>
      </rPr>
      <t>天而非</t>
    </r>
    <r>
      <rPr>
        <sz val="11"/>
        <color theme="1"/>
        <rFont val="Times New Roman"/>
        <charset val="134"/>
      </rPr>
      <t>10</t>
    </r>
    <r>
      <rPr>
        <sz val="11"/>
        <color theme="1"/>
        <rFont val="宋体"/>
        <charset val="134"/>
      </rPr>
      <t>天（见“据点地图”一节）。</t>
    </r>
    <r>
      <rPr>
        <sz val="11"/>
        <color theme="1"/>
        <rFont val="Times New Roman"/>
        <charset val="134"/>
      </rPr>
      <t xml:space="preserve">
</t>
    </r>
    <r>
      <rPr>
        <sz val="11"/>
        <color theme="1"/>
        <rFont val="宋体"/>
        <charset val="134"/>
      </rPr>
      <t>造船师公会</t>
    </r>
    <r>
      <rPr>
        <sz val="11"/>
        <color theme="1"/>
        <rFont val="Times New Roman"/>
        <charset val="134"/>
      </rPr>
      <t xml:space="preserve"> </t>
    </r>
    <r>
      <rPr>
        <sz val="11"/>
        <color theme="1"/>
        <rFont val="宋体"/>
        <charset val="134"/>
      </rPr>
      <t>交叉的船桨</t>
    </r>
    <r>
      <rPr>
        <sz val="11"/>
        <color theme="1"/>
        <rFont val="Times New Roman"/>
        <charset val="134"/>
      </rPr>
      <t xml:space="preserve">
 </t>
    </r>
    <r>
      <rPr>
        <sz val="11"/>
        <color theme="1"/>
        <rFont val="宋体"/>
        <charset val="134"/>
      </rPr>
      <t>你委托造船师建造一艘载具，该载具必须来自玩家手册</t>
    </r>
    <r>
      <rPr>
        <sz val="11"/>
        <color theme="1"/>
        <rFont val="Times New Roman"/>
        <charset val="134"/>
      </rPr>
      <t>Player’s Handbook</t>
    </r>
    <r>
      <rPr>
        <sz val="11"/>
        <color theme="1"/>
        <rFont val="宋体"/>
        <charset val="134"/>
      </rPr>
      <t>中的空运和水运载具</t>
    </r>
    <r>
      <rPr>
        <sz val="11"/>
        <color theme="1"/>
        <rFont val="Times New Roman"/>
        <charset val="134"/>
      </rPr>
      <t>Airborne and Waterborne Vehicles</t>
    </r>
    <r>
      <rPr>
        <sz val="11"/>
        <color theme="1"/>
        <rFont val="宋体"/>
        <charset val="134"/>
      </rPr>
      <t>表格。你需要支付该载具的全价，该载具每有</t>
    </r>
    <r>
      <rPr>
        <sz val="11"/>
        <color theme="1"/>
        <rFont val="Times New Roman"/>
        <charset val="134"/>
      </rPr>
      <t>1000GP</t>
    </r>
    <r>
      <rPr>
        <sz val="11"/>
        <color theme="1"/>
        <rFont val="宋体"/>
        <charset val="134"/>
      </rPr>
      <t>成本便需要</t>
    </r>
    <r>
      <rPr>
        <sz val="11"/>
        <color theme="1"/>
        <rFont val="Times New Roman"/>
        <charset val="134"/>
      </rPr>
      <t>1</t>
    </r>
    <r>
      <rPr>
        <sz val="11"/>
        <color theme="1"/>
        <rFont val="宋体"/>
        <charset val="134"/>
      </rPr>
      <t>天时间进行建造</t>
    </r>
    <r>
      <rPr>
        <sz val="11"/>
        <color theme="1"/>
        <rFont val="Times New Roman"/>
        <charset val="134"/>
      </rPr>
      <t>(</t>
    </r>
    <r>
      <rPr>
        <sz val="11"/>
        <color theme="1"/>
        <rFont val="宋体"/>
        <charset val="134"/>
      </rPr>
      <t>划艇</t>
    </r>
    <r>
      <rPr>
        <sz val="11"/>
        <color theme="1"/>
        <rFont val="Times New Roman"/>
        <charset val="134"/>
      </rPr>
      <t>Rowboat</t>
    </r>
    <r>
      <rPr>
        <sz val="11"/>
        <color theme="1"/>
        <rFont val="宋体"/>
        <charset val="134"/>
      </rPr>
      <t>可以在</t>
    </r>
    <r>
      <rPr>
        <sz val="11"/>
        <color theme="1"/>
        <rFont val="Times New Roman"/>
        <charset val="134"/>
      </rPr>
      <t>1</t>
    </r>
    <r>
      <rPr>
        <sz val="11"/>
        <color theme="1"/>
        <rFont val="宋体"/>
        <charset val="134"/>
      </rPr>
      <t>天内建造完成</t>
    </r>
    <r>
      <rPr>
        <sz val="11"/>
        <color theme="1"/>
        <rFont val="Times New Roman"/>
        <charset val="134"/>
      </rPr>
      <t>)</t>
    </r>
    <r>
      <rPr>
        <sz val="11"/>
        <color theme="1"/>
        <rFont val="宋体"/>
        <charset val="134"/>
      </rPr>
      <t>。</t>
    </r>
    <r>
      <rPr>
        <sz val="11"/>
        <color theme="1"/>
        <rFont val="Times New Roman"/>
        <charset val="134"/>
      </rPr>
      <t xml:space="preserve">
</t>
    </r>
    <r>
      <rPr>
        <sz val="11"/>
        <color theme="1"/>
        <rFont val="宋体"/>
        <charset val="134"/>
      </rPr>
      <t>盗贼公会</t>
    </r>
    <r>
      <rPr>
        <sz val="11"/>
        <color theme="1"/>
        <rFont val="Times New Roman"/>
        <charset val="134"/>
      </rPr>
      <t xml:space="preserve"> </t>
    </r>
    <r>
      <rPr>
        <sz val="11"/>
        <color theme="1"/>
        <rFont val="宋体"/>
        <charset val="134"/>
      </rPr>
      <t>白色的钥匙</t>
    </r>
    <r>
      <rPr>
        <sz val="11"/>
        <color theme="1"/>
        <rFont val="Times New Roman"/>
        <charset val="134"/>
      </rPr>
      <t xml:space="preserve">
 </t>
    </r>
    <r>
      <rPr>
        <sz val="11"/>
        <color theme="1"/>
        <rFont val="宋体"/>
        <charset val="134"/>
      </rPr>
      <t>你委托盗贼渗透到你据点</t>
    </r>
    <r>
      <rPr>
        <sz val="11"/>
        <color theme="1"/>
        <rFont val="Times New Roman"/>
        <charset val="134"/>
      </rPr>
      <t>50</t>
    </r>
    <r>
      <rPr>
        <sz val="11"/>
        <color theme="1"/>
        <rFont val="宋体"/>
        <charset val="134"/>
      </rPr>
      <t>里内的一个地点，并从那里偷窃一件非魔法物件。该物件不能在任何方向上超过</t>
    </r>
    <r>
      <rPr>
        <sz val="11"/>
        <color theme="1"/>
        <rFont val="Times New Roman"/>
        <charset val="134"/>
      </rPr>
      <t xml:space="preserve"> 5 </t>
    </r>
    <r>
      <rPr>
        <sz val="11"/>
        <color theme="1"/>
        <rFont val="宋体"/>
        <charset val="134"/>
      </rPr>
      <t>尺。该物件会在</t>
    </r>
    <r>
      <rPr>
        <sz val="11"/>
        <color theme="1"/>
        <rFont val="Times New Roman"/>
        <charset val="134"/>
      </rPr>
      <t xml:space="preserve"> 1d6+1 </t>
    </r>
    <r>
      <rPr>
        <sz val="11"/>
        <color theme="1"/>
        <rFont val="宋体"/>
        <charset val="134"/>
      </rPr>
      <t>天之内被送到你的据点。</t>
    </r>
    <r>
      <rPr>
        <sz val="11"/>
        <color theme="1"/>
        <rFont val="Times New Roman"/>
        <charset val="134"/>
      </rPr>
      <t xml:space="preserve">DM </t>
    </r>
    <r>
      <rPr>
        <sz val="11"/>
        <color theme="1"/>
        <rFont val="宋体"/>
        <charset val="134"/>
      </rPr>
      <t>可能会认为这项行为有使你面临法律制裁或受害者报复的风险。</t>
    </r>
  </si>
  <si>
    <t>领袖之证</t>
  </si>
  <si>
    <t>通用专长（先决：等级4+，感知或魅力13+）
属性值提升Ability Score Increase。你的感知或魅力提升1，至多提升至20。
激励演出Bolstering Performance。每当你的短休/长休结束时，你可以做一场激励人心的表演：一次演讲、一首歌曲或一支舞蹈。当你这么做时，选择至多6名在周围30尺内观看你表演的盟友（亦可包括你自己）。每个被选中的生物都可以获得一定临时生命值，其数值等于你的角色等级+你用本专长提升的属性的调整值。</t>
  </si>
  <si>
    <t>圣所</t>
  </si>
  <si>
    <r>
      <rPr>
        <sz val="11"/>
        <color theme="1"/>
        <rFont val="宋体"/>
        <charset val="134"/>
      </rPr>
      <t>圣所是提供抚慰和治愈的地方。</t>
    </r>
    <r>
      <rPr>
        <sz val="11"/>
        <color theme="1"/>
        <rFont val="Times New Roman"/>
        <charset val="134"/>
      </rPr>
      <t xml:space="preserve">
</t>
    </r>
    <r>
      <rPr>
        <sz val="11"/>
        <color theme="1"/>
        <rFont val="宋体"/>
        <charset val="134"/>
      </rPr>
      <t>圣所护咒</t>
    </r>
    <r>
      <rPr>
        <sz val="11"/>
        <color theme="1"/>
        <rFont val="Times New Roman"/>
        <charset val="134"/>
      </rPr>
      <t xml:space="preserve"> Sanctum Charm </t>
    </r>
    <r>
      <rPr>
        <sz val="11"/>
        <color theme="1"/>
        <rFont val="宋体"/>
        <charset val="134"/>
      </rPr>
      <t>：当你在据点内完成一次长休后，你获得一个魔法</t>
    </r>
    <r>
      <rPr>
        <sz val="11"/>
        <color theme="1"/>
        <rFont val="Times New Roman"/>
        <charset val="134"/>
      </rPr>
      <t xml:space="preserve"> </t>
    </r>
    <r>
      <rPr>
        <sz val="11"/>
        <color theme="1"/>
        <rFont val="宋体"/>
        <charset val="134"/>
      </rPr>
      <t>护咒（见第三章“</t>
    </r>
    <r>
      <rPr>
        <sz val="11"/>
        <color theme="1"/>
        <rFont val="Times New Roman"/>
        <charset val="134"/>
      </rPr>
      <t xml:space="preserve"> </t>
    </r>
    <r>
      <rPr>
        <sz val="11"/>
        <color theme="1"/>
        <rFont val="宋体"/>
        <charset val="134"/>
      </rPr>
      <t>超自然恩惠”一节），该护咒持续</t>
    </r>
    <r>
      <rPr>
        <sz val="11"/>
        <color theme="1"/>
        <rFont val="Times New Roman"/>
        <charset val="134"/>
      </rPr>
      <t>7</t>
    </r>
    <r>
      <rPr>
        <sz val="11"/>
        <color theme="1"/>
        <rFont val="宋体"/>
        <charset val="134"/>
      </rPr>
      <t>天或持续至你将其使用为止。该护咒允许你施展一次医疗术</t>
    </r>
    <r>
      <rPr>
        <sz val="11"/>
        <color theme="1"/>
        <rFont val="Times New Roman"/>
        <charset val="134"/>
      </rPr>
      <t xml:space="preserve"> Heal </t>
    </r>
    <r>
      <rPr>
        <sz val="11"/>
        <color theme="1"/>
        <rFont val="宋体"/>
        <charset val="134"/>
      </rPr>
      <t>，无需消耗法术位。你无法在已拥有该护咒时再次获得它。</t>
    </r>
    <r>
      <rPr>
        <sz val="11"/>
        <color theme="1"/>
        <rFont val="Times New Roman"/>
        <charset val="134"/>
      </rPr>
      <t xml:space="preserve">
</t>
    </r>
    <r>
      <rPr>
        <sz val="11"/>
        <color theme="1"/>
        <rFont val="宋体"/>
        <charset val="134"/>
      </rPr>
      <t>增强：韧性仪式</t>
    </r>
    <r>
      <rPr>
        <sz val="11"/>
        <color theme="1"/>
        <rFont val="Times New Roman"/>
        <charset val="134"/>
      </rPr>
      <t xml:space="preserve"> Empower</t>
    </r>
    <r>
      <rPr>
        <sz val="11"/>
        <color theme="1"/>
        <rFont val="宋体"/>
        <charset val="134"/>
      </rPr>
      <t>：</t>
    </r>
    <r>
      <rPr>
        <sz val="11"/>
        <color theme="1"/>
        <rFont val="Times New Roman"/>
        <charset val="134"/>
      </rPr>
      <t xml:space="preserve">Fortified </t>
    </r>
    <r>
      <rPr>
        <sz val="11"/>
        <color theme="1"/>
        <rFont val="宋体"/>
        <charset val="134"/>
      </rPr>
      <t>：当你对此设施下达增强指令时，你让设施雇员每日进行祈祷仪式，仪式将增幅你或者另一个生物的体魄。在仪式持续进行时，即使受益者不在你的据点内也能获得增益。在之后</t>
    </r>
    <r>
      <rPr>
        <sz val="11"/>
        <color theme="1"/>
        <rFont val="Times New Roman"/>
        <charset val="134"/>
      </rPr>
      <t>7</t>
    </r>
    <r>
      <rPr>
        <sz val="11"/>
        <color theme="1"/>
        <rFont val="宋体"/>
        <charset val="134"/>
      </rPr>
      <t>天内，每当受益者完成一次长休，他都会获得等同于你等级的临时生命值。</t>
    </r>
    <r>
      <rPr>
        <sz val="11"/>
        <color theme="1"/>
        <rFont val="Times New Roman"/>
        <charset val="134"/>
      </rPr>
      <t xml:space="preserve">
</t>
    </r>
    <r>
      <rPr>
        <sz val="11"/>
        <color theme="1"/>
        <rFont val="宋体"/>
        <charset val="134"/>
      </rPr>
      <t>圣所回返</t>
    </r>
    <r>
      <rPr>
        <sz val="11"/>
        <color theme="1"/>
        <rFont val="Times New Roman"/>
        <charset val="134"/>
      </rPr>
      <t xml:space="preserve"> Sanctum Recall </t>
    </r>
    <r>
      <rPr>
        <sz val="11"/>
        <color theme="1"/>
        <rFont val="宋体"/>
        <charset val="134"/>
      </rPr>
      <t>：只要圣所仍然屹立，你便总是准备了法术回返真言</t>
    </r>
    <r>
      <rPr>
        <sz val="11"/>
        <color theme="1"/>
        <rFont val="Times New Roman"/>
        <charset val="134"/>
      </rPr>
      <t xml:space="preserve"> Word of Recall</t>
    </r>
    <r>
      <rPr>
        <sz val="11"/>
        <color theme="1"/>
        <rFont val="宋体"/>
        <charset val="134"/>
      </rPr>
      <t>。在你施展该法术时，你可以将圣所作为目的地，取代你先前设定的目的地；并且，你可以选择由该法术传送到圣所的生物之一，该生物获得法术医疗术</t>
    </r>
    <r>
      <rPr>
        <sz val="11"/>
        <color theme="1"/>
        <rFont val="Times New Roman"/>
        <charset val="134"/>
      </rPr>
      <t xml:space="preserve"> Heal </t>
    </r>
    <r>
      <rPr>
        <sz val="11"/>
        <color theme="1"/>
        <rFont val="宋体"/>
        <charset val="134"/>
      </rPr>
      <t>的增益。</t>
    </r>
  </si>
  <si>
    <t>敏锐心灵</t>
  </si>
  <si>
    <t>通用专长（先决：等级4+，智力13+）
属性值提升Ability Score Increase。你的智力提升1，至多提升至20。
轶闻知识Lore Knowledge。选择下列技能之一：奥秘、历史、调查、自然、宗教。如果你不具有所选技能的熟练，则你获得其熟练；如果你已有熟练，则你获得其专精。
快速研究Quick Study。你可以用附赠动作执行研究动作。</t>
  </si>
  <si>
    <t>作战指挥室</t>
  </si>
  <si>
    <t>战斗风格特性或无甲防御特性</t>
  </si>
  <si>
    <r>
      <rPr>
        <sz val="11"/>
        <color theme="1"/>
        <rFont val="Times New Roman"/>
        <charset val="134"/>
      </rPr>
      <t>2+</t>
    </r>
    <r>
      <rPr>
        <sz val="11"/>
        <color theme="1"/>
        <rFont val="宋体"/>
        <charset val="134"/>
      </rPr>
      <t>（见下文）</t>
    </r>
    <r>
      <rPr>
        <sz val="11"/>
        <color theme="1"/>
        <rFont val="Times New Roman"/>
        <charset val="134"/>
      </rPr>
      <t xml:space="preserve"> </t>
    </r>
  </si>
  <si>
    <r>
      <rPr>
        <sz val="11"/>
        <color theme="1"/>
        <rFont val="宋体"/>
        <charset val="134"/>
      </rPr>
      <t>作战指挥室是你和你忠诚的副官们一起商讨作战计划的地方。每位副官都是身经百战的</t>
    </r>
    <r>
      <rPr>
        <sz val="11"/>
        <color theme="1"/>
        <rFont val="Times New Roman"/>
        <charset val="134"/>
      </rPr>
      <t xml:space="preserve"> </t>
    </r>
    <r>
      <rPr>
        <sz val="11"/>
        <color theme="1"/>
        <rFont val="宋体"/>
        <charset val="134"/>
      </rPr>
      <t>历战武者</t>
    </r>
    <r>
      <rPr>
        <sz val="11"/>
        <color theme="1"/>
        <rFont val="Times New Roman"/>
        <charset val="134"/>
      </rPr>
      <t xml:space="preserve"> Veteran Warrior</t>
    </r>
    <r>
      <rPr>
        <sz val="11"/>
        <color theme="1"/>
        <rFont val="宋体"/>
        <charset val="134"/>
      </rPr>
      <t>（见怪物图鉴），他们的阵营与你一致。你初始拥有两名副官，但可以招募更多副官，如下文所述。如果你的据点没有安置这些副官的设施，他们会在距离据点最近的旅馆或聚落找到住所。副官是雇员而非据点卫兵，但如果你的据点遭受攻击（见“</t>
    </r>
    <r>
      <rPr>
        <sz val="11"/>
        <color theme="1"/>
        <rFont val="Times New Roman"/>
        <charset val="134"/>
      </rPr>
      <t xml:space="preserve"> </t>
    </r>
    <r>
      <rPr>
        <sz val="11"/>
        <color theme="1"/>
        <rFont val="宋体"/>
        <charset val="134"/>
      </rPr>
      <t>据点事件”一节）</t>
    </r>
    <r>
      <rPr>
        <sz val="11"/>
        <color theme="1"/>
        <rFont val="Times New Roman"/>
        <charset val="134"/>
      </rPr>
      <t>,</t>
    </r>
    <r>
      <rPr>
        <sz val="11"/>
        <color theme="1"/>
        <rFont val="宋体"/>
        <charset val="134"/>
      </rPr>
      <t>那么在为决定据点卫兵损失数量所作的掷骰中，每位副官将使需要投掷的骰子数量减少</t>
    </r>
    <r>
      <rPr>
        <sz val="11"/>
        <color theme="1"/>
        <rFont val="Times New Roman"/>
        <charset val="134"/>
      </rPr>
      <t>1</t>
    </r>
    <r>
      <rPr>
        <sz val="11"/>
        <color theme="1"/>
        <rFont val="宋体"/>
        <charset val="134"/>
      </rPr>
      <t>。</t>
    </r>
    <r>
      <rPr>
        <sz val="11"/>
        <color theme="1"/>
        <rFont val="Times New Roman"/>
        <charset val="134"/>
      </rPr>
      <t xml:space="preserve">
</t>
    </r>
    <r>
      <rPr>
        <sz val="11"/>
        <color theme="1"/>
        <rFont val="宋体"/>
        <charset val="134"/>
      </rPr>
      <t>作战指挥室里摆放着战争纪念品，以及一张大桌子，桌子周围摆放着足够你和副官一一就座的椅子。</t>
    </r>
    <r>
      <rPr>
        <sz val="11"/>
        <color theme="1"/>
        <rFont val="Times New Roman"/>
        <charset val="134"/>
      </rPr>
      <t xml:space="preserve">
</t>
    </r>
    <r>
      <rPr>
        <sz val="11"/>
        <color theme="1"/>
        <rFont val="宋体"/>
        <charset val="134"/>
      </rPr>
      <t>招募选项</t>
    </r>
    <r>
      <rPr>
        <sz val="11"/>
        <color theme="1"/>
        <rFont val="Times New Roman"/>
        <charset val="134"/>
      </rPr>
      <t xml:space="preserve"> Recruit Options </t>
    </r>
    <r>
      <rPr>
        <sz val="11"/>
        <color theme="1"/>
        <rFont val="宋体"/>
        <charset val="134"/>
      </rPr>
      <t>：当你对此设施下达招募指令时，从下列选项中选择一项：</t>
    </r>
    <r>
      <rPr>
        <sz val="11"/>
        <color theme="1"/>
        <rFont val="Times New Roman"/>
        <charset val="134"/>
      </rPr>
      <t xml:space="preserve">
</t>
    </r>
    <r>
      <rPr>
        <sz val="11"/>
        <color theme="1"/>
        <rFont val="宋体"/>
        <charset val="134"/>
      </rPr>
      <t>招募：副官</t>
    </r>
    <r>
      <rPr>
        <sz val="11"/>
        <color theme="1"/>
        <rFont val="Times New Roman"/>
        <charset val="134"/>
      </rPr>
      <t xml:space="preserve"> Recruit</t>
    </r>
    <r>
      <rPr>
        <sz val="11"/>
        <color theme="1"/>
        <rFont val="宋体"/>
        <charset val="134"/>
      </rPr>
      <t>：</t>
    </r>
    <r>
      <rPr>
        <sz val="11"/>
        <color theme="1"/>
        <rFont val="Times New Roman"/>
        <charset val="134"/>
      </rPr>
      <t xml:space="preserve">Lieutenant </t>
    </r>
    <r>
      <rPr>
        <sz val="11"/>
        <color theme="1"/>
        <rFont val="宋体"/>
        <charset val="134"/>
      </rPr>
      <t>：你获得一位新副官。你最多同时拥有十名副官。你可以按自己的喜好为他们分配姓名和个性。</t>
    </r>
    <r>
      <rPr>
        <sz val="11"/>
        <color theme="1"/>
        <rFont val="Times New Roman"/>
        <charset val="134"/>
      </rPr>
      <t xml:space="preserve">
</t>
    </r>
    <r>
      <rPr>
        <sz val="11"/>
        <color theme="1"/>
        <rFont val="宋体"/>
        <charset val="134"/>
      </rPr>
      <t>招募：士兵</t>
    </r>
    <r>
      <rPr>
        <sz val="11"/>
        <color theme="1"/>
        <rFont val="Times New Roman"/>
        <charset val="134"/>
      </rPr>
      <t xml:space="preserve"> Recruit</t>
    </r>
    <r>
      <rPr>
        <sz val="11"/>
        <color theme="1"/>
        <rFont val="宋体"/>
        <charset val="134"/>
      </rPr>
      <t>：</t>
    </r>
    <r>
      <rPr>
        <sz val="11"/>
        <color theme="1"/>
        <rFont val="Times New Roman"/>
        <charset val="134"/>
      </rPr>
      <t xml:space="preserve">Soldiers </t>
    </r>
    <r>
      <rPr>
        <sz val="11"/>
        <color theme="1"/>
        <rFont val="宋体"/>
        <charset val="134"/>
      </rPr>
      <t>：你委托一位或更多副官集结一支小型军队。每位副官可以在</t>
    </r>
    <r>
      <rPr>
        <sz val="11"/>
        <color theme="1"/>
        <rFont val="Times New Roman"/>
        <charset val="134"/>
      </rPr>
      <t>7</t>
    </r>
    <r>
      <rPr>
        <sz val="11"/>
        <color theme="1"/>
        <rFont val="宋体"/>
        <charset val="134"/>
      </rPr>
      <t>天时间里召集最多</t>
    </r>
    <r>
      <rPr>
        <sz val="11"/>
        <color theme="1"/>
        <rFont val="Times New Roman"/>
        <charset val="134"/>
      </rPr>
      <t>100</t>
    </r>
    <r>
      <rPr>
        <sz val="11"/>
        <color theme="1"/>
        <rFont val="宋体"/>
        <charset val="134"/>
      </rPr>
      <t>名守卫</t>
    </r>
    <r>
      <rPr>
        <sz val="11"/>
        <color theme="1"/>
        <rFont val="Times New Roman"/>
        <charset val="134"/>
      </rPr>
      <t xml:space="preserve"> Guards</t>
    </r>
    <r>
      <rPr>
        <sz val="11"/>
        <color theme="1"/>
        <rFont val="宋体"/>
        <charset val="134"/>
      </rPr>
      <t>（见怪物图鉴），为你的事业而战。如果你希望为这些士兵配备骑用马</t>
    </r>
    <r>
      <rPr>
        <sz val="11"/>
        <color theme="1"/>
        <rFont val="Times New Roman"/>
        <charset val="134"/>
      </rPr>
      <t xml:space="preserve"> Riding Horse</t>
    </r>
    <r>
      <rPr>
        <sz val="11"/>
        <color theme="1"/>
        <rFont val="宋体"/>
        <charset val="134"/>
      </rPr>
      <t>（见怪物图鉴），那么每位副官只能召集</t>
    </r>
    <r>
      <rPr>
        <sz val="11"/>
        <color theme="1"/>
        <rFont val="Times New Roman"/>
        <charset val="134"/>
      </rPr>
      <t xml:space="preserve"> 20 </t>
    </r>
    <r>
      <rPr>
        <sz val="11"/>
        <color theme="1"/>
        <rFont val="宋体"/>
        <charset val="134"/>
      </rPr>
      <t>名这样的骑兵。你每天需要为军队内的每位士兵与每只马匹花费</t>
    </r>
    <r>
      <rPr>
        <sz val="11"/>
        <color theme="1"/>
        <rFont val="Times New Roman"/>
        <charset val="134"/>
      </rPr>
      <t xml:space="preserve"> 1 GP </t>
    </r>
    <r>
      <rPr>
        <sz val="11"/>
        <color theme="1"/>
        <rFont val="宋体"/>
        <charset val="134"/>
      </rPr>
      <t>以满足他们的粮草供应。军队在任何时候都必须由你本人或至少一位你的副官领导着，没有领导者的军队会立即解散。在</t>
    </r>
    <r>
      <rPr>
        <sz val="11"/>
        <color theme="1"/>
        <rFont val="Times New Roman"/>
        <charset val="134"/>
      </rPr>
      <t>1</t>
    </r>
    <r>
      <rPr>
        <sz val="11"/>
        <color theme="1"/>
        <rFont val="宋体"/>
        <charset val="134"/>
      </rPr>
      <t>天时间里没有获得粮草供应的军队也会立即解散。如果上述情况没有发生，军队将维持至他们被击溃，或者维持至你命令他们解散。在你当前拥有的军队被击溃或解散之前，你不能招募新的军队。</t>
    </r>
  </si>
  <si>
    <t>轻甲运用</t>
  </si>
  <si>
    <t xml:space="preserve">通用专长（先决：等级4+）
属性值提升Ability Score Increase。你的力量或敏捷提升1点，至多提升至20。
护甲受训Armor Training。你获得轻甲和盾牌受训。  </t>
  </si>
  <si>
    <t>巫师杀手</t>
  </si>
  <si>
    <t>通用专长（先决：等级4+）
属性值提升Ability Score Increase。你的力量或敏捷提升1，至多提升至20。
专注中断手Concentration Breaker。当你对一名正处于专注中的生物造成伤害时，该生物为维持本次专注所做的豁免检定时具有劣势。
审慎护心Guarded Mind。当你的智力、感知或魅力豁免失败时，你可以将其改为成功。此增益一经使用，直到你完成一次短休/长休前它都无法再次使用。</t>
  </si>
  <si>
    <t>军用武器训练</t>
  </si>
  <si>
    <t>通用专长（先决：等级4+）
属性值提升Ability Score Increase。你的力量或敏捷提升1，至多提升至20。
武器熟练Weapon Proficiency。你获得军用武器熟练。</t>
  </si>
  <si>
    <t>中甲大师</t>
  </si>
  <si>
    <t>通用专长（先决：等级4+，中甲受训）
属性值提升Ability Score Increase。你的力量或敏捷提升1，至多提升至20。
灵敏着装Dexterous Wearer。穿着中甲期间，若你的敏捷在16或更高，你可以在AC中加入3点敏捷调整值，而非原本的2点。</t>
  </si>
  <si>
    <t>中甲运用</t>
  </si>
  <si>
    <t>通用专长（先决：等级4+，轻甲受训）
属性值提升Ability Score Increase。你的力量或敏捷提升1，至多提升至20。
护甲受训Armor Training。你获得中甲受训。</t>
  </si>
  <si>
    <t>骑乘战斗</t>
  </si>
  <si>
    <t>通用专长（先决：等级4+）
属性值提升Ability Score Increase。你的力量、敏捷或感知提升1，至多提升至20。
骑乘突击Mounted Strike。骑乘期间，你对位于你坐骑5尺内的、体型比你坐骑至少小一级的、且未被骑乘的生物所进行的攻击检定具有优势。
侧跃躲闪Leap Aside。当你的坐骑受某效应影响而需要进行敏捷豁免时，如果此次豁免成功只受到一半伤害，那么它豁免成功时不受伤害，豁免失败只承受一半伤害。为享受此增益，你必须骑乘着你的坐骑，且你与坐骑均不能处于失能状态。
我身作盾Veer。当你骑乘时，只要你不处于失能状态，你就可以强制让命中了你的坐骑的攻击改为命中你自己。</t>
  </si>
  <si>
    <t>观察力</t>
  </si>
  <si>
    <t>通用专长（先决：等级4+，智力或感知13+）
属性值提升Ability Score Increase。你的智力或感知提升1，至多提升至20。
敏锐观察Keen Observer。选择以下技能之一：洞悉、调查或察觉。如果你不具有所选技能的熟练，则你获得其熟练；如果你已有熟练，则你获得其专精。
快速搜索Quick Search。你可以用附赠动作进行搜索动作。</t>
  </si>
  <si>
    <t>穿刺者</t>
  </si>
  <si>
    <t>通用专长（先决：等级4+）
属性值提升Ability Score Increase。你的力量或敏捷提升1，至多提升至20。
穿透伤Puncture。每回合一次，当你用造成穿刺伤害的攻击命中一个生物时，你可以重投这次攻击伤害的其中一枚伤害骰。但你必须采用新的掷骰结果。
强化重击Enhanced Critical。当你用造成穿刺伤害的攻击命中一个生物并且掷出重击时，你可以在计算额外的穿刺伤害时多投一个伤害骰。</t>
  </si>
  <si>
    <t>毒师</t>
  </si>
  <si>
    <t>通用专长（先决：等级4+）
属性值提升Ability Score Increase。你的敏捷或智力提升1，至多提升至20。
强效毒素Potent Poison。你造成毒素伤害的伤害掷骰无视对方的毒素伤害抗性。
酿毒Brew Poison。你获得毒药工具的熟练项。你可以花费一小时的时间与价值50GP的材料，来使用毒药工具制造一定数量的毒药，其剂数等同于你的熟练加值。你能够以一个附赠动作为一把武器或一枚弹药涂上一剂毒药。涂用后，此种毒药的毒性能维持一分钟。
当一个生物受到来自此种涂毒物品的伤害时将消耗涂抹毒素的毒性，迫使该生物进行一次体质豁免（DC等于8+你以本专长提升的属性的调整值+你的熟练加值），若生物豁免失败将受到2d8点毒素伤害并陷入中毒状态，持续至你的下回合结束。</t>
  </si>
  <si>
    <t>长柄武器大师</t>
  </si>
  <si>
    <t>通用专长（先决：等级4+，力量或敏捷13+）
属性值提升Ability Score Increase。你的敏捷或力量提升1，至多提升至20。
长柄打击Pole Strike。使用一根长棍、一把矛或一把同时有重型词条与触及词条的武器执行攻击动作之后，你可以立刻用附赠动作，使用武器的另一端发动一次近战攻击。在这次攻击中，该武器的伤害骰改为d4，其伤害类型改为钝击伤害。
应激打击Reactive Strike。当你持握一根长棍、一把矛或一把同时具有重型词条与触及词条的武器时，生物进入你触及范围时，你可以用反应对该生物发动一次近战攻击。</t>
  </si>
  <si>
    <t>强健身心</t>
  </si>
  <si>
    <t>通用专长（先决：等级4+）
属性值提升Ability Score Increase。选择你不具有其豁免熟练的一项属性，该属性提升1，至多提升至20。
豁免熟练Saving Throw Proficiency。你获得所选属性的豁免熟练。</t>
  </si>
  <si>
    <t>仪式施法者</t>
  </si>
  <si>
    <t>通用专长（先决：等级4+，智力、感知或魅力13+）
属性值提升Ability Score Increase。你的智力、感知或魅力提升1，至多提升至20。
仪式魔法Ritual Spells。你选择数道具有仪式标签的一环法术，其具体数量等于你的熟练加值。你始终准备着这几道法术，并可以用你拥有的任何法术位去施展它们。施展它们的施法属性为你用此专长提升的属性。此后，每当你的熟练加值提升时，你可以通过这个特性多获得一道始终准备的、带有仪式标签的一环法术。
快速仪式Quick Ritual。你可以用通常的施法时间来施展一道仪式法术，而不需要仪式的延长施法时间。这么做不会花费你的法术位。一旦你通过这种方式施展了一道法术，直到完成一次长休前你都不能再使用这个增益。</t>
  </si>
  <si>
    <t>哨兵</t>
  </si>
  <si>
    <t>通用专长（先决：等级4+，力量或敏捷13+）
属性值提升Ability Score Increase。你的力量或敏捷提升1，至多提升至20。
守护者Guardian。当位于你5尺范围内的生物执行撤离动作后，或当它的攻击命中了除你以外的目标后，你可以立刻对该生物进行一次借机攻击。
阻拦Halt。你的借机攻击命中一名生物时，该生物的速度在当前回合剩余时间内变为0。</t>
  </si>
  <si>
    <t>影界触碰</t>
  </si>
  <si>
    <t xml:space="preserve">通用专长（先决：等级4+）
暴露于堕影冥界Shadowfell的魔法给予你以下增益：
属性值提升Ability Score Increase。你的智力、感知或魅力提升1，至多提升至20。
暗影魔法Shadow Magic。你从幻术或死灵学派中选择一道一环法术，并始终准备了隐形术Invisibility和所选法术。你可以在不消耗法术位的情况下施展这些法术各一次，而当你以此法施展某道法术后，完成一次长休前你都不能再次以此法施展该法术。你也可以消耗合适的法术位来施展这些法术。
这些法术的施法属性是你由此专长提升的属性。  </t>
  </si>
  <si>
    <t>神射手</t>
  </si>
  <si>
    <t>通用专长（先决：等级4+，敏捷13+）
属性值提升Ability Score Increase。你的敏捷提升1，至多提升至20。
绕过掩体Bypass Cover。你使用武器发动的远程攻击无视半身掩护和四分之三掩护。
抵近射击Firing in Melee。位于一个敌人5尺范围内的情况下，你使用远程武器发动的攻击检定不会因此具有劣势。
百步穿杨Long Shots。使用远程武器攻击超出常规射程的目标时，你的攻击检定不会因此具有劣势。</t>
  </si>
  <si>
    <t>盾牌大师</t>
  </si>
  <si>
    <t>通用专长（先决：等级4+，盾牌受训）
属性值提升Ability Score Increase。你的力量提升1，至多提升至20。
盾击Shield Bash。当你通过攻击动作中的，由近战武器发动的一次攻击命中了位于你5尺内的生物时，如果你装备着盾牌，你就可以立即使用它来击打目标，迫使目标进行一次力量豁免检定（DC等于8+你的力量调整值+你的熟练加值）。如果豁免失败，目标将被你推离5尺远或因此陷入倒地状态（由你选择）。在每个你的回合中，此增益只能被使用一次。（注：PHB的所有专长中，只有这一条增益要求“装备着盾牌”，其余均为“持握着盾牌”）
介入盾牌Interpose Shield。当你受某效应影响而需要进行敏捷豁免来“只受一半伤害”时，若你豁免检定成功并正持握着一面盾牌，你就可以用反应来使你自己免受此次伤害。</t>
  </si>
  <si>
    <t>技艺专家</t>
  </si>
  <si>
    <t>通用专长（先决：等级4+）
属性值提升Ability Score Increase。你选择的一项属性提升1，至多提升至20。
技能熟练Skill Proficiency。你自选一个技能并获得其熟练。
专精Expertise。你选择一个拥有其熟练但不具备相应专精的技能，并获得其专精。</t>
  </si>
  <si>
    <t>隐伏者</t>
  </si>
  <si>
    <t>通用专长（先决：等级4+，敏捷13+）
属性值提升Ability Score Increase。你的敏捷提升1，至多提升至20。
盲视Blindsight。你获得10尺距离的盲视。
战争迷雾Fog of War。你善于利用战斗中的混乱。你在战斗中通过执行躲藏动作时所做的任何敏捷（隐匿）检定都具有优势。
狙击手Sniper。如果你在躲藏中进行了攻击检定，但该次攻击未命中时，这次攻击将不会暴露你的位置。</t>
  </si>
  <si>
    <t>劈砍者</t>
  </si>
  <si>
    <t>通用专长（先决：等级4+）
属性值提升Ability Score Increase。你的力量或敏捷提升1，至多提升至20。
伤筋Hamstring。每回合一次，当你用造成挥砍伤害的攻击命中一个生物时，你可以使其速度降低10尺，持续至你的下回合开始。
强化重击Enhanced Critical。当你掷出重击并对一个生物造成挥砍伤害时，该生物进行的所有攻击检定都将具有劣势，持续至你的下回合开始为止。</t>
  </si>
  <si>
    <t>飙速跑者</t>
  </si>
  <si>
    <t>通用专长（先决：等级4+，敏捷或体质13+）
属性值提升Ability Score Increase。你的敏捷或体质提升1，至多提升至20。
速度提升Speed Increase。你的速度提升10尺。
险地疾行Dash Over Difficult Terrain。当你在自己的回合执行疾走动作时，在这个回合余下的时间里，困难地形不再会额外消耗你的移动力。
灵活移动Agile Movement。对你发动的借机攻击都具有劣势。</t>
  </si>
  <si>
    <t>法术射手</t>
  </si>
  <si>
    <t xml:space="preserve">通用专长（先决：等级4+，施法或契约魔法特性）
属性值提升Ability Score Increase。你的智力、感知或魅力提升1，至多提升至20。
绕过掩体Bypass Cover。你为法术进行的攻击检定无视半身掩护和四分之三掩护。
抵近施法Casting in Melee。位于一个敌人5尺范围内的情况下，你用法术进行的攻击检定不会因此具有劣势。
法术增距Increased Range。当你施展一道具有至少10尺施法距离，且需要你进行一次攻击检定的法术时，这道法术的施法距离增加60尺。  </t>
  </si>
  <si>
    <t>念动力</t>
  </si>
  <si>
    <t>通用专长（先决：等级4+）
属性值提升Ability Score Increase。你的智力、感知或魅力提升1，至多提升至20。
次级心灵遥控Minor Telekinesis。你习得法术法师之手Mage Hand。你施展这道戏法时，你无需言语成分与姿势成分，可以让这只灵体手隐形，还可以令它的施法距离（以及其因远离你消失时的距离）提升30尺。该法术的施法属性是你用此专长提升的属性。
念力推撞Telekinetic Shove。以一个附赠动作，你可以尝试以念动力推撞一个位于你30尺内的你可见的生物。当你这样做时，目标必须通过一次力量豁免（DC等于8+你用此专长提升的属性的调整值+你的熟练加值）否则将被你拉近或推离5尺。</t>
  </si>
  <si>
    <t>通用专长（先决：等级4+）
属性值提升Ability Score Increase。你的智力、感知或魅力提升1，至多提升至20。
传心呢喃Telepathic Utterance。你可以和位于你60尺内任何你可见的生物用心灵感应进行交流。你的传心呢喃以一种你已知的语言进行，且该生物必须懂得这门语言才能理解你。你的主动沟通并不会给予该生物以心灵感应的形式回复你的能力。
侦测思想Detect Thoughts。你始终准备着侦测思想Detect Thought法术。你可以无需法术位和法术成分地施展它。以此法施法后，你在完成一次长休前不能再这样做。该法术的施法属性是你由此专长提升的属性。你也可以消耗合适的法术位来施展这些法术。这些法术的施法属性是你由此专长提升的属性。</t>
  </si>
  <si>
    <t>战地施法者</t>
  </si>
  <si>
    <t>通用专长（先决：等级4+，施法或契约魔法特性）
属性值提升Ability Score Increase。你的智力、感知或魅力提升1，至多提升至20
专注Concentration。你为维持专注的所做的体质豁免具有优势。
响应法术Reactive Spell。当一个生物因离开你的触及范围而引起你的借机攻击时，你能使用你的反应来对这个生物施展一道法术，而非发动一次借机攻击。这道法术的施法时间必须为一动作，且必须将该生物选为法术的唯一目标。
姿势成分Somatic Components。即使你的一只手或双手上都有武器/盾牌，你也能满足法术的姿势成分要求。</t>
  </si>
  <si>
    <t>武器大师</t>
  </si>
  <si>
    <t>通用专长（先决：等级4+）
属性值提升Ability Score Increase。你的力量或敏捷提升1，至多提升至20。
精通词条Mastery Property。你对武器的训练让你能够使用你自选的一种简单或军用武器的精通词条，前提是你熟练于该种武器。每当你完成一次长休，你能将所选的武器种类替换为你熟练的另一种武器。</t>
  </si>
  <si>
    <t>你已习得些许奇械师的创造力。
· 你从奇械师法术列表中选择并习得一个戏法。此外，你从该法术列表中选择并习得一个一环法术。智力是你施展这些法术的施法属性。
· 你可以在不消耗法术位的情况下施展一次来自此专长的一环法术。你必须在完成一次长休后才能再次这样做。你也可以正常消耗法术位来施展该法术。
· 你获得你所选的一项工匠工具熟练，并且你可以将该工具作为施展任何以智力为施法属性的法术的法器。</t>
  </si>
  <si>
    <t>先决条件：施法或契约魔法特性
对神秘学的研究使你从魔契师职业中习得了一项你自选的魔能祈唤。本专长获取的魔能祈唤中使用的施法属性为你的智力、感知、或魅力（在你选择这个专长时选择它）。如果该祈唤具有任何先决条件，则仅当你是一位满足该条件的魔契师时才能选择该祈唤。
当你升级时，你可以将该祈唤更换为魔契师职业中的另一个魔能祈唤（关键属性不变）。</t>
  </si>
  <si>
    <t>先决条件：熟练于一种军用武器
你的军事训练帮助你养成了一种特定的战术风格。因此，你可以从战士职业中选择并习得一项战斗风格。如果你已经有一项战斗风格，你不能选择相同的战斗风格。
每当你升级并达到获得属性值提升特性的等级时，你可以来自此专长的战斗风格替换为战士职业中的另一项你未习得的战斗风格。</t>
  </si>
  <si>
    <t>你持枪时的手快眼明使你获得了以下增益：
· 你的敏捷提升1，上限为20。
· 你获得枪械的熟练（见城主指南的“枪械”栏目）。
· 你忽略枪械的装填词条。
· 你在敌对生物5尺内进行远程攻击检定时，不会因此而具有劣势。</t>
  </si>
  <si>
    <t>先决条件：施法或契约魔法特性
你习得如何往你的法术上施加你的意志，从而改变它们的功能。
· 你从术士职业中选择并习得两项超魔法选项。除非特别说明，否则一个法术施展时只能应用一种超魔法项。当你升级并达到获得属性值提升特性的等级时，你可以将其中一项超魔法选项替换为术士职业中的另一项超魔法选项。
· 你获得2点术法点，用于施展超魔法（这些术法点和任何其他来源的术法点叠加，但只能用于超魔法）。你在完成长休后重获所有已消耗的术法点。</t>
  </si>
  <si>
    <t>传奇恩惠专长（先决：等级19+）
属性值提升Ability Score Increase。你选择的一项属性提升1，至多提升至30。
无双锁定Peerless Aim。当你的一次攻击检定失手时，你可以将其改为命中。该增益一经使用，下个你的回合开始后你才能再次使用它。</t>
  </si>
  <si>
    <t>传奇恩惠专长（先决：等级19+）
属性值提升Ability Score Increase。你选择的一项属性提升1，至多提升至30。
闪烁步Blink Steps。当你执行攻击动作或魔法动作后，你可以立即传送至多30尺的距离到一处你可见的未占据空间内。</t>
  </si>
  <si>
    <t>传奇恩惠专长（先决：等级19+）
属性值提升Ability Score Increase。你选择的一项属性提升1，至多提升至30。
能量抗性Energy Resistances。从下列伤害类型中选择两种：强酸、寒冷、火焰、闪电、暗蚀、毒素、心灵、光耀或雷鸣。你获得所选伤害类型的抗性。每当你完成长休时，你都可以改变此处选择的伤害类型。
能量重导Energy Redirection。当你受到伤害时，若该伤害的伤害类型是你能量抗性增益中所选类型之一，你能够以反应来将一次相同类型的伤害传导给你60尺内的、可见的另一名生物（不能是对你而言处于全身掩护下的生物）。若你如此做，该生物必须通过一次敏捷豁免（DC等于8+你的体质调整值+你的熟练加值），否则其受到2d12+你的体质调整值伤害。</t>
  </si>
  <si>
    <t>传奇恩惠专长（先决：等级19+）
属性值提升Ability Score Increase。你选择的一项属性提升1，至多提升至30。
时来运转Improve Fate。当你或位于你60尺内的另一名生物的D20检定中成功时或失败时，你可以投掷2d4，并将掷骰结果作为加值或减值附加到d20掷骰中。该增益一经使用，直至你投掷先攻、完成短休或完成长休你都无法再次使用。</t>
  </si>
  <si>
    <t>传奇恩惠专长（先决：等级19+）
属性值提升Ability Score Increase。你选择的一项属性提升1，至多提升至30。
身强体壮Fortified Health。你的生命值上限增加40。此外，每当你恢复生命值时，你可以恢复等于你体质调整值的额外生命值。以此恢复了额外生命值后，直至下个你的回合开始后你才能再次受益于此效果。</t>
  </si>
  <si>
    <t>传奇恩惠专长（先决：等级19+）
属性值提升Ability Score Increase。你的力量或敏捷提升1，至多提升至30。
摧坚破甲Overcome Defenses。你造成的钝击、挥砍与穿刺伤害始终无视抗性。
无阻打击Overwhelming Strike。当你为一次攻击检定投掷的d20骰出了20时，你可以对目标造成额外伤害，你造成的额外伤害等于你以此专长提升的属性的属性值，伤害类型与这次攻击的伤害类型相同。</t>
  </si>
  <si>
    <t>传奇恩惠专长（先决：等级19+）
属性值提升Ability Score Increase。你选择的一项属性提升1，至多提升至30。
背水一战Last Stand。当你的生命值将要降至0时，你可以改为降至1并恢复等于你生命值上限一半的生命值。该增益一经使用，直到完成长休你都无法再次被使用。
重获生机Recover Vitality。你获得一个有着十枚d10的治疗池。以一个附赠动作，你可以消耗治疗池中任意枚骰子来恢复你的生命值。投掷全部你消耗的骰子，将掷骰结果相加，即是你以此恢复的生命值。当你完成长休时，你的治疗池重获所有被消耗的骰子。</t>
  </si>
  <si>
    <t>传奇恩惠专长（先决：等级19+）
属性值提升Ability Score Increase。你选择的一项属性提升1，至多提升至30。
全能专家All-Around Adept。你获得所有技能的熟练。
专精Expertise。选择一项你不具有专精的技能，你获得该技能的专精。</t>
  </si>
  <si>
    <t>传奇恩惠专长（先决：等级19+）
属性值提升Ability Score Increase。你选择的一项属性提升1，至多提升至30。
逃脱大师Escape Artist。你能够以一个附赠动作执行撤离动作，并结束你陷入的受擒状态。
风驰电掣Quickness。你的速度增加30尺。</t>
  </si>
  <si>
    <t>传奇恩惠专长（先决：等级19+）
属性值提升Ability Score Increase。你的智力、感知或魅力提升1，至多提升至30。
免费施法Free Casting。每当你使用一环到四环的法术位施展法术时，投掷1d4。若掷骰结果与你消耗的法术位环阶一致，则该法术位不会被消耗。</t>
  </si>
  <si>
    <t>传奇恩惠专长（先决：等级19+）
属性值提升Ability Score Increase。你选择的一项属性提升1，至多提升至30。
融身入影Merge with Shadows。身处微光光照或黑暗期间，你可以用附赠动作令你获得隐形状态。隐形状态将在你执行动作/附赠动作/反应后立即结束。
幽影化身Shadowy Form。身处微光光照或黑暗期间，你具有除心灵和光耀伤害外所有伤害的抗性。</t>
  </si>
  <si>
    <t>传奇恩惠专长（先决：等级19+）
属性值提升Ability Score Increase。你选择的一项属性提升1，至多提升至30。
真实视觉Truesight。你具有60尺真实视觉。</t>
  </si>
  <si>
    <t xml:space="preserve">你研习了一些魔法理论，学会了些许斯翠海文大学的法术。
选择一个斯翠海文学院：衡鉴，粹丽，量析，银毫，靡华。根据你所选择的学院，你习得两个戏法和一个1环法术，如斯翠海文法术表所示。
你能够不使用法术位施展所选择的1环法术，当你这样做后，必须完成一次长休后才能再次用这种方式释放。你也能使用你拥有的任意法术位来释放该法术。
你释放该专长的法术的施法属性为智力，感知或魅力（当你选择该专长的时候决定）。
斯翠海文法术学院 戏法（从...中选择两个） 1环法术（选择一个） 
衡鉴 光亮术light 圣火术sacred flame  奇术thaumaturgy  从牧师或法师法术中选择。 
粹丽 火焰箭fire bolt  魔法伎俩prestidigitation 冷冻射线ray of frost  从吟游诗人或术士法术中选择。 
量析 德鲁伊伎俩druidcraft 神导术guidance 法师之手mage hand  从德鲁伊或法师法术中选择。 
银毫 圣火术sacred flame  奇术thaumaturgy 恶言相加vicious mockery  从吟游诗人或牧师法术中选择。 
靡华 颤栗之触chill touch  德鲁伊伎俩druidcraft 维生术spare the dying  从德鲁伊或法师法术中选择。 </t>
  </si>
  <si>
    <t>先决条件：等级4+，斯翠海文学徒专长
你习得了如何 召唤斯翠海文苑像来协助你，这让你获得以下的好处：
· 你获得以仪式施法的方式施展法术 寻获魔宠find familiar 的能力。你魔宠的形态能够选择与你斯翠海文学徒专长所关联的学院的苑像：魂灵塑偶苑像spirit statue mascot（衡鉴），艺元素苑像art elemental mascot（粹丽），分灵苑像fractal mascot（量析），墨灵苑像inkling mascot（银毫），害虫苑像pest mascot（靡华）。这些生物的数据卡在第七章。
· 当你在你的回合里进行攻击动作时，你能放弃一次攻击来让你的苑像魔宠使用其反应来进行一次攻击。
· 如果你的苑像魔宠与你相距60尺内，你能使用一个动作来进行传送，与你的魔宠交换位置。如果你的目的地过于狭窄以至于你不能占据那处空间的话，传送会失败并浪费掉。一旦你使用了这种传送，你需要完成一次长休之后才能再次使用，你也可以使用一个2环或更高的法术来使用该传送。</t>
  </si>
  <si>
    <t xml:space="preserve">你掌握了一些色彩龙的力量，你获得以下好处：
繁彩注魔Chromatic Infusion。以一个附赠动作，你可以触碰一把简易武器或军用武器，向它注入以下能量之一：强酸，寒冷，火焰，闪电或毒素。在之后一分钟内，该武器在命中时额外造成1d4你所选伤害类型的伤害。使用此特性后，你在完成一次长休前不能再次使用。
反应抗性Reactive Resistance。当你受到强酸，寒冷，火焰，闪电或毒素伤害时，你可以使用你的反应，使自己在当此伤害中获得对应伤害类型的抗性。你可以使用该特性等同于你熟练加值的次数，你在完成一次长休后重获所有已使用的次数。
</t>
  </si>
  <si>
    <t>你掌握了一些宝石龙的力量，你获得以下好处：
属性值提升Ability Score Increase。你的智力、感知、或魅力提升1，上限20。
念力报复Telekinetic Reprisal.。当你受到来自距离你10尺内的生物的伤害时，你可以用你的反应来驱使念动力。对你造成伤害的生物必须成功通过一次力量豁免（DC为8+你的熟练加值+你用此专长提升的属性的属性调整值），否则受到2d8力场伤害并被推离至多10尺。你可以使用此反应等同于你熟练加值的次数，你在完成一次长休后重获所有已使用的次数。</t>
  </si>
  <si>
    <t>你掌握了一些金属龙的力量，你获得以下好处：
龙类治疗Draconic Healing。你习得疗伤术法术。你可以施展一次该法术而无需消耗法术位。当你以此法施展该法术后，你不能再这样做，直至你完成一次长休。你也可以使用你拥有的法术位来施展该法术。该法术的施法属性是智力，感知或魅力（你在获得此专长时进行选择）。
庇护之翼Protective Wings。你可以现出庇护之翼，保护你或者其他人免受攻击。在你或5尺内你可见的其他生物被一次攻击命中时，你可以使用你的反应来在你背后暂时显现出虚幻的翅膀。你使目标对抗该次攻击的AC获得加值，数值等同于你的熟练加值，此举可能导致该攻击丢失。你可以使用此反应等同于你熟练加值的次数，你在完成一次长休后重获所有已使用的次数。</t>
  </si>
  <si>
    <t xml:space="preserve">先决条件: 施法特性或 符文雕刻者Rune Carver 背景 
你已习得了巨人符文之魔法，这为你带来了如下增益：
通晓语言Comprehend Languages。 你习得法术 通晓语言comprehend languages 。你可以无需法术位的施展这个法术一次，之后你必须完成一次长休才能再次以此施展它。你同样可以用任何你拥有的法术位去施展这个法术。
符文魔法Rune Magic。 你知晓了一定数量的符文，其数量等同于你的熟练加值的一半（向下取整），从下述的符文法术表中选择它。每当你完成长休时，你都可以将每一个你知晓的符文刻印在非魔法的武器、护甲、一套衣物、或别的什么你触碰的物件。你临时习得与刻印下的符文相关联的那些1环法术（如符文法术表所展示的那样），以此习得的这些法术会伴随着刻印的符文一起，在你完成下一次长休时消失。你可以用任何你拥有的法术位去施展符文给予的这些法术。
此外，当你携带或着装刻印符文的物品，你还可以不消耗法术位，无需材料成分的施展与符文相关联的法术一次。当你以此施展了任何一个法术后，直到你完成一次长休为止你都不能再次使用这一项能力。此专长的施法属性为智力、感知、或魅力（选择此专长时选择它）。
每当你等级提升时，你都可以从符文法术表中选择一个不同的符文来替换一个你已知的符文。
符文法术 Rune Spell 符文 法术  
云雾Cloud 云雾术Fog cloud 
死亡Death 致伤术Inflict wounds 
飞龙Dragon 繁彩球Chromatic orb 
仇敌Enemy 易容术Disguise self 
火焰Fire 燃烧之手Burning hands 
友谊Friend 动物交谈Speak with animals 
寒霜Frost 黯冰狱铠Armor of Agathys 
山丘Hill 神莓术Goodberry 
旅途Journey 大步奔行Longstrider 
君王King 命令术Command 
山脉Mountain 纠缠术Entangle 
岩石Stone 庇护术Sanctuary  
风暴Storm 雷鸣波Thunderwave  
</t>
  </si>
  <si>
    <t>先决条件: 军用武器熟练或 巨人养子Giant Founding 背景 
你吸收了回荡在你体内巨人之力的原初魔法。当你选择此专长时，选择下列列出的增益之一。每回合一次，当你用近战武器攻击、或投掷武器的远程武器攻击击中一个目标时，你可以为攻击注入一种额外效应，其具体内容取决于你选择的增益类型：
云雾打击Cloud Strike。 目标受到额外1d4点雷鸣伤害。若目标是生物，则其必须通过一次感知豁免，否则直至你下一回合开始，你对其而言视为 隐形Invisible 状态。你发动攻击或是施展法术后，这一效应也会立刻结束。
火焰打击Fire Strike。目标受到额外1d10点火焰伤害。
寒霜打击Frost Strike。 目标受到额外1d6点寒冷伤害。若目标是生物，则其必须通过一次体质豁免，否则直至你下一回合开始其速度归零。
山丘打击Hill Strike。 目标受到额外1d6点与武器同类型的伤害。若目标是生物，则其必须通过一次力量豁免，否则将陷入 倒地Prone。
岩石打击Stone Strike。 目标受到额外1d6点力场伤害。若目标是生物，则其必须通过一次力量豁免，否则被你沿直线击退10尺。
风暴打击Storm Strike。 目标受到额外1d6点闪电伤害。若目标是生物，则其必须通过一次体质豁免，否则直至你下一回合开始，其发动的攻击检定都将具有劣势。
这些效果豁免检定的DC为8+你的熟练加值+你的力量或体质调整值。
你可使用此专长的次数等同于你的熟练加值次，在完成一次长休后你恢复所有已消耗的使用次数。</t>
  </si>
  <si>
    <t>先决条件: 等级4+，巨人打击（火焰打击）专长 
你展现出象征着火巨人的炽烈战斗方式，使得你获得下列增益：
属性值提升Ability Score Increase。 你的力量、体质、或感知属性提升1，上限为20。
生于烈焰Born of Flame。 你获得火焰伤害的抗性。
炽热灼烧Searing Ignition。 当你在你的回合中执行攻击动作时，你可以将其中一次攻击替换为喷射出一阵魔法烈焰。以你为中心，15尺半径球状内所有由你选择的可见生物都必须进行一次敏捷豁免（DC为8+你的熟练加值+本专长提升属性的调整值）。豁免失败时，生物将受到 1d8+你的熟练加值 点火焰伤害，并陷入 目盲Blinded 状态，直至你下一个回合开始。豁免成功时只受一半伤害。你可使用炽热灼烧的次数等同于你的熟练加值次，在完成一次长休后你恢复所有已消耗的使用次数。</t>
  </si>
  <si>
    <t>先决条件: 等级4+，巨人打击（寒霜打击）专长 
你展现出象征着霜巨人的冰冷力量，使得你获得下列增益：
属性值提升Ability Score Increase。 你的力量、体质、或感知属性提升1，上限为20。
生于冰霜Born of Ice。 你获得寒冷伤害的抗性。
霜寒回击Frigid Retaliation。 当一个30尺内你可见的生物以攻击检定命中你，并对你造成伤害后，你可以立即用你的反应来唤出碎裂的寒冰来予以还击。那个生物必须进行一次体质豁免（DC为8+你的熟练加值+本专长提升属性的调整值）。豁免失败时，该生物将受到 1d8+你的熟练加值 点寒冷伤害，并速度减半，直至其下一个回合结束。你可以使用这一反应的次数等同于你的熟练加值次，在完成一次长休后你恢复所有已消耗的使用次数。</t>
  </si>
  <si>
    <t>先决条件: 等级4+，巨人打击（云雾打击）专长 
你展现出象征着云巨人的轻浮言语以及魔法，使得你获得下列增益：
属性值提升Ability Score Increase。 你的敏捷、体质、或魅力属性提升1，上限为20。
迷云逃逸Cloudy Escape。 当一个你可见的生物以攻击检定命中你时，你可以使用你的反应来获得此次攻击伤害的抗性。然后你可以传送至30尺范围内的一处你可见的、未被占据的空间。你可以使用这一反应的次数等同于你的熟练加值次，在完成一次长休后你恢复所有已消耗的使用次数。</t>
  </si>
  <si>
    <t>先决条件: 等级4+，巨人打击（岩石打击）专长 
你展现出象征着石巨人的肉体天赋，使得你获得下列增益：
属性值提升Ability Score Increase。 你的力量、体质、或感知属性提升1，上限为20。
洞穴视觉Cavernous Sight。 你获得60尺黑暗视觉。若你已经从其他来源处获得了黑暗视觉，其距离增加60尺。
投掷石块Stone Throw。 以一个附赠动作，你可以触碰一块石头并用其发动一次魔法性的攻击。此次攻击是一次远程法术攻击，具有60尺的射程，使用你以此专长提升的属性作为施法属性。命中时，石头造成1d10点力场伤害，若目标是生物，则其必须通过一次力量豁免（DC为8+你的熟练加值+本专长提升属性的调整值），否则将陷入 倒地Prone 状态。你可以使用这一附赠动作的次数等同于你的熟练加值次，在完成一次长休后你恢复所有已消耗的使用次数。</t>
  </si>
  <si>
    <t>先决条件: 等级4+，巨人打击（风暴打击）专长 
你展现出象征着风暴巨人的预言能力和风暴魔法，使得你获得下列增益：
属性值提升Ability Score Increase。 你的智力、感知、或魅力属性提升1，上限为20。
旋涡灵光Maelstrom Aura。 以一个附赠动作，你将自己笼罩在魔法性的狂风与雷电灵光之中，灵光以你为中心，向任意方向延展10尺（无法穿过全掩护）。灵光持续到你的下一个回合开始，若你陷入 失能Incapacitated 它会提前结束。灵光激活期间，你获得闪电伤害与雷鸣伤害的抗性。此外，任何以你为目标的攻击检定都将具有劣势，且每当一个生物在灵光下开始其回合，你都可以迫使其进行一次力量豁免（DC为8+你的熟练加值+本专长提升属性的调整值）。豁免失败时，该生物的速度将被减半直至它们的下一回合开始。你可以使用这一附赠动作的次数等同于你的熟练加值次，在完成一次长休后你恢复所有已消耗的使用次数。</t>
  </si>
  <si>
    <t>先决条件: 等级4+，巨人打击（山丘打击）专长 
你展现出象征着山丘巨人的强韧性，使得你获得下列增益：
属性值提升Ability Score Increase。 你的力量、体质、或感知属性提升1，上限为20。
不动如山Bulwark。当你受到一次让你移动至少5尺、或给予你 倒地Prone 状态的效应时，你可以用你的反应来稳定自身，此时，你既不会被因此移动，也不会因此陷入 倒地Prone 。
钢铁肠胃Iron Stomach。 当你在短休时进食，并且使用了一粒或更多生命骰恢复生命时，你额外恢复等同于你的 体质调整值+你的熟练加值 点的生命值。</t>
  </si>
  <si>
    <t>先决条件：等级4+，施法特性
你学会了通过一副牌组来引导你的魔法，你可以用一副牌组作为你的法器，并获得下列增益：
卡牌诈术Card Tricks。你习得戏法魔法伎俩Prestidigitation，并可以用其创造幻象来复制舞台魔术的效果。当你以此法使用魔法伎俩时，你可以隐藏此法术的言语和姿势成分 
隐藏王牌Hidden Ace。当你完成一次长休时，你可以从你的职业法术列表中选择一个法术，并将其注入一张卡牌之中，被选择的法术施法时间必须为1动作，并必须是你拥有法术位的环阶。卡牌将被魔法侵染8小时，期间，你可以以你的附赠动作展示出卡牌并且施展其内的法术。之后卡牌立刻失去魔力。
（译注：隐藏王牌效果没有明确说明是否需要法术位以及何</t>
  </si>
  <si>
    <t>先决条件：没有龙纹
你显现出异种龙纹。请设定它的外观和它造成的缺陷。你获得以下增益：
体质属性增加1，上限20。 
你从术士法术列表中习得一个戏法。然后，从术士法术列表中选择一个1环法术。你习得该法术，并能通过龙纹施展它。当你施展过一次此法术后，必须经过一次短休或长休才能再次通过龙纹施展。对你而言，这些法术的施法属性是体质。 
当你通过龙纹施展一环法术时，你能消耗一个生命骰并掷骰。如果掷骰结果是偶数，你将获得等同掷骰结果的临时生命值。如果掷骰结果是奇数，距离你30尺内的一个随机生物（不包括你）受到等同掷骰结果的力场伤害。如果范围内没有其他生物，则你会受到该伤害。 
你根据异种龙纹缺陷表产生一个随机缺陷。</t>
  </si>
  <si>
    <t>先决条件: 精灵
你是一个双刃弯刀大师的后代，而这种能力的一部分已经传给了你。你获得下列增益：
· 你的力量或敏捷增加1，上限为20。
· 当你双手持握双刃弯刀时，你的AC得到+1加值。
· 在使用双刃弯刀时视同具有灵巧属性。
双刃弯刀 Double-Bladed Scimitar
双刃弯刀是维伦那精灵的标志性武器。一根细木棒支撑著两端弯曲的长刃。经过几个世纪的技术打磨，这些刀刃坚固、锋利、非常轻。每一把弯刀都是一件杰作，因此双刃弯刀是一件昂贵的武器（100gp）——尽管很少有人有机会买一把。非精灵手中的维伦那之刃通常被认为是从倒下的敌人那里偷来或掠夺来的，而维伦那之刃的持有者可能会觉得自己有权要求归还或挑战持刃者，以证明自己有能力使用它。
双刃弯刀是一种军用武器，重 6 磅，攻击命中造成 2d4 挥砍伤害。 具有双手属性与以下特殊属性:
如果你在你的回合的攻击动作中使用了双刃弯刀发动攻击，你可以紧接着使用一个附赠动作来再发动一次近战攻击。此攻击命中时造成1d4挥砍伤害，而非2d4。</t>
  </si>
  <si>
    <t>你的民族有着非同寻常的好运，且你学过如何在看到同伴难堪之时将其秘密地借给他们。你也不知道你是怎么做到的。你只是想想，那就实现了，这是命运的赠礼！
如果你周围30尺内你可见的盟友在攻击检定、技能检定、或豁免检定的d20中骰出了1，你可以用反应使他重骰一次，不过盟友必须接受新的结果。
使用此能力后，直到下个你的回合结束前你无法使用你的 幸运Lucky 种族特性。
先决条件：半身人</t>
  </si>
  <si>
    <t>气愤之时，你展露威慑之力。你获得以下好处。
• 你的力量、体质、或魅力+1，上限为20。
• 你可以消耗你的吐息武器次数以发起咆哮，以取代吐息出毁灭性的能量。周围30尺内由你选择的每个生物都必须通过一次感知豁免（DC=8+你的熟练加值+你的魅力调整值）。如果生物无法听到或看到你，它将自动通过此豁免。如果豁免失败，目标将陷入对你的 恐慌frightened ，持续一分钟。如果恐慌者受到任何伤害，他可以重复这一豁免，豁免成功时在他身上的这一效应将提前结束。
先决条件：龙裔</t>
  </si>
  <si>
    <t>你显出自你龙族先祖的利爪与鳞片，你获得以下好处：
• 你的力量、体质、或魅力+1，上限为20。
• 你的鳞片变得无比坚硬。如果你没穿着任何护甲，你的AC将变为13+你的敏捷调整值。你可以在装着盾牌时仍享受此增益。
• 你的指尖长出可伸缩的利爪，伸出或缩回爪子不消耗动作。这些爪子是可以用来发动徒手打击的天生武器，如果用他们击中了目标，将造成 1d4+你的力量调整值 的挥砍伤害，而非正常徒手打击造成的钝击伤害。
先决条件：龙裔</t>
  </si>
  <si>
    <t>你学到了更多种类的黑暗精灵魔法。
• 你习得并可以随意施展法术 侦测魔法detect magic ，无需消耗法术位。同时，你习得法术 浮空术levitate 与法术 解除魔法dispel magic ，你可以不消耗法术位的施展这两个法术各一次。而你在完成一次长休后你重获以此免费施展这两个法术的使用次数。魅力是你施展这三个法术的施法属性。
先决条件：卓尔精灵</t>
  </si>
  <si>
    <t>你的血脉中流淌着矮人英雄的血液。你获得以下好处
• 你的体质+1，上限为20。
• 当你在战斗中执行 回避Dodge 动作时，你可以消耗一颗生命骰来治愈自己。投掷那枚生命骰，你恢复其骰值外加上你的体质调整值点的生命值（恢复量最低为1点）。
先决条件：矮人</t>
  </si>
  <si>
    <t>那些精灵们能力如传说般精准，尤其精灵弓箭手与精灵施法者为甚，你在依赖精确度而非蛮力的攻击检定上有着高超的精准度。你获得下列增益：
• 你的敏捷、智力、感知、或魅力+1，上限为20。
• 当你在攻击检定上具有优势，且这次攻击检定使用敏捷、智力、感知、或魅力时，你可以重骰其中一枚骰子一次。
先决条件：精灵或者半精灵</t>
  </si>
  <si>
    <t>你的族人在幻术系魔法的技巧上有着极高的天赋。你曾习得一种能在受伤时迅速隐去的魔法技巧。你获得下列增益：
• 你的智力+1，上限为20。
• 当你受到伤害之后，你可以立刻用反应魔法性的将自己化为 隐形invisible ，持续直至你的下一回合结束，如果你发动攻击、造成伤害、或迫使别人进行豁免这一效果也将提前结束。一旦你使用了这一能力，直到你完成一次短休或长休前你都不能再次使用它。
先决条件：侏儒</t>
  </si>
  <si>
    <t>你对高等精灵学识的研究已然为你解锁了一些只有极少数其他精灵才得以掌控的精类力量，当然，你的雅灵表亲除外。依靠你的精类先祖，你可以大步迈入妖精荒野以缩减你从某地到它地的道路，你获得下列增益：
• 你的智力或魅力+1，上限为20。
• 你习得如何说、读、写木族语。
• 你习得法术 迷踪步misty step ，且你可以无需消耗法术位的施展它一次。而你在完成一次短休或长休后你重获以此免费施展这个法术的使用次数。智力是你施展这个法术的施法属性。
先决条件：高等精灵</t>
  </si>
  <si>
    <t>你学会了如何召唤地狱火，让它听从你的指挥为你而用，你获得下列增益：
• 你的智力或魅力+1，上限为20。
• 当你为你施展的法术投掷火焰伤害时，你可以重骰其中任何骰值为1的火焰伤害骰，但你必须接受重骰后的结果，哪怕重骰后它依旧是1。
• 每当你施展造成火焰伤害的法术时，你都可以让火焰环绕在你身旁，持续直至你的下个回合结束。那些火焰不会伤害你或你的物品。它们将提供30尺明亮光照与那之外30尺微光光照。此火焰现形期间，任何在你周围5尺范围内，对你发动近战攻击并命中的生物将受到1d4点火焰伤害。
先决条件：提夫林</t>
  </si>
  <si>
    <t>邪魔之血令你变得无比强大，为你解锁一些邪魔拥有的强大韧性。你获得下列增益：
• 你的体质+1，上限为20。
• 你获得冷冻伤害和毒素伤害的抗性
• 你在对抗 中毒Poisoned 效应时所做的豁免具有优势。
先决条件：提夫林</t>
  </si>
  <si>
    <t>你内在的怒火在永无止境的燃烧着，你获得下列增益：
• 你的力量或体质+1，上限为20。
• 当你用简易武器或军用武器发动的攻击命中时，你可以额外掷一枚武器的伤害骰并将其作为额外伤害加入到本次攻击的伤害中，伤害类型与武器本身的伤害类型相同。一旦你使用了这一能力，直到你完成一次短休或长休前你都不能再次使用它。
• 使用 坚韧不屈Relentless Endurance 种族特性之后，你可以立即以反应进行一次武器攻击。
先决条件：半兽人</t>
  </si>
  <si>
    <t>你学习那些新鲜事物时总是有着极高的天赋，你获得下列增益：
• 你获得一项自选技能的熟练、一种自选工具的熟练，且娴熟于一种自选的语言。
• 选择一种你已具有熟练项的技能。你获得这种技能的专精，这意味着你进行的与技能相关的属性检定中你可以加入双倍的熟练加值。你选择的这个技能必须是未受益于其他的此类双倍熟练特性（例如 专精Expertise）的技能。
（校注：原文如此，确实写的不是“说、读、写”而是“娴熟fluency”）
先决条件：人类或半精灵或者半兽人</t>
  </si>
  <si>
    <t>命运在有人想要伤害你时眷顾于你，你获得下列增益：
• 你的敏捷、体质、或魅力+1，上限为20。
• 当一个你可见的生物以攻击检定命中你时，你可以使用你的反应迫使那个生物重骰之。此能力一旦被使用，直到你下次在战斗开始时骰先攻、你完成一次短休、或你完成一次长休之前都无法再次使用它。先决：半身人</t>
  </si>
  <si>
    <t>你有这在你族群中不寻常的机敏，你获得以下好处: 
• 你的力量或敏捷+1，上限为20。
• 你的步行速度提升5尺。
• 你获得运动技能或特技技能的熟练（由你选择）。
• 你为脱离擒抱所做的力量（运动）与敏捷（特技）检定具有优势。
先决条件：矮人或者小体型</t>
  </si>
  <si>
    <t>你学会由你的族人保护和尊敬的原初之木的魔法。
• 你习得一个你自选的德鲁伊戏法。同时，你习得法术 大步奔行longstrider 与法术 行动无踪pass without trace 。你可以不消耗法术位的施展这两个法术各一次。而你在完成一次长休后你重获以此免费施展这两个法术的使用次数。感知是你施展这三个法术的施法属性。
先决条件：木精灵</t>
  </si>
  <si>
    <t xml:space="preserve">先决：异度风景战役
你与某一外层位面的连接为你注入了它的能量。从下方位面注能表中的位面类型中选择一项，你的选择将为你提供某项伤害的抗性与施展某个戏法的能力，如表中所示的那般。你施展这一戏法时无需材料成分，且其施法属性为智力、感知或魅力（在选择此专长时决定）。 
位面注能Planar Infusion 位面 伤害抗性 戏法 
混乱外层位面 毒素 次级幻象Minor Illusion  
邪恶外层位面 暗蚀 颤栗之触Chill Touch  
善良外层位面 光耀 圣火术Sacred Flame  
守序外层位面 力场 神导术Guidance 
外域 心灵 法师之手Mage Hand  </t>
  </si>
  <si>
    <t xml:space="preserve">先决：等级4+，外层位面后裔（混乱外层位面）专长
得益于你引导宇宙混乱之力的能力，你获得下列增益：
属性值提升Ability Score Increase。 你选择的一项属性提升1，至多提升至20。
混乱耀斑Chaotic Flare。当你在一次攻击检定或豁免检定中骰出了1或20时，混乱的魔力将涌入你的身躯。投掷D4，根据骰值决定将发生混乱耀斑表上的哪个事件。耀斑将持续到你的下个回合结束，在首次混乱耀斑结束前你无法触发下次混乱耀斑效应。
混乱耀斑Chaotic Flares D4 耀斑效应 
1 战斗狂热Battle Fury。 你可见的，由你选择的一名生物将被灌注入无我的狂怒。他进行的任何攻击检定都将具有优势，但进行属性检定时将具有劣势。 
2 扰乱力场Disruption Field。 能量波环绕在你的身旁。任何在你5尺内开始其回合的生物以及在回合中首次移动进入此范围的生物将受到1d8力场伤害。 
3 限制解除Unbound。当你移动时，你可以使用你部分或全部的步行速度来传送自身一次，你身上携带或穿着的装备将一同传送，你将传送至一定距离内你可见的未占据空间，距离至多等于你所使用的步行速度。
（译注：原文就是使用速度，而不是消耗移动力。） 
4 狂风呼啸Wailing Winds。 以你为中心，呼啸的狂风将充斥在这半径15尺的球状区域内。你与任何其他在这片区域内的生物进行的感知豁免都将具有劣势。 </t>
  </si>
  <si>
    <t xml:space="preserve">先决：等级4+，外层位面后裔（邪恶外层位面）专长
得益于你引导宇宙邪恶之力的能力，你获得下列增益：
属性值提升Ability Score Increase。 你选择的一项属性提升1，至多提升至20。
贪婪之攫Grasp of Avarice。 每回合一次，当你对你周围60尺范围内的一个你可见的生物造成伤害时，你可以额外对其造成一定暗蚀伤害。暗蚀伤害值等于1d6+你的熟练加值，然后你将恢复等同于所造成黯蚀伤害数值的生命值。你可以使用这一增益的次数等同于你的熟练加值次，在你完成一次长休后你重获全部已消耗的增益使用次数。 </t>
  </si>
  <si>
    <t xml:space="preserve">先决：等级4+ ，外层位面后裔（善良外层位面）专长 
得益于你引导宇宙善良之力的能力，你获得下列增益：
属性值提升Ability Score Increase。 你选择的一项属性提升1，至多提升至20。
舒缓伤痛Soothe Pain。 当你或你周围30尺范围内的生物受到伤害时，你可以用你的反应将那次伤害减少1d10+你的熟练加值。你可以使用这一增益的次数等同于你的熟练加值次，在你完成一次长休后你重获全部已消耗的增益使用次数。 </t>
  </si>
  <si>
    <t>先决：等级4+，外层位面后裔（守序外层位面）专长
得益于你引导宇宙秩序之力的能力，你获得下列增益：
属性值提升Ability Score Increase。 你选择的一项属性提升1，至多提升至20。
凝滞打击Stasis Strike。 每回合一次，当你对你周围60尺范围内的一个你可见的生物造成伤害时，你可以额外对其造成1d8点力场伤害，同时，灵缚将向着那个生物袭去。其必须通过一次感知豁免（DC= 8+你的熟练加值+你外层位面后裔专长的施法属性调整值），豁免成功时，目标将躲开灵缚。豁免失败时，目标将陷入束缚状态，持续直至你的下一回合开始。这灵缚的外形，如同钢铁锁链或其他象征停滞的符号。你可以使用这一增益的次数等同于你的熟练加值次，在你完成一次长休后你重获全部已消耗的增益使用次数。</t>
  </si>
  <si>
    <t>先决：等级4+ ，外层位面后裔（外域）专长 
你在多元宇宙的十字路口——印记城与外域中度过了相当长的一段时间，浸泡在位面能量之中的这段时间使你获得下列增益：
属性值提升Ability Score Increase。 你选择的一项属性提升1，至多提升至20。
交路使者Crossroads Emissary。你习得法术迷踪步Misty Step与巧言术Tongues 。你可以无需法术位的施展这两个法术各一次，当你完成长休时，你重获以此法施展这些法术的能力。当你使用此专长施展巧言术Tongues 时，你无需任何材料成分。你也能够以你拥有的合适环阶的法术位施展这些法术。这些法术的施法属性与你在外层位面后裔专长中决定的施法属性相同。</t>
  </si>
  <si>
    <t>先决：等级4+ ，外层位面后裔专长 
你可以从多元宇宙之中摄取能量，并能在宇宙中的极端环境中生存，还能穿梭于多元宇宙的无限界域之中。你获得下列增益：
位面适应Planar Adaption。 当你完成一次长休时，你将获得强酸、寒冷或火焰伤害（由你选择）的抗性，持续至你下次完成长休。
传送门骇客Portal Cracker。 你对传送门的熟悉程度令你习得了不用钥匙也能打开它的方法。以一个动作，你将你的精神专注于你周围5尺范围内的一道传送门上，并进行一次DC20的智力（奥秘）检定。检定失败时，你将收到3d8心灵伤害并直到完成长休为止都无法再次使用这一增益。检定成功时，你可以强制这扇传送门打开1小时或关上1小时。在这段强制开启/强制关闭的时间内，这扇传送门将不会响应它对应的钥匙，除非生物强行使用钥匙，并成功通过一次DC20的智力（奥秘）检定。
传送门感知Portal Sense。 你始终知道上一次使用的位面传送门位于你何方，但你与那个传送门必须处于同一存在位面上。不仅如此，以一个动作，你可以侦测到30尺内的任何对你来说未处于全身掩护的传送门的位置。一旦你使用了侦测传送门动作，直到你完成一次长休前你都无法再次使用这一动作。</t>
  </si>
  <si>
    <t>起源专长
你遭遇了来自此世之外或邪恶魔法引发的恐怖力量。它本对你这名微不足道的凡人毫无关心，但当你用强大的肌肉、勇气和超级大斧头将他送回老家后，它才深刻认识到自己的错误。
你获得以下增益。
不屈打击Defiant Strike。你浴血期间使用法术或武器攻击命中时，你可以将此次攻击的伤害掷骰视为其能骰出的最大值。该增益一经使用，直至你完成长休都无法再次使用。
不挠之心Indomitable Heart。若你在你的回合开始时已陷入恐慌状态，投掷一次d20。若骰值不低于10，你不再具有此状态。</t>
  </si>
  <si>
    <t>起源专长
那晚的一切已经模糊了。一种，莫名的压迫感、难以承受的恐惧、夹杂着微弱记忆的混乱尖叫、连同对某种可怖饕餮之物的恐惧。你躲着它，在一个对它来说太过狭窄无法触及的地方。那一夜的声音和清晨你发现的恐怖，将伴随你度过余生，乃至更久。
你获得以下增益。
阴影打击Shadowed Strike。若发动攻击将结束你的隐形状态，你能够发动一次攻击并维持该状态。你能够使用此增益的次数等于你的熟练加值。当你完成长休时你重获所有已消耗的使用次数。
不值一哂Beneath Notice。当你尝试对一名体型大于你的生物执行躲藏时。只要你处在轻度遮蔽下或距其超过30尺，你就可以躲藏。这种情况下，对满足条件的生物而言，你获得躲藏的增益，对其他生物而言，你并非处于躲藏。
融身入影Merge into Shadows。你隐形期间，寻找你的感知（察觉）检定具有劣势。</t>
  </si>
  <si>
    <t>起源专长
你曾遭遇一些奇诡而可怕的事件，而其隐秘性令其更显恐怖。一座看起来平凡的城市将它的访客引入精心看护的祭祀花园、或是那家在漆黑骤雨之夜收留你的好心人实质是一群饥饿的食人族。你识破了它们的伪装并成功逃脱，亦或是你率先采取了行动得以幸存。
你获得以下增益。
洞彻感知Clear Senses。若你在你的回合开始时已陷入魅惑状态，投掷一次d20。若骰值不低于10，你不再具有此状态。
闻听破谎Ear for Falsehood。当一名NPC对你说话时，若其说谎，你能够使用此能力。你无法得知真相或是他们说谎的理由，仅可知他们陈述中的谬误。你能够使用此增益的次数等于你的熟练加值。当你完成长休时你重获所有已消耗的使用次数。
巧妙审问Subtle Interrogation。你对正与你交谈的生物进行的洞察检定具有优势。</t>
  </si>
  <si>
    <t>起源专长
事情的发展非你所愿。你满载的好奇或许让你忽略了警示，但......古老的诅咒本就很难当真。那些发黄的旧书记载了很多东西，而其中大部分不过是荒诞的传说——但你读过的那本竟成了释放古老邪恶的关键。现在，祂已于此世将临，寻找并遣返祂的责任落在你肩。
你获得以下增益。
探秘寻古Delver into Forgotten Lore。 你习得三种你选择的语言。
邪恶奥秘Foul Arcana。你能够短暂的触及神秘世界的一些片段以增强某道法术，但这会以你的大脑受到极其恐惧的、洞见宇宙的压力为代价。当你施展法术时，你能够令此法术的DC获得+2加值，但你陷入麻痹状态直至你的下个回合开始。你能够使用此增益的次数等于你的熟练加值。当你完成长休时你重获所有已消耗的使用次数。</t>
  </si>
  <si>
    <t>起源专长
你遭遇了某种可怕的事情，例如恐怖的生物或是诡异的仪式，这使你踏上探索奇异的调查员之路。你的敏捷步伐和生存本能让你度过了那一天，这是你最珍贵的财富。
你获得以下增益。
生存本能Instinct to Survive。当你受到将令你生命值降至0的伤害时，你立即恢复等于你等级的生命值。此增益一经使用，直至你完成长休都无法再次使用。
超级速度Superior Speed。你的速度获得+10加值。
无拘无束Wriggle Free。若你在你的回合开始时已陷入束缚状态，投掷一次d20。若骰值不低于10，你不再具有此状态。</t>
  </si>
  <si>
    <t>狂野天赋专长（先决：不具有其他狂野天赋专长）
电能激荡Lighting Jolt。每回合一次，当你施展法术或你的攻击检定命中，并造成钝击、穿刺、挥砍或心灵伤害时，你可以将伤害类型改为闪电。
灵能天赋Psionic talent。你知晓戏法电爪。你始终准备着法术云雾术。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当你角色等级到达3级时，你还会始终准备着法术造风术并能够以同样的方式施展之。</t>
  </si>
  <si>
    <t>狂野天赋专长（先决：不具有其他狂野天赋专长）
命能扭曲Bend Life Energy。当你施展的法术令生物恢复生命值时，你可以投掷1d4并将骰值加入恢复的生命值总值中。你可以使用此增益的次数等于你的熟练加值，当你完成长休时，你重获所有已消耗的使用次数。
灵能天赋Psionic talent。你知晓戏法维生术。你始终准备着法术治愈真言。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当你角色等级到达3级时，你还会始终准备着法术复苏秘法并能够以同样的方式施展之。</t>
  </si>
  <si>
    <t>狂野天赋专长（先决：不具有其他狂野天赋专长）
次级前知Minor Foreknowledge。当你执行搜索动作时，你可以令你作为此动作一部分进行的任意属性检定具有优势。你可以使用此增益的次数等于你的熟练加值，当你完成长休时，你重获所有已消耗的使用次数。
灵能天赋Psionic talent。你知晓戏法神导术。你始终准备着法术侦测善恶。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当你角色等级到达3级时，你还会始终准备着法术识破隐形并能够以同样的方式施展之。</t>
  </si>
  <si>
    <t>狂野天赋专长（先决：不具有其他狂野天赋专长）
操冰Ice Manipulation。每回合一次，当你施展法术或你的攻击检定命中，并造成钝击、穿刺、挥砍或心灵伤害时，你可以将伤害类型改为寒冷。
灵能天赋Psionic talent。你知晓戏法冷冻射线。你始终准备着法术黯冰狱铠和冰刃。你可以无需法术位地施展这些法术各一次，当你完成长休时，你重获以此法施展这些法术的能力。你也能够以你拥有的合适环阶的法术位施展这些法术。当你施展这些法术时，无需语言或材料成分。你这些法术的施法属性是智力、感知或魅力（在选取该专长时选择）。</t>
  </si>
  <si>
    <t>狂野天赋专长（先决：不具有其他狂野天赋专长）
情绪感官Emotional Sense。当你执行影响动作时，你可以令你作为此动作一部分进行的任意属性检定具有优势。你可以使用此增益的次数等于你的熟练加值，当你完成长休时，你重获所有已消耗的使用次数。
灵能天赋Psionic talent。你始终准备着法术魅惑类人。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当你角色等级到达3级时，你还会始终准备着法术安定心神并能够以同样的方式施展之。</t>
  </si>
  <si>
    <t>狂野天赋专长（先决：不具有其他狂野天赋专长）
柔韧肉身Flexible Flesh。当你进行敏捷（特技或巧手）检定时，你获得*等于你智力调整值（至少+1）的加值。你可以使用此增益的次数等于你的熟练加值，当你完成长休时，你重获所有已消耗的使用次数。
译注：不是，你的“可以”呢
灵能天赋Psionic talent。你始终准备着法术大步奔行。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当你角色等级到达3级时，你还会始终准备着法术变身术并能够以同样的方式施展之。</t>
  </si>
  <si>
    <t>狂野天赋专长（先决：不具有其他狂野天赋专长）
有限传心Limited Telepathy。以一个魔法动作，选择位于你120尺内的一名你可见的生物。你与其建立心灵感应联结。你与被选择的生物位于彼此的120尺内期间，你们能够以心灵感应交流，持续1小时。为理解彼此，你们必须在精神中使用对方知晓的语言。
此增益一经使用，直至完成短休或长休你都无法再次使用。
灵能天赋Psionic talent。你知晓戏法心灵之楔。你始终准备着法术不谐低语。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t>
  </si>
  <si>
    <t>狂野天赋专长（先决：不具有其他狂野天赋专长）
狡黠心智Cunning Mind。当你进行魅力（欺瞒或游说）检定时，你获得等于你智力调整值（至少+1）的加值。你可以使用此增益的次数等于你的熟练加值，当你完成长休时，你重获所有已消耗的使用次数。
灵能天赋Psionic talent。你知晓戏法次级幻象。你始终准备着法术易容术。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t>
  </si>
  <si>
    <t>狂野天赋专长（先决：不具有其他狂野天赋专长）
灵能助推Psi Boost。当你执行疾走动作时，你可以令你的速度提升10尺，直至你的下个回合开始。你可以使用此增益的次数等于你的熟练加值，当你完成长休时，你重获所有已消耗的使用次数。
灵能天赋Psionic talent。你知晓戏法念力抛射Telekinetic Fling（见本UA法术部分）。你始终准备着法术雷鸣波。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t>
  </si>
  <si>
    <t>狂野天赋专长（先决：不具有其他狂野天赋专长）
火焰使Firestarter。每回合一次，当你施展法术或你的攻击检定命中，并造成钝击、穿刺、挥砍或心灵伤害时，你可以将伤害类型改为火焰。
灵能天赋Psionic talent。你知晓戏法火焰箭。你始终准备着法术燃烧之手。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当你角色等级到达3级时，你还会始终准备着法术灼热射线并能够以同样的方式施展之。</t>
  </si>
  <si>
    <t>你在生命之中所面临的挑战和斗争令你乐于为他人带来痛苦和折磨。你获得等于你熟练加值数量枚d6残酷骰。你每回合只能掷一枚残酷骰，且残酷骰一经投掷就将被消耗。
你能在以下情况下投掷你的残酷骰，以此造成相应的结果：
当你对一个生物造成伤害时，投一枚残酷骰，你对那个生物额外造成等于骰值点的伤害。
当你掷出重击时，投一枚残酷骰，你获得等同于骰值点的临时生命值。
当你进行一次魅力（威吓）检定时，投一枚残酷骰，并将骰值加到检定结果中。
在你完成一次长休后，你将重获所有已消耗的残酷骰。</t>
  </si>
  <si>
    <t>先决：需要准备法术的施法Spellcasting职业特性 
你获得了在必要的时候立即瞬间唤起你未准备法术的记忆。
以一个附赠动作，你从你的法术书（若你是一位法师）或职业法术列表（若你不是法师）中准备一个1环及以上的法术。你必须具备相应环阶的法术位，而它会替换掉另一个环阶相同或更高的你已准备的法术。
一旦你使用该特性重新准备一个法术，直到你完成一次短休或长休为止，你无法再次使用。</t>
  </si>
  <si>
    <t>你对魔法在魔法物品之中的涨落有着直观的理解。这样的物品对你来说易于同调，你也更容易探出它们的秘密。你获得以下增益：
你可以同时同调四个魔法物品。
你能够无视材料成分且不消耗法术位的施展法术鉴定术Identify 一次。你必须完成一次长休后才能以此施展它。</t>
  </si>
  <si>
    <t>你的身体具有从可怕伤势中迅速恢复的能力，还易于接受治疗魔法。你获得以下增益：
你的体质提升1，上限为20。
当你处于濒死成功稳定伤势时，你立即恢复等于你体质调整值的生命值（至少1点）。
当你因法术、药水、或职业特性恢复生命值时（但不包括本专长），你额外恢复等同于你体质调整值的生命值（至少1点）。</t>
  </si>
  <si>
    <t>先决：11级以上；具有施法或契约魔法特性 
通过专注、努力、与奉献，你成功的掌握了快速施法的技巧。
当你以附赠动作施展一个1环或更高环阶的法术时，你也能你的动作去施展另一个1环或更高环阶的法术。不过，若你在同一回合中尝试施展两个或以上的法术时，只有它们之中一个可以是3环以上的（包括3环）。</t>
  </si>
  <si>
    <t>你磨炼了将武器投掷入战场的能力，甚至对不适合远程使用的武器也得心应手。你获得以下增益：
你的力量或敏捷提升1，上限为20。
对你来说，任何不具有投掷词条的简易或军用近战武器视作具有投掷词条。单手武器具有20尺常规射程和60尺最大射程，而双手武器具有15尺常规射程和30尺最大射程。
对你来说，原本已具有投掷词条的武器常规射程增加20尺，最大射程增加40尺。
当你使用一件轻型武器进行一次投掷武器攻击未命中时，武器会在回合结束时如同回旋镖一般飞回你的手中（除非有什么东西阻止它飞回来）。你可以以此抓住并收起尽可能多的武器。</t>
  </si>
  <si>
    <t>你学会了操血术的秘密，让你能够以自己的生命力为代价获得玄奥的力量。以一个附赠动作，你能够令自己承受1d6暗蚀伤害来换取鲜血恩惠。你的鲜血恩惠持续存在一个小时或直到被消耗。
你能消耗该鲜血恩惠以获取以下增益之一：
当你进行一次攻击检定时，骰一枚d6，并将骰值加到结果中。
当你的攻击或法术命中时，你能够额外造成2d6点暗蚀伤害。
当你迫使某生物进行力量、敏捷、或体质豁免时，投一枚d4，并从其豁免掷骰结果中减去骰值。
换取鲜血恩惠时，你所受到的暗蚀伤害无法以任何方式减免。</t>
  </si>
  <si>
    <t>通用专长（先决：等级4+，力量13+）
你获得以下增益：
属性值提升Ability Score Increase。 你的力量提升1，至多提升至20。
重武决斗者Heavy Duelist。 你可以单手持握一把具有双手词条的近战武器。
多用双持者Versatile Dual Wielder。 当你单手持握一把具有多用词条的近战武器时，该武器对你而言具有轻型词条。</t>
  </si>
  <si>
    <t>通用专长（先决：等级4+，魅力13+）
你获得以下增益：
属性值提升Ability Score Increase。 你的魅力提升1，至多提升至20。
临阵指挥Command。以一个动作，你可以向60尺内一名能听到你的盟友下达命令。它可以立即使用反应执行一个动作。该动作只能用于执行攻击（仅限一次攻击）、疾走、回避、躲藏、影响、搜索、研究或操作动作。
严密阵型Tight Formation。 当你位于两个或更多未处于失能状态的盟友周边5尺范围内时，敌人在对抗你时进行的攻击检定不能具有优势。</t>
  </si>
  <si>
    <t>通用专长（先决：等级4+）
你获得以下增益：
属性值提升Ability Score Increase。 你的力量或敏捷提升1，至多提升至20。
强化重击Improved Critical。 你使用武器和徒手打击进行的攻击检定，在d20骰出19或20时即可造成重击。</t>
  </si>
  <si>
    <t>魔枪掌控</t>
  </si>
  <si>
    <t>通用专长（先决：等级4+，施法或契约魔法特性）
你获得以下增益：
属性值提升Ability Score Increase。你的敏捷提升1，至多提升至20。
远程武器熟练Ranged Weapon Proficiency。你获得远程军用武器熟练。
戏法Cantrip。你习得戏法手指枪Finger Guns。
扩展法术列表Expanded Spell List。以下法术被加入你的法术列表中：反弹道场Antiballistics Field、斩击弹Ballistic Smite、加农炮击Conjure Cannonball、咒唤掩体Conjure Cover、除你武器Jam Weapon、叶忒罗的自动换弹Jethro’s Instant Reload、贯星一条 Perforating Shot 。
准备法术Spells Prepared。从扩展法术列表中选择数量等于你熟练加值的法术，你始终准备着所选的这些法术。每当你提升等级时，你可以将所选法术中的其中一道替换为扩展法术列表中的另一道法术。</t>
  </si>
  <si>
    <t>通用专长（先决：等级4+）
你获得以下增益：
属性值提升Ability Score Increase。 你的力量或敏捷提升1，至多提升至20。
弱者决心Underdog's Resolve。 当你被挑战等级高于你等级的生物攻击时，你对抗此次攻击的护甲等级会获得+2加值。
复仇打击Vengeful Strike。 若任何生物在你的上个回合结束后将你盟友的生命值降为0，则你对该生物进行的攻击检定具有优势。
英雄干预Heroic Intervention。 当一名你可见的敌人执行传奇动作时，你能够以反应进行干预，阻止该传奇动作发生。你可以执行该反应的次数等于你的熟练加值，并在完成一次长休时重获所有已消耗的使用次数。</t>
  </si>
  <si>
    <t>通用专长（先决：等级4+，敏捷13+）
你获得以下增益：
属性值提升Ability Score Increase。你的敏捷提升1，至多提升至20。
翻转骰面Flip Die。每回合一次，当你使用远程武器进行伤害掷骰时，你可以翻转其中的一枚伤害骰，并使用其底面的骰值。你不能将此能力用于d4骰。对于一枚平衡的骰子，其任一顶面与对应底面的数字之和比该骰的最大值大1。
强化重击Enhanced Critical。当你使用远程武器重击命中时，目标的速度变为0，直至其下个回合结束。</t>
  </si>
  <si>
    <t>你已经精通了回旋镖的多种用法，能用这件武器完成非凡的技艺。你获得以下增益：
对你而言，回旋镖的伤害骰现在变为d8。
用回旋镖进行远程攻击时，在常规射程范围外进行攻击不会对你的远程攻击检定造成劣势。
投掷回旋镖后，你可以自动接住它，无需使用反应。</t>
  </si>
  <si>
    <t>你以一种独特的笨拙方式度过人生，但不知为何总能因祸得福，你在他人眼中总是靠着偶然的好运取得成功。当你失败于一次属性检定，且掷骰结果等于或低于你等级一半（向上取整）时，你可以选择将该掷骰结果替换为15。你可以使用该能力三次，在完成一次长休后恢复所有已消耗的使用次数。</t>
  </si>
  <si>
    <t>先决：你必须在寒传月闪流道场中击败一位大师
在胧忆岛第一剑术流派的大师的指导训练下，你掌握了一些实用技巧。你获得以下增益：
你的步行速度增加5尺。
在投掷先攻后，战斗第一回合开始前，你可以使用反应拔出一件武器并移动最多等于你速度一半（向上取整）的距离。如果你在这次移动结束时位于另一生物触及范围内，你可以用该武器对其发动一次近战攻击。
当你被攻击命中时，你可以使用反应摆出防御姿态，使你能够抵挡来袭的打击。直到你下一回合开始前，你的AC获得+5加值，这个加值也适用于触发这个能力的攻击。一旦你使用这个姿态，你必须完成一次长休才能再次使用它。</t>
  </si>
  <si>
    <t>与伟大的风之精魂接触改变了你。你获得以下增益：
当你在自己回合中进行移动时，你可以在脚下召唤微型云朵，使你能够移动到空中的未被占据的空间内。你可以以这种方式移动等同于你熟练加值×5尺的距离，之后云朵就会停止出现。如果在空中结束移动，你会像平常一样坠落。
你学会了法术云雾术Fog Cloud和造风术Gust of Wind，每个法术你都可以不消耗法术位施放一次。当你完成一次长休后，你重获以这种方式施放这两个法术的能力。你也可以使用相应环位的法术位来施放这些法术。你施放这些法术时使用的施法关键属性可以是智力、感知或魅力（由你选择）。</t>
  </si>
  <si>
    <t>先决：你必须是一个魔女集会的成员
你已成为魔女集会的正式成员。你获得以下增益：
你的智力或感知提高1点，最高不超过20。
你从你的魔女集会中学会两个随机的普通和非普通药水配方。
你学会两个一环法术。这些一环法术必须来自预言学派、咒法学派或变化学派。你可以各使用一次这些法术而无需消耗法术位。当你完成一次长休后，你恢复以此方式施展这两个法术的能力。你也可以使用相应环级的法术位来施展这些法术。这些法术的施法关键属性是被本专长提升的属性。</t>
  </si>
  <si>
    <t>你花费了无数时间在岛上探索寻找材料。你获得以下增益：
你的感知提高1点，最高不超过20。
你获得求生技能的熟练。如果你已经具有该项熟练，你改为获得该技能的专精。
当进行采集活动时，你获得普通和非普通材料的数量翻倍。</t>
  </si>
  <si>
    <t>你经历过深入的水下训练。你获得以下增益：
你的体质提高1点，最高不超过20。
你获得等于你体质两倍的游泳速度（向上取整到最近的5尺）。如果你已经拥有游泳速度，则改为增加10尺。
在计算你能闭气的时间时，你的体质调整值被视为三倍。
你获得对冷冻伤害的抗性。</t>
  </si>
  <si>
    <t>你已磨练出精湛的战斗技巧，无论是面对多名敌人还是一对一决斗都能应对自如。你获得以下增益：
你受到的来自非魔法攻击的钝击、穿刺和挥砍伤害减少2点，最低降至1点。
当使用可选的夹击规则时，生物无法因夹击而获得对你攻击的优势。
在你的回合中，在你触发一次借机攻击后，你在该回合剩余时间内的移动将不再触发借机攻击。</t>
  </si>
  <si>
    <t>你拥有非凡的速度与敏捷。你获得以下增益：
当你未穿着重甲时，你的AC获得+1加值。
每当你采取攻击动作时，你可以放弃其中一次攻击，并移动最多等于你速度一半的距离。
非魔法的困难地形不会消耗你额外的移动力。
你可以穿过敌对生物所占据的空间，无论其体型大小。</t>
  </si>
  <si>
    <t>你学会了一些辅助你恶作剧的魔法把戏。你获得以下增益：
你获得巧手技能的熟练。如果你已经具有该项熟练，你改为获得该技能的专精。
当你在敏捷（巧手）检定中成功偷取物品时，作为动作的一部分，你可以将偷取的物品魔法性地转为隐形，如同施放了遮蔽物体Obscure Object法术。该物品必须小到能放入你的手掌中，且该效果持续1分钟。你每天可以使用该能力的次数等于你的熟练加值，当你完成一次长休后恢复所有已消耗的使用次数。</t>
  </si>
  <si>
    <t>先决：你必须是AHA组织的成员
你已成为AHA组织的正式成员。你获得以下增益：
你的智力增加1点，最高不超过20。
你学会戏法电击术Jolt。此外，你还可以从以下法术中选择学习一个：通晓语言Comprehend Languages、侦测魔法Detect Magic、鉴定术Identify或迷幻手稿Illusory Script。你可以在不消耗法术位的情况下施展所选法术一次，且必须完成一次长休才能再次以此方式施放该法术。你也可以使用你拥有的任何法术位来施放该法术。这些法术使用智力作为你的施法关键属性。</t>
  </si>
  <si>
    <t>你曾暴露在侵蚀之下——一种正在毒害岛屿的黑暗魔法。这种力量如今开始改变着你。你获得以下增益：
当你的生命值低于最大值的一半时，你的AC获得+1加值。
你能够引导体内的侵蚀之力来施展法术。你施法时不需要法器，这意味着你可以忽略法术所需的材料成分，除非该材料标明了具体价值或会被法术消耗。
当你受到伤害时，以一个反应，你可以抵消等同于你等级三倍的伤害；超出部分的伤害由你正常承受。在你下一回合结束时，你必须进行一次体质豁免，豁免DC等于10或你原本将受到的伤害的三分之一（取较高值）。若豁免失败，你立即受到之前被抵消的伤害。在接下来的1分钟内，你必须在每个自己回合结束时继续进行体质豁免，直到时间结束或豁免失败，豁免失败时你将受到被抵消的伤害。使用此能力后，你必须完成一次长休才能再次使用。</t>
  </si>
  <si>
    <t>先决：你必须是鸣玉族
虽然在当今时代并不常见，但一些鸣玉族人能够唤醒他们好战先祖所具有的沉睡技艺。你获得以下增益：
你获得闪电伤害的抗性。
你拥有一条带电的舌头，可用来进行徒手打击。这种攻击具有灵巧和触及特性，当你命中时，造成等同于1d6+你的力量或敏捷调整值的闪电伤害，而非普通徒手打击的钝击伤害。你的舌头伤害会随等级提升而增加：5级时变为1d8，11级时变为1d10，17级时变为1d12。
当你被一个生物擒抱时，你可以使用你的反应，迫使该生物进行一次体质豁免，DC为8+你的体质调整值+你的熟练加值。若豁免失败，该生物受到1d10闪电伤害，且擒抱效果终止。</t>
  </si>
  <si>
    <t>先决：你必须是鸣玉族
虽然在当今时代并不常见，但一些鸣玉族人能够唤醒他们好战先祖所具有的沉睡技艺。你获得以下增益：
你获得毒素伤害的抗性。
你对抗中毒状态的豁免具有优势。
你能让你的双颊鼓胀起来，口中充满毒液。以一个动作，你可以快速连续喷射数团毒液，目标数量等同于你的熟练加值。每个目标必须在你30尺范围内，且必须进行一次体质豁免（DC为8+你的体质调整值+你的熟练加值）。豁免失败的目标将受到等同于1d8+你的熟练加值的毒素伤害，豁免成功则受到一半伤害。</t>
  </si>
  <si>
    <t>先决：你必须是速递队的成员
作为速递队的一员，你经受过严格训练。你获得以下增益：
你的体质或感知增加1点，最高不超过20。
你获得运动和求生技能的熟练。
力竭状态不会让你的属性检定具有劣势。</t>
  </si>
  <si>
    <t>你对魔法药水和灵药的专业知识和理解让你能够根据自己的需求精确调配原料和配方。你获得以下增益：
在酿造药水时，你可以选择使用配方中第二高的原料属性，而不是最高的。
在酿造药水时，你可以掷d100骰。如果你掷出的数值等于或低于你的等级，你可以一次制作两瓶药水而不是一瓶。</t>
  </si>
  <si>
    <t>先决：你必须在辉流鳞斩流剑术道场击败一位大师
经过山谷剑术道场大师的训练，你领悟了在战斗中快速转换不同战斗技巧的精髓。你获得以下增益：
单手持握One Handed。当你单手持握一把多用武器时，你敏捷的动作和灵活的防御让你即使在敌人进攻时也能找回优势。在你下个回合开始前，当位于你触及范围内的生物发动的近战攻击未命中你时，你可以进行一次反击，使攻击者受到等同于你熟练加值两倍的武器伤害。
双手持握Two Handed。当你双手持握一把多用武器时，你强有力的架势能让你抓住目标的破绽。每当你触及范围内的敌人对你发动近战武器攻击并未命中时，你可以使用你的反应尝试使攻击者失去平衡。目标必须通过一次敏捷豁免，DC为8+你的力量调整值+你的熟练加值，否则将陷入倒地状态。</t>
  </si>
  <si>
    <t>先决：你必须在虎岚断岩流剑术道场击败一位大师
经过虎岚断岩流道场大师的训练，你已掌握了能够精确打击生物特定部位的高难度技巧。你获得以下增益：
面打Head Strike。在你使用一件你熟练的武器发动近战攻击前，你可以选择让本次攻击承受-5的攻击检定减值。如果攻击命中，目标在其下一回合结束前进行的下一次攻击检定具有劣势。
胴打Torso Strike。在你使用一件你熟练的武器发动近战攻击前，你可以选择让本次攻击承受-5的攻击检定减值。如果攻击命中，目标在你的下一回合开始前无法说话，此后该目标在接下来1分钟内免疫胴打的效果。
足打Leg Strike。 在你使用一件你熟练的武器发动近战攻击前，你可以选择让本次攻击承受-5的攻击检定减值。如果攻击命中，目标的速度降低10尺（最低降至10尺）。此效果持续到你的下一回合开始。
你每次攻击只能使用其中一种打击方式。</t>
  </si>
  <si>
    <t>你独特的歌声织法技艺让你能够通过魔法歌声来强化法术。当你施展一个迫使目标进行豁免检定或需要你进行法术攻击检定的法术时，你可以选择通过歌声来强化该法术。你可以等到掷出d20后再决定是否使用此能力，但必须在DM宣布检定成功或失败之前做出决定。
当你这样做时，进行一次魅力（表演）检定。这次检定的DC等于10+法术环级。若成功，在该次法术攻击检定或该次施法的豁免DC计算时，你的熟练加值视为翻倍。
在下一个黎明到来前，你成功使用此能力三次后就无法再次使用。</t>
  </si>
  <si>
    <t>你对栖息于世界各地的危险生物有着深入的了解，这些知识帮助你在战斗和追踪它们时都能得心应手。你获得以下增益：
选择两种生物类型。每当你在战斗开始时进行先攻检定，且战斗中存在一个或多个你所选择类型的敌对生物时，你可以将你的熟练加值加入先攻检定。如果某个生物通过魔法改变其形态以显现为另一种生物类型，你不会获得这个增益。
在涉及你所选择的一种或多种生物类型时，你的敏捷（隐匿）和感知（求生）检定获得+5加值。
对你所选择的生物类型的目标进行攻击检定时，你获得+2加值。</t>
  </si>
  <si>
    <t>起源专长
你因魔法、科学或二者的不稳定融合而发生改变。你拥有下列选项中一种明显的身体强化（由你选择）。除非经过伪装，否则这种强化是显而易见的——例如缝合的痕迹、其他生物身体部位的移植，或植入物。
水栖适应Aquatic Adaptation。 你长有鳃或黏膜，使你能够在水下呼吸，并且你拥有蹼状肢体，使你获得等同于你速度的游泳速度。</t>
  </si>
  <si>
    <t>起源专长
你因魔法、科学或二者的不稳定融合而发生改变。你拥有下列选项中一种明显的身体强化（由你选择）。除非经过伪装，否则这种强化是显而易见的——例如缝合的痕迹、其他生物身体部位的移植，或植入物。
天生护甲Natural Armor。你拥有鳞片、甲壳或厚实的皮毛，使你的AC变为13 +你的敏捷或体质调整值（你在选择此专长时选择该属性）。</t>
  </si>
  <si>
    <t>起源专长
你因魔法、科学或二者的不稳定融合而发生改变。你拥有下列选项中一种明显的身体强化（由你选择）。除非经过伪装，否则这种强化是显而易见的——例如缝合的痕迹、其他生物身体部位的移植，或植入物。
天生武器Natural Weapons。你长有爪、獠牙、角或其他天生武器，你可以使用它们进行徒手打击，并在命中时造成1d8伤害。伤害类型为钝击、穿刺或挥砍，视具体形态而定。</t>
  </si>
  <si>
    <t>起源专长
你因魔法、科学或二者的不稳定融合而发生改变。你拥有下列选项中一种明显的身体强化（由你选择）。除非经过伪装，否则这种强化是显而易见的——例如缝合的痕迹、其他生物身体部位的移植，或植入物。
夜视Night Vision。你拥有60尺黑暗视觉。如果你已经拥有黑暗视觉，则其范围增加30尺。</t>
  </si>
  <si>
    <t>起源专长
你深谙经由旧途教诲所传承下来的民间偏方与咒术，并能将它们凝聚于你编织的小巧柳编咒饰中。你获得以下增益：
古老祝福Old Blessing。你可以通过该增益施展一次法术祝福术Bless，但仅限以携带你编织的柳编咒饰的生物为目标，并在完成一次长休前无法再次这么做。你也可以使用你拥有的任何法术位来施展该法术。你以此方式施展该法术的施法属性为智力、感知或魅力（在你选择此专长时选择）。
扭曲恶咒Twisted Hex。作为一项动作，你可以将怨气编织进一枚柳编咒饰。选择一项属性。当另一个生物携带着该咒饰，或该咒饰位于该生物视为家的区域期间，其在使用所选属性进行的属性检定和攻击检定时，具有劣势。当该生物在这些掷骰中失败时，它可以进行一次魅力豁免，成功则咒饰被摧毁（DC=8+你的熟练加值+你为古老祝福选择的属性调整值）。你一次只能拥有一个扭曲恶咒咒饰。如果你制作一个新的，之前的咒饰将失去魔法。</t>
  </si>
  <si>
    <t>起源专长
你对血之魔法与生命能量的研究已开花结果，让你获得以下增益：
血之鞭击Blood Lash。你学会戏法血蚀箭Blood Bolt，并可选择智力、感知或魅力作为此戏法的施法属性（在你选择此专长时选择）。
瓶中之命Bottled Life。当你完成一次长休后，你可以进行1 分钟的仪式将自己的一部分生命精华抽取出来，封存在一只容器中待使用。你需要消耗最多等于你熟练加值数量的生命骰，将自己的鲜血滴入装了水或其他液体的药水瓶中。
一个生物可以用附赠动作喝下该药水，掷出你所消耗的生命骰，恢复掷骰结果加该生物体质调整值的生命值。
直至你完成一次长休前，这瓶药水将一直保持有效。</t>
  </si>
  <si>
    <t>起源专长
你的教团向你传授了一些古怪的仪式，使你获得以下增益：
两道戏法Two Cantrips。你可以从魔契师法术列表中任意选择两道戏法习得。智力、感知或魅力是你施展本专长法术时的施法属性（在你选择此专长时决定）。
一环法术Level 1 Spell。你从魔契师法术列表中再选择一道一环法术，并始终准备了这道法术。你可以无需法术位地施展该法术一次，并在完成短休或长休后重获以此法施展该法术的能力。你也可以使用你拥有的任何法术位来施展该法术。
改变法术Spell Change。每当你获得一级新等级，你都能将通过本专长习得的一道法术替换为魔契师法术列表中同环阶的另一道法术。</t>
  </si>
  <si>
    <t>起源专长
你已能阐明禁忌真理的些许真言，它们既与创世之理共鸣，又将之撕裂，你获得以下增益：
怪异真言Eldritch Word。你可以使用附赠动作说出一个魔法性的单词，迫使你周边60尺范围内的一个生物进行一次感知豁免（DC=8+你的熟练加值+你的智力、感知或魅力调整值；选择此专长时选择对应的属性）。若豁免失败，则目标陷入恐慌状态，直至你的下一回合开始。你可以安全使用此增益一次，并在完成一次短休或长休后重获以此方式安全使用该增益的能力。你也可以在休息前再次使用此增益，当你会受到1d6暗蚀伤害，此伤害无法以任何方式减少或避免。
命途崩坏Shred Fate。你掌握的恐怖秘密足以撕碎敌人的命运。你始终准备着法术灾祸术Bane ，并且你施展该法术的施法属性与怪异真言使用的属性相同。你可以无需材料成分或法术位地施展一次该法术，并在完成长休后重获以此法施展该法术的能力。你也可以使用你拥有的任何法术位来施展该法术。</t>
  </si>
  <si>
    <t>起源专长
无论是在赌桌上赢得筹码，还是在生死决斗中逃出生天，这种胜利都令你斗志昂扬、精神振奋。你获得以下增益：
大把下注Bet Big。如果你尚未拥有，则当你针对另一生物进行的属性检定取得成功，你将某个生物的生命值降至0，或某个生物失败于一次你迫使其进行的豁免检定时，你获得英雄激励。若该生物的CR为 0或没有CR（例如其他玩家角色），则无法通过上述方式获得英雄激励。
大获全胜Win Big。你可以使用附赠动作消耗你的英雄激励，以获得等于你角色等级的临时生命值</t>
  </si>
  <si>
    <t>起源专长
你与幽灯特快列车之间建立了某种神秘的联系，这使你能够洞察灵魂的本质，并获得以下增益：
幽灵触碰Ghostly Touch。当你对具有虚体移动特质的生物造成伤害时，你可以无视其伤害抗性（若有）。
灵识感应Spirit Sense。你可以使用附赠动作感知你周边60尺范围内的任何亡灵，或与该区域重叠的以太位面中的任何生物。你会得知你所侦测到的任何生物的距离和方向（或以太位面生物在你所在位面上的相应位置）。一旦你使用此增益侦测到一个生物，则你必须完成一次短休或长休后才能再次使用。</t>
  </si>
  <si>
    <t>起源专长
研习丧葬仪式，守护亡者安宁，你成为了连通生者与亡者世界的媒介。你获得以下增益：
引导神力Divine Channel。你获得牧师职业引导神力特性的一次使用次数，并可借此创造驱散亡灵Turn Undead效应。如果你已经拥有引导神力，则将此次使用次数加入你所选择的任意一个职业的该特性中。此增益的豁免DC为8+你的感知调整值+熟练加值。
安灵仪式Last Rites。 你可花费10分钟为一具体型不超过中型的生物尸体进行仪式，消耗价值至少10GP的熏香、油膏、亚麻布或类似丧葬用品。经过处理的尸体无法转化为亡灵。</t>
  </si>
  <si>
    <t>起源专长
你擅长对付凶暴的猎食怪物，获得以下增益：
致命瞄准Dead Aim。你可以使用附赠动作来审视某个生物，试图找到其弱点。在你的下一回合开始前，你对该目标造成的下一次伤害将无视它的抗性（若有）。
研习目标Studied Quarry。你为回忆与某个生物的相关信息而进行的属性检定具有优势。</t>
  </si>
  <si>
    <t>起源专长
你的思维极度渴望各种细节，竭力将外界所见所闻贮存至记忆深处，你获得以下增益：
细致入微Desperate Detail。你在进行智力（调查）检定时具有优势。
钢铁心智Iron Mind。你为对抗或终止魅惑状态，以及防止你的记忆被篡改或抹除而进行的豁免具有优势，</t>
  </si>
  <si>
    <t>起源专长
你曾加入一支疯癫的狂欢者队伍，学会了以愚者姿态示人，引导那来自异界的欢笑与喧闹。你获得以下增益：
愚者假面Fool's Mask。当你戴上欢快的面具，穿上愚者、弄臣或小丑的服饰时，你将获得一个隐藏你自身身份的新形象。扮作愚者时，你可以对身居高位或有权势之人进行轻微的冒犯而免受惩罚。
弄臣妙语Jester's Repartee。 你始终准备了法术塔莎狂笑术Tasha's Gideous Laughter，并且你施展该法术的施法属性为智力、感知或魅力（在你选择本专长时选择）。你可以无需材料成分或法术位地施展一次该法术，并在完成长休后重获以此法施展该法术的能力。你也可以使用你拥有的任何法术位来施展该法术。</t>
  </si>
  <si>
    <t>起源专长
你的影子已与你分离，使得你无法投射出倒影或阴影，但也让你能轻易地逃脱注意。你获得以下增益：
高深莫测Inscrutable。生物对你进行的感知（洞悉）检定都具有劣势。
大隐于世Unremarkable。你失去了一部分“自我”，反而使你更容易隐入背景。当你身处至少有其他两名与你同生物类型的生物的群体中，且这些生物的体型与你相差不超过一个等级时，你可以对该群体外的生物执行躲藏动作，用魅力（欺瞒）检定替代敏捷（隐匿）检定，且无需躲在掩护后或处于重度遮蔽中。当你以此方式进行躲藏期间，如果你与至少两个这样的生物相距超过5尺，则你便会暴露。</t>
  </si>
  <si>
    <t>通用专长（先决：等级4+）
当死神的召唤来到你面前，你找到了一种方法拒绝它。你获得以下增益：
属性值提升Ability Score Increase。 你的体质提升1，至多提升至20。
紧握生命Cling to Life。 你在死亡豁免中加入你的体质调整值（至少 +1）。
坚毅活力Enduring Vitality。 如果某个效应会直接杀死你，且不触发死亡豁免，或在未造成伤害的情况下直接将你的生命值降至0，你的生命值改为降至等同于你等级的数值。你必须完成一次长休才能再次使用此增益。</t>
  </si>
  <si>
    <t>通用专长（先决：等级4+，施法或契约魔法特性） 
你已在巫术仪式中精进技艺，能够在需要时迅速施展魔法。你获得以下增益：
属性值提升Ability Score Increase。 你的智力、感知或魅力提升1，至多提升至20。
高速咏唱Swift Invocation。 你可以使用动作来施展一个施法时间为1分钟的法术。使用此增益后，直至你完成一次长休为止都不能再次使用。</t>
  </si>
  <si>
    <t>先决条件：具有 滑翔Glide 特质
经过多年的练习或自发的天赋，使你精通了如何滑翔。你获得下列增益：
当你进行跳高或跳远时，你不再需要进行至少10尺的助跑。此外，你可以选择使用你的力量属性或敏捷属性来决定跳跃的高度或距离，无论如何选择，你的最大跳跃距离提升至原本的两倍。
你可以在滑翔期间执行 疾走Dash 动作，以此额外滑行等同于你滑翔速度的距离。
你可以在滑翔期间自由改变方向，且在滑翔结束前仅一次可以使自己向上抬升10尺高度。</t>
  </si>
  <si>
    <t>你曾经当过强盗，而这段经历赋予了你对“危险”的感知能力，让你得以快速判断出你对手的实力。你获得下列增益：
当你被要求进行一次豁免检定时，你可以用反应将你的智力调整值加入到你的豁免检定中。使用后你必须完成一次长休后才能再次使用此能力。
在战斗中，以一个动作，你可以仔细调查你在这场战斗中曾见过的任何一个生物，对其进行一次智力（调查）检定（DC为10+该生物的挑战等级），若检定成功，你将得知该生物能力的一项有用的情报，从以下选项中选择：
一种伤害的抗性（或免疫）
一项状态的免疫
该生物具有的一种可以造成伤害（或是减少伤害）的特殊能力
该生物具有的一个动作项（攻击、传奇动作、或反应）
该生物具有的一项特殊的感官</t>
  </si>
  <si>
    <t>先决条件：具有 滑翔Glide 特质
也许是生来就有的强大力量，也许是你不断艰苦训练的结果，你获得了超脱大众想象的滑翔能力。你获得下列增益：
只要你未处于重载encumbered，你就可以在持握重型武器且穿着重甲的情况下滑翔。
滑翔期间，你可以选择在一个由不超过大型的敌对生物所占据的空间中降落。此时，你需要与该生物进行一次力量检定对抗。如果此次对抗成功，你降落时的冲击力会将该生物推离10尺并击入 倒地Prone 。如果此次对抗失败，你会落在原定降落地点最近的一处未被占据的空间内。</t>
  </si>
  <si>
    <t>你已经参悟了偷窃技术的窍门，不论在战斗内外你都能抓住一切机会顺走点东西。你获得下列增益：
你的敏捷增加1，上限为20。
在战斗中，当一个生物向你发起的近战攻击检定失手时，你可以对其进行一次敏捷（巧手）检定（DC= 10+目标的敏捷调整值）。若检定成功，你可以偷取任何一件目标身上的一件物件（无法偷窃正被目标持握或装着的物件）。
在战斗之外，当你使用你的巧手技能成功偷取到一件物件时，你可以立即将它完美地隐藏在你的身上，或者将你拥有的另一件物件放回在偷取物品原先所处的位置上。</t>
  </si>
  <si>
    <t>你这些年在高处的生活令你习得了如何更为优雅的落地。你获得下列增益：
你的敏捷增加1，上限为20。
坠落伤害的伤害骰从d6减少至d4。
在受到坠落伤害后，你不会因此进入 倒地Prone 状态。
计算坠落伤害时，你可以无视至多30尺的坠落高度。</t>
  </si>
  <si>
    <t>你与自然世界有一种特殊的联系。巨大的野兽将你视为他们的血亲，而你拥有与他们交流的语言——那是这个世界上最为强大，最为神秘的能力。你获得下列增益：
你的魅力增加1，上限为20。
任何体型为大型或更大的野兽对你的初始态度为友好——除非你攻击了它。
你对任何体型为大型或更大的野兽进行的魅力检定具有优势。
你可以说并理解 巨鹰语Giant Eagle 、巨赤鹿语Giant Elk 和 巨猫头鹰语Giant Owl。此外，任何体型为大型或更大的野兽都可以听懂你的话语（无论它们是否能理解某种语言）。不过智力值为不超过4的野兽可能只能从你的话语中理解一些简单的意思。</t>
  </si>
  <si>
    <t>你一生都生活在各种参天木林之间，你是寻路的专家，即使是最为险峻的地形你也有自信能够找到路。你获得下列增益：
你获得生存技能或自然技能的熟练。
你无视困难地形。
除非受魔法效应影响，否则你不会在自然环境中迷路。</t>
  </si>
  <si>
    <r>
      <rPr>
        <sz val="11"/>
        <color theme="1"/>
        <rFont val="宋体"/>
        <charset val="134"/>
      </rPr>
      <t>你曾接受过魔法分类的特殊训练，能够识别患者休克或疲劳的迹象。你能随时为有需要的人提供帮助。你获得以下增益：</t>
    </r>
    <r>
      <rPr>
        <sz val="11"/>
        <color theme="1"/>
        <rFont val="Times New Roman"/>
        <charset val="134"/>
      </rPr>
      <t xml:space="preserve"> 
</t>
    </r>
    <r>
      <rPr>
        <sz val="11"/>
        <color theme="1"/>
        <rFont val="宋体"/>
        <charset val="134"/>
      </rPr>
      <t>你能够通过观察判断一名生物是否损失了生命值，以及其生命值是否超过一半。你判断生物是否受诅、染病、附身或被目盲、耳聋、力竭、所进行的感知（医药）或智力（奥秘或宗教）检定具有优势。</t>
    </r>
    <r>
      <rPr>
        <sz val="11"/>
        <color theme="1"/>
        <rFont val="Times New Roman"/>
        <charset val="134"/>
      </rPr>
      <t xml:space="preserve"> 
</t>
    </r>
    <r>
      <rPr>
        <sz val="11"/>
        <color theme="1"/>
        <rFont val="宋体"/>
        <charset val="134"/>
      </rPr>
      <t>你习得戏法维生术</t>
    </r>
    <r>
      <rPr>
        <sz val="11"/>
        <color theme="1"/>
        <rFont val="Times New Roman"/>
        <charset val="134"/>
      </rPr>
      <t>Spare the Dying</t>
    </r>
    <r>
      <rPr>
        <sz val="11"/>
        <color theme="1"/>
        <rFont val="宋体"/>
        <charset val="134"/>
      </rPr>
      <t>，且能够以附赠动作施展。</t>
    </r>
    <r>
      <rPr>
        <sz val="11"/>
        <color theme="1"/>
        <rFont val="Times New Roman"/>
        <charset val="134"/>
      </rPr>
      <t xml:space="preserve"> 
</t>
    </r>
    <r>
      <rPr>
        <sz val="11"/>
        <color theme="1"/>
        <rFont val="宋体"/>
        <charset val="134"/>
      </rPr>
      <t>你获得无需法术位的施展法术疗伤术</t>
    </r>
    <r>
      <rPr>
        <sz val="11"/>
        <color theme="1"/>
        <rFont val="Times New Roman"/>
        <charset val="134"/>
      </rPr>
      <t>Cure Wounds</t>
    </r>
    <r>
      <rPr>
        <sz val="11"/>
        <color theme="1"/>
        <rFont val="宋体"/>
        <charset val="134"/>
      </rPr>
      <t>的能力，至多可使用的次数等于你熟练加值的一半。当你完成长休时，重获所有已消耗的使用次数。你施展该法术的施法属性为感知。</t>
    </r>
  </si>
  <si>
    <r>
      <rPr>
        <sz val="11"/>
        <color theme="1"/>
        <rFont val="宋体"/>
        <charset val="134"/>
      </rPr>
      <t>有时，居住在焦木林</t>
    </r>
    <r>
      <rPr>
        <sz val="11"/>
        <color theme="1"/>
        <rFont val="Times New Roman"/>
        <charset val="134"/>
      </rPr>
      <t xml:space="preserve">Scorched Grove </t>
    </r>
    <r>
      <rPr>
        <sz val="11"/>
        <color theme="1"/>
        <rFont val="宋体"/>
        <charset val="134"/>
      </rPr>
      <t>或其他火元素触摸之地，会让其内的居民显现出奇异的能力。这些天赋异禀之人被守护者们称作</t>
    </r>
    <r>
      <rPr>
        <sz val="11"/>
        <color theme="1"/>
        <rFont val="Times New Roman"/>
        <charset val="134"/>
      </rPr>
      <t>“</t>
    </r>
    <r>
      <rPr>
        <sz val="11"/>
        <color theme="1"/>
        <rFont val="宋体"/>
        <charset val="134"/>
      </rPr>
      <t>炎焱觉者</t>
    </r>
    <r>
      <rPr>
        <sz val="11"/>
        <color theme="1"/>
        <rFont val="Times New Roman"/>
        <charset val="134"/>
      </rPr>
      <t>”</t>
    </r>
    <r>
      <rPr>
        <sz val="11"/>
        <color theme="1"/>
        <rFont val="宋体"/>
        <charset val="134"/>
      </rPr>
      <t>，他们能够与火相生物交流，还有操控火焰的力量。护林人会引导炎焱觉者并磨炼他们的才能，令他们能服务自然，因此许多炎焱觉者选择加入护林人。然而，组织外的觉者会选择隐藏这常被视作诅咒的能力。你获得以下增益：</t>
    </r>
    <r>
      <rPr>
        <sz val="11"/>
        <color theme="1"/>
        <rFont val="Times New Roman"/>
        <charset val="134"/>
      </rPr>
      <t xml:space="preserve"> 
</t>
    </r>
    <r>
      <rPr>
        <sz val="11"/>
        <color theme="1"/>
        <rFont val="宋体"/>
        <charset val="134"/>
      </rPr>
      <t>你能够说、读、写火族语。</t>
    </r>
    <r>
      <rPr>
        <sz val="11"/>
        <color theme="1"/>
        <rFont val="Times New Roman"/>
        <charset val="134"/>
      </rPr>
      <t xml:space="preserve"> 
</t>
    </r>
    <r>
      <rPr>
        <sz val="11"/>
        <color theme="1"/>
        <rFont val="宋体"/>
        <charset val="134"/>
      </rPr>
      <t>你习得戏法燃火术</t>
    </r>
    <r>
      <rPr>
        <sz val="11"/>
        <color theme="1"/>
        <rFont val="Times New Roman"/>
        <charset val="134"/>
      </rPr>
      <t>Produce Flame</t>
    </r>
    <r>
      <rPr>
        <sz val="11"/>
        <color theme="1"/>
        <rFont val="宋体"/>
        <charset val="134"/>
      </rPr>
      <t>，你施展该法术的施法属性为智力。</t>
    </r>
    <r>
      <rPr>
        <sz val="11"/>
        <color theme="1"/>
        <rFont val="Times New Roman"/>
        <charset val="134"/>
      </rPr>
      <t xml:space="preserve"> 
</t>
    </r>
    <r>
      <rPr>
        <sz val="11"/>
        <color theme="1"/>
        <rFont val="宋体"/>
        <charset val="134"/>
      </rPr>
      <t>以一个附赠动作，你能够增强你火焰的力量。直至你的下个回合结束，你下次对一名或更多生物造成火焰伤害时，你能够对其中一名生物额外造成</t>
    </r>
    <r>
      <rPr>
        <sz val="11"/>
        <color theme="1"/>
        <rFont val="Times New Roman"/>
        <charset val="134"/>
      </rPr>
      <t>2d10</t>
    </r>
    <r>
      <rPr>
        <sz val="11"/>
        <color theme="1"/>
        <rFont val="宋体"/>
        <charset val="134"/>
      </rPr>
      <t>火焰伤害。此特性一经使用，直至完成短休或长休你都无法再次使用。</t>
    </r>
    <r>
      <rPr>
        <sz val="11"/>
        <color theme="1"/>
        <rFont val="Times New Roman"/>
        <charset val="134"/>
      </rPr>
      <t xml:space="preserve"> 
</t>
    </r>
    <r>
      <rPr>
        <sz val="11"/>
        <color theme="1"/>
        <rFont val="宋体"/>
        <charset val="134"/>
      </rPr>
      <t>你能够用火族语向位于你</t>
    </r>
    <r>
      <rPr>
        <sz val="11"/>
        <color theme="1"/>
        <rFont val="Times New Roman"/>
        <charset val="134"/>
      </rPr>
      <t>30</t>
    </r>
    <r>
      <rPr>
        <sz val="11"/>
        <color theme="1"/>
        <rFont val="宋体"/>
        <charset val="134"/>
      </rPr>
      <t>尺内且能被一处</t>
    </r>
    <r>
      <rPr>
        <sz val="11"/>
        <color theme="1"/>
        <rFont val="Times New Roman"/>
        <charset val="134"/>
      </rPr>
      <t>5</t>
    </r>
    <r>
      <rPr>
        <sz val="11"/>
        <color theme="1"/>
        <rFont val="宋体"/>
        <charset val="134"/>
      </rPr>
      <t>尺立方区域容纳的非魔法火焰低语魔咒。以一个附赠动作，你能够令这些火焰向一个方向蔓延</t>
    </r>
    <r>
      <rPr>
        <sz val="11"/>
        <color theme="1"/>
        <rFont val="Times New Roman"/>
        <charset val="134"/>
      </rPr>
      <t>5</t>
    </r>
    <r>
      <rPr>
        <sz val="11"/>
        <color theme="1"/>
        <rFont val="宋体"/>
        <charset val="134"/>
      </rPr>
      <t>尺（只要新位置存在某种燃料）或令空间内的火焰扑灭。</t>
    </r>
  </si>
  <si>
    <r>
      <rPr>
        <sz val="11"/>
        <color theme="1"/>
        <rFont val="宋体"/>
        <charset val="134"/>
      </rPr>
      <t>先决：德鲁伊或法师</t>
    </r>
    <r>
      <rPr>
        <sz val="11"/>
        <color theme="1"/>
        <rFont val="Times New Roman"/>
        <charset val="134"/>
      </rPr>
      <t xml:space="preserve">  
</t>
    </r>
    <r>
      <rPr>
        <sz val="11"/>
        <color theme="1"/>
        <rFont val="宋体"/>
        <charset val="134"/>
      </rPr>
      <t>护林人重视思想的多样性，尽管他们最初是纯粹的德鲁伊教派，但后来他们学会了接受不同的自然世界观，尤其是在魔法应用这方面。你或许是一位法师，学会了如何在奥术研究中保持自然力量的微妙平衡；或许是一位德鲁伊，通过学习和实验对自然魔法有了新的理解。你获得以下增益：</t>
    </r>
    <r>
      <rPr>
        <sz val="11"/>
        <color theme="1"/>
        <rFont val="Times New Roman"/>
        <charset val="134"/>
      </rPr>
      <t xml:space="preserve"> 
</t>
    </r>
    <r>
      <rPr>
        <sz val="11"/>
        <color theme="1"/>
        <rFont val="宋体"/>
        <charset val="134"/>
      </rPr>
      <t>你的智力或感知提升</t>
    </r>
    <r>
      <rPr>
        <sz val="11"/>
        <color theme="1"/>
        <rFont val="Times New Roman"/>
        <charset val="134"/>
      </rPr>
      <t>1</t>
    </r>
    <r>
      <rPr>
        <sz val="11"/>
        <color theme="1"/>
        <rFont val="宋体"/>
        <charset val="134"/>
      </rPr>
      <t>，至多提升至</t>
    </r>
    <r>
      <rPr>
        <sz val="11"/>
        <color theme="1"/>
        <rFont val="Times New Roman"/>
        <charset val="134"/>
      </rPr>
      <t>20</t>
    </r>
    <r>
      <rPr>
        <sz val="11"/>
        <color theme="1"/>
        <rFont val="宋体"/>
        <charset val="134"/>
      </rPr>
      <t>。</t>
    </r>
    <r>
      <rPr>
        <sz val="11"/>
        <color theme="1"/>
        <rFont val="Times New Roman"/>
        <charset val="134"/>
      </rPr>
      <t xml:space="preserve"> 
</t>
    </r>
    <r>
      <rPr>
        <sz val="11"/>
        <color theme="1"/>
        <rFont val="宋体"/>
        <charset val="134"/>
      </rPr>
      <t>你能够选择使用智力或感知进行驯兽、奥秘、自然或求生检定。</t>
    </r>
    <r>
      <rPr>
        <sz val="11"/>
        <color theme="1"/>
        <rFont val="Times New Roman"/>
        <charset val="134"/>
      </rPr>
      <t xml:space="preserve"> 
</t>
    </r>
    <r>
      <rPr>
        <sz val="11"/>
        <color theme="1"/>
        <rFont val="宋体"/>
        <charset val="134"/>
      </rPr>
      <t>你能够从德鲁伊或法师的法师列表中选择学习两道法术。你选择的法术必须是你可以施展的环阶。所选法术视为你的职业法术。若你是法师，这些法术加入你的法术书；若你是德鲁伊，这些法术加入你的已知法术。</t>
    </r>
  </si>
  <si>
    <r>
      <rPr>
        <sz val="11"/>
        <color theme="1"/>
        <rFont val="宋体"/>
        <charset val="134"/>
      </rPr>
      <t>先决：感知</t>
    </r>
    <r>
      <rPr>
        <sz val="11"/>
        <color theme="1"/>
        <rFont val="Times New Roman"/>
        <charset val="134"/>
      </rPr>
      <t xml:space="preserve">13+
</t>
    </r>
    <r>
      <rPr>
        <sz val="11"/>
        <color theme="1"/>
        <rFont val="宋体"/>
        <charset val="134"/>
      </rPr>
      <t>作为护林人魔法的基本形式之一，修复植物通常被教授给组织的幼苗。修复植物不仅能够帮助植物自灾难中恢复，还能够抵御旅行中可能遇到的危险。你获得以下增益：</t>
    </r>
    <r>
      <rPr>
        <sz val="11"/>
        <color theme="1"/>
        <rFont val="Times New Roman"/>
        <charset val="134"/>
      </rPr>
      <t xml:space="preserve"> 
</t>
    </r>
    <r>
      <rPr>
        <sz val="11"/>
        <color theme="1"/>
        <rFont val="宋体"/>
        <charset val="134"/>
      </rPr>
      <t>你能够以动作触碰一株植物或树木以确定过去</t>
    </r>
    <r>
      <rPr>
        <sz val="11"/>
        <color theme="1"/>
        <rFont val="Times New Roman"/>
        <charset val="134"/>
      </rPr>
      <t>24</t>
    </r>
    <r>
      <rPr>
        <sz val="11"/>
        <color theme="1"/>
        <rFont val="宋体"/>
        <charset val="134"/>
      </rPr>
      <t>小时其和其周围发生了什么。这些事件将立即以幻境的形式呈现给你并令你身临其境。对一株植物使用该能力后，你将了解其基本状态和健康状况，包括任何正在影响它的枯萎病或其他状态。你能够使用该能力的次数等于你感知调整值的两倍（至少</t>
    </r>
    <r>
      <rPr>
        <sz val="11"/>
        <color theme="1"/>
        <rFont val="Times New Roman"/>
        <charset val="134"/>
      </rPr>
      <t>1</t>
    </r>
    <r>
      <rPr>
        <sz val="11"/>
        <color theme="1"/>
        <rFont val="宋体"/>
        <charset val="134"/>
      </rPr>
      <t>次）。当你完成长休时，重获所有已消耗的使用次数。</t>
    </r>
    <r>
      <rPr>
        <sz val="11"/>
        <color theme="1"/>
        <rFont val="Times New Roman"/>
        <charset val="134"/>
      </rPr>
      <t xml:space="preserve"> 
</t>
    </r>
    <r>
      <rPr>
        <sz val="11"/>
        <color theme="1"/>
        <rFont val="宋体"/>
        <charset val="134"/>
      </rPr>
      <t>你习得戏法植物修复</t>
    </r>
    <r>
      <rPr>
        <sz val="11"/>
        <color theme="1"/>
        <rFont val="Times New Roman"/>
        <charset val="134"/>
      </rPr>
      <t>Mend Plants*</t>
    </r>
    <r>
      <rPr>
        <sz val="11"/>
        <color theme="1"/>
        <rFont val="宋体"/>
        <charset val="134"/>
      </rPr>
      <t>和橡棍术</t>
    </r>
    <r>
      <rPr>
        <sz val="11"/>
        <color theme="1"/>
        <rFont val="Times New Roman"/>
        <charset val="134"/>
      </rPr>
      <t>Shillelagh</t>
    </r>
    <r>
      <rPr>
        <sz val="11"/>
        <color theme="1"/>
        <rFont val="宋体"/>
        <charset val="134"/>
      </rPr>
      <t>。你施展这些法术的施法属性为感知。</t>
    </r>
    <r>
      <rPr>
        <sz val="11"/>
        <color theme="1"/>
        <rFont val="Times New Roman"/>
        <charset val="134"/>
      </rPr>
      <t xml:space="preserve"> 
</t>
    </r>
    <r>
      <rPr>
        <sz val="11"/>
        <color theme="1"/>
        <rFont val="宋体"/>
        <charset val="134"/>
      </rPr>
      <t>你能够施展法术树肤术</t>
    </r>
    <r>
      <rPr>
        <sz val="11"/>
        <color theme="1"/>
        <rFont val="Times New Roman"/>
        <charset val="134"/>
      </rPr>
      <t>Barkskin</t>
    </r>
    <r>
      <rPr>
        <sz val="11"/>
        <color theme="1"/>
        <rFont val="宋体"/>
        <charset val="134"/>
      </rPr>
      <t>和荆棘丛生</t>
    </r>
    <r>
      <rPr>
        <sz val="11"/>
        <color theme="1"/>
        <rFont val="Times New Roman"/>
        <charset val="134"/>
      </rPr>
      <t>Spike Growth</t>
    </r>
    <r>
      <rPr>
        <sz val="11"/>
        <color theme="1"/>
        <rFont val="宋体"/>
        <charset val="134"/>
      </rPr>
      <t>各一次，你必须完成长休才能再次施展这些法术。你施展这些法术的施法属性为感知。</t>
    </r>
  </si>
  <si>
    <t>起源专长
你获得以下增益。
龙之舌Drogon's Tougue。你懂得龙语。若你选取此专长时已懂得龙语，你自《玩家手册》或本书第二章的语言表中选择一门语言习得以替代龙语。
龙之威Dragon's Terror。你能够以魔法动作将恐惧灌输给一名位于你30尺内的你可见的生物。目标必须成功通过一次感知豁免（DC等于8+你的感知调整值+你的熟练加值），否则陷入恐慌状态，持续至你的下个回合结束。若目标的此豁免成功或当其身上的此效应结束时，目标在24小时内免疫此效应。
饮惧为励Inspire by Fear。当你令一名生物陷入恐慌状态且恐惧源为你时，若你没有英雄激励，你可以获得之。此增益一经使用，直至你完成短休或长休都无法再次使用。</t>
  </si>
  <si>
    <t>起源专长
你获得以下增益。
动物交谈Speak with Animals。你始终准备着法术动物交谈Speak with Animals，且能以你拥有的任意法术位施展该法术。你施展该法术的施法属性是智力、感知或魅力（在你选取此专长时选择）。当你将该法术作为仪式施展时，其持续时间为8小时。
双人轮打Tag Team。当你执行协助动作时，作为此动作的一部分，你能够与一名位于你5尺内的自愿盟友交换位置。此次移动不会引发借机攻击。若该盟友陷入失能状态，你无法使用此增益。</t>
  </si>
  <si>
    <t>起源专长
你获得以下增益。
盗贼黑话Thieves' Cant。你懂得盗贼黑话。
乐器训练Instrument Training。你获得一项你选择乐器的熟练。
分神旋律Distracting Melody。当你执行协助动作辅助盟友的攻击检定时，你可以分散位于你30尺内而非5尺内敌人的注意力，只要该敌人能看见或听见你。</t>
  </si>
  <si>
    <t>起源专长
你获得以下增益。
激励打击Inspiring Strike。每回合一次，当你对生物造成重击时，你能够选择一名盟友，其需位于你30尺内，能看见或听见你且不具有英雄激励。该盟友获得英雄激励。
重获荣誉Reassert Honor。当一名你可见的敌人对你5尺内的盟友造成伤害时，你的下个回合结束前，你对该敌人的下次攻击检定具有优势。</t>
  </si>
  <si>
    <t>起源专长
你获得以下增益。
待人接物Entreat。你获得以下技能之一的熟练：洞悉、表演或游说。
振军战吼Rallying Cry。当你投掷先攻时，若你未陷入失能状态，你能够选择数量等于你的熟练加值的你可见且位于你30尺内的生物。这些生物获得英雄激励。
此增益一经使用，直至完成长休你都无法再次使用。</t>
  </si>
  <si>
    <t>起源专长
你获得以下增益。
魔法吸收Magic Absorption。每回合一次，当你受到来自法术或魔法效应的伤害时，你令你受到的总伤害减少1d4。你无法在陷入失能状态期间使用该增益。
咒火之焰Spellfire Flame。你习得戏法圣火术Sacred Flame。该法术的施法属性是智力、感知或魅力（当你选取此专长时选择）。你也能够以附赠动作施展该戏法，次数等于你的熟练加值，当你完成长休时重获所有已消耗的使用次数。</t>
  </si>
  <si>
    <t>起源专长
你获得以下增益。
比肩而立Stand as One。当一名位于你5尺内的盟友将受到推离或拉近其的效应时，你能够以反应防止该盟友被推离或拉近。若盟友陷入失能状态，其无法获得此增益。
警惕Vigilant。当你执行预备动作时，在你的下个回合开始前对你进行的下次攻击检定具有劣势。</t>
  </si>
  <si>
    <t>起源专长
你获得以下增益。
见缝插针Exploit Opening。当你为借机攻击进行伤害掷骰时，你能够投掷两次伤害骰并对目标使用其中一个结果。
家人至上Family First。当你投掷先攻时，若你具有英雄激励，你能够消耗英雄激励令你和你的盟友的此次先攻检定具有优势。</t>
  </si>
  <si>
    <t>通用专长（先决：等级4+，新晋龙巫教徒专长）
你获得以下增益。
属性值提升Ability Score Increase。你的体质或魅力提升1，至多提升至20。
伤害抗性Damage Resistance。当你获得此专长时，你自强酸、寒冷、火焰、闪电或毒素中选择一种。你获得你选择的伤害类型的抗性。
可怖伟力Fearsome Power。当你在你的回合中以攻击动作或魔法动作对一名生物造成伤害时，你能够在本回合以附赠动作使用新晋龙巫教徒专长的龙之威增益。</t>
  </si>
  <si>
    <t>通用专长（先决：等级4+，翠绿闲庭新羽专长）
你获得以下增益。
属性值提升Ability Score Increase。你的智力、感知或魅力提升1，至多提升至20。
动物伙伴Friend to Animals。当你对野兽执行影响动作时，你的属性检定具有优势。
二体一心Two Hearts, One Mind。你始终准备着法术野兽感官Beats Sense。你可以无需法术位地施展该法术一次，当你完成长休时，你重获以此法施展该法术的能力。当你以此特性*（译注：原文如此，为特性Feature，理论上应当是增益Benfits）施展该法术时，该法术无需专注。你也能够以你拥有的合适环阶的法术位施展该法术。该法术的施法属性是你以此专长提升的属性。</t>
  </si>
  <si>
    <t>通用专长（先决：等级4+，竖琴手特工专长）
你获得以下增益。
属性值提升Ability Score Increase。你的敏捷或魅力提升1，至多提升至20。
妙语连珠Withering Wordplay。当你执行协助动作辅助盟友对敌人的攻击检定时，你的下个回合开始前该敌人进行的下次豁免检定也具有劣势。
意志激励Inspiring Willpower。若你成功通过结束你身上的恐慌或麻痹状态的豁免检定，你能够选择一名30尺内你可见的具有相同状态的盟友。该盟友身上的此状态立即结束。</t>
  </si>
  <si>
    <t>通用专长（先决：等级4+，新锻臂铠专长）
你获得以下增益。
属性值提升Ability Score Increase。你的力量、感知或魅力提升1，至多提升至20。
再起Resurge。当你陷入倒地状态时，你能够消耗仅5尺移动力起立。
团结就是力量Stronger Together。若你位于未陷入失能状态的盟友的5尺内，你和该盟友的力量豁免检定具有优势。你陷入失能状态期间无法使用此增益。</t>
  </si>
  <si>
    <t>通用专长（先决：等级4+，领主联盟特工专长）
你获得以下增益。
属性值提升Ability Score Increase。你的力量或魅力提升1，至多提升至20。
执旗者Standard Bearer。以一个附赠动作，选择至多三名位于你60尺内能看见你的生物。每名速度不为0的目标均能够立即以反应起立并结束倒地状态。
此外，你增强目标的信念，持续1分钟或在你陷入失能状态时提前结束。信念增强期间，目标无法被附身或是获得魅惑或恐慌状态；若目标已被附身、魅惑或恐慌，则目标对抗相关效应的任意新豁免检定具有优势。
此增益一经使用，直至完成长休你都无法再次使用。</t>
  </si>
  <si>
    <t>通用专长（先决：等级4+，紫龙新兵专长或军用武器熟练）
你获得以下增益。
属性值提升Ability Score Increase。你的力量或敏捷提升1，至多提升至20。
鼓励盟友Encourage Ally。以一个附赠动作，你增强一名位于你30尺内你可见的盟友。该盟友获得等于2d6加你以此专长提升的属性的调整值的临时生命值。你能够使用此附赠动作的次数等于你的熟练加值，当你完成长休时重获所有已消耗的使用次数。
背水一战Last Stand。浴血期间你的攻击检定具有优势。</t>
  </si>
  <si>
    <t>通用专长（先决：等级4+，咒火火花专长或施法或契约魔法特性）
你获得以下增益。
属性值提升Ability Score Increase。你的智力、感知或魅力提升1，至多提升至20。
咒火燎原Fueled Spellfire。每回合一次，当一道你施展的法术造成光耀伤害时，你能够消耗并投掷至多两枚生命骰，将骰值总和加入该法术的其中一次伤害掷骰中。
焦灼咒火Searing Spellfire。当你进行一次造成光耀伤害的伤害掷骰时，该伤害无视光耀伤害抗性。</t>
  </si>
  <si>
    <t>通用专长（先决：等级4+，散塔林会暴徒专长）
你获得以下增益。
属性值提升Ability Score Increase。你的敏捷或魅力提升1，至多提升至20。
以血还血Retaliate。位于你5尺内生物以近战攻击命中你后，你可以立即对该生物发动一次借机攻击。
万能佣兵Versatile Merc。当你完成长休时，选择一项你具有熟练的技能。你具有该技能的专精，持续至你下次完成长休。</t>
  </si>
  <si>
    <t>通用专长（先决：等级4+）
你获得以下增益。
属性值提升Ability Score Increase。你的智力、感知或魅力提升1，至多提升至20。
戏法Cantrip。你习得戏法冷冻射线Ray of Frost。若你已习得该戏法，你习得另一道你选择的法师戏法。该法术的施法属性是你以此专长提升的属性。
霜噬Frostbite。每回合一次，当你以攻击检定命中一名生物并造成寒冷伤害时，你能够暂时削弱该生物的防御。在你的下个回合结束前，该生物进行的下次豁免检定减少1d4。</t>
  </si>
  <si>
    <t>通用专长（先决：等级4+）
你获得以下增益。
属性值提升Ability Score Increase。你的敏捷或魅力提升1，至多提升至20。
妖精轻步Faerie Trod Trotter。当你在你的回合内执行撤离动作时，本回合剩余的时间中，困难地形不会令你消耗额外的移动力。
惊惶打击Flustering Strike。当你以攻击检定命中一名生物时，你能够尝试令目标惊惶失措。目标必须成功通过一次感知豁免（DC为8加你以此专长提升的属性的调整值加你的熟练加值）否则其豁免具有劣势，持续至你的下个回合结束。
你能够使用此增益的次数等于你的熟练加值，当你完成长休时重获所有已消耗的使用次数。</t>
  </si>
  <si>
    <t>通用专长（先决：等级4+）
你获得以下增益。
属性值提升Ability Score Increase。你的智力、感知或魅力提升1，至多提升至20。
祈愿魔法Wish Magic。你能够以魔法动作施展一道你从术士法术列表中选择的一环法术，该法术的施法时间需为动作。此增益一经使用，直至完成长休你都无法再次使用。该法术的施法属性是你以此专长提升的属性。
当你到达11级时，你以此专长施展的法术如同使用二环法术位施展。当你到达17级时，你以此专长施展的法术如同使用三环法术位施展。</t>
  </si>
  <si>
    <t>通用专长（先决：等级4+）
你获得以下增益。
属性值提升Ability Score Increase。你的智力、感知或魅力提升1，至多提升至20。
迷锁守护Mythal Ward。若法术攻击命中你或你对抗法术的豁免检定失败，你能够以反应投掷迷锁触碰魔法表来创造一个魔法效应。若效应需求豁免，其DC为8加你以此专长提升的属性的调整值加你的熟练加值。你能够使用此增益的次数等于你的熟练加值，当你完成长休时重获所有已消耗的使用次数。
迷锁触碰魔法Mythal-Touched Magic
1d20	效应
1-2	你和每名位于你15尺内的生物进行一次敏捷豁免，豁免失败则受到触发法术环阶1d8倍的力场伤害，豁免成功则受半伤。
3-7	你和触发法术的施法者建立心灵链接，持续1小时。
8-10	以你为中心半径15尺，高60尺柱状区域内的重力反转，持续1分钟，如同法术反转重力Reverse Gravity。
11-13	你和触发法术的施法者均进行一次体质豁免。豁免失败的生物陷入震慑状态直至其下个回合结束。
14-17	你的AC获得+2加值，持续1分钟，若触发法术为法术攻击，则可能使该法术改为失手。
18-19	触发法术的施法者10尺内的任意非魔法易燃物品，只要其未被其他生物着装或携带，均被火焰点燃，受到1d4火焰伤害并开始燃烧。
20	触发法术消散且不产生效应，且用于施展该法术的动作、附赠动作或反应被浪费。若该法术为使用法术位施展的，则该法术位不会被消耗。</t>
  </si>
  <si>
    <t>通用专长（先决：等级4+）
你获得以下增益。
属性值提升Ability Score Increase。你的力量或敏捷提升1，至多提升至20。
锁头Headlock。你的盟友对因你陷入受擒的生物进行的攻击检定具有优势。
坚固锁结Sturdy Knot。当你使用链条、镣铐或绳索捆缚生物时，将你的熟练加值加入挣脱或破坏该链条、镣铐或绳索的DC中。
强硬言辞Tough Talk。你影响生物时，其敌对态度不会令你的魅力（威吓）检定具有劣势。</t>
  </si>
  <si>
    <t>传奇恩惠专长（先决：等级19+）
你获得以下增益：
属性值提升Ability Score Increase。你选择的一项属性提升1，至多提升至30。
杀手机运Killer's Fortune。当一名你可见的敌人生命值降至0时，你的下次攻击检定获得优势，持续至你的下个回合结束。
痛心切骨Power from Pain。每回合一次，当你在浴血期间进行攻击检定时，你可以额外对目标造成等于熟练加值的伤害。额外伤害的伤害类型与该攻击的伤害类型一致。</t>
  </si>
  <si>
    <t>传奇恩惠专长（先决：等级19+）
你获得以下增益：
属性值提升Ability Score Increase。你选择的一项属性提升1，至多提升至30。
超健康Augmented Health。当你获得临时生命值时，该临时生命值数值提升5。
超恢复Superior Recuperation。当你消耗一枚或更多生命骰恢复生命值时，你能够以每枚骰子可能掷出的最高值替代其骰值。</t>
  </si>
  <si>
    <t>传奇恩惠专长（先决：等级19+）
你获得以下增益：
属性值提升Ability Score Increase。你的智力、感知或魅力提升1，至多提升至30。
巧妙讲演Cunning Speaker。你影响敌对生物时进行的属性检定不具有劣势。
天赐译员Gifted Interpreter。你理解你看见或听见的任意语言手势的字面意思。你理解你看见的任意语言文字的字面意思。
心灵沟通Mental Communication。你获得120尺心灵感应。</t>
  </si>
  <si>
    <t>传奇恩惠专长（先决：等级19+）
你获得以下增益：
属性值提升Ability Score Increase。你的力量或体质提升1，至多提升至30。
心体防护Defense of Body and Mind。浴血期间，你对除力场伤害外的所有类型伤害具有抗性。</t>
  </si>
  <si>
    <t>传奇恩惠专长（先决：等级19+）
你获得以下增益：
属性值提升Ability Score Increase。你选择的一项属性提升1，至多提升至30。
永恒安眠Enternal Rest。被你降至0生命值的生物无法变为亡灵。
磊落光明Powerful Radiance。当你进行一次造成光耀伤害的伤害掷骰时，你能够以每枚骰子可能掷出的最高值替代其骰值。此增益一经使用，直至完成长休你都无法再次使用。</t>
  </si>
  <si>
    <t>传奇恩惠专长（先决：等级19+）
你获得以下增益：
属性值提升Ability Score Increase。你的智力、感知或魅力提升1，至多提升至30。
变形生物Shapechanger。你能够以魔法动作变形为挑战等级不高于10的野兽、类人或怪兽。当你变形时，你获得等于新形态生命值的临时生命值。变形效应持续1小时，并在你不具有剩余的临时生命值时或在你执行魔法动作变回真实形态时提前结束。
你的游戏数据被你选择形态的数据卡所替换，但你保留你的生物类型；阵营；个性；智力、感知和魅力属性值；生命值；生命骰；熟练项；交流能力。若你具有施法或契约魔法特性，你同样保留之。变形时，由你决定着装或携带的每件装备是掉落在地上或是适应你的新形态调整大小与形状（仅当你置身其中期间）。
此增益一经使用，直至完成长休你都无法再次使用。
变化适性Hardy Transformation。当你在变形时获得临时生命值时，该临时生命值数值提升20。</t>
  </si>
  <si>
    <t>传奇恩惠专长（先决：等级19+）
你获得以下增益：
属性值提升Ability Score Increase。你选择的一项属性提升1，至多提升至30。
豁免重骰Saving Throw Reroll。当你的豁免检定失败时，你能够重新掷骰但必须使用新的结果。此增益一经使用，直至你的下个回合开始你都无法再次使用。</t>
  </si>
  <si>
    <t>传奇恩惠专长（先决：等级19+）
你获得以下增益：
属性值提升Ability Score Increase。你选择的一项属性提升1，至多提升至30。
百毒不侵Antitoxic。你具有对毒素伤害和中毒状态的免疫。
完美毒师Perfect Poisoner。每回合一次，当你掷骰以决定生物因你的攻击、法术或特性受到的毒素伤害时，你能够以每枚骰子可能掷出的最高值替代其骰值。</t>
  </si>
  <si>
    <t>传奇恩惠专长（先决：等级19+）
你获得以下增益：
属性值提升Ability Score Increase。你的智力、感知或魅力提升1，至多提升至30。
舞动灵感Inspire Dance。你始终准备着法术奥图迷舞Otto's Irresistible Dance。你可以无需法术位地施展该法术一次，当你完成长休时，你重获以此法施展该法术的能力。你也能够以你拥有的合适环阶的法术位施展该法术。
当你施展该法术时无需法术成分，且受到伤害不会打断你该法术的专注。
（译注：本专长未写明法术的施法属性，原文如此）
放声歌唱Sing Out。若一名生物因对抗你的奥图迷舞Otto's Irresistible Dance豁免失败而陷入该法术造成的魅惑状态，其无法施展需要言语成分的法术，且若其能够唱歌，其将哼唱无意义的悦耳小调。</t>
  </si>
  <si>
    <t>传奇恩惠专长（先决：等级19+）
你获得以下增益：
属性值提升Ability Score Increase。你的魅力提升1，至多提升至30。
无所畏惧Fearless。你具有对恐慌状态的免疫。
逃吧，蠢货！Flee, Fools!当一名陷入恐慌状态的生物在你60尺内开始其回合时，只要你可以看见该生物且其未身处全身掩护之后，你就能够以反应加剧其恐惧。若你如此做，该生物必须成功通过一次感知豁免（DC为8加你的魅力调整值加你的熟练加值），否则需要消耗其回合以可用的最快方式移动远离你。此增益一经使用，直至完成短休或长休你都无法再次使用。
令人生畏Intimidating。若你不具有威吓技能的熟练，你获得之。你还会获得威吓专精。</t>
  </si>
  <si>
    <t>传奇恩惠专长（先决：等级19+）
你获得以下增益：
属性值提升Ability Score Increase。你的体质、感知或魅力提升1，至多提升至30。
如日当空Daylight Presence。以一个附赠动作，你在30尺光环区域内散发如同阳光的明亮光照。若任意光环区域与法术创造的黑暗区域重叠，该法术被解除。光环持续至你解除之（无需动作）、你死亡或你陷入失能状态。
守御之光Fortifying Light。当你的如日当空激活时*（译注：原文如此，按后文看应是激活期间），每个你的回合开始时，你和如日当空区域内你可见的盟友获得10临时生命值。</t>
  </si>
  <si>
    <t>传奇恩惠专长（先决：等级19+，且拥有施法Spellcasting或契约魔法Pact Magic特性）
你获得以下增益：
属性值提升Ability Score Increase。你的智力、感知或魅力提升1，至多提升至30。
暴风之眼Eye of the Storm。你对闪电和雷鸣伤害具有抗性。浴血期间，你对闪电和雷鸣伤害具有免疫。
风暴之力Storm's Strength。生物在对抗你造成闪电或雷鸣伤害的法术时进行的豁免检定具有劣势。</t>
  </si>
  <si>
    <t>传奇恩惠专长（先决：等级19+）
你获得以下增益：
属性值提升Ability Score Increase。你选择的一项属性提升1，至多提升至30。
墓亡抗性Grave Resistance。你对寒冷和暗蚀伤害具有抗性。
生命虹吸Siphon Life。当一名位于你120尺内的敌人生命值降至0时，你能够以反应恢复50生命值。此增益一经使用，直至完成短休或长休你都无法再次使用。</t>
  </si>
  <si>
    <t>起源专长
你获得以下增益。
艾尔杜之眼Eyes of Eirdu。你和位于你10尺内的盟友为避免或结束目盲状态而进行豁免检定时具有优势。
妖火Faerie Fire。你习得法术妖火Faerie Fire。你的该法术的施法属性是感知、智力或魅力（在你选取该专长时选择）。你可以无需法术位地施展该法术一次，当你完成长休时，你重获以此法施展该法术的能力。你也能够以你拥有的任意法术位施展该法术。
当你使用该增益不消耗法术位地施展妖火Faerie Fire时，受到伤害不会打断你对该法术的专注。</t>
  </si>
  <si>
    <t>起源专长
你获得以下增益。
脆弱诅咒Hex。你始终准备着法术脆弱诅咒Hex。你的该法术的施法属性是感知、智力或魅力（在你选取该专长时选择）。你可以无需法术位地施展该法术一次，当你完成长休时，你重获以此法施展该法术的能力。你也能够以你拥有的任意法术位施展该法术。
诅咒魔法Curse Magic。当一名被你以脆弱诅咒Hex诅咒的生物以攻击检定命中你时，该生物受到等于你熟练加值的心灵伤害。一名生物每回合仅会受到一次该额外伤害。</t>
  </si>
  <si>
    <t>龙纹专长（先决：艾伯伦战役，不具有其他龙纹专长）
你获得以下增益： 
异种坚韧Aberrant Fortitude。当你体质豁免失败时，你能以反应投掷1d4并将骰值加入豁免中。此增益一经使用，直至完成长休你都无法再次使用。 
异种魔法Aberrant Magic。你知晓一道你选择的来自术士法术列表的戏法。此外，选择一道来自术士法术列表的一环法术，你始终准备着这道法术。你可以无需法术位地施展该法术一次，当你完成长休或短休时，你重获以此法施展该法术的能力。你也能够以你拥有的任意法术位施展该法术。你的该法术的施法属性是体质。 
异种浪涌Aberrant Surge。当你施展本专长给予的一环法术时，你可以消耗一枚你的生命骰并投掷之。若结果为偶数，你获得等于骰值的临时生命值。若结果为奇数，位于你30尺内的一名生物（不包括你）受到等于骰值的力场伤害。若范围内没有其他生物，此伤害由你承受。</t>
  </si>
  <si>
    <t xml:space="preserve">龙纹专长（先决：艾伯伦战役，不具有其他龙纹专长）
你获得以下增益：
推理直觉Deductive Intuition。 当你进行智力（调查）或感知（洞悉）检定时，你可以投掷1d4并将骰值加入属性检定中。 
魔法侦测Magical Detection。你始终准备着法术侦测魔法Detect Magic和侦测毒性和疾病Detect Poison and Disease 。你可以无需法术位地施展每道法术各一次，当你完成长休时，你重获以此法施展这些法术的能力。你也能够以你拥有的合适环阶的法术位施展这些法术。你的这些法术的施法属性是感知、智力或魅力（在你选取该专长时选择）。
当你角色等级到达3级时，你始终准备着法术识破隐形See Invisibility ，并可用相同方式施展该法术。 
龙纹法术Spells of the Mark。若你具有施法或契约魔法特性，侦测龙纹法术表中的法术将加入那个特性的法术列表中。
侦测龙纹法术Mark of Detection Spells 法术环阶 法术 
一环 侦测善恶Detect Evil and Good，鉴定术Identify 
二环 侦测思想Detect Thoughts，寻找陷阱Find Traps 
三环 鹰眼术Clairvoyance ，回避侦测Nondetection 
四环 秘法眼Arcane Eye，预言术Divination 
五环 通晓传奇Legend Lore </t>
  </si>
  <si>
    <t xml:space="preserve">龙纹专长（先决：艾伯伦战役，不具有其他龙纹专长）
你获得以下增益：
猎手直觉Hunter's Intuition。 当你进行感知（察觉或求生）检定时，你可以投掷1d4并将骰值加入属性检定中。 
探寻魔法Finder's Magic。你始终准备着法术猎人印记Hunter's Mark 。你可以无需法术位地施展该法术一次，当你完成长休时，你重获以此法施展该法术的能力。你也能够以你拥有的合适环阶的法术位施展该法术。你的该法术的施法属性是感知、智力或魅力（在你选取该专长时选择）。
当你角色等级到达3级时，你始终准备着法术物件定位术Locate Object ，并可用相同方式施展该法术。 
龙纹法术Spells of the Mark。若你具有施法或契约魔法特性，探寻龙纹法术表中的法术将加入那个特性的法术列表中。
探寻龙纹法术Mark of Finding Spells 法术环阶 法术 
一环 妖火Faerie Fire，大步奔行Longstrider 
二环 动植物定位术Locate Animals or Plants，心灵尖刺Mind Spike 
三环 鹰眼术Clairvoyance，植物交谈Speak with Plants 
四环 预言术Divination，生物定位术Locate Creature 
五环 问道自然Commune with Nature </t>
  </si>
  <si>
    <t xml:space="preserve">龙纹专长（先决：艾伯伦战役，不具有其他龙纹专长）
你获得以下增益：
野性直觉Wild Intuition。当你进行智力（自然）或感知（驯兽）检定时，你可以投掷1d4并将骰值加入属性检定中。 
原初联结Primal Connection。你始终准备着法术化兽为友Animal Friendship和动物交谈Speak with Animals 。你可以无需法术位地施展每道法术各一次，当你完成长休时，你重获以此法施展这些法术的能力。你也能够以你拥有的任意法术位施展这些法术。你的这些法术的施法属性是感知、智力或魅力（在你选取该专长时选择）。 
大点而已The Bigger They Are。当你角色等级到达3级时，你施展法术化兽为友Animal Friendship和动物交谈Speak with Animals 时，能够以智力不高于3的怪兽为目标。 
龙纹法术Spells of the Mark。若你具有施法或契约魔法特性，畜牧龙纹法术表中的法术将加入那个特性的法术列表中。
畜牧龙纹法术Mark of Handling Spells 法术环阶 法术 
一环 命令术Command，寻获魔宠Find Familiar 
二环 野兽感官Beast Sense，安定心神Calm Emotions 
三环 希望信标Beacon of Hope，咒唤兽群Conjure Animals 
四环 生命灵光Aura of Life，支配野兽Dominate Beast 
五环 启蒙术Awaken </t>
  </si>
  <si>
    <t xml:space="preserve">龙纹专长（先决：艾伯伦战役，不具有其他龙纹专长）
你获得以下增益：
医学直觉Medical Intuition。当你进行感知（医药）检定或使用草药工具的属性检定时，你可以投掷1d4并将骰值加入属性检定中。
治愈之触Healing Touch。你始终准备着法术疗伤术Cure Wounds 。你可以无需法术位地施展该法术一次，当你完成长休时，你重获以此法施展该法术的能力。你也能够以你拥有的合适环阶的法术位施展该法术。你的该法术的施法属性是感知、智力或魅力（在你选取该专长时选择）。
当你角色等级到达3级时，你始终准备着法术次等复原术Lesser Restoration ，并可用相同方式施展该法术。 
龙纹法术Spells of the Mark。若你具有施法或契约魔法特性，医疗龙纹法术表中的法术将加入那个特性的法术列表中。
医疗龙纹法术Mark of Healing Spells 法术环阶 法术 
一环 虚假生命False Life，治愈真言Healing Word 
二环 复苏秘法Arcane Vigor，治疗祷言Prayer of Healing 
三环 活力灵光Aura of Vitality，群体治愈真言Mass Healing Word 
四环 生命灵光Aura of Life，净化灵光Aura of Purity 
五环 高等复原术Greater Restoration </t>
  </si>
  <si>
    <t xml:space="preserve">龙纹专长（先决：艾伯伦战役，不具有其他龙纹专长）
你获得以下增益：
永恒款待Ever Hospitable。 当你进行魅力（游说）检定或使用酿酒工具或厨师工具的属性检定时，你可以投掷1d4并将骰值加入属性检定中。 
掌柜魔法Innkeeper's Magic。你始终准备着法术净化饮食Purify Food and Drink和隐形仆役Unseen Servant 。你可以无需法术位地施展每道法术各一次，当你完成长休时，你重获以此法施展这些法术的能力。你也能够以你拥有的合适环阶的法术位施展这些法术。你的这些法术的施法属性是感知、智力或魅力（在你选取该专长时选择）。
当你角色等级到达3级时，你始终准备着法术安定心神Calm Emotions ，并可用相同方式施展该法术。 
龙纹法术Spells of the Mark。若你具有施法或契约魔法特性，招待龙纹法术表中的法术将加入那个特性的法术列表中。
招待龙纹法术Mark of Hospitality Spells 法术环阶 法术 
一环 神莓术Goodberry，睡眠术Sleep 
二环 援助术Aid，强化属性Echance Ability 
三环 造粮术Create Food and Water，李欧蒙小屋Leomund's Tiny Hut 
四环 净化灵光Aura of Purity，魔邓肯的私人密室Mordenkainen's Private Sanctum 
五环 圣居Hallow </t>
  </si>
  <si>
    <t xml:space="preserve">龙纹专长（先决：艾伯伦战役，不具有其他龙纹专长）
你获得以下增益：
工匠直觉Artisan's Intuition。 当你进行智力（奥秘）检定或使用工匠工具的属性检定时，你可以投掷1d4并将骰值加入属性检定中。 
法术匠人Spellsmith。你知晓戏法修复术Mending。你始终准备着法术魔化武器Magic Weapon。你可以无需法术位地施展该法术一次，当你完成长休时，你重获以此法施展该法术的能力。你也能够以你拥有的任意*法术位施展该法术。你的这些法术的施法属性是感知、智力或魅力（在你选取该专长时选择）。 （译注：原文如此） 
龙纹法术Spells of the Mark。 若你具有施法或契约魔法特性，创造龙纹法术表中的法术将加入那个特性的法术列表中。
创造龙纹法术Mark of Making Spells 法术环阶 法术 
一环 鉴定术Identify，谭森浮碟术Tenser's Floating Disk 
二环 不灭明焰Continual Flame，灵体武器Spiritual Weapon 
三环 箭如雨下Conjure Barrage，元素武器Elemental Weapon 
四环 鬼斧神工Fabricate，塑石术Stone Shape 
五环 造物术Creation </t>
  </si>
  <si>
    <t xml:space="preserve">龙纹专长（先决：艾伯伦战役，不具有其他龙纹专长）
你获得以下增益：
信使极速Courier's Speed。 你的速度提升5尺。
直觉行动Intuitive Motion。 当你进行力量（运动）或敏捷（特技）检定时，你可以投掷1d4并将骰值加入属性检定中。
魔法通行Magical Passage。你始终准备着法术迷踪步Misty Step。你可以无需法术位地施展该法术一次，当你完成长休时，你重获以此法施展该法术的能力。你也能够以你拥有的任意*法术位施展该法术。你的该法术的施法属性是感知、智力或魅力（在你选取该专长时选择）。 （译注：原文如此） 
龙纹法术Spells of the Mark。 若你具有施法或契约魔法特性，通行龙纹法术表中的法术将加入那个特性的法术列表中。
通行龙纹法术Mark of Passage Spells 法术环阶 法术 
一环 脚底抹油Expeditious Retreat，跳跃术Jump 
二环 行动无踪Pass without Trace，寻获坐骑Find Steed 
三环 闪现术Blink，魅影驹Phantom Steed 
四环 任意门Dimension Door，行动自如Freedom of Movement 
五环 传送法阵Teleportation Circle </t>
  </si>
  <si>
    <t xml:space="preserve">龙纹专长（先决：艾伯伦战役，不具有其他龙纹专长）
你获得以下增益：
天才文员Gifted Scribe。 当你进行智力（历史）检定或使用书法工具的属性检定时，你可以投掷1d4并将骰值加入属性检定中。
文员洞见Scribe's Insight。你知晓戏法传讯术Message。你始终准备着法术通晓语言Comprehend Languages 。你可以无需法术位地施展该法术一次，当你完成长休时，你重获以此法施展该法术的能力。你也能够以你拥有的合适环阶的法术位施展该法术。你的该法术的施法属性是感知、智力或魅力（在你选取该专长时选择）。
当你角色等级到达3级时，你始终准备着法术魔嘴术Magic Mouth ，并可用相同方式施展该法术。
龙纹法术Spells of the Mark。 若你具有施法或契约魔法特性，抄录龙纹法术表中的法术将加入那个特性的法术列表中。
抄录龙纹法术Mark of Scribing Spells 法术环阶 法术 
一环 命令术Command，迷幻手稿Illusory Script 
二环 动物信使Animal Messenger，沉默术Silence 
三环 短讯术Sending，巧言术Tongues 
四环 秘法眼Arcane Eye，困惑术Confusion 
五环 托梦术Dream </t>
  </si>
  <si>
    <t xml:space="preserve">龙纹专长（先决：艾伯伦战役，不具有其他龙纹专长）
你获得以下增益：
哨戒直觉Sentinel's Intuition。 当你进行感知（洞悉或察觉）检定时，你可以投掷1d4并将骰值加入属性检定中。
卫护之盾Guardian's Shield。你始终准备着法术护盾术Shield 。你可以无需法术位地施展该法术一次，当你完成长休时，你重获以此法施展该法术的能力。你也能够以你拥有的任意法术位施展该法术。你的该法术的施法属性是感知、智力或魅力（在你选取该专长时选择）。
警戒哨卫Vigilant Guardian。 当一名位于你5尺内你可见的生物被攻击检定命中时，你可以执行反应来与该生物交换位置，并代替其被那次攻击命中。你能够使用此特性*的次数等于你的熟练加值，当你完成长休时，重获所有已消耗的使用次数。（译注:原文如此） 
龙纹法术Spells of the Mark。 若你具有施法或契约魔法特性，哨戒龙纹法术表中的法术将加入那个特性的法术列表中。
哨戒龙纹法术Mark of Sentinel Spells 法术环阶 法术 
一环 强令对决Compelled Duel，虔诚护盾Shield of Faith 
二环 守护之链Warding Bond，诚实之域Zone of Truth 
三环 法术反制Counterspell，防护能量伤害Protection from Energy 
四环 防死结界Death Ward，信仰守卫Guardian of Faith 
五环 毕格比之手Bigby's Hand </t>
  </si>
  <si>
    <t xml:space="preserve">龙纹专长（先决：艾伯伦战役，不具有其他龙纹专长）
你获得以下增益：
奸猾直觉Cunning Intuition。 当你进行敏捷（隐匿）或魅力（表演）检定时，你可以投掷1d4并将骰值加入属性检定中。
阴影塑形Shape Shadows。你知晓戏法次级幻象Minor Illusion。你始终准备着法术隐形术Invisibility 。你可以无需法术位地施展该法术一次，当你完成长休时，你重获以此法施展该法术的能力。你也能够以你拥有的合适环阶的法术位施展该法术。你的这些法术的施法属性是感知、智力或魅力（在你选取该专长时选择）。
龙纹法术Spells of the Mark。 若你具有施法或契约魔法特性，阴影龙纹法术表中的法术将加入那个特性的法术列表中。
阴影龙纹法术Mark of Shadow Spells 法术环阶 法术 
一环 易容术Disguise Self，无声幻影Silent Image 
二环 黑暗术Darkness，行动无踪Pass without Trace 
三环 鹰眼术Clairvoyance，高级幻影Major Image 
四环 高等隐形术Greater Invisibility，幻景Hallucinatory Terrain 
五环 假象术Mislead </t>
  </si>
  <si>
    <t xml:space="preserve">龙纹专长（先决：艾伯伦战役，不具有其他龙纹专长）
你获得以下增益：
风骑直觉Windwright's Intuition。 当你进行敏捷（特技）检定或使用领航工具的属性检定时，你可以投掷1d4并将骰值加入属性检定中。
暴风恩惠Storm's Boon。 你具有对闪电伤害的抗性。
暴风魔法Storm Magic。你知晓戏法鸣雷破Thunderclap。当你角色等级到达3级时，你始终准备着法术造风术Gust of Wind 。你可以无需法术位地施展该法术一次，当你完成长休时，你重获以此法施展该法术的能力。你也能够以你拥有的合适环阶的法术位施展该法术。你的这些法术的施法属性是感知、智力或魅力（在你选取该专长时选择）。
龙纹法术Spells of the Mark。 若你具有施法或契约魔法特性，暴风龙纹法术表中的法术将加入那个特性的法术列表中。
暴风龙纹法术Mark of Storm Spells 法术环阶 法术 
一环 羽落术Feather Fall，云雾术Fog Cloud 
二环 浮空术Levitate，粉碎音波Shatter 
三环 雪雨暴Sleet Storm，风墙术Wind Wall 
四环 咒唤微元素群Conjure Minor Elemental，操控水体Control Water 
五环 咒唤元素Conjure Elemental </t>
  </si>
  <si>
    <t xml:space="preserve">龙纹专长（先决：艾伯伦战役，不具有其他龙纹专长）
你获得以下增益：
御护直觉Warder's Intuition。 当你进行智力（调查）检定或使用盗贼工具的属性检定时，你可以投掷1d4并将骰值加入属性检定中。
缄守封护Wards and Seals。你始终准备着法术警报术Alarm和法师护甲Mage Armor 。你可以无需法术位地施展每道法术各一次，当你完成长休时，你重获以此法施展这些法术的能力。你也能够以你拥有的合适环阶的法术位施展这些法术。你的这些法术的施法属性是感知、智力或魅力（在你选取该专长时选择）。
当你角色等级到达3级时，你始终准备着法术秘法锁Arcane Lock ，并可用相同方式施展该法术。
龙纹法术Spells of the Mark。 若你具有施法或契约魔法特性，守御龙纹法术表中的法术将加入那个特性的法术列表中。
守御龙纹法术Mark of Warding Spells 法术环阶 法术 
一环 黯冰狱铠Armor of Agathys，庇护术Sanctuary 
二环 敲击术Knock，涅斯图魔法灵光Nystul's Magic Aura 
三环 守卫刻纹Glyph of Warding，防护法阵Magic Circle 
四环 李欧蒙秘藏箱Leomund's Secret Chest，魔邓肯忠犬Mordenkainen's Faithful Hound 
五环 防活物护罩Antilife Shell </t>
  </si>
  <si>
    <t>通用专长（先决：等级4+，异种龙纹专长） 
你获得以下增益： 
属性值提升Ability Score Increase。你的体质属性提升1，至多提升至20。 
直觉锐化Improved Intuition。当你使用你异种龙纹的异种坚韧增益时，可以不再投掷1d4，改为投掷1d6。且现在你完成长休或短休时均会重置异种坚韧的使用权。 
灵感龙纹Mark of Inspiration。当你施展一道戏法时，你可以投掷一枚或两枚你未消耗的生命骰。你获得等于骰值加你体质调整值的临时生命值，位于你30尺内的一名生物（不包括你）受到等于骰值的力场伤害。然后这些生命骰被消耗。 
你可以使用此增益的次数等于你的熟练加值，当你完成长休时，你重获所有已消耗的使用次数。</t>
  </si>
  <si>
    <t>通用专长（先决：等级4+，侦测龙纹专长） 
你获得以下增益： 
属性值提升Ability Score Increase。你选择的一项属性提升1，至多提升至20。 
直觉锐化Improved Intuition。当你使用你侦测龙纹的推理直觉增益时，可以不再投掷1d4，改为投掷1d6。 
有识同享Shared Detection。当你使用你侦测龙纹的魔法侦测增益不消耗法术位地施展法术识破隐形See Invisibility 时，你选择一名位于你30尺内你可见的生物。该生物在持续时间内也获得该法术的增益。</t>
  </si>
  <si>
    <t>通用专长（先决：等级4+，探寻龙纹专长） 
你获得以下增益： 
属性值提升Ability Score Increase。你选择的一项属性提升1，至多提升至20。 
直觉锐化Improved Intuition。当你使用你探寻龙纹的猎手直觉增益时，可以不再投掷1d4，改为投掷1d6。 
探幽索隐Improved Finding。当你使用你探寻龙纹的探寻魔法增益不消耗法术位地施展法术猎人印记Hunter's Mark 时，法术的施法距离翻倍，且你可以调整法术，使目标在法术持续期间无法受益于隐形状态。</t>
  </si>
  <si>
    <t>通用专长（先决：等级4+，畜牧龙纹专长） 
你获得以下增益： 
属性值提升Ability Score Increase。你选择的一项属性提升1，至多提升至20。 
直觉锐化Improved Intuition。当你使用你畜牧龙纹的野性直觉增益时，可以不再投掷1d4，改为投掷1d6。 
万畜牧首Improved Handling。骑乘期间，在你以近战攻击检定命中一名位于你坐骑5尺内的目标后，你的坐骑可以立即执行反应，移动至多等于其速度的距离或执行攻击动作来发动仅一次攻击（由你选择）。 
震服万兽Subdue Animal。以一个魔法动作，你对一名位于你30尺内你可见的野兽或怪兽施加命令。目标必须成功通过一次感知豁免（DC为8+你的感知调整值+你的熟练加值），否则陷入恐慌状态，直至你的下个回合开始。你可以使用此增益的次数等于你的熟练加值，当你完成长休时，你重获所有已消耗的使用次数。</t>
  </si>
  <si>
    <t>通用专长（先决：等级4+，医疗龙纹专长） 
你获得以下增益： 
属性值提升Ability Score Increase。你选择的一项属性提升1，至多提升至20。 
直觉锐化Improved Intuition。当你使用你医药龙纹的医学直觉增益时，可以不再投掷1d4，改为投掷1d6。 
妙手回春Improved Healing。现在你能使用你医疗龙纹的治愈之触增益不消耗法术位地施展法术疗伤术Cure Wounds 的次数，等于你的熟练加值，当你完成长休时，你重获所有已消耗的使用次数。 
此外，当你施展法术疗伤术Cure Wounds ，为决定生命值恢复量进行掷骰时，你可以将骰子投出的1和2都视为3。</t>
  </si>
  <si>
    <t>通用专长（先决：等级4+，招待龙纹专长） 
你获得以下增益： 
属性值提升Ability Score Increase。你选择的一项属性提升1，至多提升至20。 
直觉锐化Improved Intuition。当你使用你招待龙纹的永恒款待增益时，可以不再投掷1d4，改为投掷1d6。 
宾至如归Inspired Hospitality。当你施展法术净化饮食Purify Food and Drink 时，你可以调整其效果以代替法术的原效果，改为使位于你30尺内每名你选择的生物恢复精神。每名受影响生物的力竭等级减少一级，且获得一定量的临时生命值，数值等于你的熟练加值加你的智力、魅力或感知调整值（在你选取该专长时选择）。一旦你以此增益调整该法术，直至完成长休你都无法再如此做。</t>
  </si>
  <si>
    <t>通用专长（先决：等级4+，创造龙纹专长） 
你获得以下增益： 
属性值提升Ability Score Increase。你选择的一项属性提升1，至多提升至20。 
直觉锐化Improved Intuition。当你使用你创造龙纹的工匠直觉增益时，可以不再投掷1d4，改为投掷1d6。 
鬼斧神造Improved Making。当你使用你创造龙纹的法术匠人增益不消耗法术位地施展法术魔化武器Magic Weapon 时，你施展该法术的三环版本。</t>
  </si>
  <si>
    <t>通用专长（先决：等级4+，通行龙纹专长） 
你获得以下增益： 
属性值提升Ability Score Increase。你选择的一项属性提升1，至多提升至20。 
直觉锐化Improved Intuition。当你使用你通行龙纹的直觉行动增益时，可以不再投掷1d4，改为投掷1d6。 
比翼生花Inspired Passage。当你使用你通行龙纹的魔法通行增益不消耗法术位地施展法术迷踪步Misty Step 时，在传送前，你可以选择至多两名位于你30尺内你可见的自愿生物。其后每名目标能以反应也传送至多30尺至一处其可见的未占据空间。</t>
  </si>
  <si>
    <t>通用专长（先决：等级4+，抄录龙纹专长） 
你获得以下增益： 
属性值提升Ability Score Increase。你选择的一项属性提升1，至多提升至20。 
直觉锐化Improved Intuition。当你使用你抄录龙纹的天才文员增益时，可以不再投掷1d4，改为投掷1d6。 
刻神牍心Inspired Scribing。当你施展法术通晓语言Comprehend Languages 时，你可以调整其效果，包围至多三名位于你30尺内你可见的自愿生物。每名被选生物在持续时间内也获得该法术的增益。此外，在法术持续时间内，只要你和被选生物位于彼此1里内，你们就能以心灵感应互相交流。一旦你以此增益调整该法术，直至完成长休你都无法再如此做。</t>
  </si>
  <si>
    <t>通用专长（先决：等级4+，哨戒龙纹专长） 
你获得以下增益： 
属性值提升Ability Score Increase。你选择的一项属性提升1，至多提升至20。 
直觉锐化Improved Intuition。当你使用你哨戒龙纹的哨戒直觉增益时，可以不再投掷1d4，改为投掷1d6。 
枕戈待旦Improved Sentinel。当你使用你哨戒龙纹的警戒哨卫增益时，作为该反应的一部分，你还能以武器或徒手打击发动一次攻击。</t>
  </si>
  <si>
    <t>通用专长（先决：等级4+，阴影龙纹专长） 
你获得以下增益： 
属性值提升Ability Score Increase。你选择的一项属性提升1，至多提升至20。 
直觉锐化Improved Intuition。当你使用你阴影龙纹的奸猾直觉增益时，可以不再投掷1d4，改为投掷1d6。 
幽邃匿影Improved Shadow。当你使用你阴影龙纹的阴影塑形增益不消耗法术位地施展法术隐形术Invisibility时，你施展该法术的三环版本。</t>
  </si>
  <si>
    <t>通用专长（先决：等级4+，暴风龙纹专长） 
你获得以下增益： 
属性值提升Ability Score Increase。你选择的一项属性提升1，至多提升至20。 
直觉锐化Improved Intuition。当你使用你暴风龙纹的风骑直觉增益时，可以不再投掷1d4，改为投掷1d6。 
长风化翼Improved Storm。当你使用你暴风龙纹的暴风魔法增益不消耗法术位地施展法术造风术Gust of Wind 时，你在法术持续期间还会获得60尺飞行速度。</t>
  </si>
  <si>
    <t>通用专长（先决：等级4+，守御龙纹专长） 
你获得以下增益： 
属性值提升Ability Score Increase。你选择的一项属性提升1，至多提升至20。 
直觉锐化Improved Intuition。当你使用你守御龙纹的御护直觉增益时，可以不再投掷1d4，改为投掷1d6。 
固若金汤Improved Warding。当一名生物对你或位于你30尺内你可见的生物进行攻击检定时，你能以反应迫使此检定承受劣势。你可以使用此增益的次数等于你的熟练加值，当你完成长休时，你重获所有已消耗的使用次数。</t>
  </si>
  <si>
    <t>通用专长（先决：等级4+，任意龙纹专长） 
你获得以下增益： 
属性值提升Ability Score Increase。你龙纹专长使用的施法属性提升1，至多提升至20。 
龙纹准备Dragonmark Preparation。你始终准备着龙纹法术列表中的法术（若有）。 
龙纹施法Dragonmark Spellcasting。你具有一个额外法术位，用于施展你的龙纹专长赋予你的法术。该法术位的环阶等于你等级的一半（向上取整），最高为五环。当你完成短休或长休时，你重获已消耗的该法术位。你使用该法术位施展的法术，只能是你因你的龙纹专长或本专长的龙纹准备增益准备着的法术。</t>
  </si>
  <si>
    <t xml:space="preserve">传奇恩惠专长（先决：等级19+，艾伯伦战役）
你获得以下增益：
属性值提升Ability Score Increase。 你选择的一项属性提升1，至多提升至30。
异种魔法Aberrant Magic。 选择一道来自术士法术列表的不高于八环的法术或一道来自西伯瑞斯龙纹表的法术（若你想将此法术与某种龙纹相关联，表中包含龙纹建议）。你始终准备着这道法术。你可以无需法术位地施展该法术一次，当你完成长休或短休时，你重获以此法施展该法术的能力。你也能够以你拥有的合适环阶的法术位施展该法术。你的这些法术的施法属性是感知、智力或魅力（在你获得该专长时选择）。
西伯瑞斯龙纹Siberys Dragonmarks 法术 建议龙纹 
真知术True Seeing 侦测Detection 
传送术Teleport 探寻Finding 
动物形态Animal Shapes 畜牧Handling 
再生术Regenerate 医疗Healing 
英雄宴Heroes' Feast 招待Hospitality 
半位面Demiplane 创造Making 
位面转移Plane Shift 通行Passage 
徽记术Symbol 抄录Scribing 
心灵屏障Mind Blank 哨戒Sentinel 
投影术Project Image 阴影Shadow 
操控天气Control Wetdaer 暴风Storm 
迷宫术Maze 守御Warding </t>
  </si>
  <si>
    <t>背景名称</t>
  </si>
  <si>
    <t>见注释，或自选至多三项</t>
  </si>
  <si>
    <t>自选一项起源专长</t>
  </si>
  <si>
    <t>自选两个适合背景的技能</t>
  </si>
  <si>
    <t>选择一个工具，它与该背景有关，或是经常被该背景的人使用</t>
  </si>
  <si>
    <t>组合一套价值50GP的装备（购买完毕后多余的钱也会包含在其内）。不要将包含军用武器和护甲包含在背景给予的装备中，角色会从其职业中获得这两样装备。</t>
  </si>
  <si>
    <t>角色的背景代表了这个角色在成为冒险者之前的经历。通过创建一个独特的背景或对玩家手册中现有的背景进行修改，你可以反映战役的特定主题或是你世界中的独特元素。你也可以通过创建新的背景来帮助玩家为他们的角色制作心目中的起源故事。</t>
  </si>
  <si>
    <t>侍僧</t>
  </si>
  <si>
    <t>智力、感知、魅力</t>
  </si>
  <si>
    <t>魔法学徒（牧师）</t>
  </si>
  <si>
    <t>洞悉与宗教</t>
  </si>
  <si>
    <t>选择A或B：(A)书法工具、书籍（祈祷文）、圣徽、羊皮纸（10张）、长袍、8GP；或(B)50GP。</t>
  </si>
  <si>
    <t>你在一座寺庙中全心全意的侍奉，或是挂单在城镇中，或是幽居在圣所。你在那里执掌祭仪崇敬一位神祇或是众神。多亏了你的祭司教导和你的虔诚，你也掌握了如何引导一点点神力来为你的崇敬祈祷和在那里祷告的人们提供司教服务。</t>
  </si>
  <si>
    <t>工匠</t>
  </si>
  <si>
    <t>力量、敏捷、智力</t>
  </si>
  <si>
    <t>调查与游说</t>
  </si>
  <si>
    <t>选择一种工匠工具</t>
  </si>
  <si>
    <t>选择A或B：(A)工匠工具（同上所选）、2小包、旅行者服装、32GP；或(B)50GP。</t>
  </si>
  <si>
    <t>你在力气足以提起水桶时，就开始于工匠工坊里以拖地和擦洗度日，每天挣那么几个铜板。当你长到成为学徒的年龄时，你学会了自己制作基本的手工艺品，还有面对刁钻客户时该说什么好话。你的买卖也让你对消息琐事有敏锐的洞察力。</t>
  </si>
  <si>
    <t>骗子</t>
  </si>
  <si>
    <t>敏捷、体质、魅力</t>
  </si>
  <si>
    <t>欺瞒和巧手</t>
  </si>
  <si>
    <t>选择A或B：(A)文书伪造工具，表演服装，高档服装，15GP；或(B)50GP</t>
  </si>
  <si>
    <t>在你长到能买酒的年纪后，你立刻就在家乡方圆十里内的所有酒吧拥有了自己专属的钟意座位。当你在各个酒吧间穿梭时，你学会了如何用善意的谎言去安抚那些需要安慰的可怜人——也许是一剂包治百病的良方或是一份伪造的血统证明。</t>
  </si>
  <si>
    <t>罪犯</t>
  </si>
  <si>
    <t>敏捷、体质、智力</t>
  </si>
  <si>
    <t>警觉</t>
  </si>
  <si>
    <t>巧手和隐匿</t>
  </si>
  <si>
    <t>选择A或B：(A)2匕首、盗贼工具、撬棍、2小包、旅行者服装、16GP；或(B)50GP</t>
  </si>
  <si>
    <t>你潜藏在阴暗的小巷里，靠着偷鸡摸狗苟且偷生。也许你曾与一帮称兄道弟的法外狂徒患难与共。又或者，你也许是一个孤勇者，自力更生的同时与当地的盗贼公会乃至更可怕的违法者们明争暗斗。</t>
  </si>
  <si>
    <t>艺人</t>
  </si>
  <si>
    <t>力量、敏捷、魅力</t>
  </si>
  <si>
    <t>特技和表演</t>
  </si>
  <si>
    <t>选择一种乐器</t>
  </si>
  <si>
    <t>选择A或B：(A)乐器（同上所选）、2件表演服装、镜子、香水、旅行者服装、11GP；或(B)50GP</t>
  </si>
  <si>
    <t>你年轻时大部分时间都在参加巡回演出和嘉年华会，为音乐家和杂技演员们做零工以换取学习的机会。你可能已经学会了如何走钢丝，如何弹奏风格独特的鲁特琴，或是用怎样无可挑剔的发音方式吟诵诗歌。而现如今，你在喝彩声中茁壮成长，渴望登上舞台。</t>
  </si>
  <si>
    <t>农民</t>
  </si>
  <si>
    <t>力量、体质、感知</t>
  </si>
  <si>
    <t>驯兽和自然</t>
  </si>
  <si>
    <t>选择A或B：(A)镰刀、木匠工具、治疗包、铁锅、铲子、旅行者的衣服、30GP；或(B)50GP</t>
  </si>
  <si>
    <t>你从小就生在农家地，长在农家地。多年照料动物和耕种土地回报你以耐心和一个倍儿棒的健康身体。你对大自然的甘霖充满感激之情，也对自然之怒抱以敬畏之心。</t>
  </si>
  <si>
    <t>警卫</t>
  </si>
  <si>
    <t>力量、智力、感知</t>
  </si>
  <si>
    <t>运动和察觉</t>
  </si>
  <si>
    <t>选择一种赌具</t>
  </si>
  <si>
    <t>选择A或B：(A)矛，轻弩，20弩矢，赌具（同上所选），附盖提灯，镣铐，箭袋（译注：原文如此），旅行者服装，12GP；或(B)50GP。</t>
  </si>
  <si>
    <t>你脚上的疼痛让你无法忘怀在塔楼驻岗上站班的无数时光。你曾被训练一只眼睛紧盯着墙外，小心提防那附近森林而来的掠夺者，而另一只眼睛则要盯着墙内，细细查探小偷小摸和惹是生非之人。</t>
  </si>
  <si>
    <t>向导</t>
  </si>
  <si>
    <t>敏捷、体质、感知</t>
  </si>
  <si>
    <t>魔法学徒（德鲁伊）</t>
  </si>
  <si>
    <t>隐匿和求生</t>
  </si>
  <si>
    <t>选择A或B：(A)短弓、20箭、制图工具、铺盖、箭袋、帐篷、旅行者服装、3GP；或(B)50GP</t>
  </si>
  <si>
    <t>你在野外长大，远离定居区。你的家就在你决定打开铺盖的任何地方。荒野中自有奇妙之处——奇特的怪物、原始的森林和溪流；如今杂草丛生的、曾被巨人踏过的大殿废墟。在探索它们的过程中你学会了保护自己。而时不时的，你会遇到亲爱的自然祭司，他们会指导你掌握怎样运用荒野的魔法。</t>
  </si>
  <si>
    <t>隐士</t>
  </si>
  <si>
    <t>体质、感知、魅力</t>
  </si>
  <si>
    <t>医药与宗教</t>
  </si>
  <si>
    <t>选择A或B：(A)长棍、草药工具、铺盖、书籍（哲学）、油灯、灯油（3扁瓶）、旅行者服装、16GP；或(B)50GP</t>
  </si>
  <si>
    <t>你早年住在远离聚集地的、与世隔绝的小屋或是隐修院中。在那些日子里，你唯一的伙伴是森林中的生灵，以及那些偶尔带来给养和外界消息的访客。孤独让你花了很多时间琢磨天道的未解之谜。</t>
  </si>
  <si>
    <t>商人</t>
  </si>
  <si>
    <t>体质、智力、魅力</t>
  </si>
  <si>
    <t>驯兽和游说</t>
  </si>
  <si>
    <t>选择A或B：(A)领航工具、2小包、旅行者服装、22GP；或(B)50GP</t>
  </si>
  <si>
    <t>你曾作为一名学徒学习着商业的基础知识，你的师傅是一名商贩、商队的领队或是某位商铺的店主。你旅行八方，靠着买入和卖出工匠们所需的原材料和这些工匠的制品赚钱谋生。你可能需要把这些货物从一个地方运输到另一个地方（通过船、货货车还有商队），又或是从旅行商人那里订货，然后在自己店里销售。</t>
  </si>
  <si>
    <t>贵族</t>
  </si>
  <si>
    <t>力量、智力、魅力</t>
  </si>
  <si>
    <t>历史和游说</t>
  </si>
  <si>
    <t>选择A或B：(A)赌具（同上所选）、高档服装、香水、29GP，或(B)50GP</t>
  </si>
  <si>
    <t>权力、财富还有荣耀伴随你在城堡中长大，你那贵不可言的小家族确保你受到了一流的教育，其中有些教导令你感激，而有些则只让你觉得愤慨。在城堡中的时光，尤其是在长久以来耳濡目染于宫廷中的家族往来，也培养了你足以胜任领袖的许多才能。</t>
  </si>
  <si>
    <t>智者</t>
  </si>
  <si>
    <t>体质、智力、感知</t>
  </si>
  <si>
    <t>魔法学徒（法师）</t>
  </si>
  <si>
    <t>奥秘和历史</t>
  </si>
  <si>
    <t>选择A或B：(A)长棍、书法工具、书籍（历史）、羊皮纸（8张）、长袍、8GP；或(B)50GP</t>
  </si>
  <si>
    <t>你长大的岁月便在宅邸和修行院之间的奔波中过去，做着各式各样的零活和服务，以此访问他们的图书馆藏。你花了那么多漫长的夜晚学习书籍和卷册，阅览多元宇宙的见闻，甚至涉猎魔法的本质——而你的心灵正渴望着了解更多。</t>
  </si>
  <si>
    <t>水手</t>
  </si>
  <si>
    <t>力量、敏捷、感知</t>
  </si>
  <si>
    <t>特技和察觉</t>
  </si>
  <si>
    <t>选择A或B：(A)匕首、领航工具、绳索、旅行者服装、20GP；或(B)50GP</t>
  </si>
  <si>
    <t>你作为一名海员生活，背上吹的是海风，脚下站的是摇晃的甲板。你在停泊港总是坐在酒吧的高脚凳上，回忆你曾直面猛烈的风暴，与那些在波涛下生活的人们高谈阔论着过去。</t>
  </si>
  <si>
    <t>抄写员</t>
  </si>
  <si>
    <t>敏捷、智力、感知</t>
  </si>
  <si>
    <t>调查和察觉</t>
  </si>
  <si>
    <t>选择A或B：(A)书法工具、高档服装、油灯、灯油（3瓶）、羊皮纸（12张）、23GP；或(B)50GP</t>
  </si>
  <si>
    <t>你成长的时期都在缮写室度过，那是一座致力于保存知识的修道院，或是某个政府机关。你在那里学会了如何书写思维敏锐有逻辑的文字和怎样制作得体的书面文本，有时你会抄录政府文件或是誊抄文献巨著。你可能有一些诗歌写作的技艺、叙事的技巧或是学术上的研究。最重要的是，你对琐碎处的关注很细致。这能帮助你避免在誊录和撰写文稿时出现错误。</t>
  </si>
  <si>
    <t>士兵</t>
  </si>
  <si>
    <t>力量、敏捷、体质</t>
  </si>
  <si>
    <t>运动和威吓</t>
  </si>
  <si>
    <t>选择A或B：(A)矛、短弓、20支箭、赌具（同上所选）、医疗包、箭袋、旅行者服装、14GP；或(B)50GP</t>
  </si>
  <si>
    <t>你从成年开始便接受战阵训练，鲜少有拿起武器之前的生活回忆，战斗已融入你的血液。有时候你会发现自己正在反复操练着最初学会的基本战斗训练。而最终，你会将这些训练运用到战场上，在战争中行使武力，保护你的王国。</t>
  </si>
  <si>
    <t>流浪者</t>
  </si>
  <si>
    <t>敏捷、感知、魅力</t>
  </si>
  <si>
    <t>洞悉和隐匿</t>
  </si>
  <si>
    <t>选择A或B：(A)2匕首、盗贼工具、赌具（任意）、铺盖、2小包、旅行者服装、16GP；或(B)50GP</t>
  </si>
  <si>
    <t>你在街头长大，身边都是同样命途多舛的孤儿，有些是朋友有些是对头。你露宿街头，只靠着打零工来换取食物。有些时候你会感到饥饿难耐，但却只能以盗窃维生。尽管如此，你从未抛你的自尊，也从未放弃希望。命运还没有就此关上大门。</t>
  </si>
  <si>
    <t>运动，洞悉</t>
  </si>
  <si>
    <t>一件你所在组织的标示你军衔的制服，一个用来召唤帮手的号角，一副手铐，以及一个装有10gp的小包</t>
  </si>
  <si>
    <t>当你长大之时，你加入了城市守卫，并且坚定的站在了对抗犯罪的第一线。你并不是一名抵御外来敌人的战士，相反，你是服务于你的城镇，帮助民众们处理罪犯，从犯法者和作恶者们手上保护城市。（未翻译完全，以下是原文） 
You have served the community where you grew up, standing as its first line of defense against crime. You aren't a soldier, directing your gaze outward at possible enemies. Instead, your service to your hometown was to help police its populace, protecting the citizenry from lawbreakers and malefactors of every stripe.
You might have been part of the City Watch of Waterdeep, the baton-wielding police force of the City of Splendors, protecting the common folk from thieves and rowdy nobility alike. Or you might have been one of the valiant defenders of Silverymoon, a member of the Silverwatch or even one of the magic-wielding Spellguard.
Perhaps you hail from Neverwinter and have served as one of its Wintershield watchmen, the newly founded branch of guards who vow to keep safe the City of Skilled Hands.
Even if you're not city-born or city-bred, this background can describe your early years as a member of law enforcement. Most settlements of any size have their own constables and police forces, and even smaller communities have sheriffs and bailiffs who stand ready to protect their community.</t>
  </si>
  <si>
    <t>比警戒或是巡逻人员更稀有的是组织的调查员，专门负责调查犯罪后的真相。尽管这些人很少出现在乡村地带，几乎每一个像样规模的案子都会有一个或者两个有调查犯罪现场和追踪罪犯技能的调查员。如果你曾经是一名调查员，则你可以将背景的运动技能熟练项替换为调查技能熟练项。</t>
  </si>
  <si>
    <t>历史，洞悉</t>
  </si>
  <si>
    <t>一种自选的工匠工具</t>
  </si>
  <si>
    <t>一套你所熟练的工匠工具，一个用来标示出你是从哪个宗族学习何种手工技艺的作者徽记，一套旅行服装，以及一个有5gp的小包和一块价值10gp的宝石。</t>
  </si>
  <si>
    <t>The Stout Folk 以他们的工艺和手工的价值而闻名，而你则一直在接受这门技艺的训练。多年来，你一直在一名矮人大师的门下学习磨练，为的就是今日你所拥有的好技艺。
你很可能是一名矮人，但这并不是必定的——特别是在北地，盾矮人部族们在很久之前就已经学到了只有自傲的傻瓜们才会在意学徒们的手艺会超过自己而拒绝收受徒弟，即使是其他种族的学徒。如果你不是一名矮人，无论如何你必须立下一个庄重的誓言，你在这门工艺上绝不收徒：只因这并非是为非矮人们传承这门摩拉丁青睐的子民们的技艺。不过，你能很轻松的找到一名矮人大师传授你技艺之余，传授被你推荐而来的人们这门技艺。</t>
  </si>
  <si>
    <t>历史，外加从奥秘、自然、宗教之中你选择的一项</t>
  </si>
  <si>
    <t>代表你学院的学者长袍，一份书写工具（一个装着羽毛笔，墨水，折叠起来的羊皮纸，一把小拆信刀），一本从学院中借出阅读的书籍，以及一个装着10gp的小包。</t>
  </si>
  <si>
    <t xml:space="preserve">孩提时代，好奇的你与喧闹和孤独为伴。在你成长的岁月中，你发现了一所费伦最伟大的学习学院，你在那里学习，并认为知识是比黄金宝石更为有价值的财富。现在，你已经准备好了离开你的居所-并不是放弃它，而是寻找新的知识来充实它。 
费伦最知名的知识之所是烛堡。这所最伟大的图书馆总是会需要工人和仆人，一些人还会被升格成为拥有重大突出责任等级的角色。你可能是其中一名烛堡的拥有者，致力于做一个完善这个世界的学识体系和历史的管理者。
</t>
  </si>
  <si>
    <t>洞悉，游说</t>
  </si>
  <si>
    <t>一套华丽的服装和一个装有5gp的小包</t>
  </si>
  <si>
    <t>早些时候，你是一名贵族法院或者官场的重要人士。你可能或者不是来自某个上流社会的家族之中；你用你的才能，而不是你出生的背景让你赢得了这个位置。 
你可能是一名银月法庭的政府人员，仆人，或者是随从。亦或你旅行至深水城时被招募成为某个杀手公会，贵族，冒险家或秘密社团的一员。你可能是一个在博德之门或是无冬城维护法纪的幕后工作人员。亦可能成长在匕首滩城堡之中。
即使你已不再是那个给了你生活的开始的组织中的一员，你与以前同事们之间的人际关机可以给你和你冒险伙伴们一些优势。你也可能会和现在新的伙伴们从之前的组织中接到任务。在任何情况下，你曾经作为朝臣的能力会使你在冒险生活中处于更有利的境地。</t>
  </si>
  <si>
    <t>洞悉，外加一个你自选的适合你组织的智力、感知、魅力技能</t>
  </si>
  <si>
    <t>一个标示你所属组织的徽章或标志，一份你们组织文件的手抄本（或一份你们组织使用的密文本），一套普通服装，以及一个装有15gp的小包</t>
  </si>
  <si>
    <t>有许多的组织活跃在北地和费伦大陆的表面，他们并不会收到地理位置限制。这些组织会追寻他们的理念，有时候甚至不会遵循政治方面的界限，只要组织认为有必要，任何地点都可以有他们成员的存在。这些组织会雇佣一些听众，造谣者，走私者，佣兵，秘密守护者（那些专门守护为组织所用的财宝或是魔法的守卫们），港口看守，信使等等人员来做一些事情。 一个组织的核心人员们并不只会执行那些小任务，他们会是组织的臂膀、心脏、头脑。 
在你冒险故事的开始（准备阶段），你以某个费伦中特定组织的代理人身份存在。你可能由于你自身公开或私密的目的依靠这个组织和它追寻的理想。成为一个冒险者并不需要你放弃现有加入的组织（虽然你也可以这么做），说不定这段冒险还会提升你在组织中的地位呢。</t>
  </si>
  <si>
    <t>洞悉，察觉</t>
  </si>
  <si>
    <t>一项你自选的乐器或赌具，可能是你故乡本土的东西</t>
  </si>
  <si>
    <t>一套旅行服装，一件你熟练的乐器或一套你熟练的赌具，来自你故乡的一张精密度很差的费伦地图（用以标记出你在何处），一小片价值10GP来自你家乡技艺制作的珠宝，以及一个装有5gp的小包。</t>
  </si>
  <si>
    <t>几乎所有沿着剑湾和北地遇见的所有普通大众和其他种族的人们都有一个共同之处：他们通常会旅行至他们出生地点超过好几里的生活。 
你就是这样的一群人中的一员。
你来自一个遥远的地方，一个如此偏远以至于很多北地的普通大众们都没有知道这个地方的存在，即使你遇到过一些人听说过你的家乡，他们也仅仅是知道名字亦或可能还知道一点点骇人听闻的故事。你由于自己个人的原因来到了费伦大陆现在所处之地，这个原因你也许或未必愿意将它分享给其他人。
虽然你发现这片土地的有着一些冷漠和破败的地方，你也能确信这里的一些人文也有你从前从来没有见过的新鲜之处。你是一个无论走到什么地方都对周围环境中的善良或是邪恶感兴趣的人。</t>
  </si>
  <si>
    <t>求生，外加从奥秘，历史，宗教中选择一个</t>
  </si>
  <si>
    <t>从赌具或乐器中选择一个</t>
  </si>
  <si>
    <t>你的继承遗产，一套旅行服装，一件你通过这个背景而获得熟练项的工具，外加一个装着 15gp的小包。</t>
  </si>
  <si>
    <t xml:space="preserve">你是一些很有价值的东西的继承者不单单指的是金币或是财富，而是某个单独委托给你的东西。你继承的财产可能是直接是由于你出生就是是你家族中的一员，或者它可能是从你的指导者、老师或者其他在你生命中重要的人那里留下给你的东西，你所得的遗产启示了你，改变了你的生活，指引你走上了冒险的道路，同时它也可能会带来许多的危险，包括哪些窥探你遗产，（用力量，如果需要的话）想把他从你手中夺走的家伙。 </t>
  </si>
  <si>
    <t>游说，外加从奥秘、历史和宗教中适合你骑士团的技能选择一个</t>
  </si>
  <si>
    <t>一种赌具，或一种乐器</t>
  </si>
  <si>
    <t>一件旅行衣服，一个代表你骑士团或是骑士团等级的徽记、旗帜、或印章，以及一个装有10gp的小包。</t>
  </si>
  <si>
    <t>你隶属于某个为达到某个目的而宣誓的骑士团。骑士团的本质目标决定了你宣誓的誓言，在你的眼中看来为达到这目的做出的誓言毫无疑问是光荣而重大并愿意为之努力奋斗的。费伦大陆上有着许许多多的骑士团，所有的骑士团们都有着关于他们行为和责任相似的展望。 
说到“骑士”就会认为是那些穿着重甲，有着贵族血统和骑士精神的高贵战士们，然而在费伦，骑士团们并没有把他们的入会资格限定的如此之高。对目标和理念的追求远远高于成员们装备和战斗风格的限定，因此骑士团中并不会限定战斗方式，并向所有愿意为骑士团理念战斗和献出生命的平民百姓们开放。
“费伦大陆骑士团”边栏更好的介绍了几个在北地活跃的骑士团，可以帮助你决定哪个骑士团让你准备决定为之效忠。</t>
  </si>
  <si>
    <t>运动，游说</t>
  </si>
  <si>
    <t>一种赌具，载具（陆运）</t>
  </si>
  <si>
    <t>一套所属佣兵团的制服（质量等同于旅行服装），一块对应你军阶的勋章，你自选的一套赌具，以及一个装着你的上次军饷的小包（10gp ）</t>
  </si>
  <si>
    <t>作为一名会为钱财而战的佣兵，你很熟悉如何以失去生命或肢体为风险赌注投入冒险。现在，你开始期待以冒险者的身份投入对敌战斗中，并以此收获更大的回报。你的经历使你得以熟悉佣兵生活的细节，而你甚至还带着一些在沙场上经历过的悲惨往事。你可能曾服务于某个大集团如散塔林会，或曾经作为“明檀 Mintarn”的士兵服役，你或许还曾经参与过其他一些更小规模的卖剑打手团体，而且可能还在多个团体间辗转。（见“北地的佣兵团”边栏中的一系列范例。） 
你现在正寻求某些其他的东西，也许是打算为所冒风险求得更大的回报，或是决定从此自由的活动。无论出于何种原因，你都决心将曾经作为受雇士兵的生涯抛于脑后，但你掌握的技能仍令你无可否认的适合战斗生涯，因此你仍然在战场里过活，只是以另一种不同的形式参与其中。</t>
  </si>
  <si>
    <t>从欺瞒、洞悉、游说、隐匿中选择两项</t>
  </si>
  <si>
    <t>从一种赌具、一种乐器、盗贼工具这三项中选择两项</t>
  </si>
  <si>
    <t>一套适合你执勤用的一套服装，以及一个装着 20gp 的小包</t>
  </si>
  <si>
    <t>你在成为冒险者前，生活中就已充满了冲突和兴奋，因为你是依靠追捕他人来赚钱过活。与某些收集赏金之人不同，你并不是个穿越荒野追捕猎物的荒蛮之人。你会在你居住之地参与一宗利润丰厚的买卖，然后一如既往的考验自己的技能与生存本能。此外，你还跟野外的赏金猎人不一样，你并不孤单：你时常与犯罪分子和其他赏金猎人进行互动，并同时游走于这两个区间并以此获取成功。 
你可能是个灵巧的捕快，时刻在屋顶上徘徊，捕捉城里数之不尽的窃贼。你或许是个非常熟悉街道之人，熟悉窃贼行会和街头帮派的所作所为。你可能是个戴“丝绒面具”的赏金猎人，以此混迹上流社会和贵族圈子，并在其中抓捕那掠夺富人之罪犯，而无论其是小偷小贼还是诈骗高手。你所在的社区可能是费伦的大城市之一（比如深水城或博德之门），或者是人口较少的地方（比如路斯坎 Luskan 或雅塔 Yartar），或是任何可能滋生猎物的地点。
作为冒险队伍一员时，你可能会觉得当个人日程与团队目标相左时会出现某些困难。不过从另一角度看，你也可以利用同伴的帮助拿下更可怕的目标。</t>
  </si>
  <si>
    <t>运动，求生</t>
  </si>
  <si>
    <t>一种乐器，或一种工匠工具</t>
  </si>
  <si>
    <t>一个狩猎陷阱，标志你忠于乌特加和你部族之图腾的图腾标志或一组纹身，一套旅行服装和一个装着 10gp 的小袋。</t>
  </si>
  <si>
    <t>虽然你可能刚刚才来到文明之地，但在追求霸权的过程中，你对合作与集体努力的价值并不陌生。而你正是以乌斯伽部族成员的身份学会这些原则。 
你的同胞总喜欢坚持老方法。乌斯伽人秉持的传统和禁忌让他们得以在其他王国陷入混乱和毁灭后依然保持强大。但最近几代人里，一些部族的帮众开始想要定居，安于和平、贸易，甚至建起了城镇。也许这就是为何乌斯伽会在那些生活在其神力下之人中竖起其图腾。也许这些人需要被提醒一下自己的真实身份，自己源自何处。“乌斯伽的选民 Chosen of Uthfar”会带领帮众重回旧路，而大多数你的同胞都会放弃软弱的文明转向回归。
你可能在一个已决定定居下来的部族中长大，而你的部族已决定放弃旧的行事方式，但你却依然摇摆不定。或者你也可以是遵循传统的乌斯伽人其中一分子，但你只想通过取得伟大功绩来为自己的部族带来荣耀。
参阅第 2 章的“乌斯伽各地”一节，了解每个部族领地及其活动的详细情况，作为你选择自己归属的参考。</t>
  </si>
  <si>
    <t>历史，游说</t>
  </si>
  <si>
    <t>一种赌具或一种乐器</t>
  </si>
  <si>
    <t>一套高档服装，一枚玺戒或胸针，一份家系族谱，一袋的高档 兹沙酒zzar 或红酒，以及一个装有 20gp 的小包</t>
  </si>
  <si>
    <t>你是深水城某伟大贵族家族之后裔。作为小心翼翼地守护自己在“光辉之城 City of Splendors”的特权与地位之人类家族，深水的贵族们在整个费伦因其骄奢和富有而享有盛名。 
不管你是这个名声的光辉榜样还是作为该规则的例外，当人们知道你姓氏及其含义时，便会对你有所期待。你投身冒险的理由某种程度上可能与你的家人相关：你是否作为家族异类，喜欢钻到肮脏地下城的舞会里喝一小口 “兹沙 zzar ” ？或是你是为家人的利益而拿起剑与法术，以确保他们能有个有名望之人作为传承？
你要与 DM 一起决定自己所属之家族在深水中有大约七十五个血统，其中的每个家族都保有其自己独特的偏好经济来源、专职和谋划。你可能是家族中的当主一脉的成员，也可能终有一天成为他们的领袖。或者你也可能属于众多表亲血脉其一，而他们的声望较低其负担的责任也更少。</t>
  </si>
  <si>
    <t>洞悉，威吓</t>
  </si>
  <si>
    <t>一枚俄佐立徽记，一支记载着对你来说非常重要的法律条文的卷轴，一瓶蓝色墨水，一支笔，一套做工精细的衣物，以及一只装有10gp的钱袋（俄佐立发行的1齐诺硬币）</t>
  </si>
  <si>
    <t>残暴的兽行近在咫尺，混乱的势力正在滋长，而唯一能阻止这些灾难发生的就是法律与秩序的基石的具现——俄佐立参议院。你骄傲的成为俄佐立公会的一员，通过参与立法与司法来确保拉尼卡的社会安全而有序的运转。</t>
  </si>
  <si>
    <t>运动，恐吓</t>
  </si>
  <si>
    <t>一种赌具</t>
  </si>
  <si>
    <t>一枚波洛斯徽章，一枚天使的羽毛，一片破碎的波洛斯战旗（一次著名战役中留下来的纪念品），一套便装，以及一个装有2gp的钱袋（两枚波洛斯发行的1齐诺硬币）</t>
  </si>
  <si>
    <t>作为波洛斯教团的一员，你将你的全部生命奉献给对天使的服务以及为拉尼卡带来正义与和平的事业上。你或许会被天使们的行为所鼓舞，经历了艰难困苦，成为波洛斯信念的虔信者，最终为正义事业奉献终生。你也可能是受迫于父母的期盼，被招募官的花言巧语所迷惑，或者是希望干一件惊天动地的大事，因而在波洛斯的军队中一步一步向上爬，最终成为犬儒主义的官僚。</t>
  </si>
  <si>
    <t>欺瞒，隐匿</t>
  </si>
  <si>
    <t>一枚底密尔徽章，三把小刀，一套黑色的普通衣物，以及这一章里你的第二公会的背景里所描述的初始装备。</t>
  </si>
  <si>
    <t>你是一个间谍。你收集秘密与虚假信息并进行交易。你潜伏在阴影里，渗透进其他公会里，并盗取最宝贵的秘密，无论这些秘密是写在上锁的日记里还是藏在某人的脑海里。甚至你可能毫不关心你所执行的任务背后的任何原因。有时，一个任务的唯一目的就是隐藏在城市的另一个地区进行的另一次袭击背后的动机，又或者只是为了散布恐慌。
作为你在底密尔会堂的隐秘工作的一部分，你可能会伪装成另一个公会的一员。你能够选择你的第二个公会或者投骰来随机决定。你的第二个公会的身份会决定你的一部分初始装备，同时也是你大多数人际交往的来源。</t>
  </si>
  <si>
    <t>自然，求生</t>
  </si>
  <si>
    <t>一个葛加理徽章，一套毒药工具，一只宠物甲虫or蜘蛛，一套普通衣物，一个装满了各种钱币总价为10gp的腰包。</t>
  </si>
  <si>
    <t>你是大部落中的一份子——一个不断蔓延生长的有机体的一部分。就像你是群落的一部分一样，整个群落也是更大的生态系统中，那生与死，腐朽与重生之间永不休的循环中的一部分。你的一生就是整个生态系统中的一小片涟漪，活在城市的黑暗中，与各类腐朽破败为伴。葛加理人天性淡漠，他们无惧死亡，也不忌讳死亡，对他们来说，这只是循环中比较激烈的一环罢了。</t>
  </si>
  <si>
    <t>驯兽，运动</t>
  </si>
  <si>
    <t>一个古鲁徽章，一个打猎陷阱，一套草药工具，一个野猪颅骨，一件兽皮斗篷，一套旅行者衣服，一个包含10gp的腰带（俄佐立1-zion硬币）</t>
  </si>
  <si>
    <t>整个拉尼卡世界都是一个不规则的大都市，但是你是一个在那些仍然存在的旷野区域中的土著，诸如被废弃的街区，瓦砾区，自然生长的公园和摇摇欲坠的废墟。你是那些拼命坚守着古老道途的野蛮社会中的一员。你们奉行着古老的道途——适应自然，充满着原始的愤怒并且为世界充斥着文明的持续进军而忏悔。</t>
  </si>
  <si>
    <t>奥秘，调查</t>
  </si>
  <si>
    <t>任选一种工匠工具</t>
  </si>
  <si>
    <t>一枚伊捷徽章，一套工匠工具，源自一次失败实验的烧焦扭曲的遗骸，一把铁锤，一套滑轮组，一套普通衣物，以及一个装有5gp的钱袋（俄佐立发行的1基诺硬币）。</t>
  </si>
  <si>
    <t>你拥有创造性的智能、对魔法技术的热爱、以及不竭的精力，是伊捷联盟研究工作的积极参与者。虽然你的职业生涯最开始可能只是个侍从，但是你可以立志成为一个熟练的法师或炼金术士，一个实验室的主管，甚至一个手持火焰喷射器负责保卫实验室的焦灼使者。令人着迷的、才华横溢的、雄心勃勃的伊捷是拉尼卡上一股不可预测的混乱力量，而你就是所有这一切品质的缩影。</t>
  </si>
  <si>
    <t>威吓，宗教</t>
  </si>
  <si>
    <t>一枚欧佐夫的徽章，一根由十枚金币组成的一英尺长的链子、法袍、一套精美的衣服，和一个装有1PP(一种欧佐夫铸造价值10锌币)的腰包。</t>
  </si>
  <si>
    <t>拥有巨额财富的前景，是加入欧佐夫集团成员的希望。这个行会的所有努力都是为了将财富从拉尼卡社会输送到欧佐夫家族，并将战利品集中在最高阶层。作为这个系统的一名工作人员，你最大的希望是尽可能多地索取通过你手中的钱财，这样你就可以通过自己的努力获得更重要的地位。
不管你的过去和你家庭的财富。在你证明自身的价值之前，你在公会的初始状态是接近底部的。</t>
  </si>
  <si>
    <t>特技，表演</t>
  </si>
  <si>
    <t>一种乐器</t>
  </si>
  <si>
    <t>一个拉铎司徽章，一把乐器（你选择的），一套戏服，一个由铸铁制成的灯罩，10尺长的满是钉刺的链条一盒火柴，10个火把，一套普通的衣服，一个包含10gp的腰带（俄佐立1-zion硬币），一瓶红色的甜果汁。</t>
  </si>
  <si>
    <t>你本质上是一个艺人，一个有戏剧天赋和对聚光灯的热爱的表演者。你已经花了多年时间磨练你的技艺，掌握了一套要求很高的技能，这样你就可以华丽地表演它们，让它们看起来很容易。疯狂的掌声，人群的尖叫，混乱和恐怖蔓延到大街上——这就是你活着的目的。
你也是一个崇拜一个喜欢暴力和混乱的古老恶魔的信徒。正因如此你的最高愿望就是用自己的表演取悦亵渎者、暴动之王。</t>
  </si>
  <si>
    <t>自然，游说</t>
  </si>
  <si>
    <t>一种工匠工具或是乐器</t>
  </si>
  <si>
    <t>一枚瑟雷尼亚徽记，一套医疗包，长袍，一套便装，以及一个装有5GP（俄佐立发型的1齐诺硬币）的钱袋。</t>
  </si>
  <si>
    <t>你是一个建立在和谐理想的基础上的，受祝福的社区的一员。在这里，自然与文明和谐共存，按照世界之魂太瑟雷尼亚的意志生存成长。作为瑟雷尼亚盟会的一员，你的周围是和你有着同样世界观，并渴望与世界建立更深层次的精神交流的其他人和生物，而你也热切渴望与拉尼卡分享你的快乐经历。此外，你也同样致力于和盟会的其他成员一起对抗其他公会的野心——必要时会使用武力。</t>
  </si>
  <si>
    <t>奥秘，医疗</t>
  </si>
  <si>
    <t>一枚析米克徽章，一套平民服饰，一本研究笔记，一支钢笔，一瓶乌贼墨汁，一瓶油(由鲸脂制成)，一瓶酸(从消化液中提取)，一瓶鱼鳞，一瓶海藻，一瓶水母刺，一瓶不明黏液，一个装有10gp(或俄佐立发行的1基诺zino硬币)的袋子。</t>
  </si>
  <si>
    <t>想象一个完美的世界:自然与文明和谐共存，相互适应;生命与环境被塑造得和谐相称。这就是你一直试图在析米克联合的实验室中塑造的世界。自然是关于适应、进化和平衡的——但是为了跟上文明的发展脚步，自然需要生机师和地貌塑师的帮助。如果在这个过程中，你碰巧创造了超级士兵和变异怪物，使得它们可以增强析米克联合对其他公会的计划和野心的防御，那就更好不过了。</t>
  </si>
  <si>
    <t>察觉，表演</t>
  </si>
  <si>
    <t>易容工具，一套高级服装和一个30gp的腰包</t>
  </si>
  <si>
    <t>你的姓氏引起普罗大众心里的敬畏——但这和你毫不相干。歌颂你声名显赫的父母冒险功绩的歌曲与传奇妇孺皆知。这片大地的孩子们都在成为你的愿望里长大。但是著名冒险家的孩子的生活并不总是充满拥抱与亲吻。
你很少与你的探险家父母见面，而当你在他们身边时，又只是充斥着他们除这个魔或者屠那个龙的故事。你总是被人从酣睡中吵醒，那个人在屋子外尖声通报着新的，或聚落，或地区，或是世界级的威胁。
最后，你所有能用来证明你血统的东西只有你的名字。家里的大部分钱财都用到从治疗药水、法术卷轴到大量的矮人麦酒这样的消耗品上了。不仅如此，所有人都预期着你像你的先人一样能挥剑或者使出法术，这也让你证明自己的压力倍增。</t>
  </si>
  <si>
    <t>调查，游说</t>
  </si>
  <si>
    <t>一种工匠工具</t>
  </si>
  <si>
    <t>一组工匠工具、商用天秤、一套高级服装、包含10gp的腰包。</t>
  </si>
  <si>
    <t>也许你来自一个长线的商人队伍。也许你是个企业家。不管怎样，你的冒险以失败告终。无论是由于外界的影响、运气不好，还是仅仅因为你的商业头脑不够敏锐，你失去了一切。
然而，伴随着失败而来的是经验。你摆脱了过去的生活，建立了一些联系，吸取了教训。准备好追求冒险家的生活，你对商业世界的洞察力将你带入了一个艾奎兹玄有限责任公司的领域—你的未来可能会有一个特许经营。</t>
  </si>
  <si>
    <t>欺瞒，洞悉</t>
  </si>
  <si>
    <t>一种赌具，一个幸运护身符，一套高档服装，以及一个装有15gp的腰包</t>
  </si>
  <si>
    <t>制造大量黄金只需要一点点黄金。而在你根本不需要金子的时候，不论多少都是一点点。无论你是一个好赌徒还是一个坏赌徒都无关紧要，因为没有人能预测到幸运女神的奇想。有时你会成功，有时你会失败。但是赌博的问题就是，总有人愿意打赌。</t>
  </si>
  <si>
    <t>医药，游说</t>
  </si>
  <si>
    <t>一种工匠工具；一套高档服装；20gp</t>
  </si>
  <si>
    <t>意外是不可避免的，但当艾奎兹玄有限责任公司活动的时候，意外就特别的多。一般来说，没目击者就万事大吉，但是有时候有些人幸运的活了下来（比如说你），还起诉了艾奎兹玄有限责任公司。
公司决定雇佣你，代价就是你要和公司调解，不再追究法律责任。
你是一个法律事件的受害者，这表面上是艾奎兹玄有限责任公司的过错。至少地方法官是这么说的。但在最终裁决公布之前，艾奎兹玄有限责任公司给你提供了一份工作!不知道怎么挥剑?他们答应教你!你认为你有丢法术的本事吗?他们的大师能很快让你上手!
带着无尽的宝藏和神秘的魔法王国的承诺，??你离开了过去的生活。现在，冒险的世界属于你了。只要在这里签名，在这里和这里签名。免除AcqInc所有以前的索赔，并承认你了解过去的结果并不保证未来的结果。</t>
  </si>
  <si>
    <t>历史，调查</t>
  </si>
  <si>
    <t>一套工匠工具、来自您之前雇主的分类帐，其中包含一小段有用信息、一套高级衣服、包含10gp的腰包。</t>
  </si>
  <si>
    <t>你曾是艾奎兹玄有限责任公司的竞争对手实习生，你不仅获得了对这份工作和特许经营机会的尊重，还获得了对艾奎兹玄有限责任公司无情而高效的经营方式的尊重。当你能做到最好的时候，为什么还要去处理其他的事情呢?
也许竞争对手对你的态度没有你希望的那么好，或者你被淘汰了。也许你希望利用在那里学到的知识，在艾奎兹玄有限责任公司时获得优势。不管怎样，你现在把你的才能带到公司，准备好把你的技能运用起来。</t>
  </si>
  <si>
    <t>特技，运动</t>
  </si>
  <si>
    <t>载具（陆运）</t>
  </si>
  <si>
    <t>一个青铜铁饼或皮球，一件幸运护身符或过去的奖杯，一套旅行服装，以及一个装有10金币的钱袋</t>
  </si>
  <si>
    <t>你努力地奋斗为使自己的身体和自己所执行的每一件事到达完美。竞争带领的刺激点燃了你血液中的火焰，人群的咆哮声推动着你前进。关于你伟迹的故事能够先于你打开一扇大门或是让人滔滔不绝。
体育竞技和那些追求它们的人，无论是在诸城邦之间的哪一座，或是在塞洛斯那些非人类住民之间，都得到了近乎于崇敬的尊重。运动员们来自各个阶层，有着不同的文化，也经常会遇到另一位运动员。</t>
  </si>
  <si>
    <t>从奥秘、调查、宗教或求生中选择两项</t>
  </si>
  <si>
    <t>怪物猎手套装monsterhunter'spack（一个小箱子，一根撬棍，一把锤子，三根木桩钉，一个圣徽，一瓶圣水，一副手铐，一面钢镜，一瓶油，一个火绒匣和三支火把），一件具有特殊意义的饰品（在本章中的恐怖饰品表里选一个或者投骰子决定一个、一套普通服装以及1sp</t>
  </si>
  <si>
    <t>你被某些恐怖的东西纠缠了，它们是如此的可怕以至于你甚至不敢提起那些名字。你想要隐瞒这件事并且逃出它的魔掌，然而无济于事。纠缠你的东西并不能被刀剑杀死，也无法被咒语所驱离。它可能就潜伏在墙上的影子里、也可能是一个鲜血淋漓的噩梦、一段无法抹去的回忆、或者黑暗中恶魔般的耳语。你为这重担付出了代价：疏远人群、深陷孤独并且怀疑自己的神智。你必须想办法克服它，否则就会被它摧毁。</t>
  </si>
  <si>
    <t>从洞悉,调查，或察觉中选择两项</t>
  </si>
  <si>
    <t>易容工具，盗贼工具</t>
  </si>
  <si>
    <t>一个放大镜，过去案例中的证据(从后文中的恐怖饰品列表中选择或随机投掷一个)，一套普通服装，以及10GP</t>
  </si>
  <si>
    <t>你不屈不挠地寻找真相。也许你的动机是对法律的信仰和一种普世正义感，或者也许一条法律让你失望了，而你想拨乱反正。你可能目睹过一些不寻常或可怕的东西，现在你必须更多地了解这个隐藏的真相。或者你可能是个雇佣侦探，为高薪客户解开谜团。不论你卷入的神秘事件是本地罪案还是跨越国度的阴谋，你都会受到自身需要的驱使，去搜寻哪怕最难分辨的一丝线索，揭露隐藏在阴影中的秘密。</t>
  </si>
  <si>
    <t>斯翠海文学徒专长（衡鉴）</t>
  </si>
  <si>
    <t>历史，宗教</t>
  </si>
  <si>
    <t>一瓶黑色墨水，一根钢笔，一把锤子，一盏带盖罩的提灯，一个火绒盒，一本历史册，一套校服，一个装有15gp的包。</t>
  </si>
  <si>
    <t>你的青年时光花费在为进入衡鉴学院的准备上，把为预备学生提供的推荐书单上的书全都读了一遍。你的学术热情聚焦于宽广的历史领域。你可能梦想着使用魔法与历史伟人或你的先祖进行沟通，也可能是想要重现远古时代的强大魔法。</t>
  </si>
  <si>
    <t>斯翠海文学徒专长（粹丽）</t>
  </si>
  <si>
    <t>一种乐器或一种工匠工具</t>
  </si>
  <si>
    <t>一瓶黑色墨水，一根钢笔，一套工匠工具或一件乐器（由你选择的），一套校服，一个装有10gp的包。</t>
  </si>
  <si>
    <t>你是一位艺术家，你已经做足了准备，承接粹丽学院的传统文化，磨练自己的技艺。无论你的艺术形式为何——雕塑，舞蹈，绘画，音乐，戏剧，建筑学还是其他的领域——你都拥有远见卓识，通过魔法和创意的融合，将你的艺术展现得淋漓尽致。</t>
  </si>
  <si>
    <t>斯翠海文学徒专长（量析）</t>
  </si>
  <si>
    <t>奥秘，自然</t>
  </si>
  <si>
    <t>一瓶黑色墨水，一根钢笔，一把算盘，一本奥秘原理书籍，一套校服，一个装有15gp的包。</t>
  </si>
  <si>
    <t>在为了进入量析学院的备考过程中，你花费了多年去求解为量析预备学生准备的所有数学题。你的兴趣点在于自然界中发现的数学法则和模式。你可能会继续深造数学或物理，也可能会投身于更抽象的研究，如形而上学，奥秘或逻辑。</t>
  </si>
  <si>
    <t>斯翠海文学徒专长（银毫）</t>
  </si>
  <si>
    <t>威吓，游说</t>
  </si>
  <si>
    <t>一瓶黑色墨水，一根钢笔，一本诗集，一套校服，一个装有15gp的包。</t>
  </si>
  <si>
    <t>你花费多年精进你的写作和演讲的水平，希望将来能成为银毫学院的学生。你的研究专注于语言，文学，还有文字的力量（魔法的和非魔法的）。文字的象征之力能用来阐述或隐瞒，当这一特性与文字魔法相结合后，在你的学术追求上也能实现相同的效果。</t>
  </si>
  <si>
    <t>斯翠海文学徒专长（靡华）</t>
  </si>
  <si>
    <t>一瓶黑色墨水，一根钢笔，一本植物图鉴，一个铁壶，一套草药工具，一套校服，一个装有15gp的包。</t>
  </si>
  <si>
    <t>你的童年被各种初级的炼金实验所占满，这都是为了将来能成为靡华学院的学生。生命科学是你的研究重点，其中包含了生物学和死灵学。根据材料的不同药性配制奇怪的混合液，探索怪物的解剖学，博物归类沼泽地区植物群等都是你可能在靡华学院里追寻的研究。</t>
  </si>
  <si>
    <t>洞悉，宗教</t>
  </si>
  <si>
    <t>一套旅行服装，一本日记，一只墨水笔，一瓶墨水，还有一个装着10gp的小包</t>
  </si>
  <si>
    <t>早在你有记忆之前，你就在星界海之中遨游。在星界海里，你切身体会到了银色虚空的奥妙：你停止老化并不再感受到饥渴。在流浪欲的驱使下，你像风中的尘埃一般，在星界海中四处飘荡。自从你来星界海至今到底度过了多少年月，已经无法计数。
在你的旅途中，你于死去神灵的巨大石化残骸上扎营，惊险地逃脱了横扫星界海的心灵之风，同时还得躲避该位面最危险的居民们。</t>
  </si>
  <si>
    <t>领航者工具，载具（太空）</t>
  </si>
  <si>
    <t>一个缠索栓（短棒），一套旅行服装，一个抓钩，50尺长的麻绳，一个装着10gp的小包。</t>
  </si>
  <si>
    <t>你在荒宇的虚空之中长大这里是小行星矿工，卫星农民以及其他顽强之人的家园。也许你生长在一个偏远的定居点，如布拉之岩（见第三章），或者你早年在一艘魔法船上工作，做一些有用的杂活，比如擦拭甲板、装卸货物，以及从船体上刮下藤壶。
无论你的过往如何，荒宇的生活已经使你变得坚韧不拔，以至于当你面对真空之星夜的恐怖和其他挑战时，你就像一只迷你巨型太空仓鼠一样勇敢。</t>
  </si>
  <si>
    <t>巨人打击</t>
  </si>
  <si>
    <t>威吓，求生</t>
  </si>
  <si>
    <t>一个背包，一套旅行服装，一块可以令你回忆起家乡的小石头或小树枝，以及一个装有10gp的小包</t>
  </si>
  <si>
    <t>虽然你并非一名巨人，但你自巨人之间成长。也许你是某个同情你的石巨人家庭将你如同他们的同族孩子一样抚养长大的一名孤儿。或者你生活在世界的一处史前的与世隔绝之地，生活在巨人们、令人生畏的巨兽、与庞大的恐龙之间。
一些关于你生活环境的事改变了你也许是你一直食用粮食和饮用的水、也许是在你家乡所处地充盈的元素魔力、也许是某种施加到你身上的成长祝福让你成长为了比原属族群高大不少的体型。在这一魔力的协助下，你习得了体现出巨人之力的方法。你的技能、你的各项能力、以及对生活的看法，无一不反映出你曾在普遍比你巨大的世界中穿行的事实。</t>
  </si>
  <si>
    <t>符文塑形者</t>
  </si>
  <si>
    <t>历史，察觉</t>
  </si>
  <si>
    <t>一套工匠工具</t>
  </si>
  <si>
    <t>一套工匠工具（由你选择的一套），一把小刀，一块打磨石，一套普通服装，以及一个装有10gp的小包</t>
  </si>
  <si>
    <t>你奉献你的一生以学习符文工艺。也许你是受一名符文雕刻者的大师教导，亦也许是从古代刻印中钻研得到的成果，你得到了利用符文之中的超自然能量的能力。
符文工艺的技艺最初是由巨人们创造的，但时过境迁，这一项工艺早已被许多人接纳与利用。同样的，虽然巨人符文也是最常被使用的那一类，但许多符文雕刻者的也会在作品融入他们原生语言中的符号。</t>
  </si>
  <si>
    <t>外层位面后裔</t>
  </si>
  <si>
    <t>游说，求生</t>
  </si>
  <si>
    <t>一轮不知道对应什么锁的钥匙串，一本空白的书籍，一根墨水笔或羽毛笔，一瓶黑墨水，一套旅行服装，以及一个装有10gp的小包。</t>
  </si>
  <si>
    <t>先决条件：异度风景战役
你曾在受位面力量影响之地或是通往其他存在位面的传送门周围生活了许久，例如外域中的某个门镇。你早已习惯那些令人闻风丧胆的异界恐怖与引人入胜的异域风光，且对你来说，与那些天族们与邪魔们打交道，就如同跟门镇里的小贩打交道一样稀疏平常（虽然有可能那个小贩就是天族/邪魔）。</t>
  </si>
  <si>
    <t>奥秘，与你的派系有关的一项技能（见下方印记城派系偏好表）或你自选的一项技能</t>
  </si>
  <si>
    <t>一把传送门钥匙（例如一包金色茶叶，或是位面野兽之牙），一份阐述你指导哲学的宣言，一套符合你派系风格的普通服装，以及一个装着来自不同位面和不同世界的钱币（这些钱币的价值相当于10gp）的小包。</t>
  </si>
  <si>
    <t xml:space="preserve">先决条件：异度风景战役
你信奉着一门理解位面本质或多元宇宙秘实的哲学。你从你的信念中获得力量，或许还会从一群志同道合的思想家（例如下文中的印记城派系）那里获得支持。在你的旅途中，你探索着你知识的渊底，将你的哲学传播到每个所及之处。
印记城派系偏好Sigil Faction Affinities 
派系 技能 
神明非神会 宗教 
无望党 洞悉 
末日守卫 自然 
定命盟 威吓 
秩序厅 历史 
祸乱之手 隐匿 
和谐营 察觉 
灰烬先驱 医药 
屠悯会 求生 
心灵之眼 游说 
感觉团 表演 
超然社 运动 </t>
  </si>
  <si>
    <t>幸运，魔法学徒，或者熟习</t>
  </si>
  <si>
    <t>一套你自选的赌具（比如纸牌或三龙牌）</t>
  </si>
  <si>
    <t>一瓶黑色墨水，一支墨水笔，五卷纸，一套赌具（与你所选熟练项一致），一个玺戒，一套高档服装，以及一个装着18gp的小包</t>
  </si>
  <si>
    <t>在你的命运突然奇迹般地变成好运气之前，你曾过着艰难的生活。或许是一位慈悲的神明正好给了你最想要的东西。或许你偶然发现了一副万象无常牌并抽出了一张强大的，具有正面效果的牌。又或许你从一位你不知道的远房亲戚那里继承了一笔小小财富。
不管怎么说，你抛下了往日生活日复一日的痛苦，代之以兴奋与奇遇的人生。是你的旧债已被偿还，是你认为无法避免的责任已成为过去，或是你突然拥有了常人所未知晓的罕见与独特的技能。</t>
  </si>
  <si>
    <t>警觉，熟习或健壮</t>
  </si>
  <si>
    <t>隐匿，求生</t>
  </si>
  <si>
    <t>一个有裂缝的沙漏，一副生锈的镣铐，一个半空的玻璃瓶，一套狩猎陷阱，一套赌具（与你所选熟练项一致），一套旅行服装，以及一个装着13gp的小包</t>
  </si>
  <si>
    <t>一切都曾进行得很顺利！当你突然失去一切时，你曾有过一个奢侈，爱与舒适的生活。也许你被诬陷为犯下了你所未犯过的罪名并且失去了名誉，财富与事业。又也许一只狂暴的龙或某只其他怪物在一个灾难的下午抹消了你所拥有的一切。又或者你前去寻找万象无常牌，希望让你的成功人生更加辉煌——不料却抽到了一张永远改变了你命运的毁灭性的卡牌。
你的绝望驱使你投入冒险者的事业。你并非为了兴趣与荣耀而去探访黑暗的地牢与其中的怪物居民；你这么做只是因为别无他路。但你曾经在命运之轮其上崛起过，而凭着机遇与坚韧，你又何尝不能东山再起？</t>
  </si>
  <si>
    <t>自选任意两项</t>
  </si>
  <si>
    <t>你过去的某段经历，使你与克苏鲁神话产生了接触。尽管大多数理智的人都会将这类记忆尘封心底，渴望让生活重回正轨，但你却选择了一条不同的道路。与神话的接触让你明白，这些生物固然非常可怕，却也并非不可战胜。你踏上冒险之旅，追寻神话在世间留下的影响，并竭尽所能地与之抗争。</t>
  </si>
  <si>
    <t>欺瞒，表演</t>
  </si>
  <si>
    <t>一种乐器、盗贼工具</t>
  </si>
  <si>
    <t>高档服装、易容工具、一件任选乐器、绘有笑面图案的镀金戒指、以及一个装有15GP的小包</t>
  </si>
  <si>
    <t>金色笑面起源于遥远的塔尔多雷，通过由吟游诗人和游方艺人组成的信息网传递秘密情报，以破坏一名铁腕国王的独裁统治。如今的塔尔多雷已经成为了一个相对和平的共和国，一些笑面人在防备着暴政再次抬起它丑恶的头颅时感到了不安。一群这样的笑面人前往了集会海岸，并在克洛维斯联邦的城市中建立了一张由秘密基地构成的网络，并以此为基地尝试渗透至敦达里安帝国的最高层。
作为一名笑面人，你的目标是在被压迫的民众心中传播自由和激发希望，或者在未来实现革命。</t>
  </si>
  <si>
    <t>制毒工具</t>
  </si>
  <si>
    <t>普通服装、制毒工具、带兜帽的黑色斗篷、以及一个装有10GP的小包</t>
  </si>
  <si>
    <t>沃什塔克是由一群为三头犬密会服务的神秘刺客和执法者组成的秘密组织，这些特工没有官方头衔，在敦达里安的大城市如扎达什和雷克森特伦，民众们往往都用“祸乱之源scourgers”来暗中代指他们。
作为一名沃什塔克特工，你的主要职责是让那些破坏敦达尔国王意志——或者更准确的说，破坏密会意志——的异见者们全部闭嘴。</t>
  </si>
  <si>
    <t>从说服、运动、历史、威吓中选择两项。</t>
  </si>
  <si>
    <t>玺戒或一个印有你家族纹章的胸针，一件以你家族颜色为主的披风，一套高档服装以及一个装有20gp的小包。</t>
  </si>
  <si>
    <t>你是贵族家族的后代。无论你来自卡斯匹亚，伊利瑞亚，还是维斯特玛，德拉肯海姆的陨落对你的家族财富产生了不利影响，或者为你增加政治权力和影响力提供了诱人的机会。
先决条件：奇械师、野蛮人、诗人、牧师、德鲁伊、战士、武僧、圣骑士、游侠或游荡者。</t>
  </si>
  <si>
    <t>在德拉肯海姆遭毁灭之后的几年中，灾难和不幸毁灭了你的家族，而你是唯一在世的继承人，身无分文，也没有领地。你来到德拉肯海姆，希望能重建家业。</t>
  </si>
  <si>
    <t>从奥秘、欺瞒、调查、察觉中选择两项</t>
  </si>
  <si>
    <t>书法工具或炼金工具</t>
  </si>
  <si>
    <t>一根由木头制成的扭曲魔杖，一件长外套，一个材料包，一个对你来说重要的护身符或其他小饰品</t>
  </si>
  <si>
    <t>你在年幼时展现出神秘的魔法能力，并被纳入紫晶学院的监管之下。你在一所僻静的魔法学校学会了驾驭自己的魔法。当你成年并完成学徒期后，你就可以自由追求自己的兴趣，但你必须尊重那些管理所有施法者的法律和习俗。根据《炉明法令》，法师会被剥夺贵族称号，并且不能拥有土地。
先决条件：吟游诗人、术士、魔契师或法师</t>
  </si>
  <si>
    <t>你因为一些实际存在或者子虚乌有的违规行为而被紫晶学院开除，又或者，你从未被紫晶学院收留，自己学会了魔法。普通人通常不会信任不穿紫晶学院袍子的施法者，所以你可能需要隐藏自己的身份和能力，尤其是面对紫晶学院和白银骑士团的时候。</t>
  </si>
  <si>
    <t>从历史、宗教、奥秘、自然中选择两项</t>
  </si>
  <si>
    <t>一套淡色长袍，玻璃封装的一小块妄质，一根拐杖，一个镶有你所选择神明标志的护身符，一本宗教文本小册子。</t>
  </si>
  <si>
    <t>你是世界上众多宗教信仰之一的追随者。无论是因为神圣的召唤、异象或预言，还是因为你的教会派遣你作为使节和代表，甚至可能是因为你正在寻求神的答案，你都踏上了前往德拉肯海姆的旅程。究竟是怎样的神圣目的隐藏在你受命去揭示的废墟中？</t>
  </si>
  <si>
    <t>十五年前，你亲眼目睹了这颗陨星降世。无论你是否相信这是命运，还是一种神圣或魔法的呼唤，还是说只是对其中亟需挖掘的秘密感到好奇，你都会被吸引前往陨石坑，你相信坑中有一些你所寻求的问题的答案，而在德拉肯海姆的某处藏着一个你尚未理解的真相。你前往德拉肯海姆的朝圣之旅可能已经花费了几周、几个月甚至几年的时光，但你必须来这里——什么东西在呼唤着你，你必须知晓它从何而来。</t>
  </si>
  <si>
    <t>从察觉、求生、隐匿、运动中选择两项</t>
  </si>
  <si>
    <t>厨师工具，和另外一种你自选的工匠工具。</t>
  </si>
  <si>
    <t>厨师用具、攀爬工具、一把铲子、一双厚手套、一件带兜帽的斗篷。</t>
  </si>
  <si>
    <t>并非每个人都在陨石撞击后离开德拉肯海姆。有些人选择留下，搜索废墟中失去的东西：朋友、家人，或者只是寻找财宝和文物。你知道城市中最危险的地方，最佳的行进路径，并且通常能快速找到旅行的最佳方式。尽管迷雾危险重重，但你还是成功活了下来，背负着德拉肯海姆的疯狂之重。</t>
  </si>
  <si>
    <t>无论是作为一位战士还是逃亡者，你都从席卷维斯特玛的内战之中幸存了下来。战争从你身上夺走了一些东西，改变了你。也许你不得不做一些违背道德之事，也可能你在血腥的内战中失去了朋友和家人。无论如何，当你从中走出之时，战争已经为你留下了难以愈合的疤痕。</t>
  </si>
  <si>
    <t>调查，以及从隐匿、洞悉、察觉中选择一项</t>
  </si>
  <si>
    <t>盗贼工具、制图工具</t>
  </si>
  <si>
    <t>盗贼工具、一套带有兜帽和面部遮挡物的黑色的衣物、一枚伪造贵族的玺戒、一份伪造身份证明、一套灌了铅的骰子和一副扑克牌。</t>
  </si>
  <si>
    <t>你被失落的财宝和珍贵的文物吸引来到了德拉肯海姆。也许是因为赚取比你一生花费更多的金币的前景太过诱人，或许你是为了寻求那些具有历史或宗教意义的物品。</t>
  </si>
  <si>
    <t>你不是通过寻宝来获得财富，而是通过追捕现在德拉肯海姆中潜藏的土匪、亡命徒和怪物赚钱。只要价格合适，你就常常会去接危险的悬赏。危险是你的第二天性，和狩猎的刺激与它带给你的金币相比，这座城市的恐怖微不足道。</t>
  </si>
  <si>
    <t>自然，再加上奥秘或生存自选其一</t>
  </si>
  <si>
    <t>一套旅行服装，一根刻有你部族标志的手杖，一套草药工具，以及一个装着10gp的腰包。</t>
  </si>
  <si>
    <t>阿沙里人自己选择了将自身与塔尔多雷其他地方隔绝开来。这使得许多阿沙里人对他们家园以外的世界运作方式来说显得幼稚——但这也使得他们坚韧决绝，并且紧紧地专注于他们的目标。自从泽弗拉的领袖，凯丽丝，风暴之声Keyleth，Voice of The Tempest成为举世闻名的英雄之后，风之阿沙里至少是变得更为塔尔多雷的其他民众所熟知了。他们最为人所知的是欢迎外人来到他们的山顶飞地，以及担负着驱使他们离开与世隔绝家园的使命。</t>
  </si>
  <si>
    <t>欺瞒，再加上巧手或隐匿自选其一</t>
  </si>
  <si>
    <t>易容工具，文书伪造工具，或者盗贼工具（自选其一）</t>
  </si>
  <si>
    <t>一套不显眼的普通服装，一套你熟练的工具，以及一个装着10gp的腰包。</t>
  </si>
  <si>
    <t>扣环帮在塔尔多雷享有的是一个很奇怪的地位。该组织是一个可怕的盗贼与杀手组织，而这些盗贼与杀手的名讳仅见于传闻之中。但同时，该组织因游击英雄主义而闻名，亦是对其成员在五色会 Chroma Conclave 进攻埃芒Emon的时候救下了无数性命的回应。并且就像每位扣环帮成员那样，你自己的名声也会时常在这两极之间摇摆。
你的连系可能会与你的扣环帮成员伙伴或者介绍你来到该组织的人有关。你的信念大概会涉及到确立你在扣环帮不可或缺的地位。</t>
  </si>
  <si>
    <t>你的技能组可能会与许多扣环帮成员相似，但是你是在为一个远更复杂——甚至也更加隐秘的犯罪组织工作。作为塔尔多雷的一位万象会特工，你可能已被给予了一项特殊任务以促进该组织向荒州以外扩张的渴求，或者让其在与扣环帮的竞争中取得优势。而且，你了解让你的行动向罪犯同僚们与执法力量保持隐秘的智慧，因为如果你的真实身份暴露了的话，扣环帮的特工们可不会对你手下留情。</t>
  </si>
  <si>
    <t xml:space="preserve">从奥秘、历史与游说中选择两项 </t>
  </si>
  <si>
    <t>一套高档服装，一套学生制服，书写工具*（装有墨水、一支羽毛笔、一叠羊皮纸及一把削笔刀的小包），以及一个装有10gp的腰包</t>
  </si>
  <si>
    <t>无论学生来自何种行业、从事艺术或研习魔法，都可成为琢颢学苑的学生。具备天赋并有幸得到录取的学生从塔尔多雷各地聚向埃蒙，寻求与这片土地上最深邃的头脑与最有才华的魔法师共同学习的机会。无论好坏，倘若一名学生来自小城市、乡村亦或荒野，在学苑进修时都很可能遭受某种文化冲击。
你的牵绊可能与你学生或毕业生的身份相关。你的理想则可能包括将在学苑得到的知识学以致用，以及作为一名冒险者周游四方，从而按自己的追求改造这个世界。</t>
  </si>
  <si>
    <t>从运动、察觉与生存中选择两项</t>
  </si>
  <si>
    <t>从一支火铳musket或一把手铳pistol中选择一件；一套普通服装，一个装有10gp的小包</t>
  </si>
  <si>
    <t>你现在——或曾经——是白石城最坚定的捍卫者，是一支值得信赖的步枪团的一员。与你的DM一起确定你的角色目前与步枪团的关系。如果你的战役从白石城开始，你可能是步枪团的现役成员。在其他情况下，可参考下方“步枪团关系表”。</t>
  </si>
  <si>
    <t>虽然白石城步枪团是枪械射击的精英，但依然不代表白石城枪械射击技术的顶峰。“灰色猎手”是德·罗洛家族的特殊执行人，其成员来自从步枪团抽调的精英和求生专家。他们忠诚地担任间谍、保镖，以及在工作需要时兼任刺客。虽然很少有人确切知道“灰色猎手”的存在，但往往在他们被外派保卫白石城的盟友之后，有关他们行动的流言便会在城邦间传开。
你便是灰色猎手的一员，即便可能只是个在训新人（若你正参加的战役从低等级开始），但也足以使你在白石城主与城主夫人耳边说上几句。不过，你必须克制地行使这项特权，以免失去它。</t>
  </si>
  <si>
    <t>欺瞒，宗教</t>
  </si>
  <si>
    <t xml:space="preserve">来自以前教派的一枚圣徽，一套祭袍，一套普通服装，以及一个装着15 gp的小包。 </t>
  </si>
  <si>
    <t xml:space="preserve">自创世以来，有两派神明争夺着艾桑椎亚的命运——正神和叛神。在灾厄之战期间，正神与艾桑椎亚的凡人种族——他们最初的创造物——结盟，共同保护这个有缺陷的世界及其多样的生命形式。叛神则试图彻底清除一切。
在那场毁灭性的战争结束时，正神们建立了一道神界之门，阻止所有的神祇——无论善恶——直接影响世界，但允许神祇的凡人信徒和超凡仆人执行他们的意志。因此，叛神的腐化低语在几个世纪里缠绕着那些渴望权力的凡人，承诺将神祇的伟大力量的一小部分赐予他们，以换取他们的灵魂奉献给神秘的教义。 
你曾经属于这样的叛神教派。也许这种信仰只是短暂地诱惑了你那叛逆的年轻心灵。也许教派给予了你所没有的爱与家庭，只要求你对他们的先知保持忠诚。或者，也许你从出生起就被培养去崇拜那些自私而残忍的神祇——直到有一天，面纱被揭开，你看到了令人恐惧的真相。 
无论如何，你从这个有毒教派的枷锁中挣脱出来。然而，你知道这个团体不原谅背叛者。只要你还活着，你就会被追捕；如果教派成员认为你已经死去，当他们发现自己搞错了，就会立刻重新开始追捕。 </t>
  </si>
  <si>
    <t>探索套组、5支蜡烛、铲子、信号哨、一本记录着你学徒时期旧研究的日志以及13枚金花币。</t>
  </si>
  <si>
    <t>你曾在AHA组织中跟随考古学家、历史学家和档案管理员学习。这是一个由学者冒险家组成的团体，致力于探索胧忆岛的本质及其历史。在导师的指导下，你探寻着岛上谜团的答案。在学徒期间，你前往了AHA的一处或多处发掘现场，与组织一同工作，但从未成为正式成员。即使到现在，你在组织期间那些未解之谜依然萦绕心头。</t>
  </si>
  <si>
    <t>运动，自然</t>
  </si>
  <si>
    <t>潜水甲</t>
  </si>
  <si>
    <t>探索套组、一个箱子、爪钩、渔具、一枚标记你所受训练分会的派系硬币，以及11枚金花币。</t>
  </si>
  <si>
    <t>你现在或曾经是水手公会Mariners’ Guild的成员，这是一个无畏的水下探索者和航海家组织。作为公会中的潜水学徒，你对浅水区了解颇多——你知道哪些是危险的，哪些是美味的。你攀爬过岛屿周围的悬崖，探索过许多海滩，并学会了如何使用在海浪下生存所需的装备。</t>
  </si>
  <si>
    <t>奥秘，求生</t>
  </si>
  <si>
    <t>炼金工具、9份普通原料（你知晓它们的属性）、一顶帽子或一件源自学徒时期的长袍，以及9枚金花币。</t>
  </si>
  <si>
    <t>巫术之道神秘莫测，其修习者往往守口如瓶。无论是你主动寻求，还是某位魔女在你身上看到了什么特质，你都成为了一位魔女或魔女集会的学徒。在她们的指导下，你接触到了胧忆岛的民间魔法传统，学习了药剂和其他魔法制品的基础知识。虽然你曾在其门下修习一段时间，但你从未正式加入任何魔女集会，因此被视为一名无徽魔女。</t>
  </si>
  <si>
    <t>探索套组、鞋匠工具、攀爬工具、附盖提灯、锁、一件速递队发放的旧制服，以及11枚金花币。</t>
  </si>
  <si>
    <t>你曾是高贵的速递队的一名学员，在那里你接受武术训练，学习如何迅速且悄无声息地穿越地形，并练习神圣的包裹递送任务。速递队的信条——"寄递万物，通达本心"——教导你要以服务他人为目标，将事情坚持到底是最崇高的美德之一。</t>
  </si>
  <si>
    <t>工程，回收</t>
  </si>
  <si>
    <t>三种工匠工具</t>
  </si>
  <si>
    <t>算盘、滚珠(1000个)、滑轮组、一瓶油、一件未完成的机械小玩意，以及15枚金花币。</t>
  </si>
  <si>
    <t>你大半生都在研究机械装置。对你而言，理解新旧技术都需要亲身实践。通过不断尝试，你学会了创造、修理和改装各种机械和电子设备，你的眼光也变得敏锐，能在遍布全岛的零散技术残片中识别出有用的部件。</t>
  </si>
  <si>
    <t>工程，游说</t>
  </si>
  <si>
    <t>铺盖、10支蜡烛、两种不同的普通原料（与你的精魂盟友相关）、一件精魂赠予的特殊物品，以及10枚金花币。</t>
  </si>
  <si>
    <t>虽然所有在胧忆岛生活的人都会在不同程度上接触到灵类，但你与灵界的互动却总是异常频繁。你一生都与灵类有着特殊的亲近关系，这是很少人能够经历的体验。相比普通的物质界事物，你更热爱灵类的食物、文化和族群。这些特别之处让当地人既着迷又怀疑，有时甚至感到困惑，但当灵界事务变得诡异时，他们仍会寻求你的帮助。</t>
  </si>
  <si>
    <t xml:space="preserve">求生，选择一项（推荐使用行省亲和表中的技能） </t>
  </si>
  <si>
    <t xml:space="preserve">选择一项（推荐使用行省亲和表中的工具） </t>
  </si>
  <si>
    <t>选择A或B：(A)工匠工具（如上所选）、地图（德鲁斯肯瓦尔德的行省）、旅行服装、10GP；或(B)50GP。</t>
  </si>
  <si>
    <t>你出生于德鲁斯肯瓦尔德那十三个不祥的行省之一。你可能属于那些起源于多样生态环境中的独特种族，也可能拥有完全不同的血统。你的故土赋予你独特的技艺与文化，也塑造了你早期的见闻与成长轨迹。</t>
  </si>
  <si>
    <t>异变者</t>
  </si>
  <si>
    <t>威吓，医药</t>
  </si>
  <si>
    <t>选择A或B：(A)炼金工具、镣铐、香水（用于掩盖化学残味）、旅行服装（带兜帽斗篷）、5GP；或(B)50GP。</t>
  </si>
  <si>
    <t xml:space="preserve">你曾经历一次剧烈且永久的身体改造，甚至可能变得如怪物般异形。科学、炼金与魔法的亵渎结合将你改造一新，这或许是为了治愈某种不治之症，又或许为了测试你生理机能的极限。这一过程某种意义上算是成功了，但它也在你身上留下了的痕迹。你形体的不可磨灭之扭曲，对那些无法理解自己所见之物的人来说，可能会成为其恐惧的根源。 </t>
  </si>
  <si>
    <t>咒饰编织者</t>
  </si>
  <si>
    <t>洞悉，自然</t>
  </si>
  <si>
    <t xml:space="preserve">选择A或B：(A)长棍、织布工具、篮子（准备用于编织的干芦苇）、书（德鲁伊学识）、铁壶、旅行服装、19GP；或(B)50GP。 </t>
  </si>
  <si>
    <t>你知晓那些仅在原始森林的幽影之中流传的古老仪式——由隐秘的德鲁伊与乡野医师世代相传。治疗与诅咒皆可编织于柳条咒饰之中，既可驱逐厄运与邪灵，也可能招致幽暗与古老精魂之怒。</t>
  </si>
  <si>
    <t>猩红祭仪师</t>
  </si>
  <si>
    <t>奥秘，医药</t>
  </si>
  <si>
    <t>选择A或B：(A)草药工具、匕首、高档服装、医疗包、小瓶×3、10GP；或(B)50GP。</t>
  </si>
  <si>
    <t>你曾深入研究驱动一切生命的力量——即便是那些模仿生命的造物，如构装与亡灵。这些研究大多都专注于血液的本质，以及其维系生命、传递生命精粹、将灵魂锚定于肉身的力量。你或许拜在某位心机深沉的导师门下，或加入了某个专研生死之道、乃至操纵生死的秘教团体。又或许，你从一部详尽的论著中习得技艺，并大胆将其付诸实践，精通那些禁忌之术。</t>
  </si>
  <si>
    <t>教团新进者</t>
  </si>
  <si>
    <t>奥秘，选择一项（推荐使用密教徒倾向表中的技能）</t>
  </si>
  <si>
    <t>选择A或B：(A)书法工具、戏服（教团制服）、圣徽（护符；教团标志）、旅行服装、10GP；或(B)50GP。</t>
  </si>
  <si>
    <t>你被引入了一个秘密组织，他们崇拜或追求某种异界力量。这些教徒可能是他们所敬奉之存在的仆从，也可能只是想了解并夺取那股力量，为己所用。视该教团所奉之庇护主的邪恶程度，或其所执行目的的险恶程度而定，密教徒可能是一股邪恶势力，也可能是彼此间联系紧密、为一个深奥但共同的目标而奋斗的忠诚群体。</t>
  </si>
  <si>
    <t>恐惧秘言</t>
  </si>
  <si>
    <t>奥秘，威吓</t>
  </si>
  <si>
    <t>选择A或B：(A)书法工具、书（奥秘主题）、墨水、墨水笔、油灯、燃油（3扁瓶）、纸张（10页）、2GP；或(B)50GP。</t>
  </si>
  <si>
    <t>你埋首于古老典籍的脆弱纸页与刻满亵渎铭文的斑驳石板之中，从中发掘出那些拥有深不可测力量的诡异生物的秘密。它们的含义大多如耳语般从你指间滑落，但你却从中攫取到了禁忌的知识与被诅咒的力量。你越是深陷堕落，就越发肯定自己并非孤身一人。</t>
  </si>
  <si>
    <t>命运赌徒</t>
  </si>
  <si>
    <t>选择A或B：(A)赌具（与上述相同）、高档服装、铁蒺藜、优质红酒（瓶装）、23GP；或(B)50GP。</t>
  </si>
  <si>
    <t>你曾在各式各样的博弈游戏中闯出一番名堂，然而某天，你的游戏越过了那条界线，演变成了远比寻常更加凶险的境况。你或许曾与邪魔对弈，以灵魂为赌注；或是与古老森林的妖精在谜题中斗智斗勇；抑或是与传说中的岔路先生Mister Crossroads掷骰一赌。</t>
  </si>
  <si>
    <t>幽灯灵媒</t>
  </si>
  <si>
    <t>选择A或B：(A)铁匠工具、牛眼提灯、燃油（3扁瓶）、高档服装、5GP；或(B)50GP。</t>
  </si>
  <si>
    <t>曾几何时，甚至早在你最近一次前往德鲁斯肯瓦尔德之前，你便曾搭乘过那辆死亡列车——幽灯特快列车Ghostlight Express。那段旅程的记忆可能如梦似幻、模糊不清，也可能格外清晰，甚至令人心悸。你对这辆幽灵列车的某些运作方式有了一些了解，也与列车长和同行的旅伴建立起了某种深厚的联系，这段经历至今仍留存在你心中。有时，你甚至觉得与死者相处比与生者相处更为自在。</t>
  </si>
  <si>
    <t>守墓人</t>
  </si>
  <si>
    <t>宗教，求生</t>
  </si>
  <si>
    <t>选择A或B：(A)石匠工具、附盖提灯、燃油（3扁瓶）、铲子、肥皂、旅行服装（有厚手套与深色兜帽）、10GP；或(B)50GP。</t>
  </si>
  <si>
    <t>在一处比生者之地更靠近亡者的所在，那些负责安葬逝者，并守护其长眠之人，既备受尊崇又令人心生畏惧。你曾从事过掘墓人、殡葬师和敛尸官的行当。很多时候，你是唯一一个为逝者献上善意悼词的人。你对亡灵的侵扰再熟悉不过，也绝不容许它们干涉你所看护之人的安息。</t>
  </si>
  <si>
    <t>猎兽猎手</t>
  </si>
  <si>
    <t>隐匿，以及如下列表中你选择的另一项：奥秘、历史、宗教、自然</t>
  </si>
  <si>
    <t>选择A或B：(A)皮匠工具、书（一种生物类型）、附盖提灯、捕猎陷阱、燃油（3扁瓶）、旅行服装，8GP；或(B)50GP。</t>
  </si>
  <si>
    <t>曾经，你只是猎物，在黑夜中被怪物无声追踪。如今，你化身为猎人，那些曾令你恐惧的存在，将亲身领悟何为真正的惊惧。你变得更致命、更贪婪、更冷酷，远胜当初那个追捕你的怪物。如今，你自己便是那怪物——那种曾想以你或你的亲近之人果腹的可怖生灵。你存活了下来，而那意图将你捕杀的猎手，或许反倒要落得毁灭的结局。</t>
  </si>
  <si>
    <t>记忆饥渴</t>
  </si>
  <si>
    <t>选择A或B：(A)书（包含个人笔记）、墨水、墨水笔、旅行服装、11GP；或(B)50GP。</t>
  </si>
  <si>
    <t>你的部分记忆被无尽的空虚吞噬。这段遗失的时间可能很短——仅仅是几天或数周的记忆从你脑海中消失——又或许你对自己究竟是谁、从何而来，仅剩下模糊的片段。你常常会经历似曾相识的瞬间，那些记忆仿佛在嘲弄你，却总是稍纵即逝，就像德鲁斯肯瓦尔德飘忽不定的薄雾。一次伤病、某些痛苦的经历，亦或是法术或诅咒的魔法影响，都可能是你失忆的根源。</t>
  </si>
  <si>
    <t>狂欢愚者</t>
  </si>
  <si>
    <t>表演，隐匿</t>
  </si>
  <si>
    <t>选择A或B：(A)乐器（与上述相同）、滚珠、戏服（带笑脸面具的快乐角色）、捕猎陷阱、镣铐、三根火把（用于杂耍）、旅行服装、10GP；或(B)50GP。</t>
  </si>
  <si>
    <t>你曾与那位愚人之王那奇异而令人不安的狂欢队伍一同巡游。无论你如今是否仍被他们接纳，又或是早已离团独行，你与这支队伍相处的时光都向你揭示了其部分本质——那位愚者之王侍奉着某个强大的存在，祂珍视幽默与欢愉，往往以牺牲强者为代价。但他绝非等闲弄臣。在那戏谑与欢愉的假面之下，隐藏着一个索求献祭的疯狂生物。</t>
  </si>
  <si>
    <t>无影之形</t>
  </si>
  <si>
    <t>欺瞒，调查</t>
  </si>
  <si>
    <t>选择A或B：(A)易容工具、镜子、旅行服装、16GP；或(B)50GP。</t>
  </si>
  <si>
    <t>你曾经是完整的，然而如今你的部分自我被剥离，像你一样在这个世界上漂泊游荡。你的分身带走了你的倒影与阴影，以与你一模一样的幻像姿态游走于世。你明了这另一个自我的存在——你能够感知到它——但它所求为何，以及缘由何在，你却一无所知。偶尔，你会遭遇某位仿佛早就认识你的人——或怀恨在心、或亲近友善——但你却从未与其见过面。不禁揣测：他们是否与那个“另一个你”有过交集？</t>
  </si>
  <si>
    <t>运动与巧手</t>
  </si>
  <si>
    <t>选择A或B：(A)匕首、织布工具、背包、滚珠、篮子、铺盖、吊桶、口粮（3日份）、绳索、信号笛、旅行服装、38GP；或(B)50GP。</t>
  </si>
  <si>
    <t>虽然琼达斯的大部分年轻人都需要义务服四年兵役，但你却对专制政府试图操纵你的人生而感到不满。你抛弃了自己的国民身份，抛弃了自己的姓名，并在第一艘接纳了自己的船上成为了海盗。自此，你便航行于维洪海域Vilhon Reach之中。虽然你从未在离陆地距离超过几十里格（译注：长度名，约为三英里或三海里）的海域航行过，但你与当地的深刻联系以及广泛的人生阅历弥补了这一点。</t>
  </si>
  <si>
    <t>医药与生存</t>
  </si>
  <si>
    <t>皮革匠工具</t>
  </si>
  <si>
    <t>选择A或B：(A)巨棒、皮革匠工具、铺盖、吊桶、医疗包、长杆、口粮（3日份）、帐篷、火绒盒、5支火把、旅行服装、水袋、32GP；或(B)50GP。</t>
  </si>
  <si>
    <t>埃诺奥克沙漠Anauroch desert的死魔法区域对于施法者以及那些依赖魔法的怪物来说无法忍受——而这却正是你在此生活的原因。你可能是正在为了摆脱红袍法师Red Wizards而奔波，又或者是因为忤逆了卡林珊的某位强大气巨灵而逃亡。无论情况如何，你最终认为在埃诺奥克居住才是最好的选择。在若干年月之后，你变得更加智慧，更加强大，并拥有着从沙漠医药与荒漠生存当中艰难获得的知识。</t>
  </si>
  <si>
    <t>力量、体质、魅力</t>
  </si>
  <si>
    <t>威吓与察觉</t>
  </si>
  <si>
    <t>选择A或B：(A)硬头锤、铁匠工具、高档服装、镣铐、便携式攻城锤、4GP；或(B)50GP。</t>
  </si>
  <si>
    <t>博德之门最主要的执法机构便是焰拳，一个由该城市的大公爵所领导的庞大佣兵协会。你曾经担任过焰拳的一员，并因此学会了如何用你令人生畏的眼神提前发现并解决问题，以及在必要的时候承受致命打击。焰拳的雇佣兵无论是在编还是已经退休，都以剑湾最顽强，最坚韧的战士著称，而你也在寻求将这样的声誉延续下去。</t>
  </si>
  <si>
    <t>察觉与游说</t>
  </si>
  <si>
    <t>选择A或B：(A)轻锤、玻璃匠工具、高档服装、油灯、燃油（3瓶）、水袋、2GP；或(B)50GP。</t>
  </si>
  <si>
    <t>虽然巨灵已不再统治卡林珊，但在你的家乡，巨灵魔法依然很常见。你可能不小心就从某个魔法油灯里面召唤出了一位气巨灵，又或者可能偶然来到一片由某位水巨灵守卫着的绿洲。可能有一位土巨灵在山体滑坡时将你救了下来，还可能是你与某位火巨灵在为了某笔稍纵即逝的财富而讨价还价。无论你是通过什么方式而与某位巨灵产生了命运的交集，这种经历都给予了你敏锐的眼光，伶俐的口舌，而不仅仅只是些许魔法。</t>
  </si>
  <si>
    <t>驯兽与运动</t>
  </si>
  <si>
    <t>选择A或B：(A)木雕工具、篮子、滑轮组、吊桶、链条、捕猎陷阱、捕网、长杆、口粮（3日份）、绳索、旅行服装、32GP；或(B)50GP。</t>
  </si>
  <si>
    <t>你出身于冰风谷十镇的冰钓世家。捕捉硬头鳟并非北地最辉煌的产业，但确实是诚实勤恳的谋生手段。你的感官被训练得足以察觉到渔线最细微的扯动，从而将大鳟鱼拉出结冰的湖泊，并钓上足够整个村庄吃上好几顿的硬头鳟。这些经历使得你的身心变得坚韧，进而为冒险生涯做好了准备。</t>
  </si>
  <si>
    <t>自然与表演</t>
  </si>
  <si>
    <t>选择A或B：(A)长棍、画家工具、铺盖、铃铛、小包、长袍、细线、高档服装、水袋、34GP；或(B)50GP。</t>
  </si>
  <si>
    <t>与许多来自月影群岛的人一样，你从小便崇对这片圣洁的岛屿，岛上独一无二的神明，以及被称作月井的神秘圣坛充满了敬畏。作为一位月井朝圣者，你踏上了探访地图上（或地图外）每座月井并通过它们来与神明对话的旅途。在你如田园牧歌一般的旅途当中，你收集了许多月影群岛人Moonshavian的民歌，画出了许多曾见过的迷人风景，甚至学会了如何支配一些原初魔法。</t>
  </si>
  <si>
    <t>调查与宗教</t>
  </si>
  <si>
    <t>选择A或B：(A)匕首、轻锤、石匠工具、背包、铺盖、撬棍、梯子、长杆、2个小包、绳索、细线、火绒盒、5支火把、旅行服装、水袋、26GP；或(B)50GP。</t>
  </si>
  <si>
    <t>你出生在神王们生活的土地上，而自从孩提时起，你便听过了无数有关古代帝国与被掩埋城邦的故事。在这些故事当中，穆尔霍兰德是一片充满了被遗忘财富的土地——无价之宝等待着足够狡诈又足够勇敢的人来将它们发掘。你主动出发去探索墓穴、坟冢与金字塔，以发掘自己的民族遗产。</t>
  </si>
  <si>
    <t>奥秘与历史</t>
  </si>
  <si>
    <t>选择A或B：(A)长棍、珠宝匠工具、香水、小包、长袍、铲子、细线、水袋、16GP；或(B)50GP。</t>
  </si>
  <si>
    <t>迷锁是能够改造魔网甚至改变现实本源的强大魔法力量之源。大部分迷锁都建立在古代，其中很多都已损毁或进入休眠状态。作为一位来自谷地的迷锁守卫者，你第一次接触迷锁可能是在迷斯卓诺Myth Drannor的废墟中。你为了寻找其他迷锁力量的遗迹而漫游于费伦大陆，希望能够对迷锁的历史以及迷锁的力量有更多的了解——乃至于足以修复发生故障的迷锁。</t>
  </si>
  <si>
    <t>选择A或B：(A)书法工具、背包、铺盖、附盖提灯、燃油（3瓶）、长袍、火绒盒、旅行服装、水袋、23GP；或(B)50GP。</t>
  </si>
  <si>
    <t>你在莱瑟曼的高原之上漂泊了许多年，这片狂风席卷的危险荒原上不但星罗密布着用以禁锢邪魔的附魔方尖碑，而且还是巨龙，鬣狗人与其他致命生物的栖息地。在这样一片与世隔绝的土地上很难找到友谊，而你也明白应该与陌生人保持距离。</t>
  </si>
  <si>
    <t>敏捷、智力、魅力</t>
  </si>
  <si>
    <t>特技与隐匿</t>
  </si>
  <si>
    <t>选择A或B：(A)2把匕首、盗贼工具、铁蒺藜、戏服、爪钩、铁钉、2个小包、长袍、旅行服装、3GP；或(B)50GP。</t>
  </si>
  <si>
    <t>你毕生训练便是为了成为在幕后控制着赛斯克Thesk的神秘盗贼协会——影宗的一员。潜行与快速反应的能力只是你影宗课程的开始，你还需要变得更加残忍无情，以此来保障协会秘密的安全。但某个错误之举导致你被逐出了协会。现在你必须走上自己的道路。</t>
  </si>
  <si>
    <t>咒火火花</t>
  </si>
  <si>
    <t>奥秘与察觉</t>
  </si>
  <si>
    <t>自选一套赌具</t>
  </si>
  <si>
    <t>选择A或B：(A)赌具（同上所选）、奥术法器（水晶或魔杖）、2个小包、旅行服装、36GP；或(B)50GP。</t>
  </si>
  <si>
    <t>你身上具有咒火的天赋：一种稀有的魔法形式，能够引导魔网的原始力量。操纵咒火会对身体造成很重的负担。因此你锻炼了自己的身心，以此来更有效地操纵这股神圣的力量。</t>
  </si>
  <si>
    <t>新晋龙巫教徒</t>
  </si>
  <si>
    <t>欺瞒与隐匿</t>
  </si>
  <si>
    <t>选择A或B：(A)书法工具、匕首、玻璃瓶、油灯、镣铐、燃油（5瓶）、2个小包、长袍、绳索、30GP；或(B)50GP。</t>
  </si>
  <si>
    <t>你是一位新晋龙巫教徒。你了解到或被人带进了某个基层邪教组织，在那里，你彰显着龙巫教徒引以为豪的品质：虚伪狡诈，恪守秘密，以及坚定决心。以你为龙巫教效命的誓言作为交换，龙巫教为你提供了随行的拜龙者dragon worshipers为同伴，以及能够助你在奥法及神秘学领域中展开进一步研究的资源。</t>
  </si>
  <si>
    <t>翠绿闲庭新羽</t>
  </si>
  <si>
    <t>自然与生存</t>
  </si>
  <si>
    <t>选择A或B：(A)短弓、20支箭、草药工具、铺盖、毯子、小包、帐篷、旅行服装、13GP；或(B)50GP。</t>
  </si>
  <si>
    <t>作为一位翠绿闲庭庇护者，你悉心地照顾着那些对世间充满了关爱的人。你或是通过陪同翠绿闲庭成员，或是自行摸索，学会了生活在这片大地上所需的关键技巧：如何追捕猎物，到哪里去搜寻有用的药草，甚至如何预测天气。你运用这些才赋维持文明与荒野的平衡，以及消灭世上的非自然生物。</t>
  </si>
  <si>
    <t>竖琴手特工</t>
  </si>
  <si>
    <t>表演与巧手</t>
  </si>
  <si>
    <t>选择A或B：(A)易容工具、铺盖、戏服、爪钩、绳索、旅行服装、14GP；或(B)50GP。</t>
  </si>
  <si>
    <t>你收到一封加入竖琴手同盟的邀请函，从此立下誓言拥护竖琴手的行为准则并为服务公共利益而行动。与所有竖琴手一样，你理解团队协作的价值，也明白什么时候独自行动最为合适。资历丰富的竖琴手向你传授了竖琴手同盟的秘密——那些魔法旋律，特殊暗号，以及一些花招诈术——并将利用这些知识以监视并削弱邪恶力量的重任托付给了你。</t>
  </si>
  <si>
    <t>新锻臂铠</t>
  </si>
  <si>
    <t>运动与医药</t>
  </si>
  <si>
    <t>选择A或B：(A)矛、铁匠工具、牛眼提灯、圣水、镣铐、燃油（5瓶）、链火绒盒、旅行服装、9GP；或(B)50GP。</t>
  </si>
  <si>
    <t>并非所有回应更加强大力量召唤之人都甘心于待在沉闷的神庙后殿里面苦苦钻研经文。你以加入臂铠骑士团的方式走上了神圣武者的道路。作为一位臂铠骑士，你对邪恶力量报以正义的轻蔑，将坚定不移的同志视为携手并肩的骨肉同胞，并对战争的幸存者抱以由衷的怜悯。武器与圣徽在手，你发誓永不停歇，直至正义的光芒驱散费伦大陆上每一片混沌的阴影。</t>
  </si>
  <si>
    <t>领主联盟特工</t>
  </si>
  <si>
    <t>洞悉与说服</t>
  </si>
  <si>
    <t>选择A或B：(A)2支标枪、书法工具、高档服装、墨水、5支墨水笔、羊皮纸（9张）、13GP；或(B)50GP。</t>
  </si>
  <si>
    <t>你向领主联盟的其中一个加盟城镇宣誓效忠。作为一位联盟特工，你必须拥护联盟的信条并致力于提高剑湾的安全与繁荣程度。你发誓要为自己的领主带来辉煌与荣耀，既可以指的是为深水城的商业领主保护商路，也可以是指消灭匕首滩上游的怪物。无论是用剑的艺术还是治理城邦的艺术，你都早已训练掌握，你挥舞利剑就宛如挥舞羽毛一般灵巧。</t>
  </si>
  <si>
    <t>力量、感知、魅力</t>
  </si>
  <si>
    <t>紫龙新兵</t>
  </si>
  <si>
    <t>驯兽与洞悉</t>
  </si>
  <si>
    <t>选择A或B：(A)矛、领航工具、高档服装、9GP；或(B)50GP。</t>
  </si>
  <si>
    <t>你将自己的生命献给了维护科米尔Cormyr的安全，并渴望加入当地的精英骑士团体：紫龙骑士团。但在你正式加入紫龙骑士团之前，你必须先担任骑士侍从。你找到了一位愿意提携你并将骑士团的信条教授于你的领主。你愿意拥护紫龙骑士团荣耀、辉煌与力量的理念，并证明自己有成为骑士的资格吗？</t>
  </si>
  <si>
    <t>散塔林会暴徒</t>
  </si>
  <si>
    <t>选择A或B：(A)短棒、匕首、文书伪造工具、高档服装、附盖提灯、燃油（3瓶）、2个小包、细线、火绒盒、11GP；或(B)50GP。</t>
  </si>
  <si>
    <t>或许是你需要钱。或许是你渴望加入某个大家庭，无论它有多么可疑。又或许你只是擅长为达成目的而不择手段。无论理由如何，总之你加入了散塔林会，这个整个国度最为臭名昭著的雇佣兵协会。虽然散塔林会的领袖宣称该组织比起幕后财团更像是一个大家庭，但很少会有家庭展现出像这个家庭一样这么多的尔虞我诈、任人唯亲、贪污腐败现象。你磨砺着自己的狡诈与反应能力，并矢志于提升在协会内的地位。</t>
  </si>
  <si>
    <t>骄阳之子</t>
  </si>
  <si>
    <t>运动与自然</t>
  </si>
  <si>
    <t>选择A或B：（A）长棍、制图工具、背包、篮子、羊皮纸（4张）、绳索、旅行服装、29GP；或（B）50GP</t>
  </si>
  <si>
    <t>你来自洛温——一片永沐阳光的土地，或是对此地有过深入研究。你将艾尔杜这一崇高的存在视作太阳的化身，且热衷于踏上奇幻冒险。你珍视所爱之人，即便这份联系仅存于情感层面，因为你曾目睹一些人踏入暗影荒原或更遥远之地后，变得如褪色般失去了自我。尽管如此，你依旧勇敢无畏，始终渴望新的体验。</t>
  </si>
  <si>
    <t>影原咒者</t>
  </si>
  <si>
    <t>特技与欺瞒</t>
  </si>
  <si>
    <t>选择A或B：（A）匕首、玻璃匠工具、背包、捕猎陷阱 、油灯、燃油（3扁瓶）、旅行服装、水袋、8GP；或（B）50GP</t>
  </si>
  <si>
    <t>你来自暗影荒原，或是对此地进行了多年研究。这是一片阴暗的混乱之地，唯有苍白的月光永恒映照。你或许凭借机智与狡黠在暗影荒原的严酷环境中生存下来，又或许依靠强健的体魄与无畏的勇气击退威胁。无论你身处何方，你都明白友谊是何等稀缺之物。你认为，判断该信任谁、又该与谁保持距离，这不仅仅是务实之举——往往更是关乎生死的要事。</t>
  </si>
  <si>
    <t>历史与生存</t>
  </si>
  <si>
    <t>选择A或B：(A)制图工具、牛眼提灯、地图、卷轴匣/地图匣、铲子、帐篷、旅行服装；或(B)50GP。</t>
  </si>
  <si>
    <t>你将半生心血都倾注在那些早已消亡或沉沦的古代文明上：你探访其残垣断壁，破译其尘封文献，调研其残存杰作。你可能曾于莫格雷夫大学或类似的学术机构深造，用偏远遗迹中的实地考察充实图书馆里的枯燥钻研。你的同行中，有些人劫掠文物古董以博取名利，但更多的人则认为以史为镜方为其天职。无论出于何种动机，艾伯伦的考古学家都是博学史家的睿智与寻宝猎人的坚韧的完美结合体。</t>
  </si>
  <si>
    <t>选择A或B：(A)工匠工具（同上所选）、高档服装、20GP；或(B)50GP。</t>
  </si>
  <si>
    <t>你与某个龙纹家族有着千丝万缕的联系，但你至今（尚）未显现出任何龙纹。你可能出身于家族血脉，也可能只是一名与其并无血缘关系的家族雇员。长久以来，你一直奔走于家族业务的第一线以谋求生计，如同家族高层延伸至外部世界的耳目与手足，忠实地执行着各项指令。你或许在你效力的家族内部有着不少旧友、导师或竞争对手；而在其他龙纹家族中，你同样有着不少盟友——或敌人。</t>
  </si>
  <si>
    <t>洞悉与调查</t>
  </si>
  <si>
    <t>选择A或B：(A)盗贼工具、牛眼提灯、撬棍、燃油（10扁瓶）、旅行服装、29GP；或(B)50GP。</t>
  </si>
  <si>
    <t>在永无止境的好奇心驱动下，你不断磨砺着自己的调查与演绎天赋——探索未解之谜、找寻失踪人员、追回失窃财物，亦或是揭露暗藏的腐败与阴谋，当然还得解决案子。作为一名探事员，你也许曾以自由人身份的接取委托，也许受雇于某家专业的探事机构（这家机构还可能是受梅丹尼或萨拉释克等龙纹家族授权的机构），也许为新闻报纸提供独家报道，也许甚至为当地的治安势力探明悬案。</t>
  </si>
  <si>
    <t>异种龙纹</t>
  </si>
  <si>
    <t>历史与威吓</t>
  </si>
  <si>
    <t>选择A或B：(A)匕首、易容工具、戏服、旅行服装、16GP；或(B)50GP。</t>
  </si>
  <si>
    <t>自从异种龙纹在你身上显现以来，你的生活便陷入了重重困境。在过往的大部分岁月中，你或许成功地将其掩藏，抑或设法避开了世人的窥探。但你也可能早已深陷猜忌与恐惧的泥沼，甚至遭到了一个或多个龙纹家族的公然敌视。为了生存，你或许已经与塔卡南家族这一犯罪组织（该组织得名于两千五百年前的龙纹战争中最臭名昭著的异种龙纹领袖）建立了联系。又或者，你依然在独自对抗这个世界，在这片充满成见的土地上，仅凭自己的机敏和龙纹的威能强行开辟出一条生路。</t>
  </si>
  <si>
    <t>侦测龙纹</t>
  </si>
  <si>
    <t>选择A或B：(A)易容工具、高档服装、10GP；或(B)50GP。</t>
  </si>
  <si>
    <t>作为梅丹尼家族的一员，你的生活始终伴随着诡谲阴谋——并非是被卷入其中无法脱身，而是时刻站在阻止它人阴谋实现的最前线。在你眼中，周遭的世界不过是由算计、权谋与反制交织而成的错综蛛网。通过洞察万千变量，你凭借敏锐的直觉预判针对委托人的潜在威胁，并抢在危机爆发前将其消弭于无形。抵挡刺客的利刃，那是邓内斯佣兵或萨拉释克打手都能胜任的粗活——而确保那把剑根本没有出鞘的机会，才是梅丹尼的立身之道。</t>
  </si>
  <si>
    <t>探寻龙纹</t>
  </si>
  <si>
    <t>察觉与生存</t>
  </si>
  <si>
    <t>选择A或B：(A)赌具（同上所选）、攀爬工具、高档服装、狩猎陷阱、镣铐、2GP；或(B)50GP。</t>
  </si>
  <si>
    <t>当其他家族的后裔们尚在养尊处优时，在萨拉释克家族成长的你，从幼年起便懂得了何为独立自强。作为一个底蕴尚浅的新兴豪门，你们虽在资源上稍显匮乏，却拥有足以弥补一切的斗志与决心。萨拉释克肩负着尚未实现的昭昭天命，而你正是其中不可或缺的一环。无论是短兵相接的战场，还是尔虞我诈的交际，你都深谙狩猎之道：审视敌手，洞察破绽，并不计代价地夺取最终胜利。</t>
  </si>
  <si>
    <t>畜牧龙纹</t>
  </si>
  <si>
    <t>驯兽与自然</t>
  </si>
  <si>
    <t>选择A或B：(A)草药工具、高档服装、捕网、29GP；或(B)50GP。</t>
  </si>
  <si>
    <t>在你的成长岁月中，对家族的归属感与对自然的敬畏心始终并行不悖。你深谙五国文明的文化传承，却从不屑于卷入其他家族乐此不疲的野心博弈与地位角逐。你洞悉生命中蕴含的壮美与伟力，领悟生与死的深邃奥秘，以及在这两者之间绽放的种种奇迹。凭借对自然造化的深刻洞察，你总能一眼看穿城里人的谎言与伪装——而你最过人之处在于，你从不轻易表露出自己早已洞若观火。</t>
  </si>
  <si>
    <t>医疗龙纹</t>
  </si>
  <si>
    <t>医药与隐匿</t>
  </si>
  <si>
    <t>选择A或B：(A)草药工具、高档服装、医疗包、25GP；或(B)50GP。</t>
  </si>
  <si>
    <t>乔拉斯科家族的家学认为：疾疫与伤痛正如幽灵般尾随生者，无时无刻不在掠夺人们的健康与天年。而无论凭借魔法还是依靠医理，你都早已习得对抗这些灾厄的手段。你受过将这些技艺施惠于众人的训练，但同样重要的一点是——你必须确保每一分诊疗都能换回相应的报酬。毕竟，唯有确保家族财源稳固，方能保障乔拉斯科自身亦寿比南山。你或许是一位悲天悯人、不屑于兵戈之事的仁慈医师；亦或是一名冷静到近乎冷酷的专科医生，深谙如何通过精准的解剖式打击令对手失能甚至毙命。</t>
  </si>
  <si>
    <t>招待龙纹</t>
  </si>
  <si>
    <t>洞悉与游说</t>
  </si>
  <si>
    <t>选择A或B：(A)厨师工具、高档服装、铁锅、油灯、燃油（5扁瓶）、香水、26GP；或(B)50GP。</t>
  </si>
  <si>
    <t>得益于你与伽兰达家族的深厚渊源，你从小便在锦衣玉食、高谈阔论、珍馐佳酿中浸淫成长。你或许是家族中一位魅力十足且机敏睿智的子嗣，平生最爱莫过于在温暖的壁炉旁度过一个惬意的夜晚；又或者，你是个深藏不露的权谋家，擅长利用信任与友谊的纽带，诱导他人屈从于你的意志。你之所以开启这段冒险生涯，或许是为了钻研异域文明或失落时代的烹饪秘法，或许是为了拓宽那张无孔不入的人脉网，亦或是为了攒够足以开一家属于自己客栈的本钱。</t>
  </si>
  <si>
    <t>创造龙纹</t>
  </si>
  <si>
    <t>调查与巧手</t>
  </si>
  <si>
    <t>选择A或B：(A)工匠工具（同上所选）、撬棍、高档服装、2个小包、17GP；或(B)50GP。</t>
  </si>
  <si>
    <t>作为坎尼斯家族的子嗣，你肩负着一份令世人钦慕的辉煌传承。这个世界上的种种奇迹皆出自坎尼斯之手，而你也被寄予厚望，需通过发明创造、学术钻研、商贸经营或外交斡旋，为家族的长盛不衰贡献己力。如今唯一能阻碍你前行的，便是家族本身已四分五落的事实。现任的三位男爵各据一方，唯有尽快决出谁才是家族的正统掌权者（而你心中显然早有属意的人选），坎尼斯家族才能及时重拾往日荣光，重登龙纹家族之首的命定宝座。</t>
  </si>
  <si>
    <t>通行龙纹</t>
  </si>
  <si>
    <t>特技与运动</t>
  </si>
  <si>
    <t>选择A或B：(A)制图工具、高档服装、地图、卷轴匣/地图匣、18GP；或(B)50GP。</t>
  </si>
  <si>
    <t>在终末战争爆发前，欧瑞恩家族的影响力足以辐射整个科瓦雷。那时，家族铺设的贸易商路与闪电列车轨道犹如强盛王国的血管，为其源源不断地输送着生命力。然而，惨烈的战火将这些动脉生生切断——伽利法王国分崩离析，欧瑞恩家族也随之元气大伤。尽管如今家族的信使与货运商依然奔波于大陆南北，竭力维系着货物的流通，但对于家族而言，当务之急仍是寻得重新贯通哀伤故地的方法，以修复破碎的交通网络。在此期间，欧瑞恩的冒险者可以大显身手：寻找失踪的信使，追回商队失窃的财物，或是扫清闪电列车轨前的一切障碍。</t>
  </si>
  <si>
    <t>抄录龙纹</t>
  </si>
  <si>
    <t>历史与察觉</t>
  </si>
  <si>
    <t>选择A或B：(A)书法工具、高档服装、墨水、5支墨水笔、纸（30张）、羊皮纸（9张）、8GP；或(B)50GP。</t>
  </si>
  <si>
    <t>你的家族跨越近三千年的漫长岁月，始终致力于维系世间的秩序。沟通是联结文明的纽带，而你的先祖曾调停列王之间的纷争，更在混乱中指引各大龙纹家族找到了各自的立足之地。鲜有人能意识到，西维斯家族对现今时代的格局产生了何等深远的影响——正如鲜有人能看穿，那些居于身侧的王室顾问，其指尖拨动的权柄往往胜过金座上的君王。当其他龙纹家族在台前争名逐利之时，西维斯家族早已在幕后布下了深远的棋局，在永无止境的权谋乱局中维系着秩序。</t>
  </si>
  <si>
    <t>哨戒龙纹</t>
  </si>
  <si>
    <t>洞悉与察觉</t>
  </si>
  <si>
    <t>选择A或B：(A)矛、短弓、20支箭、赌具（同上所选）、高档服装、医疗包、箭袋、1GP；或(B)50GP。</t>
  </si>
  <si>
    <t>作为邓内斯家族的后裔，你自幼便学习如何舞枪弄棒——并非好勇斗狠，但也绝不畏缩避战。你深知责任与荣誉的千钧重量；你也同样明白，当它们失效时维系社会秩序所必须的条律为何。在家族中闯出名声期间，你或许曾为某位小显贵担任过保镖，或许做过佣兵，又或许当过四处追捕逃犯的法警。而现在，你已磨刀霍霍，准备在这最为强大的龙纹家族中宣称你应得的地位。</t>
  </si>
  <si>
    <t>阴影龙纹</t>
  </si>
  <si>
    <t>尽管作为费亚兰家族的子嗣，你早已阅尽世间的富贵、盛名与繁华，但在你眼中，唯有知识（以及随之而来的权力）才是这世上最珍贵的瑰宝。你或许会以艺术家或表演者的身份追逐这份力量，在用辞藻、歌谣、杂技或艺术取悦世人的同时，时刻洞察着周遭潜藏的秘密。又或者，你会选择投身于家族中那个名为蛇桌的隐秘情报分支，与其建立更深的羁绊。</t>
  </si>
  <si>
    <t>表演与隐匿</t>
  </si>
  <si>
    <t>选择A或B：(A)乐器（同上所选）、戏服、高档服装、13GP；或(B)50GP。</t>
  </si>
  <si>
    <t>鉴于苏兰尼家族根基尚浅且仍在深耕间谍事业，家族高层希望你能在任何契机下为家族谋取利益。由于家族正处于独立发展的转型期，你的一举一动都处于严密的审视之下。这并不意味着每位苏兰尼家族后裔都必须遵照祖辈的敕令去当职业密探，但即便是家族中最深居简出的艺术家或工匠都必须时刻洞察政治得风云变幻，并在接到指令时义不容辞地履行传递或搜集情报的职责。</t>
  </si>
  <si>
    <t>暴风龙纹</t>
  </si>
  <si>
    <t>特技与自然</t>
  </si>
  <si>
    <t>选择A或B：(A)领航工具、高档服装、10GP；或(B)50GP。</t>
  </si>
  <si>
    <t>作为黎兰达家族的后裔，清风是你的盟友，而四海与长空皆为你的领地。纵使终末战争留下了满目疮痍，你的家族却正凭借对飞艇新技术的绝对掌控而蒸蒸日上。你的职业生涯或许始于汪洋，曾是劈波斩浪的水手、指引航向的领航员，亦或是精于营建的造船匠；你也可能曾是召雨公会的一员，通过操纵天气来协助农耕灌溉或投身类似的公共工程。又或者，你是家族中首批冲向云霄的先驱之一，在飞艇机组中赢得了一席之地。效忠家族意味着你随时可能受命前往拉扎尔海猎杀海盗，或是深入远古遗迹搜寻足以束缚元素之力的魔法技术，甚至可能踏入哀伤故地去打捞那里的飞艇残骸。</t>
  </si>
  <si>
    <t>力量、体质、智力</t>
  </si>
  <si>
    <t>守御龙纹</t>
  </si>
  <si>
    <t>奥秘与调查</t>
  </si>
  <si>
    <t>选择A或B：(A)盗贼工具、高档服装、10GP；或(B)50GP。</t>
  </si>
  <si>
    <t>作为昆达拉克家族的后裔，你对自己的血脉以及家族守护科瓦雷财富的职责深感自豪。在摩洛领的诸氏族中，你的家族始终占据着领袖地位。尽管昆达拉克从未加冕为王，但其专业、荣誉与秩序的信条早已名动天下。在日常行事中，你或许会竭尽全力维护家族的清誉，也可能将个人的荣誉准则凌驾于家族利益之上；你甚至可能选择反抗家族的繁文缛节，将那些所谓的名声与责任视若无物，彻底背弃家族对你的期许。</t>
  </si>
  <si>
    <t>背包 Inventory</t>
  </si>
  <si>
    <t>速查</t>
  </si>
  <si>
    <t>冒险装备</t>
  </si>
  <si>
    <t>lb</t>
  </si>
  <si>
    <t>×</t>
  </si>
  <si>
    <t>次元袋重量</t>
  </si>
  <si>
    <t>次元袋负重（收纳）</t>
  </si>
  <si>
    <t>次元袋负重上限</t>
  </si>
  <si>
    <t>盟友 / 协力者 Sidekicks</t>
  </si>
  <si>
    <t>魔宠或宠物</t>
  </si>
  <si>
    <t>姓名</t>
  </si>
  <si>
    <t>名字</t>
  </si>
  <si>
    <t>关系</t>
  </si>
  <si>
    <t>相识地</t>
  </si>
  <si>
    <t>临时HP</t>
  </si>
  <si>
    <t>职业</t>
  </si>
  <si>
    <t>易伤</t>
  </si>
  <si>
    <t>盟友故事</t>
  </si>
  <si>
    <t>感官</t>
  </si>
  <si>
    <t>盟友画像 / 描述</t>
  </si>
  <si>
    <t>据点 Bastion</t>
  </si>
  <si>
    <t>特色设施速查</t>
  </si>
  <si>
    <t>个人据点</t>
  </si>
  <si>
    <t>据点设施</t>
  </si>
  <si>
    <t>据点名称</t>
  </si>
  <si>
    <t>据点位置</t>
  </si>
  <si>
    <t>据点描述</t>
  </si>
  <si>
    <t>奥术研究室</t>
  </si>
  <si>
    <t>效果</t>
  </si>
  <si>
    <t>备注</t>
  </si>
  <si>
    <t>———据点资金———</t>
  </si>
  <si>
    <t>据点设施-特色设施</t>
  </si>
  <si>
    <t>据点设施-基础设施</t>
  </si>
  <si>
    <r>
      <rPr>
        <sz val="10"/>
        <color theme="1"/>
        <rFont val="微软雅黑"/>
        <charset val="134"/>
      </rPr>
      <t xml:space="preserve">　　特色设施是据点内可以通过特定活动来产生游戏内增益的地点。角色的据点最初拥有两个特色设施，这两个特色设施由角色选择，但该角色必须满足获取其设施的先决条件。每个特色设施只能被选择一次，除非其描述中另有说明。
　　与基础设施不同的是，特色设施无法被直接购买；角色通过升级来获取特色设施。9级时，角色获得额外两个特色设施，由该角色选择自己满足条件的设施。角色在达到13级和17级后再获得一个特色设施。特色设施获取Special Facilities Acquisition 表格中显示了一个角色的据点拥有的特色设施总数。在角色达到相应的等级时，新的特色设施会立刻成为该角色据点的一部分。
　　当一个角色升级时，他可以将据点内的一个特色设施替换为另一个自己满足条件的特色设施。
</t>
    </r>
    <r>
      <rPr>
        <b/>
        <sz val="10"/>
        <color theme="1"/>
        <rFont val="微软雅黑"/>
        <charset val="134"/>
      </rPr>
      <t>特色设施获取 Special Facilities Acquisition</t>
    </r>
    <r>
      <rPr>
        <sz val="10"/>
        <color theme="1"/>
        <rFont val="微软雅黑"/>
        <charset val="134"/>
      </rPr>
      <t xml:space="preserve">
等级 特色设施 
5 2
9 4
13 5
17 6
全部指令如下所示：
</t>
    </r>
    <r>
      <rPr>
        <b/>
        <sz val="10"/>
        <color theme="1"/>
        <rFont val="微软雅黑"/>
        <charset val="134"/>
      </rPr>
      <t>制造 Craft：</t>
    </r>
    <r>
      <rPr>
        <sz val="10"/>
        <color theme="1"/>
        <rFont val="微软雅黑"/>
        <charset val="134"/>
      </rPr>
      <t xml:space="preserve">该特色设施内的雇员制作一件可以在该设施内制造的物品。在制造该物品所需的时间内，即使有某个特殊能力允许该设施同时执行两个指令，该设施也无法被用于制造其他物品。该设施的雇员熟练于相应的工匠工具，如设施描述所示。
</t>
    </r>
    <r>
      <rPr>
        <b/>
        <sz val="10"/>
        <color theme="1"/>
        <rFont val="微软雅黑"/>
        <charset val="134"/>
      </rPr>
      <t>增强 Empower：</t>
    </r>
    <r>
      <rPr>
        <sz val="10"/>
        <color theme="1"/>
        <rFont val="微软雅黑"/>
        <charset val="134"/>
      </rPr>
      <t xml:space="preserve">该特色设施为你或另一个人施加一项临时增益。
</t>
    </r>
    <r>
      <rPr>
        <b/>
        <sz val="10"/>
        <color theme="1"/>
        <rFont val="微软雅黑"/>
        <charset val="134"/>
      </rPr>
      <t>收获 Harvest：</t>
    </r>
    <r>
      <rPr>
        <sz val="10"/>
        <color theme="1"/>
        <rFont val="微软雅黑"/>
        <charset val="134"/>
      </rPr>
      <t xml:space="preserve">雇员采收该特色设施内生产的资源。在收获该资源所需的时间内，即使有某个特殊能力允许该设施同时执行两个指令，该设施也无法被用于收获更多的资源。
</t>
    </r>
    <r>
      <rPr>
        <b/>
        <sz val="10"/>
        <color theme="1"/>
        <rFont val="微软雅黑"/>
        <charset val="134"/>
      </rPr>
      <t>维护 Maintain：</t>
    </r>
    <r>
      <rPr>
        <sz val="10"/>
        <color theme="1"/>
        <rFont val="微软雅黑"/>
        <charset val="134"/>
      </rPr>
      <t xml:space="preserve">据点的所有雇员专注于维护据点本身，而非在特色设施内接收指令。下达维护指令的据点回合内，你不能下达其他指令。每当维护指令被下达时，DM都将在本章节末尾的据点事件表格上掷骰一次。据点事件在下一个据点回合之前结算。
</t>
    </r>
    <r>
      <rPr>
        <b/>
        <sz val="10"/>
        <color theme="1"/>
        <rFont val="微软雅黑"/>
        <charset val="134"/>
      </rPr>
      <t>招募 Recruit：</t>
    </r>
    <r>
      <rPr>
        <sz val="10"/>
        <color theme="1"/>
        <rFont val="微软雅黑"/>
        <charset val="134"/>
      </rPr>
      <t xml:space="preserve">雇员为据点招募生物。这些生物可能包括一个或更多的据点卫兵Bastion Defender，他们的任务是在据点遭受攻击时保护据点（见本章末“据点事件 ”一节）。据点会产生足够的收入，足以满足其据点卫兵的生活需要。
</t>
    </r>
    <r>
      <rPr>
        <b/>
        <sz val="10"/>
        <color theme="1"/>
        <rFont val="微软雅黑"/>
        <charset val="134"/>
      </rPr>
      <t>调查 Research：</t>
    </r>
    <r>
      <rPr>
        <sz val="10"/>
        <color theme="1"/>
        <rFont val="微软雅黑"/>
        <charset val="134"/>
      </rPr>
      <t xml:space="preserve">该特色设施的雇员进行收集信息的活动。
</t>
    </r>
    <r>
      <rPr>
        <b/>
        <sz val="10"/>
        <color theme="1"/>
        <rFont val="微软雅黑"/>
        <charset val="134"/>
      </rPr>
      <t>贸易 Trade：</t>
    </r>
    <r>
      <rPr>
        <sz val="10"/>
        <color theme="1"/>
        <rFont val="微软雅黑"/>
        <charset val="134"/>
      </rPr>
      <t>雇员对这个特色设施内储存或生产的货物进行买卖，又或者对外售卖该设施能提供的服务。</t>
    </r>
  </si>
  <si>
    <r>
      <rPr>
        <sz val="10"/>
        <color theme="1"/>
        <rFont val="微软雅黑"/>
        <charset val="134"/>
      </rPr>
      <t xml:space="preserve">　　角色的据点最初拥有两个免费的基础设施，由该角色的玩家在基础设施Basic Facilities表格中选定。所选的两个设施中，一个设施的空间为狭窄，另一个则为宽敞（见设施空间表格）。据点可以拥有多个同种的基础设施。
</t>
    </r>
    <r>
      <rPr>
        <b/>
        <sz val="10"/>
        <color theme="1"/>
        <rFont val="微软雅黑"/>
        <charset val="134"/>
      </rPr>
      <t>基础设施Basic Facilities</t>
    </r>
    <r>
      <rPr>
        <sz val="10"/>
        <color theme="1"/>
        <rFont val="微软雅黑"/>
        <charset val="134"/>
      </rPr>
      <t xml:space="preserve">
卧室、餐厅 、客厅、庭院、厨房、储藏室
　　每个基础设施都配有非魔法的家具以及与该设施相配的装饰。
　　基础设施并没有任何游戏性上的作用，但它们可以提供角色扮演的机会，也能增强据点的真实性。一个拥有厨房的据点和没有厨房的据点运作方式并不会有任何差别，但前者给你和玩家们提供了一个有趣的新地点，可以作为一次团的起始场景，用作角色之间讨论的场所，或者用于引入新的非玩家角色NPC。
　　角色可以花费金钱和时间来增添新的基础设施或扩大已有的基础设施，如下文所述。多个基础设施的增添与扩大工作可同时进行，而在此期间角色无需待在自己的据点内。
</t>
    </r>
    <r>
      <rPr>
        <b/>
        <sz val="10"/>
        <color theme="1"/>
        <rFont val="微软雅黑"/>
        <charset val="134"/>
      </rPr>
      <t>增添基础设施 Adding Basic Facilities</t>
    </r>
    <r>
      <rPr>
        <sz val="10"/>
        <color theme="1"/>
        <rFont val="微软雅黑"/>
        <charset val="134"/>
      </rPr>
      <t xml:space="preserve">
　　角色可以花费金钱和时间以在自己的据点内增添新的基础设施。增添基础设施所需的时间和金钱基于其空间大小，如以下表格所示。
设施空间 价格 所需时间
狭窄 500GP 20天
宽敞 1000GP 45天
庞大 3000GP 125天
</t>
    </r>
    <r>
      <rPr>
        <b/>
        <sz val="10"/>
        <color theme="1"/>
        <rFont val="微软雅黑"/>
        <charset val="134"/>
      </rPr>
      <t>扩大基础设施 Enlarge Basic Facilities</t>
    </r>
    <r>
      <rPr>
        <sz val="10"/>
        <color theme="1"/>
        <rFont val="微软雅黑"/>
        <charset val="134"/>
      </rPr>
      <t xml:space="preserve">
　　扩大一个基础设施并无任何游戏性上的作用，但角色可能会为了美观或想要扩大据点规模而扩大基础设施。
　　角色可以花费金钱和时间来将自己据点内的某个基础设施扩大一级，如以下表格所示。
扩大基础设施 Adding Basic Facilities 
设施空间 价格 所需时间
狭窄到宽敞  500GP 25天
宽敞到庞大 2000GP 80天</t>
    </r>
  </si>
  <si>
    <t>法术查询↓</t>
  </si>
  <si>
    <t>法术列表↓</t>
  </si>
  <si>
    <t>绿：专注 蓝：仪式</t>
  </si>
  <si>
    <t>变体：法术值 Variant: Spell Points
　　改变职业感觉的一种方法是改变它使用法术的方式。在该变体系统下，一名具有“施法”特性的角色将使用法术值而不是法术位来作为法术的资源。法术值给予施法者更大的灵活性，却以复杂化为代价。
　　在该变体下，每个法术都有一个基于其环阶的成本值。表格“法术值消耗”总结了从1到9环阶法术的对应法术值成本。戏法不需要法术位因此也不需要消耗法术值。
　　你将获取一定数量的法术值代替所获得的各种法术位。随后，你将花费一定数量的法术值来创建一个指定环阶的法术位，然后使用该法术位来施展一个法术。你不能把你的法术值降低到少于0的数值，完成一次长休后，你将重新恢复所有已消耗的法术值。
　　6环或更高环阶的法术施法时耗费巨大。你可以使用法术值来创建一个6环或更高环阶的法术位。但此后直至完成一次长休前，你将无法再以此创造同样水平的法术位。
　　你需要使用的法术值的总量基于你的施法者等级，如表格“等级对应法术值”所示。你的等级同时也决定了你能创造的最高环阶法术位。而即使你可能有足够的法术值来创造高于该最大值的法术位，你也无法这样做。
　　表格“等级对应法术值”适用于吟游诗人、牧师、德鲁伊、术士和法师。当用于圣武士或游侠时，必须将角色的等级减半后再对应该表。而用于战士（奥法骑士Eidritch Knight）或游荡者（诡术师Arcane Trickster）时，则先将角色的等级除以三。
　　该系统也可以用于使用法术位施法的怪物，但并不推荐。事实上，跟进一只怪物的法术值其实相当麻烦。
法术值消耗Spell Point Cost
法术环阶　　 消耗值 
1环　　　　　　2
2环　　　　　　3
3环　　　　　　5
4环　　　　　　6
5环　　　　　　7
6环　　　　　　9
7环　　　　　　10
8环　　　　　　11
9环　　　　　　13
等级对应法术值Spell Points by Level
职业等级　　法术值　　最大法术环阶
1st　　　　  4　　　　   1环
2nd　　　　 6　　　　   1环
3rd　　　　 14　　　　  2环
4th　　　　 17　　　　  2环
5th　　　　 27　　　　  3环
6th　　　　 32　　　　  3环
7th　　　　 38　　　　  4环
8th　　　　 44　　　　  4环
9th  　　　　57　　  　　5环
10th　　　　64　  　　　5环
11th　　　　73　　  　　6环
12th　　　　73　　  　　6环
13th　　　　83　　  　　7环
14th　　　　83　　  　　7环
15th　　　　94　　  　　8环
16th　　　　94　　　  　8环
17th　　　　107　　　　9环
18th　　　　114　　　　9环
19th　　　　123　　　　9环
20th　　　　133　　　　9环</t>
  </si>
  <si>
    <t>出处：</t>
  </si>
  <si>
    <t>适用职业：</t>
  </si>
  <si>
    <t>环阶：</t>
  </si>
  <si>
    <t>系别：</t>
  </si>
  <si>
    <t>施法时间：</t>
  </si>
  <si>
    <t>施法距离：</t>
  </si>
  <si>
    <t>法术成分：</t>
  </si>
  <si>
    <t>法术材料：</t>
  </si>
  <si>
    <t>持续时间：</t>
  </si>
  <si>
    <t>法术说明</t>
  </si>
  <si>
    <t>学派</t>
  </si>
  <si>
    <t>V 言语</t>
  </si>
  <si>
    <t>S 姿势</t>
  </si>
  <si>
    <t>M 材料</t>
  </si>
  <si>
    <t>材料内容</t>
  </si>
  <si>
    <t>法术详述</t>
  </si>
  <si>
    <t>英文名</t>
  </si>
  <si>
    <t>出处</t>
  </si>
  <si>
    <t>酸液飞溅</t>
  </si>
  <si>
    <t>V</t>
  </si>
  <si>
    <t>S</t>
  </si>
  <si>
    <r>
      <rPr>
        <sz val="11"/>
        <color theme="1"/>
        <rFont val="仿宋"/>
        <charset val="134"/>
      </rPr>
      <t xml:space="preserve">你在施法距离内一点创造出一颗酸液泡，以该点5尺球状范围爆发。该球状区域内的每名生物必须通过一次敏捷豁免，否则受到1d6点强酸伤害。
</t>
    </r>
    <r>
      <rPr>
        <b/>
        <sz val="11"/>
        <color theme="1"/>
        <rFont val="仿宋"/>
        <charset val="134"/>
      </rPr>
      <t>戏法强化：</t>
    </r>
    <r>
      <rPr>
        <sz val="11"/>
        <color theme="1"/>
        <rFont val="仿宋"/>
        <charset val="134"/>
      </rPr>
      <t>本法术的伤害会在你达到下列等级时提升1d6：5级（2d6）、11级（3d6）以及17级（4d6）。</t>
    </r>
  </si>
  <si>
    <t>Acid Splash</t>
  </si>
  <si>
    <t>玩家手册</t>
  </si>
  <si>
    <t>剑刃防护</t>
  </si>
  <si>
    <t>在此法术结束前，每当有生物对你发动攻击检定，该生物的该次攻击检定都将承受1d4减值。</t>
  </si>
  <si>
    <t>Blade Ward</t>
  </si>
  <si>
    <t>颤栗之触</t>
  </si>
  <si>
    <t>触碰</t>
  </si>
  <si>
    <t>你引导出来自坟墓的刺骨阴冷，对目标进行一次近战法术攻击。命中时，目标将受到1d10点暗蚀伤害，并且直至你下一回合的结束前都无法恢复生命值。
戏法强化： 法术的伤害会在你到达下列等级时增加1d10：5级（2d10）、11级（3d10）以及17级（4d10）。</t>
  </si>
  <si>
    <t>Chill Touch</t>
  </si>
  <si>
    <t>舞光术</t>
  </si>
  <si>
    <t>M</t>
  </si>
  <si>
    <t>一点磷</t>
  </si>
  <si>
    <t>你在施法距离内创造至多四个火把大小的光源，使其在法术持续时间内看起来如同火把、灯笼或悬浮珠。或者，你可以将四个光源合并为一个发光的整体形态，使其看上去像一个模糊的中型人形。无论你选择哪种形态，每个光源都会发出10尺半径的微光光照 。
你可以用附赠动作将光源移动至多60尺至施法距离内的一处空间。一个由此法术创造的光源必须始终位于任一光源周围20尺内，而超出施法距离的光源会随即熄灭。</t>
  </si>
  <si>
    <t>Dancing Lights</t>
  </si>
  <si>
    <t>德鲁伊伎俩</t>
  </si>
  <si>
    <r>
      <rPr>
        <sz val="11"/>
        <color theme="1"/>
        <rFont val="仿宋"/>
        <charset val="134"/>
      </rPr>
      <t>你向自然精魂低语，在施法距离内创造出下述效应之一。
　　</t>
    </r>
    <r>
      <rPr>
        <sz val="11"/>
        <color theme="1"/>
        <rFont val="Arial"/>
        <charset val="134"/>
      </rPr>
      <t>•</t>
    </r>
    <r>
      <rPr>
        <sz val="11"/>
        <color theme="1"/>
        <rFont val="仿宋"/>
        <charset val="134"/>
      </rPr>
      <t xml:space="preserve"> 感知天气Weather Sensor。你创造一个微型而无害的感官效应，并以之预报你所在地接下来 4小时的天气状况。该效应可表现为一个代表晴空的金球、一朵代表雨天的云彩、代表雪日而飘飞的雪花等等。该效应将持续1轮。
　　</t>
    </r>
    <r>
      <rPr>
        <sz val="11"/>
        <color theme="1"/>
        <rFont val="Arial"/>
        <charset val="134"/>
      </rPr>
      <t>•</t>
    </r>
    <r>
      <rPr>
        <sz val="11"/>
        <color theme="1"/>
        <rFont val="仿宋"/>
        <charset val="134"/>
      </rPr>
      <t xml:space="preserve"> 盛放Blossom。你可以立即让一朵鲜花绽放，让一颗种子破壳，或是让一片叶蕾发芽。
　　</t>
    </r>
    <r>
      <rPr>
        <sz val="11"/>
        <color theme="1"/>
        <rFont val="Arial"/>
        <charset val="134"/>
      </rPr>
      <t>•</t>
    </r>
    <r>
      <rPr>
        <sz val="11"/>
        <color theme="1"/>
        <rFont val="仿宋"/>
        <charset val="134"/>
      </rPr>
      <t xml:space="preserve"> 感官效应Sensory Effect。 你创造一个无害的感官效应，例如落叶、如幽灵般舞动的小仙灵们、微风、动物的声音或者臭鼬的微弱臭气。该效应只能在5尺的立方 区域内起效。
　　</t>
    </r>
    <r>
      <rPr>
        <sz val="11"/>
        <color theme="1"/>
        <rFont val="Arial"/>
        <charset val="134"/>
      </rPr>
      <t>•</t>
    </r>
    <r>
      <rPr>
        <sz val="11"/>
        <color theme="1"/>
        <rFont val="仿宋"/>
        <charset val="134"/>
      </rPr>
      <t xml:space="preserve"> 玩火Fire Play。 你点亮/熄灭一根蜡烛、一根火把或一处小篝火。</t>
    </r>
  </si>
  <si>
    <t>Druidcraft</t>
  </si>
  <si>
    <t>魔能爆</t>
  </si>
  <si>
    <t>你释放出一束爆裂能量射线，对施法距离内一名生物或一个物件发动一次远程法术攻击。命中时，目标将受1d10点力场伤害。
戏法强化：到达5级后此法术将创造出两条射线，11级后三条，17级后四条。你可以使这些射线攻击同一个目标或分别攻击不同的目标。你需要为每条射线分别进行攻击检定。</t>
  </si>
  <si>
    <t>Eldritch Blast</t>
  </si>
  <si>
    <t>四象法门</t>
  </si>
  <si>
    <r>
      <rPr>
        <sz val="11"/>
        <color theme="1"/>
        <rFont val="仿宋"/>
        <charset val="134"/>
      </rPr>
      <t>你操控元素，在施法距离内创造下述效应之一。
　　</t>
    </r>
    <r>
      <rPr>
        <sz val="11"/>
        <color theme="1"/>
        <rFont val="Arial"/>
        <charset val="134"/>
      </rPr>
      <t>•</t>
    </r>
    <r>
      <rPr>
        <sz val="11"/>
        <color theme="1"/>
        <rFont val="仿宋"/>
        <charset val="134"/>
      </rPr>
      <t xml:space="preserve"> 召气Beckon Air。你在一处5尺立方区域内创造一股和风，其足以吹动布料、搅动灰尘、使落叶沙沙作响、关闭开着的门和百叶窗。若开着的门/百叶窗被某人/某物顶住，则其不受该效应影响。
　　</t>
    </r>
    <r>
      <rPr>
        <sz val="11"/>
        <color theme="1"/>
        <rFont val="Arial"/>
        <charset val="134"/>
      </rPr>
      <t>•</t>
    </r>
    <r>
      <rPr>
        <sz val="11"/>
        <color theme="1"/>
        <rFont val="仿宋"/>
        <charset val="134"/>
      </rPr>
      <t xml:space="preserve"> 召土Beckon Earth。你创造灰尘或沙子组成的薄帷，覆盖在5尺立方区域内的表面上，或者你可以在一堆泥土或沙子中使一个单词以你的手写体出现。
　　</t>
    </r>
    <r>
      <rPr>
        <sz val="11"/>
        <color theme="1"/>
        <rFont val="Arial"/>
        <charset val="134"/>
      </rPr>
      <t>•</t>
    </r>
    <r>
      <rPr>
        <sz val="11"/>
        <color theme="1"/>
        <rFont val="仿宋"/>
        <charset val="134"/>
      </rPr>
      <t xml:space="preserve"> 召火Beckon Fire。你在一处5尺立方区域内创造一片无害余烬与一股富有色彩和气味的烟。你选择烟的色彩和气味，而余烬可以点燃区域中的蜡烛、火把或油灯。烟的气味会存留1分钟。
　　</t>
    </r>
    <r>
      <rPr>
        <sz val="11"/>
        <color theme="1"/>
        <rFont val="Arial"/>
        <charset val="134"/>
      </rPr>
      <t>•</t>
    </r>
    <r>
      <rPr>
        <sz val="11"/>
        <color theme="1"/>
        <rFont val="仿宋"/>
        <charset val="134"/>
      </rPr>
      <t xml:space="preserve"> 召水Beckon Water。你在一处5尺立方范围内创造一片凉爽的，使范围内生物和物件略微潮湿的雾气。或者，你可以在一个有开口的容器或表面上创造出一杯干净的水，水会在1分钟内蒸发。
　　</t>
    </r>
    <r>
      <rPr>
        <sz val="11"/>
        <color theme="1"/>
        <rFont val="Arial"/>
        <charset val="134"/>
      </rPr>
      <t>•</t>
    </r>
    <r>
      <rPr>
        <sz val="11"/>
        <color theme="1"/>
        <rFont val="仿宋"/>
        <charset val="134"/>
      </rPr>
      <t xml:space="preserve"> 塑形元素Sculpt Element。你使1尺立方区域内的泥土、沙子、火焰、烟尘、雾气或水呈现出一个粗略的形状（如一名生物），持续1小时。</t>
    </r>
  </si>
  <si>
    <t>Elementalism</t>
  </si>
  <si>
    <t>火焰箭</t>
  </si>
  <si>
    <t>你对施法距离内一名生物或物件掷出一把火焰，对目标进行一次远程法术攻击。命中时，目标将受到1d10点火焰伤害。未被着装或携带的可燃物件被该法术命中时将开始燃烧。
戏法强化：到达特定等级后，此戏法的伤害将增加1d10：5级（2d10）、11级（3d10）、17级（4d10）。</t>
  </si>
  <si>
    <t>Fire Bolt</t>
  </si>
  <si>
    <t>交友术</t>
  </si>
  <si>
    <t>10尺</t>
  </si>
  <si>
    <t>一些化妆品</t>
  </si>
  <si>
    <t>你魔法性地向施法距离内的一名可见生物散发出友谊感。目标必须成功于一次感知豁免，否则其在法术持续时间内陷入魅惑状态。若目标并非类人生物，或者你正在与其战斗，又或者你在过去24小时内曾对其施展过这道法术，则其进行的此次豁免自动成功。
若目标受到伤害，或你进行一次攻击检定、造成伤害、迫使任何人进行一次豁免，则法术会提早结束。法术结束时，目标会知道他曾被你魅惑。</t>
  </si>
  <si>
    <t>Friends</t>
  </si>
  <si>
    <t>神导术</t>
  </si>
  <si>
    <t>你触碰一名自愿生物并选择一项技能。直到法术结束为止，受术生物在进行使用到所选技能的任何属性检定时，该次检定具有1d4加值。</t>
  </si>
  <si>
    <t>Guidance</t>
  </si>
  <si>
    <t>光亮术</t>
  </si>
  <si>
    <t>你触碰一个体型不超过大型，且未被他人携带/着装的物件。在法术终止前，物件将发出20尺半径的明亮光照，以及其外20尺范围的微光光照 。光的颜色由你决定。
该物件被不透明的东西完全遮盖时，其光照也将被遮挡。此法术将在你再次施展它时提前终止。</t>
  </si>
  <si>
    <t>Light</t>
  </si>
  <si>
    <t>法师之手</t>
  </si>
  <si>
    <t>一只漂浮的幽灵手出现在施法距离内你指定的一点。幽灵手持续存在至法术终止。如果幽灵手与你之间的距离超过30尺，则幽灵手将消失不见。若你再次施展了此法术，现存的幽灵手也将提前消失。
你可以在施展该法术时使用幽灵手实施一个行为：你可以操控一个物件、打开一扇未上锁的门或容器、将一件物品放入或取出一个打开的容器、或是将小瓶中的内容物倾倒出来。
在后续的回合中，你可以用魔法 动作控制幽灵手再次实施上述行为之一。而作为那次动作的一部分，你还可以令幽灵手移动至多30尺。
该幽灵手不能攻击，也不能激活魔法物品或承载超过10磅重的物质。</t>
  </si>
  <si>
    <t>Mage Hand</t>
  </si>
  <si>
    <t>修复术</t>
  </si>
  <si>
    <t>两块天然磁石</t>
  </si>
  <si>
    <t>该法术修复你所触碰一个物件上的一处破损或裂缝，例如修复一条断裂的链条、一把碎成两半的钥匙、一件撕裂的斗篷、一个漏了的酒袋等。只要破损或断裂处在任意方向上都不超过 1 尺，你就可以不留痕迹地修复它。
该法术可以物理性地修复一件魔法物品，但无法恢复其上的魔法。</t>
  </si>
  <si>
    <t>Mending</t>
  </si>
  <si>
    <t>传讯术</t>
  </si>
  <si>
    <t>一段铜线</t>
  </si>
  <si>
    <t>你用指向施法距离内的一名生物并低声说出一段信息。该目标（且只有该目标）会听到这段信息，并且可以用只有你能听见的低语回复你。
你可以隔着固态物件施展此法术，但你必须熟悉法术目标并知晓其就在阻挡物后方。魔法性的沉默效应，1尺厚的石头、金属或木料，或是一片薄铅都可以阻挡此法术。</t>
  </si>
  <si>
    <t>Message</t>
  </si>
  <si>
    <t>心灵之楔</t>
  </si>
  <si>
    <t>指定施法距离内一个你可见的生物，你试图暂时刺入目标的心灵。目标必须通过一次智力豁免 。豁免失败将受到1d6点心灵伤害，并且其在你的下回合结束前，进行的下一次豁免检定将获得1d4减值。
戏法强化： 到达特定等级后，此戏法的伤害将增加1d6：5级（2d6）、11级（3d6）、17级（4d6）。</t>
  </si>
  <si>
    <t>Mind Sliver</t>
  </si>
  <si>
    <t>次级幻象</t>
  </si>
  <si>
    <t>一撮羊毛</t>
  </si>
  <si>
    <r>
      <rPr>
        <sz val="11"/>
        <color theme="1"/>
        <rFont val="仿宋"/>
        <charset val="134"/>
      </rPr>
      <t>你在施法距离内创造一段声响或一个物件的影像，并使之维持至法术持续时间结束，详见以下对应效应的描述。你可以再次施展该法术来终止幻象。
生物用研究动作调查该声响或影像时，其必须进行一次对抗该法术豁免 DC 的智力（调查）检定，检定成功则判断出是幻象。对于识破幻象的生物而言，幻象会变得模糊不清。
　　</t>
    </r>
    <r>
      <rPr>
        <sz val="11"/>
        <color theme="1"/>
        <rFont val="Arial"/>
        <charset val="134"/>
      </rPr>
      <t>•</t>
    </r>
    <r>
      <rPr>
        <sz val="11"/>
        <color theme="1"/>
        <rFont val="仿宋"/>
        <charset val="134"/>
      </rPr>
      <t xml:space="preserve"> 声响Sound。如果你创造一段声响，其音量可以是低声耳语也可以是高声尖叫。它可以是你或其他任何人的嗓音，或者是一头狮子的咆哮、一段鼓声以及任何你指定的其它声响。声响在持续时间内不会减弱，或者你也可以于法术终止前在不同的时间段创造几段分散的声响。
　　</t>
    </r>
    <r>
      <rPr>
        <sz val="11"/>
        <color theme="1"/>
        <rFont val="Arial"/>
        <charset val="134"/>
      </rPr>
      <t>•</t>
    </r>
    <r>
      <rPr>
        <sz val="11"/>
        <color theme="1"/>
        <rFont val="仿宋"/>
        <charset val="134"/>
      </rPr>
      <t xml:space="preserve"> 影像Image。如果你创造一个物件的影像，比如一把椅子、泥泞的脚印、一个小箱子等，则该物件各方向上大小不得大于5尺立方区域。该影像不具有声音、光亮、味道或任何其他的感官效应。由于影像可以被任何物体穿透，因此与之进行物理互动时都会揭露其幻象的本质。</t>
    </r>
  </si>
  <si>
    <t>Minor Illusion</t>
  </si>
  <si>
    <t>毒气喷涌</t>
  </si>
  <si>
    <t>你向施法距离内一个你可见的生物喷出一股毒气。对目标进行一次远程法术攻击。命中时，目标将受1d12点毒素伤害。
戏法强化： 到达特定等级后，此戏法的伤害将增加1d12：5级（2d12）、11级（3d12）、17级（4d12）。</t>
  </si>
  <si>
    <t>Poison Spray</t>
  </si>
  <si>
    <t>魔法伎俩</t>
  </si>
  <si>
    <t>至多1小时</t>
  </si>
  <si>
    <r>
      <rPr>
        <sz val="11"/>
        <color theme="1"/>
        <rFont val="仿宋"/>
        <charset val="134"/>
      </rPr>
      <t>你在施法距离内创造一个魔法效应。从下述效应中选择一项。如果你多次施展该法术，则可以同时维持至多三个不同的非即时效应。
　　</t>
    </r>
    <r>
      <rPr>
        <sz val="11"/>
        <color theme="1"/>
        <rFont val="Arial"/>
        <charset val="134"/>
      </rPr>
      <t>•</t>
    </r>
    <r>
      <rPr>
        <sz val="11"/>
        <color theme="1"/>
        <rFont val="仿宋"/>
        <charset val="134"/>
      </rPr>
      <t xml:space="preserve"> 感官效应Sensory Effect。 你创造一个立即生效的，无害的感官效应，比如一束火花，一阵风，微弱音乐或古怪的臭味。
　　</t>
    </r>
    <r>
      <rPr>
        <sz val="11"/>
        <color theme="1"/>
        <rFont val="Arial"/>
        <charset val="134"/>
      </rPr>
      <t>•</t>
    </r>
    <r>
      <rPr>
        <sz val="11"/>
        <color theme="1"/>
        <rFont val="仿宋"/>
        <charset val="134"/>
      </rPr>
      <t xml:space="preserve"> 玩火Fire Play。 你立即点燃或熄灭一根蜡烛、一根火把或一处小篝火。
　　</t>
    </r>
    <r>
      <rPr>
        <sz val="11"/>
        <color theme="1"/>
        <rFont val="Arial"/>
        <charset val="134"/>
      </rPr>
      <t>•</t>
    </r>
    <r>
      <rPr>
        <sz val="11"/>
        <color theme="1"/>
        <rFont val="仿宋"/>
        <charset val="134"/>
      </rPr>
      <t xml:space="preserve"> 清洁或弄脏Clean or Soil。 你立即清洁或弄脏一个体积不大于1立方尺的物件。
　　</t>
    </r>
    <r>
      <rPr>
        <sz val="11"/>
        <color theme="1"/>
        <rFont val="Arial"/>
        <charset val="134"/>
      </rPr>
      <t>•</t>
    </r>
    <r>
      <rPr>
        <sz val="11"/>
        <color theme="1"/>
        <rFont val="仿宋"/>
        <charset val="134"/>
      </rPr>
      <t xml:space="preserve"> 次级感觉Minor Sensation。 你使一个不大于1立方尺的非活体物质变冷、变暖或对其调味，持续1小时。
　　</t>
    </r>
    <r>
      <rPr>
        <sz val="11"/>
        <color theme="1"/>
        <rFont val="Arial"/>
        <charset val="134"/>
      </rPr>
      <t>•</t>
    </r>
    <r>
      <rPr>
        <sz val="11"/>
        <color theme="1"/>
        <rFont val="仿宋"/>
        <charset val="134"/>
      </rPr>
      <t xml:space="preserve"> 魔法印记Magic Mark。 你在一个物件或一个表面上创造一块色斑，一个小印记，或者一个徽记，持续1小时。
　　</t>
    </r>
    <r>
      <rPr>
        <sz val="11"/>
        <color theme="1"/>
        <rFont val="Arial"/>
        <charset val="134"/>
      </rPr>
      <t>•</t>
    </r>
    <r>
      <rPr>
        <sz val="11"/>
        <color theme="1"/>
        <rFont val="仿宋"/>
        <charset val="134"/>
      </rPr>
      <t xml:space="preserve"> 次级造物Minor Creation。 你创造出一个非魔法小饰品或一张虚幻图像，其大小不能超过你的手掌大小，它会持续存在至下个你的回合结束为止。一个小饰品不能造成伤害，也不值任何钱。</t>
    </r>
  </si>
  <si>
    <t>Prestidigitation</t>
  </si>
  <si>
    <t>燃火术</t>
  </si>
  <si>
    <t>一朵摇曳的火焰出现在你手中，火焰会存在至法术持续时间结束为止。火焰在你手中期间，不会散发任何热量也不会点燃任何东西，发出20尺半径的明亮光照，以及其外20尺范围的微光光照 。此法术会在你再次施展它时提前终止。
直到法术结束为止，你可以用魔法动作向60尺内的一名生物或一个物件丢出火焰。进行一次远程法术攻击。命中时，目标将受到1d8点火焰伤害。
戏法强化： 到达特定等级后，此戏法的伤害将增加1d8：5级（2d8）、11级（3d8）、17级（4d8）。</t>
  </si>
  <si>
    <t>Produce Flame</t>
  </si>
  <si>
    <t>冷冻射线</t>
  </si>
  <si>
    <t>一道蓝白色的冰冷光束朝施法距离内的一名生物射去。对目标进行一次远程法术攻击。命中时，目标将受到1d8点寒冷伤害，且其速度将被减少10尺，直到你的下一回合开始为止。
戏法强化： 到达特定等级后，此戏法的伤害将增加1d8：5级（2d8）、11级（3d8）、17级（4d8）。</t>
  </si>
  <si>
    <t>Ray of Frost</t>
  </si>
  <si>
    <t>抵抗术</t>
  </si>
  <si>
    <t>你触碰一名自愿生物并选择一种伤害类型：强酸、钝击、寒冷、火焰、闪电、暗蚀、穿刺、毒素、光耀、挥砍、雷鸣。在此法术结束之前，每当该生物受到所选类型伤害时，那名生物所受的总伤害减少1d4。一名生物一回合只能受到一次该法术的增益。</t>
  </si>
  <si>
    <t>Resistance</t>
  </si>
  <si>
    <t>圣火术</t>
  </si>
  <si>
    <t>如同烈焰般的辉光向着施法距离内你能看见的一名生物倾泻而下。目标必须要通过一次敏捷豁免，否则将受到1d8点光耀伤害。在这次豁免检定中，目标无法享受来自半身掩护和四分之三掩护 的增益。
戏法强化：该法术的伤害会在你达到下列等级时增加1d8：5级（2d8），11 级（3d8），17 级1d8（4d8）。</t>
  </si>
  <si>
    <t>Sacred Flame</t>
  </si>
  <si>
    <t>橡棍术</t>
  </si>
  <si>
    <t>槲寄生</t>
  </si>
  <si>
    <t>你将自然之力灌入手中持握的一根短棒或长棍中。你在法术持续时间内使用该武器进行近战攻击时，可以用你的施法属性代替力量属性来进行攻击检定和伤害掷骰，且该武器的伤害骰变为d8。此类攻击造成伤害时，你可以选择将其伤害类型改为力场伤害，或是维持武器原本的伤害类型。你再次施展该法术或丢掉该武器时，该法术也随之终止。
戏法强化： 到达特定等级后，受术武器的伤害骰会改变：5级（1d10），11级（1d12），17级（2d6）。</t>
  </si>
  <si>
    <t>Shillelagh</t>
  </si>
  <si>
    <t>电爪</t>
  </si>
  <si>
    <t>你放出闪电，击向一名你试图触碰的生物。对目标发动一次近战法术攻击。若命中，则目标受到 1d8 点闪电伤害，并且在其下一回合开始前不能执行借机攻击。
戏法强化： 到达特定等级后，此戏法的伤害将增加1d8：5级（2d8）、11级（3d8）、17级（4d8）。</t>
  </si>
  <si>
    <t>Shocking Grasp</t>
  </si>
  <si>
    <t>术法爆发</t>
  </si>
  <si>
    <t>你向施法距离内的一名生物或一个物件施展术法能量。对目标进行一次远程攻击检定，命中时，目标将受到1d8点伤害。由你选择法术造成何种类型的伤害：强酸，寒冷，火焰，闪电，毒素，心灵或雷鸣。
如果你在此法术的任一d8骰上丢出了8，你便可以立刻再丢一枚d8，并将其加入此法术的伤害中。施展此法术时，你最多以此法造成的额外d8伤害骰数量等同于你的施法属性调整值。
戏法强化：到达特定等级后，此戏法的初始伤害将增加1d8：5级（2d8）、11级（3d8）、17级（4d8）。</t>
  </si>
  <si>
    <t>Sorcerous Burst</t>
  </si>
  <si>
    <t>维生术</t>
  </si>
  <si>
    <t>选择一个生命值为0但还未死亡的生物，使该生物变为伤势稳定。
戏法强化：到达特定等级后，此法术的施法距离将翻倍：5级（30尺），11级（60尺），17级（120尺）。</t>
  </si>
  <si>
    <t>Spare the Dying</t>
  </si>
  <si>
    <t>点点星芒</t>
  </si>
  <si>
    <t>你对施法距离内一名生物或一个物件射出一点光芒。对目标进行一次远程法术攻击。命中时，目标将受到1d8点光耀伤害，并且直到你的下个回合结束前，它会散发出10尺微光光照，且无法受益于隐形 状态。
戏法强化：到达特定等级后，此戏法的伤害将增加1d8：5级（2d8），11 级（3d8），17 级1d8（4d8）。</t>
  </si>
  <si>
    <t>Starry Wisp</t>
  </si>
  <si>
    <t>奇术</t>
  </si>
  <si>
    <r>
      <rPr>
        <sz val="11"/>
        <color theme="1"/>
        <rFont val="仿宋"/>
        <charset val="134"/>
      </rPr>
      <t>你在施法距离内显现一道次级奇迹。你在施法距离内创造下述效应之一。如果你多次施展该法术，则可以同时维持至多三个不同的1分钟效应。
　　</t>
    </r>
    <r>
      <rPr>
        <sz val="11"/>
        <color theme="1"/>
        <rFont val="Arial"/>
        <charset val="134"/>
      </rPr>
      <t>•</t>
    </r>
    <r>
      <rPr>
        <sz val="11"/>
        <color theme="1"/>
        <rFont val="仿宋"/>
        <charset val="134"/>
      </rPr>
      <t xml:space="preserve"> 改变眼睛Altered Eyes。 你改变自己眼睛的外观，其效应持续1分钟。
　　</t>
    </r>
    <r>
      <rPr>
        <sz val="11"/>
        <color theme="1"/>
        <rFont val="Arial"/>
        <charset val="134"/>
      </rPr>
      <t>•</t>
    </r>
    <r>
      <rPr>
        <sz val="11"/>
        <color theme="1"/>
        <rFont val="仿宋"/>
        <charset val="134"/>
      </rPr>
      <t xml:space="preserve"> 扩音Booming Voice。 你的语音音量变为通常情况下的三倍大，其效应持续1分钟。在此期间，你在魅力（威吓）检定上具有优势 。
</t>
    </r>
    <r>
      <rPr>
        <b/>
        <sz val="11"/>
        <color theme="1"/>
        <rFont val="仿宋"/>
        <charset val="134"/>
      </rPr>
      <t>　　</t>
    </r>
    <r>
      <rPr>
        <b/>
        <sz val="11"/>
        <color theme="1"/>
        <rFont val="Arial"/>
        <charset val="134"/>
      </rPr>
      <t>•</t>
    </r>
    <r>
      <rPr>
        <b/>
        <sz val="11"/>
        <color theme="1"/>
        <rFont val="仿宋"/>
        <charset val="134"/>
      </rPr>
      <t xml:space="preserve"> </t>
    </r>
    <r>
      <rPr>
        <sz val="11"/>
        <color theme="1"/>
        <rFont val="仿宋"/>
        <charset val="134"/>
      </rPr>
      <t>玩火Fire Play。 你使一团火焰闪烁、变亮、变暗或变色，其效应持续1分钟。
　　</t>
    </r>
    <r>
      <rPr>
        <sz val="11"/>
        <color theme="1"/>
        <rFont val="Arial"/>
        <charset val="134"/>
      </rPr>
      <t>•</t>
    </r>
    <r>
      <rPr>
        <sz val="11"/>
        <color theme="1"/>
        <rFont val="仿宋"/>
        <charset val="134"/>
      </rPr>
      <t xml:space="preserve"> 看不见的手Invisible Hand。 你使一扇没有上锁的门/窗立即打开或关上。
　　</t>
    </r>
    <r>
      <rPr>
        <sz val="11"/>
        <color theme="1"/>
        <rFont val="Arial"/>
        <charset val="134"/>
      </rPr>
      <t>•</t>
    </r>
    <r>
      <rPr>
        <sz val="11"/>
        <color theme="1"/>
        <rFont val="仿宋"/>
        <charset val="134"/>
      </rPr>
      <t xml:space="preserve"> 幻音Phantom Sound。 指定施法距离内的一点，你使该点发出一道短暂的声音，例如雷鸣声，渡鸦叫声或不祥低语声。
　　</t>
    </r>
    <r>
      <rPr>
        <sz val="11"/>
        <color theme="1"/>
        <rFont val="Arial"/>
        <charset val="134"/>
      </rPr>
      <t>•</t>
    </r>
    <r>
      <rPr>
        <sz val="11"/>
        <color theme="1"/>
        <rFont val="仿宋"/>
        <charset val="134"/>
      </rPr>
      <t xml:space="preserve"> 震动Tremors。 你在地面上引发无害的震动，其效应持续1分钟。</t>
    </r>
  </si>
  <si>
    <t>Thaumaturgy</t>
  </si>
  <si>
    <t>荆棘之鞭</t>
  </si>
  <si>
    <t>一根带刺植物茎</t>
  </si>
  <si>
    <t>你创造出一条藤蔓般的带刺长鞭，并猛抽向施法距离内一个你指定的生物。对目标进行一次近战法术攻击，命中时，目标将受到1d6点穿刺伤害，如果目标生物的体型不超过大型，则你还可以将其朝你所在位置拉近至多10尺。
戏法强化：到达特定等级后，此戏法的伤害将增加1d6：5级（2d6）、11级（3d6）、17级（4d6）。</t>
  </si>
  <si>
    <t>Thorn Whip</t>
  </si>
  <si>
    <t>鸣雷破</t>
  </si>
  <si>
    <t>位于以你为原点5尺光环区域内的每名生物必须成功于一次体质豁免，否则受到1d6点雷鸣伤害。此法术会创造出在100尺内都能听见的巨大声响。
戏法强化：到达特定等级后，此戏法的伤害将增加1d6：5级（2d6）、11级（3d6）、17级（4d6）。</t>
  </si>
  <si>
    <t>Thunderclap</t>
  </si>
  <si>
    <t>亡者丧钟</t>
  </si>
  <si>
    <t>你对着施法距离内一名你可见的生物一指，随后目标10尺内响起一阵哀恸的钟鸣在距。目标必须通过一次感知豁免，否则将受到1d8点暗蚀伤害。若目标豁免失败时已损失任意数量生命值，则改为令其受到1d12点暗蚀伤害。
戏法强化：到达特定等级后，此戏法的伤害骰将增加一枚：5级（2d8或2d12）、11级（3d8或3d12）、17级（4d8或4d12）。</t>
  </si>
  <si>
    <t>Toll the Dead</t>
  </si>
  <si>
    <t>克敌先击</t>
  </si>
  <si>
    <t>一把价值1+CP的你熟练的武器</t>
  </si>
  <si>
    <t>你受到一瞬魔法洞见的指引，使用施展此法术时使用的那把武器发动一次攻击。此次攻击使用你的施法属性（而非力量属性或敏捷属性）进行攻击检定与伤害掷骰。此次攻击造成伤害时，你可以选择将其伤害类型改为光耀伤害，或是维持武器原本的伤害类型。
戏法强化：到达特定等级后，无论你选择造成光耀伤害还是原本类型的伤害，本次攻击都会额外造成光耀伤害：5级（1d6点）、11级（2d6点）、17级（3d6点）。</t>
  </si>
  <si>
    <t>True Strike</t>
  </si>
  <si>
    <t>恶言相加</t>
  </si>
  <si>
    <t>你对施法距离内一名你可见或可听的生物连珠炮式地释出一串蕴涵微妙惑控的侮辱。目标必须通过一次感知豁免，否则受到1d6点心灵伤害，且在其下一回合结束前，其进行的下一次攻击检定具有劣势。
戏法强化：到达特定等级后，此戏法的伤害将增加1d6：5级（2d6）、11级（3d6）、17级（4d6）。</t>
  </si>
  <si>
    <t>Vicious Mockery</t>
  </si>
  <si>
    <t>光耀祷词</t>
  </si>
  <si>
    <t>一枚艳阳标志</t>
  </si>
  <si>
    <t>灼热的光辉喷薄而出，覆盖你周身5尺光环区域。每个区域中你可见且受你选择的生物必须通过一次体质豁免，否则受到1d6点光耀伤害。
戏法强化：到达特定等级后，此戏法的伤害将增加1d6：5级（2d6）、11级（3d6）、17级（4d6）。</t>
  </si>
  <si>
    <t>Word of Radiance</t>
  </si>
  <si>
    <t>闪电牵引</t>
  </si>
  <si>
    <t>• 你创造出鞭状的闪电能量袭向你15尺内可见的一个生物。目标必须进行一次力量豁免，豁免失败则其以直线被你拉近10尺。如果拉近以后目标在你周围5尺内，那么他将受到1d8点闪电伤害。
• 你到达5级时，该法术的伤害增加1d8（变为2d8）。11级时再加1d8（变为3d8），17级时再加1d8（变为4d8）。</t>
  </si>
  <si>
    <t>Lightning Lure</t>
  </si>
  <si>
    <t>剑刃爆发</t>
  </si>
  <si>
    <t>• 你在瞬间制造出一圈半透明的利刃清扫你的周围。法术范围内除你以外的每一个生物都必须成功通过一次敏捷豁免，否则将受到1d6点力场伤害。
• 你到达5级时，该法术的伤害增加1d6（变为2d6）。11级时再加1d6（变为3d6），17级时再加1d6（变为4d6）。</t>
  </si>
  <si>
    <t>Sword Burst</t>
  </si>
  <si>
    <t>轰雷剑</t>
  </si>
  <si>
    <t>一把至少价值1sp的近战武器</t>
  </si>
  <si>
    <t>• 你挥舞作为法术成分的那把武器，对你周围 5 尺范围内的一个生物发动一次近战武器攻击。如果攻击成功命中，目标会受到这次攻击的正常影响，并被包复在爆破性的能量之中，直到你的下回合开始。如果目标在这之前主动移动了 5 尺或更多，法术效应将立刻结束并使其受到 1d8 雷鸣伤害。
• 这道法术的伤害随着你的等级提升而增加。你到达 5 级时，这次近战攻击将造成额外 1d8 雷鸣伤害，并且目标进行移动时受到的伤害提升为 2d8。两个伤害骰都会在 11 级时增加 1d8（2d8 和 3d8），17 级时再加 1d8（3d8 和 4d8）。</t>
  </si>
  <si>
    <t>Booming Blade</t>
  </si>
  <si>
    <t>翠炎剑</t>
  </si>
  <si>
    <t>• 你挥舞作为法术成分的那把武器，对你周围 5 尺范围内的一个生物发动一次近战武器攻击。如果攻击成功命中，目标会受到这次攻击的正常影响，且你可以让那翠绿色火焰从目标身上飞跃至其 5 尺范围内的另一个你可见的生物。第二个生物受到等同于 你施法属性调整值 点的火焰伤害。
• 这道法术的伤害随着你的等级提升而增加。你到达 5 级时，这次近战攻击将造成额外 1d8 火焰伤害，且第二个目标将受到的伤害提升至 1d8+你的施法主属性调整值。两个伤害骰都会在 11 级时增加 1d8（2d8 和 2d8），17 级时再加 1d8（3d8 和 3d8）。</t>
  </si>
  <si>
    <t>Green Flame Blade</t>
  </si>
  <si>
    <t>控火</t>
  </si>
  <si>
    <t>立即或1小时</t>
  </si>
  <si>
    <t>• 你选择范围内你能看见的，占据5立方尺的非魔法火焰。你以下述方式之一影响此火焰：
• 你立刻令火焰在一个方向上蔓延5尺，如同在新位置处有着木头或其他燃料。
• 你立刻熄灭该空间内的火焰。            、
• 你令火焰产生的明亮和微亮区域的范围加倍或减半，和/或改变其颜色。此种变化持续1个小时。
• 你令火焰产生简单的形象——例如一个生物的模糊影像，一个固定的物体，或一个地点——这样的影像出现在火焰中，如你所愿变化着。这样的形象持续1个小时
• 若你多次施放此法术，你可以令至多3个非立刻的效应同时生效，而你可以以一个动作解除上述的效果之一。</t>
  </si>
  <si>
    <t>Control Flames</t>
  </si>
  <si>
    <t>创造篝火</t>
  </si>
  <si>
    <t>专注,至多1分钟</t>
  </si>
  <si>
    <t>• 你在距离之内你能看到的地面上燃起一堆篝火。直到此法术终结，该魔法篝火会占满5立方尺的空间。当你施放此法术时，所有在篝火所在空间的生物必须通过一次敏捷豁免，否则受到1d8点伤害。当生物在一个回合中第一次进入篝火所在的空间，或在篝火所在的空间结束其回合时，其同样必须进行该豁免。
• 篝火可以点燃区域内未被穿戴或者携带的可燃物体。
• 你到达5级时，该法术的伤害增加1d8（变为2d8）。11级时再加1d8（变为3d8），17级时再加1d8（变为4d8）。</t>
  </si>
  <si>
    <t>Create Bonfire</t>
  </si>
  <si>
    <t>霜噬</t>
  </si>
  <si>
    <t>• 你令距离之内，一个你能看见的生物开始结冰。该目标必须进行一次体质豁免检定。若豁免失败，该目标受到1d6点冷冻伤害，并在其下个回合结束前进行的下一次武器攻击检定中得到劣势。
• 你到达5级时，该法术的伤害增加1d6（变为2d6）。11级时再加1d6（变为3d6），17级时再加1d6（变为4d6）。</t>
  </si>
  <si>
    <t>Frostbite</t>
  </si>
  <si>
    <t>舞风</t>
  </si>
  <si>
    <t>• 在距离内的，你能看到的一点上，空气被你掌握，被迫产生了下述效应之一：
• 由你选择的一个中型或更小的生物必须通过一次力量豁免，否则会被你推离5尺。
• 你能制造出小小的空气爆破，足以移动一个未被持握或携带的，不超过5磅的物体。该物体被推离你10尺。以此法产生的力不足以造成伤害。
• 你利用空气制造出无害的感官感受，例如令树叶沙沙作响，令百叶窗闭合，或你的衣服在微风中摆动。</t>
  </si>
  <si>
    <t>Gust</t>
  </si>
  <si>
    <t>虫群孳生</t>
  </si>
  <si>
    <t>一只活跳蚤</t>
  </si>
  <si>
    <t>• 你令一个处于距离内、你能看见的生物身上暂时性的出现螨虫、跳蚤、和其他寄生虫。目标必须通过一次体质豁免，否则受到1d6点毒素伤害并且向着一个随机的方向移动5尺，只要它可以移动并且有至少5尺的速度。投1d4决定方向：1，北；2，南；3，东；4，西。这个移动不会提供借机攻击，并且如果移动的方向被阻挡，目标将不会移动。
• 此法术的伤害在你达到5级（2d6），11级（3d6），和17级（4d6）时提高1d6点。</t>
  </si>
  <si>
    <t>Infestation</t>
  </si>
  <si>
    <t>魔石</t>
  </si>
  <si>
    <t>• 你接触一到三块小石块，向其中注入魔法的力量。你或其他人可以通过徒手或使用投石索来投掷小石块之一以进行一次远程法术攻击。若徒手投掷，其射程为60尺。若除你之外的其他人使用小石块进行攻击，攻击者在其攻击检定中加上你的施法属性调整值，而非攻击者的。若击中，目标受到1d6+你的施法属性调整值点数点钝击伤害。无论击中与否，在那块石块上的魔法都会消失。
• 若你再次释放此法术，此法术先前释放时，在受到影响的石块上的效果会提前结束。</t>
  </si>
  <si>
    <t>Magic Stone</t>
  </si>
  <si>
    <t>塑土</t>
  </si>
  <si>
    <t>• 你选择距离之内，你能看见的，占满5立方尺空间的一堆泥土或一块岩石。你可以用以下方式之一对其进行改变：
• 若你指向一片松散的土壤，你可以立刻挖开它，令其沿着地表行进，被运离到至多5尺之外的地方。这种移动的力量不足以造成伤害。
• 你让泥土或岩石的形状，和/或颜色发生改变，写出文字，画出图案或雕出图纹。这种变化持续1个小时。
• 若你指定的泥土或岩石在地表上，你可以令其成为困难地形。作为另一种选项，你亦可以令已经是困难地形的地表区域成为正常地形。这种变化持续1个小时。
• 若你多次施放此法术，你可以同时维持至多两个非立即的效果生效，你也可以以一个动作解消上述效应之一。</t>
  </si>
  <si>
    <t>Mold Earth</t>
  </si>
  <si>
    <t>原初蛮击</t>
  </si>
  <si>
    <t>• 你的牙齿或指甲变得长而尖锐，从而准备好发起酸蚀性的打击。对一个处于你周围5尺内的生物进行一次近战法术攻击。命中则目标受到1d10点强酸伤害。在你进行此攻击后，你的牙齿或指甲恢复正常。
• 此法术的伤害在你达到5级（2d10），11级（3d10），和17级（4d10）时提高1d10点。</t>
  </si>
  <si>
    <t>Primal Savagery</t>
  </si>
  <si>
    <t>操水</t>
  </si>
  <si>
    <t>• 你选定距离之内，你能看见的一处占据5立方尺的水体。你能以下述方式之一来对其进行操控：
• 你立即在你选定的方向上，造成或改变水的流动，至多在任意方向上改变5尺。此种运动的力量不足以造成伤害。
• 你令水体呈现出简单的形状，随你的意愿而运动。这种变化持续1个小时。
• 你改变了水体的颜色或透明度。水体必须被整体性的改变。此种变化持续1个小时。
• 你冻结了水，只要其中没有生物。水会在1小时内解冻。
• 若你多次施放此法术，你可以同时维持至多两个非立即的效果生效，你也可以以一个动作解消上述效应之一。</t>
  </si>
  <si>
    <t>Shape Water</t>
  </si>
  <si>
    <t>思维编码</t>
  </si>
  <si>
    <t>• 将一根手指放入你的脑袋，你从你的心灵中抽出一段记忆、一个想法或一段消息，并将其转换成一段纠缠的泛光能量带，称之为「一缕思绪」，会在法术持续时间中持存，或是持存到你再次施展此法术。一缕思绪出现在你身周五尺的一个未占据区域，作为一个微小、无重力、半实体的对象，可以被当作缎带所携带。它一般来说是静止的。
• 如果你在专注一个允许你阅读或操纵他人思维的法术或能力（如侦测思想或修改记忆）时施展此法术，你可以将不属于你的、你所阅读的思维或记忆转换为一缕思绪。
• 在握有一缕思绪时施展此法术，允许你立刻得到一缕思绪所包含的记忆、想法或消息。（在一缕思绪上施展侦测思想也有同样效果。）</t>
  </si>
  <si>
    <t>Encode Thoughts</t>
  </si>
  <si>
    <t>拉尼卡公会会长指南</t>
  </si>
  <si>
    <t>削弱芒刺</t>
  </si>
  <si>
    <t>• 你削弱施法距离内一个你看得见的生物的生命活力。目标必须通过一个体质豁免，否则就会受到1d4点黯蚀伤害并且倒地。
• 该法术的伤害会在你到达5级（2d4），11级（3d4）与17级（4d4）时增加1d4.</t>
  </si>
  <si>
    <t>Sapping Sting</t>
  </si>
  <si>
    <t>荒洲探险家指南</t>
  </si>
  <si>
    <t>猫之跃动</t>
  </si>
  <si>
    <t>你跳跃至多10尺至一处你可见的未占据空间，并以幽灵爪发动攻击，造成挥砍或力场伤害（由你选择）。你对目标发动一次近战法术攻击。命中则目标受到1d8你选择类型的伤害，且你在你的下个回合开始前对其发动的下一次攻击具有优势。
升环施法。（译注：原文如此）本法术的伤害会在你达到下列等级时提升1d8：5级（2d8）、11级（3d8）以及17级（4d8）。</t>
  </si>
  <si>
    <t>Cat's Spring</t>
  </si>
  <si>
    <t>透特之颂</t>
  </si>
  <si>
    <t>在法术持续期间，当你首次进行智力检定失败时，若该检定的DC低于你的法术豁免DC，则自动视为成功；否则你获得+2加值。使用此效应后，需完成一次短休方可再次触发。</t>
  </si>
  <si>
    <t>Chant of Thoth</t>
  </si>
  <si>
    <t>惑影术</t>
  </si>
  <si>
    <t>你召唤一团扭动的暗影法球，并将其掷向施法距离内的一个生物。目标必须进行一次感知豁免，豁免失败则受到1d6心灵伤害，并且直至你的下一回合结束前都无法看见你。
戏法强化。本法术的伤害会在你达到下列等级时提升1d6：5级（2d6）、11级（3d6）、17级（4d6）。</t>
  </si>
  <si>
    <t>Confounding Shadows</t>
  </si>
  <si>
    <t>邪眼术</t>
  </si>
  <si>
    <t>你凝视范围内一只可见的生物，并对其施加恶意诅咒。目标受到1d4+2心灵伤害，且对其发动的攻击检定与徒手打击在d20掷出19或20时即可触发重击。
戏法强化。本法术的伤害会在你达到下列等级时提升1d4+2：5级（2d4+4）、11级（3d4+6）、17级（4d4+8）。</t>
  </si>
  <si>
    <t>Evil Eye</t>
  </si>
  <si>
    <t>酸蚀灼烧</t>
  </si>
  <si>
    <t>你魔法性地向你面前15尺锥形范围喷出由强酸配方组成的雾气，锥形范围内的所有生物需要通过一次敏捷豁免，否则受到1d6点强酸伤害。
你到达 5 级时，该法术的伤害增加 1d6（变为 2d6）。11 级时再加 1d6（变为 3d6），17 级时再加 1d6（变为 4d6）。</t>
  </si>
  <si>
    <t>Acid Burn</t>
  </si>
  <si>
    <t>细菌弹幕</t>
  </si>
  <si>
    <t>30 尺</t>
  </si>
  <si>
    <t>你利用现有条件快速地传播感染病菌，用以攻击范围内的生物。你对目标进行一次远程法术攻击。若命中，则目标因感染而受到 1d8 点黯蚀伤害。然后目标正处于中毒状态或身患一种疾病，则改为受到1d12点黯蚀伤害。
该法术的伤害会增加一个伤害骰，当你达到5级（变为 2d8或2d12），11 级（变为 3d8或3d12），17 级（变为 4d8或4d12）时。</t>
  </si>
  <si>
    <t>Bacterial Barrage</t>
  </si>
  <si>
    <t>毒药飞针</t>
  </si>
  <si>
    <t>60 尺</t>
  </si>
  <si>
    <t>你向范围内你能看到的一个生物射出一枚涂有致命毒素的魔法飞镖。对目标进行一次远程法术攻击。若命中，则目标受到 1d10 点毒素伤害。
如果目标因该毒素伤害生命值降低为0，目标状态变为稳定但陷入中毒状态一个小时，即使目标后续恢复了生命值依然如此，并会在中毒期间陷入麻痹。
你到达 5 级时，该法术的伤害增加 1d10（变为 2d10）。11 级时再加 1d10（变为 3d10），17 级时再加 1d10（变为 4d10）。</t>
  </si>
  <si>
    <t>Poison Needle</t>
  </si>
  <si>
    <t>隐蔽射击</t>
  </si>
  <si>
    <t>一把远程武器</t>
  </si>
  <si>
    <t>你触碰的远程武器获得超自然般的精妙结构。法术持续时间内，当你用这把武器发动远程攻击时，武器被效消音，你使用的弹药（或武器本身）在飞出后将化为隐形。如果武器会产生烟雾（硝烟）或是光亮之类的特效，其也会被法术隐藏。在本次攻击命中或失手后，你使用的飞弹（或武器本身）将重新显形。
若你处于躲藏中，只要你的攻击目标在80尺远或更远的位置，本次攻击就不会揭露你所在的位置。</t>
  </si>
  <si>
    <t>Concealed Shot</t>
  </si>
  <si>
    <t>手指枪</t>
  </si>
  <si>
    <t>你伸出你的大拇指与食指，摆出一个极具危险性的枪型手势。法术持续时间内，你的手被视为一件简易远程武器，具有60/240的射程与精通词条缓速*。你使用施法属性（而非敏捷）进行这把武器的攻击检定，在命中时这把武器将造成2d6力场伤害（伤害中不加入你的属性调整值）。
戏法升级。达到特定等级后，手指武器的常规射程将增加30尺、最大射程将增加120尺：5级 （90/360尺），11级（120/480尺），与17级（150/600尺）。</t>
  </si>
  <si>
    <t>Finger Guns</t>
  </si>
  <si>
    <t>思忖一瞬</t>
  </si>
  <si>
    <t>当你施展此法术时，你短暂地停止除你之外所有人的时间。你可以执行一个额外动作并在自己空间内移动，而对其他生物而言时间没有流逝。这个动作仅可用于执行搜索、研究或操作动作。
此外，你无法影响或伤害任何生物或物件，除了你正穿戴或携带的物件。若物件离开你的手，其同样会在时间中冻结。</t>
  </si>
  <si>
    <t>Moment to Think</t>
  </si>
  <si>
    <t>电击术</t>
  </si>
  <si>
    <t>一道电流从你的手中迸发，射向施法距离内一个你能看见的生物。对目标进行一次远程法术攻击。命中时，目标受到1d8点闪电伤害。
或者，你可以选择以施法距离内的一台机器为目标，暂时启动它，使其如同被灵类附身或永久附魔一般运作。被此法术选为目标的机器将持续运转18秒后重新关闭。要使用此法术启动机器，该机器必须保持在可正常工作的状态。
当你达到5级时法术伤害增加1d8（变为2d8），11级时再增加1d8（变为3d8），17级时再增加1d8（变为4d8）。</t>
  </si>
  <si>
    <t>Jolt</t>
  </si>
  <si>
    <t>友谊羁绊</t>
  </si>
  <si>
    <t>5尺</t>
  </si>
  <si>
    <t>你以魔法协助施法距离内的一个生物，使其获得协助动作的好处。如果你协助的目标在你的下一回合开始前成功完成了该任务，你将获得1d4点临时生命值，持续1小时。
当你达到5级（1d6），11级（1d8）和17级（1d10）时，你获得的临时生命值数量会增加。</t>
  </si>
  <si>
    <t>Resilient Friendship</t>
  </si>
  <si>
    <t>召物术</t>
  </si>
  <si>
    <t>你使施法距离内一个未被穿戴或携带的物体飞向你的空手。该物体重量不得超过10磅，否则法术失败。</t>
  </si>
  <si>
    <t>Retrieve</t>
  </si>
  <si>
    <t>根须缚束</t>
  </si>
  <si>
    <t>反应，当一个生物触发你的借机攻击时</t>
  </si>
  <si>
    <t>你令根须从地面伸出并抓向触发借机攻击的生物，阻碍其移动。直到你的下个回合开始前，该生物的速度降低10尺。</t>
  </si>
  <si>
    <t>Root Grab</t>
  </si>
  <si>
    <t>便利术</t>
  </si>
  <si>
    <t>只需轻轻挥动手腕，你就能魔法性地完成一个简单的小任务，比如翻动书页、涂抹黄油、或是加热一杯茶，而无需任何物理接触。该任务不能包含任何意图对生物造成伤害的行为，且必须是你在不使用魔法的情况下通常也能完成的事情。如果任务的目标对你而言处于全掩蔽状态，则法术失败。
如果你多次施展此法术，你最多可以同时维持三个任务，且你可以用一个附赠动作终止其中之一。</t>
  </si>
  <si>
    <t>Task</t>
  </si>
  <si>
    <t>血蚀箭</t>
  </si>
  <si>
    <t>你对施法距离内一个生物掷出一道扭曲的血矢。对目标进行一次远程法术攻击。命中时，目标受到1d6暗蚀伤害，并且你获得等于你熟练加值的临时生命值。 
戏法强化。到达特定等级后，此戏法的伤害将增加1d6：5级（2d6）、11级（3d6）、17级（4d6）。</t>
  </si>
  <si>
    <t>Blood Bolt</t>
  </si>
  <si>
    <t>瓦解术</t>
  </si>
  <si>
    <t>你触碰一个生物或非魔法物件，将目标的物质分解为最基本的组成部分。进行一次近战法术攻击。命中时，目标受到1d8力场伤害，并且直至你的下一回合结束前，目标对抗下一次攻击检定时的AC减少1。 
戏法强化。到达特定等级后，此戏法的伤害将增加1d8：5级（2d8）、11级（3d8）、17级（4d8）。</t>
  </si>
  <si>
    <t>Dissolution</t>
  </si>
  <si>
    <t>灼眼术</t>
  </si>
  <si>
    <t>反应，施法距离内一个你可见的生物将你作为一次攻击的目标时可用</t>
  </si>
  <si>
    <t>一抹樟脑</t>
  </si>
  <si>
    <t>你刺痛一个正在攻击你的生物的眼睛。目标必须进行一次体质豁免（具有盲视或者免疫目盲状态的生物自动成功）。若豁免失败，则目标陷入目盲状态，直至当前回合结束。若豁免成功，则目标在其触发攻击检定中必须减去1d4。在随后24小时内，目标为对抗你之后施展的该法术而进行的豁免会自动成功。</t>
  </si>
  <si>
    <t>Eye Burn</t>
  </si>
  <si>
    <t>莫测仪容</t>
  </si>
  <si>
    <t>你触碰一个自愿生物，掩盖其存在。直至该法术终止，其他生物对该目标进行的任何感知（洞悉或察觉）检定中必须减去1d4。</t>
  </si>
  <si>
    <t>Mysterious Presence</t>
  </si>
  <si>
    <t>地狱火</t>
  </si>
  <si>
    <t>你在施法距离内一名你可见的生物周围创造出灼热的地狱火焰。目标必须成功通过一次魅力豁免，否则将受到1d4火焰伤害和1d4暗蚀伤害。
戏法强化。本法术造成的两种伤害均会在你达到下列等级时提升1d4：5级（每个2d4）、11级（每个3d4）以及17级（每个4d4）。</t>
  </si>
  <si>
    <t>Hellfire</t>
  </si>
  <si>
    <t>仇杀剑</t>
  </si>
  <si>
    <t>一把价值1GP+的近战武器</t>
  </si>
  <si>
    <t>你挥舞作为法术成分的那把武器，对位于你5 尺内的一名生物发动一次近战武器攻击。如果攻击成功命中，目标会受到这次攻击的正常影响，然后散发出黑暗的能量灵光，直至你的下回合开始。如果目标在这之前发动攻击或施展法术，法术效应将立刻结束并使其受到1d8暗蚀伤害。
戏法强化。到达5级后，这次近战攻击将额外造成1d8暗蚀伤害，且目标发动攻击或施展法术时受到的伤害提升为2d8。两个伤害均会在你达到下列等级时提升1d8：11级（2d8和3d8）以及17级（3d8和4d8）。</t>
  </si>
  <si>
    <t>Vengeful Blade</t>
  </si>
  <si>
    <t>圣言术</t>
  </si>
  <si>
    <t>你低声呢喃一句神圣之言，不敢高声语，以免此等天赐神力被堕落之人或不配之辈所闻。
你对一个目标发动一次远程法术攻击。命中则目标受到1d8光耀伤害。 如果你命中的是亡灵、邪魔或妖精，那么其直至其下个回合结束前速度降低10尺且不能执行反应。
本法术的伤害会在你达到下列等级时提升1d8：5（2d8），11（3d8），以及17（4d8）。</t>
  </si>
  <si>
    <t>Holy Word</t>
  </si>
  <si>
    <t>尘风屏障</t>
  </si>
  <si>
    <t>你张开双臂，让自己被周围的空气包裹。直到你下一个回合开始前任何对你的远程攻击都会具有劣势。
成功以近战攻击击中你的生物必须进行一次体质豁免对抗你的法术豁免DC，豁免失败则被向远离你的方向击退10尺并倒地。</t>
  </si>
  <si>
    <t>Gust Barrier</t>
  </si>
  <si>
    <t>谦卑林战役设定集</t>
  </si>
  <si>
    <t>植物修复</t>
  </si>
  <si>
    <t>一根小树枝和一圈麻绳</t>
  </si>
  <si>
    <t>利用原初魔法，为附近的植物注入活力，在施法距离内产生以下效应：
你立即修复你触碰的活着的植物上的一处断层或撕裂处，如撕裂的叶子、烧焦的树枝、树皮的疤痕或断成两片的植物碎片。只要损伤区域在任意方向的长度均不超过1尺，你就能修复其，不会留下任何被破坏过的痕迹
你使落叶的植物立即长出叶子，使种下的种子立即发芽，或让死去的种荚可以重新发芽。
你令5尺立方区域内的活着的植物枝叶繁茂，例如长满草或叶子。该区域的植物将变得茂密并足以隐藏不超过中型的生物，或是过度生长并成为困难地形（由你施展时选择）。
你能够触碰一株活着的植物或是一名植物生物令其获得1d4临时生命值。</t>
  </si>
  <si>
    <t>Mend Plants</t>
  </si>
  <si>
    <t>谦卑林故事集</t>
  </si>
  <si>
    <t>灵光闪耀</t>
  </si>
  <si>
    <t>燧石和钢</t>
  </si>
  <si>
    <t>刹那间，火花从你的手指间飞出，发出明亮的蓝光。这将照亮你周围60英尺的区域，直到你的下一个回合开始。对发现躲藏在阴影中的生物所进行的感知（察觉）检定具有优势。</t>
  </si>
  <si>
    <t>Bright Sparks</t>
  </si>
  <si>
    <t>黯潮之书</t>
  </si>
  <si>
    <t>德雷弗恩的卓越之灾</t>
  </si>
  <si>
    <t>你选择施法距离内一可见生物进行一次魅力豁免，豁免失败则目标在法术持续时间内的下一次攻击检定，属性检定或豁免检定的掷出N20时视为检定失败。
当你到达5/11/17级时，该效果会影响目标下2/3/4个N20。</t>
  </si>
  <si>
    <t>Drayfn’s bane of excellence</t>
  </si>
  <si>
    <t>毛毛细雨</t>
  </si>
  <si>
    <t>20尺</t>
  </si>
  <si>
    <t>专注（译注：原文如此）</t>
  </si>
  <si>
    <t>你召唤出一场非常小的雨，足以湿润你周围20尺内的地面，但不足以饮用或熄灭任何比蜡烛或火柴大的火焰。如果持续1分钟，地面触感会变得湿润、如果持续10分钟，受影响区域会轻微泥泞或湿滑，但不足以阻碍行动。在寒冷的天气里，这可能会产生一层薄冰。</t>
  </si>
  <si>
    <t>Drizzle</t>
  </si>
  <si>
    <t>开花</t>
  </si>
  <si>
    <t>你可以让施法距离内一个非魔法，无生命的物件上长出芳香的花朵，如果该物件被非自愿生物生物持有，它可以通过一次成功的敏捷豁免来抵抗此效果。如果法术维持到最大持续时间结束，花朵会散发出愉悦的香味，并可能吸引蜜蜂、蜂鸟或其他授粉者。如果物件正常情况下无法维持鲜花，则鲜花会在 24 小时后枯萎。</t>
  </si>
  <si>
    <t>Flowering</t>
  </si>
  <si>
    <t>混淆物件</t>
  </si>
  <si>
    <t>在微光光照下，你可以使施法距离内的一个物件变得不显眼，使其无法被其他生物的视线所覆盖。在法术持续时间内，你对隐藏物件所进行的敏捷（巧手）检定具有优势。该物件不能大于一把短剑，而且必须是在你身上、手中或无他人看管的物件。
当你到达5/11/17级时，你可以影响2/3/4个物件。</t>
  </si>
  <si>
    <t>Obfuscate Object</t>
  </si>
  <si>
    <t>警报术</t>
  </si>
  <si>
    <t>1 分钟或仪式</t>
  </si>
  <si>
    <t>一个小铃铛和一小段银线</t>
  </si>
  <si>
    <r>
      <rPr>
        <sz val="11"/>
        <color theme="1"/>
        <rFont val="仿宋"/>
        <charset val="134"/>
      </rPr>
      <t>你设置一个针对不速之客的警报。在施法距离内指定一扇门窗或选择一个边长不大于20 尺的立方区域。在法术持续时间内，任何触碰或进入被法术保护区域的生物都会触发警报。施法时，你可以决定哪些生物不会触发警报，还可以选择警报方式为声音警报或是精神警报。
　　</t>
    </r>
    <r>
      <rPr>
        <sz val="11"/>
        <color theme="1"/>
        <rFont val="Arial"/>
        <charset val="134"/>
      </rPr>
      <t>•</t>
    </r>
    <r>
      <rPr>
        <sz val="11"/>
        <color theme="1"/>
        <rFont val="仿宋"/>
        <charset val="134"/>
      </rPr>
      <t xml:space="preserve"> 声音警报Audible Alarm。警报将在其保护区域 60 尺范围内将响起持续 10 秒摇铃声。
　　</t>
    </r>
    <r>
      <rPr>
        <sz val="11"/>
        <color theme="1"/>
        <rFont val="Arial"/>
        <charset val="134"/>
      </rPr>
      <t>•</t>
    </r>
    <r>
      <rPr>
        <sz val="11"/>
        <color theme="1"/>
        <rFont val="仿宋"/>
        <charset val="134"/>
      </rPr>
      <t xml:space="preserve"> 精神警报Mental Alarm。 如果你距离目标区域不超过 1 里，警报会在你脑海中会传来“乒”的警报声。如果你在睡觉，则警报将使你惊醒。</t>
    </r>
  </si>
  <si>
    <t>Alarm</t>
  </si>
  <si>
    <t>化兽为友</t>
  </si>
  <si>
    <t>一点食物</t>
  </si>
  <si>
    <t>在施法距离内指定一只你能看见的野兽。该野兽必须通过一次感知豁免，否则在法术持续时间内陷入魅惑状态。如果你或你的盟友对目标造成伤害，法术将提前终止。
升环施法：你使用的法术位每比一环高一环，就可以多选择一个野兽作为目标。</t>
  </si>
  <si>
    <t>Animal Friendship</t>
  </si>
  <si>
    <t>黯冰狱铠</t>
  </si>
  <si>
    <t>一块蓝色玻璃碎片</t>
  </si>
  <si>
    <t>防护性的魔法寒霜包裹着你。 你获得5点临时生命值 。如果有生物在法术结束之前以近战攻击命中你，则该生物将受到5点冷冻伤害。此法术会在你已不具有任何来源的临时生命值 时提前结束。
升环施法：你使用的法术位每比一环高一环，临时生命和冷冻伤害就各增加 5 点。</t>
  </si>
  <si>
    <t>Armor of Agathys</t>
  </si>
  <si>
    <t>哈达之臂</t>
  </si>
  <si>
    <t>你祈唤哈达的力量，让触须从你身上蔓延而出。以你为源点的10尺光环 区域内，每个生物都必须进行一次力量豁免。豁免失败的生物将受到2d6点暗蚀伤害，并其直到下一回合前都无法执行反应。豁免成功的生物仅受到一半伤害。
升环施法： 你使用的法术位每比一环高一环，法术的伤害就增加1d6点。</t>
  </si>
  <si>
    <t>Arms of Hadar</t>
  </si>
  <si>
    <t>灾祸术</t>
  </si>
  <si>
    <t>一滴血</t>
  </si>
  <si>
    <t>你选择施法距离内至多三个你可见的生物，迫使其分别进行一次魅力豁免。在法术终止前，豁免失败于此次魅力豁免的目标进行的每次攻击检定与豁免检定都必须承受1d4的减值。
升环施法：你使用的法术位每比一环高一环，就能多选择一个生物作为目标。</t>
  </si>
  <si>
    <t>Bane</t>
  </si>
  <si>
    <t>祝福术</t>
  </si>
  <si>
    <t>一枚价值5+GP的圣徽</t>
  </si>
  <si>
    <t>你祝福施法范围内至多三个生物。在法术终止前，受术目标进行的每次攻击检定与豁免检定都将获得1d4的加值。
升环施法：你使用的法术位每比一环高一环，就能多选择一个生物作为目标。</t>
  </si>
  <si>
    <t>Bless</t>
  </si>
  <si>
    <t>燃烧之手</t>
  </si>
  <si>
    <t>你向前喷射出一片火焰。处于15尺锥状区域内的生物必须进行一次敏捷豁免。豁免失败者受到3d6点火焰伤害，豁免成功者受到一半伤害。
在此锥状区域内的未被着装或携带的易燃物件会开始燃烧。
升环施法：你使用的法术位每比一环高一环，此法术的伤害就会提升1d6点。</t>
  </si>
  <si>
    <t>Burning Hands</t>
  </si>
  <si>
    <t>魅惑类人</t>
  </si>
  <si>
    <t>选择法术距离内你可见的一名类人生物，迫使该生物进行一次感知豁免，如果你或者你的同伴正在与它战斗，它进行的这次豁免将具有优势。如果它豁免失败，它陷入魅惑状态直到法术结束，或者直到你或你的同伴对它造成伤害。被魅惑的生物将对你友好。在法术结束时，生物会知道它曾被你魅惑。
升环施法：使用的法术位每高一环，你就可以额外选择一个生物作为目标。</t>
  </si>
  <si>
    <t>Charm Person</t>
  </si>
  <si>
    <t>繁彩球</t>
  </si>
  <si>
    <t>一枚价值50GP+的钻石</t>
  </si>
  <si>
    <t>你向施法距离内某个目标掷出一颗能量球。从强酸、寒冷、火焰、闪电、毒素、雷鸣中选择一个作为创造出来的球体的伤害类型，然后对该目标发动一次远程法术攻击。命中时，该目标将受到 3d8 点你所选类型的伤害。
如果你的d8骰中有两枚（或更多）投出了相同的数字，能量球将会从原目标跃向其周围30尺内由你所选择的另一个目标。你需要对新目标再进行一次攻击检定，然后进行一次新的伤害掷骰。能量球无法再次进行此种跳跃，除非你施展此法术时使用了环阶2+的法术位。
升环施法：使用的法术位每高一环，法术的伤害就增加1d8点。能量球能够跳跃的最大次数等同于所消耗的法术位环阶，但每次施展此法术时，每名生物只能被指定为此法术目标一次。</t>
  </si>
  <si>
    <t>Chromatic Orb</t>
  </si>
  <si>
    <t>七彩喷射</t>
  </si>
  <si>
    <t>一撮彩色沙子</t>
  </si>
  <si>
    <t>你射出一道炫目的闪耀彩光。以你为源点的15尺锥状区域内的每个生物必须成功通过一次体质豁免，否则陷入目盲状态，持续至下个你的回合结束。</t>
  </si>
  <si>
    <t>Color Spray</t>
  </si>
  <si>
    <t>命令术</t>
  </si>
  <si>
    <r>
      <rPr>
        <sz val="11"/>
        <color theme="1"/>
        <rFont val="仿宋"/>
        <charset val="134"/>
      </rPr>
      <t>你对施法距离内一个你能看见的生物说出一个单词的命令。目标生物必须通过一次感知豁免，否则在它自己的下一回合中，其必须服从这道命令行事。从以下选项中选择一条命令：
　　</t>
    </r>
    <r>
      <rPr>
        <sz val="11"/>
        <color theme="1"/>
        <rFont val="Arial"/>
        <charset val="134"/>
      </rPr>
      <t>•</t>
    </r>
    <r>
      <rPr>
        <sz val="11"/>
        <color theme="1"/>
        <rFont val="仿宋"/>
        <charset val="134"/>
      </rPr>
      <t xml:space="preserve"> 过来Approach。目标以最短最直接的路线向你移动，若其到达你5尺范围内，其会结束自己的回合。
　　</t>
    </r>
    <r>
      <rPr>
        <sz val="11"/>
        <color theme="1"/>
        <rFont val="Arial"/>
        <charset val="134"/>
      </rPr>
      <t>•</t>
    </r>
    <r>
      <rPr>
        <sz val="11"/>
        <color theme="1"/>
        <rFont val="仿宋"/>
        <charset val="134"/>
      </rPr>
      <t xml:space="preserve"> 放下Drop。目标放下持握的任何东西，然后结束自己的回合。
　　</t>
    </r>
    <r>
      <rPr>
        <sz val="11"/>
        <color theme="1"/>
        <rFont val="Arial"/>
        <charset val="134"/>
      </rPr>
      <t>•</t>
    </r>
    <r>
      <rPr>
        <sz val="11"/>
        <color theme="1"/>
        <rFont val="仿宋"/>
        <charset val="134"/>
      </rPr>
      <t xml:space="preserve"> 走开Flee。目标消耗其整个回合，以最快最有效的方式远离你。
　　</t>
    </r>
    <r>
      <rPr>
        <sz val="11"/>
        <color theme="1"/>
        <rFont val="Arial"/>
        <charset val="134"/>
      </rPr>
      <t>•</t>
    </r>
    <r>
      <rPr>
        <sz val="11"/>
        <color theme="1"/>
        <rFont val="仿宋"/>
        <charset val="134"/>
      </rPr>
      <t xml:space="preserve"> 趴下Grovel。目标陷入倒地状态并结束自己的回合。
　　</t>
    </r>
    <r>
      <rPr>
        <sz val="11"/>
        <color theme="1"/>
        <rFont val="Arial"/>
        <charset val="134"/>
      </rPr>
      <t>•</t>
    </r>
    <r>
      <rPr>
        <sz val="11"/>
        <color theme="1"/>
        <rFont val="仿宋"/>
        <charset val="134"/>
      </rPr>
      <t xml:space="preserve"> 立定Halt。在其回合内，目标不进行移动且不作任何动作和附赠动作。
升环施法：你使用的法术位每比一环高一环，法术就能多影响一个目标。</t>
    </r>
  </si>
  <si>
    <t>Command</t>
  </si>
  <si>
    <t>强令对决</t>
  </si>
  <si>
    <t>你尝试强令一个生物与你决斗。选择施法距离内一个你能看见的生物，该生物必须通过一次感知豁免，豁免失败的情况下，该生物对除你之外任何生物发动攻击检定时都具有劣势，且该生物不能自主移动到距离你超过30尺的位置。
当你攻击另一个生物时，或者当你对另一个敌对生物施展法术时，又或者当一个你的盟友对该目标造成伤害或者对其施展伤害性法术时，又或者你在距离该目标超过 30 尺的位置结束你的回合时，该法术终止。</t>
  </si>
  <si>
    <t>Compelled Duel</t>
  </si>
  <si>
    <t>通晓语言</t>
  </si>
  <si>
    <t>一撮煤灰和盐</t>
  </si>
  <si>
    <t>你在法术持续时间内知晓你所听到或看到手语的所有语言的字面意义。你也可以通过触碰书写的文字来读懂其字面意义。以这种方式阅读每页文字需要花费 1 分钟的时间。这个法术并不能解读符号和暗语。</t>
  </si>
  <si>
    <t>Comprehend Languages</t>
  </si>
  <si>
    <t>造水术/枯水术</t>
  </si>
  <si>
    <t>水沙混合物</t>
  </si>
  <si>
    <r>
      <rPr>
        <sz val="11"/>
        <color theme="1"/>
        <rFont val="仿宋"/>
        <charset val="134"/>
      </rPr>
      <t>你选择其一执行：
　　</t>
    </r>
    <r>
      <rPr>
        <sz val="11"/>
        <color theme="1"/>
        <rFont val="Arial"/>
        <charset val="134"/>
      </rPr>
      <t>•</t>
    </r>
    <r>
      <rPr>
        <sz val="11"/>
        <color theme="1"/>
        <rFont val="仿宋"/>
        <charset val="134"/>
      </rPr>
      <t xml:space="preserve"> 造水术Create Water。你在施法距离内一个打开的容器中创造至多10加仑干净的水。作为另一种选项，你使施法距离内一处30尺的立方 区域降下雨水并浇灭区域内不受遮盖的火焰。
　　</t>
    </r>
    <r>
      <rPr>
        <sz val="11"/>
        <color theme="1"/>
        <rFont val="Arial"/>
        <charset val="134"/>
      </rPr>
      <t>•</t>
    </r>
    <r>
      <rPr>
        <sz val="11"/>
        <color theme="1"/>
        <rFont val="仿宋"/>
        <charset val="134"/>
      </rPr>
      <t xml:space="preserve"> 枯水术Destroy Water。你使施法距离内一个打开的容器里至多10加仑水枯竭不见。作为另一种选项，你使施法距离内一片30尺立方 区域的浓雾消失不见。
升环施法： 使用的法术位每比一环高一环，法术就多创造或多枯竭10加仑额外的水分，另一种选项能影响的立方 区域边长增加5尺。</t>
    </r>
  </si>
  <si>
    <t>Create or Destroy Water</t>
  </si>
  <si>
    <t>疗伤术</t>
  </si>
  <si>
    <t>你触碰的一名生物恢复等同于2d8+你施法属性调整值点生命值。
升环施法：使用的法术位每比一环高一环，此法术的治疗量就增加2d8点。</t>
  </si>
  <si>
    <t>Cure Wounds</t>
  </si>
  <si>
    <t>侦测善恶</t>
  </si>
  <si>
    <t>在法术持续时间内，你定位距你30尺内任何异怪、天族、元素、妖精、邪魔、亡灵。你也可以感知到范围内是否具有激活的圣居Hallow并确定其位置。
此法术会被1尺厚的岩石、泥土或木头，1寸厚的金属，或薄薄一层铅阻隔。</t>
  </si>
  <si>
    <t>Detect Evil and Good</t>
  </si>
  <si>
    <t>侦测魔法</t>
  </si>
  <si>
    <t>在法术持续时间内，你感受到距你30尺内的魔法效应。若你感知到了此类效应，则你可以用一个魔法动作以看到任何带有此魔法的可见生物或物件周围环绕着微弱的灵光，且若此魔法属于被法术创造的效应，则你可分辨出其所属的魔法学派。
此法术会被1尺厚的岩石、泥土或木头，1寸厚的金属，或薄薄一层铅阻隔。</t>
  </si>
  <si>
    <t>Detect Magic</t>
  </si>
  <si>
    <t>侦测毒性和疾病</t>
  </si>
  <si>
    <t>一片紫杉叶</t>
  </si>
  <si>
    <t>在法术持续时间内，你定位距你30尺内的毒药、有毒生物和魔法疫病。你可以感知到毒药、有毒生物和疫病的种类。
此法术会被1尺厚的岩石、泥土或木头，1寸厚的金属，或薄薄一层铅阻隔。</t>
  </si>
  <si>
    <t>Detect Poison and Disease</t>
  </si>
  <si>
    <t>易容术</t>
  </si>
  <si>
    <t>你改变自身以及随身的衣物、护甲、武器等在你身上的所有物。该效应在法术终止时结束。肉眼看来你的身高可以有1尺的增减，体态可胖可瘦。你必须选择一个和你肢体基础排列方式一致的形态。此外，幻术的影响范围由你决定。
此法术产生的变化无法应对物理检查。比如，你用此法术添了一顶帽子，那么现实物件会从帽子穿过去，且任何触碰帽子的人将摸不到任何东西。
如果一名生物想要分辨你是否易容，则必须使用一个研究动作研究你的外貌，并成功于一次对抗你法术豁免DC的智力（调查）检定。</t>
  </si>
  <si>
    <t>Disguise Self</t>
  </si>
  <si>
    <t>不谐低语</t>
  </si>
  <si>
    <t>一名施法距离内你选择的可见生物的心灵中听见一段不协和旋律。目标进行一次感知豁免。豁免失败则受到3d6点心灵伤害，并立即执行其反应（若可用）尽可能往远离你的方向移动，并采取最安全的路径。豁免成功则只受一半伤害。
升环施法：使用的法术位每比一环高一环，伤害就提高1d6。</t>
  </si>
  <si>
    <t>Dissonant Whispers</t>
  </si>
  <si>
    <t>神恩</t>
  </si>
  <si>
    <t>直到法术结束之前，你使用武器的攻击在命中时造成额外1d4点光耀伤害。</t>
  </si>
  <si>
    <t>Divine Favor</t>
  </si>
  <si>
    <t>至圣斩</t>
  </si>
  <si>
    <t>附赠动作，当你使用近战武器或徒手打击命中一个生物后立即执行</t>
  </si>
  <si>
    <t>被该次攻击检定命中的目标会在此次攻击中额外受到2d8点光耀伤害。若目标为邪魔生物或亡灵生物，则此伤害增加1d8。
升环施法：使用的法术位每比一环高一环，此法术的伤害就提高1d8。</t>
  </si>
  <si>
    <t>Divine Smite</t>
  </si>
  <si>
    <t>捕获打击</t>
  </si>
  <si>
    <t>附赠动作，在你用武器命中目标后立即可用</t>
  </si>
  <si>
    <t>你命中目标时，目标身上出现一根紧紧将其攫住的藤蔓，使其进行一次力量豁免，大型及更大体型的生物进行该豁免时具有优势。豁免失败，则目标将直到法术结束为止陷入束缚状态。豁免成功，则藤蔓立即枯萎，法术结束。
处于束缚状态期间，目标在其每回合开始受到1d6点穿刺伤害。目标或其他位于其触及内的生物可用一个动作进行一次对抗法术豁免DC的力量（运动）检定。检定成功则法术结束。
升环施法：使用的法术位每比一环高一环，此法术的伤害就提高1d6点。</t>
  </si>
  <si>
    <t>Ensnaring Strike</t>
  </si>
  <si>
    <t>纠缠术</t>
  </si>
  <si>
    <t>缠绕的植物在施法距离内从20尺方状区域地面中破土而出。在法术持续时间内，这片被植物覆盖的区域变为困难地形 。法术结束时，这些植物会消失。
在你施展法术时，该区域内的生物（除你之外）必须成功于一次力量豁免，否则陷入束缚状态，直到法术终止。一名因此被束缚的生物可以用其动作进行一次力量（运动）检定对抗该法术的豁免DC。检定成功则成功摆脱缠绕在其身上的藤蔓并不再被其束缚。</t>
  </si>
  <si>
    <t>Entangle</t>
  </si>
  <si>
    <t>脚底抹油</t>
  </si>
  <si>
    <t>你执行疾走动作，且直到法术结束为止，你均能使用附赠动作执行疾走 动作。</t>
  </si>
  <si>
    <t>Expeditious Retreat</t>
  </si>
  <si>
    <t>妖火</t>
  </si>
  <si>
    <t>施法距离内一处20尺立方区域内每个物件的轮廓都将被蓝色、绿色、或紫色的光芒所勾勒（颜色由你指定）。区域内的生物则必须进行一次敏捷豁免，豁免失败时也会被彩色光芒勾勒出轮廓。受术物件和生物在法术持续时间内发出10尺半径的微光光照 。
受术生物或物件无法受益于隐形状态，且任何能看见他们的攻击者对其发动的攻击检定具有优势。</t>
  </si>
  <si>
    <t>Faerie Fire</t>
  </si>
  <si>
    <t>虚假生命</t>
  </si>
  <si>
    <t>一滴酒精</t>
  </si>
  <si>
    <t>你获得2d4+4点临时生命值。
升环施法：使用的法术位每比一环高一环，其给予的临时生命值就增加5。</t>
  </si>
  <si>
    <t>False Life</t>
  </si>
  <si>
    <t>羽落术</t>
  </si>
  <si>
    <t>反应，你或距你60尺内的可见生物坠落时可用</t>
  </si>
  <si>
    <t>一小根羽毛或一块羽绒</t>
  </si>
  <si>
    <t>指定施法距离内至多五个正坠落的生物。受术生物的坠落速度在法术持续时间内降低至每回合60尺。如果该生物在法术终止前落地，则其不会受到任何坠落伤害，且着地后法术对该生物的效应随即终止。</t>
  </si>
  <si>
    <t>Feather Fall</t>
  </si>
  <si>
    <t>寻获魔宠</t>
  </si>
  <si>
    <t>1小时或仪式</t>
  </si>
  <si>
    <t>价值10+GP的焚香，作为法术耗材</t>
  </si>
  <si>
    <r>
      <rPr>
        <sz val="11"/>
        <color theme="1"/>
        <rFont val="仿宋"/>
        <charset val="134"/>
      </rPr>
      <t>你获得一只为你服务的魔宠，魔宠精魄可以采用下述你选择的动物形态之一：蝙蝠Bat、猫Cat、青蛙Frog、鹰Hawk、蜥蜴Lizard、章鱼Octopus、猫头鹰Owl、老鼠Rat、渡鸦Raven、蜘蛛Spider、鼬Weasel，你也可以选择其他挑战等级为0的野兽作为魔宠的形态。魔宠出现在施法距离内一处未被占据的空间，虽然有着所选的生物属性数据，但其生物类型为天族、妖精、邪魔之一（由你选择）而非野兽 。你的魔宠可脱离你独立行动，不过它会一直遵循你的命令行事。
　　</t>
    </r>
    <r>
      <rPr>
        <sz val="11"/>
        <color theme="1"/>
        <rFont val="Arial"/>
        <charset val="134"/>
      </rPr>
      <t>•</t>
    </r>
    <r>
      <rPr>
        <sz val="11"/>
        <color theme="1"/>
        <rFont val="仿宋"/>
        <charset val="134"/>
      </rPr>
      <t xml:space="preserve"> 心灵连接Telepathic Connection。你的魔宠距你100尺内期间，你可以与其进行心灵交流。此外，你还可以用一个附赠动作 将自己的视觉和听觉切换到魔宠的感官，并一持续至你下一回合开始。在此期间，你同时享有该魔宠自身的特殊感官。
最后，当你施展施法距离为触碰的法术时，你的魔宠可以帮你传递这道触碰法术。此时你的魔宠必须距你100尺内，且在你施展这道法术时你的魔宠需要执行一个反应 才能将其传递。
　　</t>
    </r>
    <r>
      <rPr>
        <sz val="11"/>
        <color theme="1"/>
        <rFont val="Arial"/>
        <charset val="134"/>
      </rPr>
      <t>•</t>
    </r>
    <r>
      <rPr>
        <sz val="11"/>
        <color theme="1"/>
        <rFont val="仿宋"/>
        <charset val="134"/>
      </rPr>
      <t xml:space="preserve"> 战斗Combat。魔宠是你和你盟友的盟友。战斗时，它为自己骰先攻 ，并在自己回合里行动。魔宠无法攻击，但是它能如常执行其他动作。
　　</t>
    </r>
    <r>
      <rPr>
        <sz val="11"/>
        <color theme="1"/>
        <rFont val="Arial"/>
        <charset val="134"/>
      </rPr>
      <t>•</t>
    </r>
    <r>
      <rPr>
        <sz val="11"/>
        <color theme="1"/>
        <rFont val="仿宋"/>
        <charset val="134"/>
      </rPr>
      <t xml:space="preserve"> 魔宠的消失Disappearance of the Familiar。当魔宠生命值降至0点时，它会消失。它会在你再次施展此法术后重新出现。你可以用一个魔法动作，暂时解散你的魔宠，将其送入一个口袋位面。你也可以选择永久解散它。暂时解散时，你可以用一个魔法 动作使其重新出现于距你30尺内任意未占空间中。当魔宠生命值归0或消失进入了口袋位面时，它都会将自己穿着或携带的任何物品留在自己曾占据的空间中。
　　</t>
    </r>
    <r>
      <rPr>
        <sz val="11"/>
        <color theme="1"/>
        <rFont val="Arial"/>
        <charset val="134"/>
      </rPr>
      <t>•</t>
    </r>
    <r>
      <rPr>
        <sz val="11"/>
        <color theme="1"/>
        <rFont val="仿宋"/>
        <charset val="134"/>
      </rPr>
      <t xml:space="preserve"> 独一无二One Familiar Only。 你在同一时间不能拥有多于一只魔宠。如果你在已拥有一只魔宠期间施展此法术，作为替代，你会使其采用一个新的符合条件的形态。</t>
    </r>
  </si>
  <si>
    <t>Find Familiar</t>
  </si>
  <si>
    <t>云雾术</t>
  </si>
  <si>
    <t>你以施法距离内一点为中心创造一片半径20尺的球状浓雾。球状区域被重度遮蔽。浓雾持续至法术持续时间结束，被强风（比如造风术Gust of Wind 创造的风）吹散时法术也将提前结束。
升环施法： 使用的法术位每比一环高一环，浓雾的半径就增加20尺。</t>
  </si>
  <si>
    <t>Fog Cloud</t>
  </si>
  <si>
    <t>神莓术</t>
  </si>
  <si>
    <t>一根槲寄生</t>
  </si>
  <si>
    <t>10颗浆果出现在你手里。果子在法术持续时间内充满魔法。一名生物可以用一个附赠动作 吃下一颗浆果。吃掉一颗浆果可以恢复1点生命值，且一枚浆果就可以满足该生物一整天的营养需求。
法术结束时还没有被吃掉的浆果会消失。</t>
  </si>
  <si>
    <t>Goodberry</t>
  </si>
  <si>
    <t>油腻术</t>
  </si>
  <si>
    <t>一块猪皮或黄油</t>
  </si>
  <si>
    <t>你在施法距离内指定一点，光滑的不可燃油脂以该点为中心覆盖一处10尺的方状区域。在法术持续时间内。该区域变为困难地形 。
油脂出现时，站在其范围内的每个生物必须成功通过一次敏捷豁免，否则陷入倒地状态。进入该区域或在区域内结束其回合的生物也必须进行该敏捷豁免，豁免失败则陷入倒地。</t>
  </si>
  <si>
    <t>Grease</t>
  </si>
  <si>
    <t>光导箭</t>
  </si>
  <si>
    <t>你向施法距离内的一名生物掷出一道光箭。对目标进行一次远程法术攻击。命中时，目标受4d6点光耀伤害。在你下个回合结束前，对目标发动的下一次攻击检定具有优势。
升环施法：使用的法术位每比一环高一环，此法术的伤害就增加1d6点。</t>
  </si>
  <si>
    <t>Guiding Bolt</t>
  </si>
  <si>
    <t>荆棘之雨</t>
  </si>
  <si>
    <t>附赠动作，在你使用远程武器命中一个生物时紧接可用</t>
  </si>
  <si>
    <t>当你攻击命中生物时，法术会从你的远程武器或弹药中创造出棘刺，并形成一片棘刺之雨。目标和在目标周围5尺内每个生物必须进行一次敏捷豁免检定，豁免失败者将受到 1d10 点穿刺伤害，豁免成功则受到一半伤害。
升环施法：使用的法术位每比一环高一环，此法术的伤害就增加 1d10。</t>
  </si>
  <si>
    <t>Hail of Thorns</t>
  </si>
  <si>
    <t>治愈真言</t>
  </si>
  <si>
    <t>你指定施法距离内一个你能看见的生物并恢复其生命值，恢复量等于2d4+你的施法属性调整值。
升环施法： 使用的法术位每比一环高一环，此法术的治疗量就增加2d4点。</t>
  </si>
  <si>
    <t>Healing Word</t>
  </si>
  <si>
    <t>炼狱叱喝</t>
  </si>
  <si>
    <t>反应，当你受到来自60尺内你可见生物的伤害时执行。</t>
  </si>
  <si>
    <t>伤害你的生物立刻被绿色的烈焰席卷。该生物必须进行一次敏捷豁免，豁免失败则受到2d10点火焰伤害，豁免成功则受到一半伤害。
升环施法： 使用的法术位每比一环高一环，此法术的伤害就增加1d10点。</t>
  </si>
  <si>
    <t>Hellish Rebuke</t>
  </si>
  <si>
    <t>英雄气概</t>
  </si>
  <si>
    <t>你触碰一个自愿生物使其充满勇气。该生物直至法术终止前免疫恐慌状态，且它将在其每回合开始时获得等同于你施法属性调整值的临时生命值。
升环施法：使用的法术位每比一环高一环，你就可以额外指定一个生物作为目标。</t>
  </si>
  <si>
    <t>Heroism</t>
  </si>
  <si>
    <t>脆弱诅咒</t>
  </si>
  <si>
    <t>一只风干的蝾螈眼</t>
  </si>
  <si>
    <t>你对施法距离内一个你能看见的一个生物施加诅咒。直到法术终止前，你对命中该目标的任意攻击都将额外造成1d6点暗蚀伤害。此外，你在施展该法术时选择一项属性，使该目标进行所选属性的属性检定时具有劣势 。
如果目标在法术终止前 HP 降至 0，则你可以在法术终止前后续的某一回合中使用一个附赠动作 诅咒另一个生物。
升环施法： 使用二环法术位施展该法术时，其专注可以维持至多4小时。使用三环或四环法术位施展该法术时，其专注可以维持至多8小时。使用环阶5+的法术位施展该法术时，其专注可以维持至多 24 小时。</t>
  </si>
  <si>
    <t>Hex</t>
  </si>
  <si>
    <t>猎人印记</t>
  </si>
  <si>
    <t>你指定施法距离内一个你能看见的生物并以魔法标记其作为你的猎物。直至法术终止前，你每次以任何攻击命中该目标时都会额外造成1d6点力场伤害，且每当你为寻找目标生物而进行感知（察觉或生存）检定时都具有优势 。
如果在法术结束前目标 HP 降至 0，则你可以用附赠动作 将标记转移至施法距离内的另一个可见生物。
升环施法：使用三环或四环法术位施展该法术时，其专注可以维持至多8小时。使用环阶5+的法术位施展该法术时，其专注可以维持至多 24 小时。</t>
  </si>
  <si>
    <t>Hunter's Mark</t>
  </si>
  <si>
    <t>冰刃</t>
  </si>
  <si>
    <t>一滴水或一块冰</t>
  </si>
  <si>
    <t>你制造出一块冰晶裂片，并将它射向施法距离内的一个生物。你对目标进行一次远程法术攻击。若击中，目标受到 1d10 点穿刺伤害。无论击中与否，裂片都会在那之后立刻爆裂。攻击目标和其5尺范围内的每名生物都必须通过一次敏捷豁免检定，否则将受到 2d6 点寒冷伤害。
升环施法： 你使用的法术位每比一环高一环，寒冷伤害就增加1d6。</t>
  </si>
  <si>
    <t>Ice Knife</t>
  </si>
  <si>
    <t>鉴定术</t>
  </si>
  <si>
    <t>一颗价值100GP+的珍珠</t>
  </si>
  <si>
    <t>你指定一个物件，并在施法过程中一直与其保持接触。如果该物件是魔法物品或其他附有魔力的物件，则你将知晓其属性和使用方式，以及了解是否需要与之同调。若它是充能物品则你将得知它现存的可用次数。你还可以发现是否有法术正影响该物件，以及可能存在的法术效应具体来自哪项法术。如果目标由法术所创，则你将知晓具体来自哪项法术。
如果你施法过程中一直接触的是一生物，则你将知晓其是否受法术影响，及产生影响的法术效应具体来自哪些法术。</t>
  </si>
  <si>
    <t>Identify</t>
  </si>
  <si>
    <t>迷幻手稿</t>
  </si>
  <si>
    <t>价值10+GP的墨水，作为法术耗材</t>
  </si>
  <si>
    <t>你在羊皮纸，纸张或是其他适合书写的材质上书写文字并对其施加一个强力的幻象。其效应将持续至法术终止。
文件对于你和你施法时所指定的生物而言是一份普通的文件，文件内容即是以你的笔迹传达你写下手稿时想要传达的一切意义。而对于所有其他阅读者而言，该文件看起来就像由难懂的未知文字或魔法文字所书写。此外，你还可以使该文件呈现出完全不同的信息，使其看起来是用另一种笔迹或者语言所书写，不过你必须懂得该语言。
如果法术被解除，则幻象和原始手稿一同消失不见。
拥有真实视觉的生物可以读出其内被隐藏的信息。</t>
  </si>
  <si>
    <t>Illusory Script</t>
  </si>
  <si>
    <t>致伤术</t>
  </si>
  <si>
    <t>你迫使触碰的一名生物进行体质豁免检定，豁免失败将受到 2d10 的暗蚀伤害，豁免成功则受到半数伤害。
升环施法：你使用的法术位每比一环高一环，暗蚀伤害就增加1d10。</t>
  </si>
  <si>
    <t>Inflict Wounds</t>
  </si>
  <si>
    <t>跳跃术</t>
  </si>
  <si>
    <t>一只蚱蜢的后腿</t>
  </si>
  <si>
    <t>你触碰一个自愿生物。在法术结束前，每该生物他的回合内一次，其可以消耗10尺移动力来跳跃至多30尺距离。
升环施法：使用的法术位每比一环高一环，你就可以额外指定一个生物作为目标。</t>
  </si>
  <si>
    <t>Jump</t>
  </si>
  <si>
    <t>大步奔行</t>
  </si>
  <si>
    <t>一撮泥土</t>
  </si>
  <si>
    <t>你触碰一个生物，该目标的速度增加10尺，直至法术结束。
升环施法：使用的法术位每比一环高一环，你就可以额外指定一个目标。</t>
  </si>
  <si>
    <t>Longstrider</t>
  </si>
  <si>
    <t>一块鞣制过的皮革</t>
  </si>
  <si>
    <t>你触碰一个未着装护甲的自愿生物。直至法术终止前，目标的基础AC变为 13+它的敏捷调整值。当目标穿上护甲时，此法术将提前终止。</t>
  </si>
  <si>
    <t>Mage Armor</t>
  </si>
  <si>
    <t>魔法飞弹</t>
  </si>
  <si>
    <t>你创造三枚由魔法力场形成的闪光飞镖，并让每发飞镖袭向施法距离内你能看见的指定生物。每发飞镖对目标造成1d4+1点力场伤害。所有飞镖将同时袭向目标，而你还可以指定它们击中同一个目标或是分别击中几个目标。
升环施法： 使用的法术位每比一环高一环，该法术就会多制造出一支飞镖。</t>
  </si>
  <si>
    <t>Magic Missile</t>
  </si>
  <si>
    <t>防护善恶</t>
  </si>
  <si>
    <t>一瓶25GP+的圣水，作为此法术的耗材</t>
  </si>
  <si>
    <t>法术结束前，你使触及的一名自愿生物获得针对下述生物类型的防护：异怪、天族、元素、妖精、邪魔、亡灵。
此防护提供下述几种增益。上述生物类型的生物对目标的攻击检定具有劣势。目标不能被其附身，也不会因其陷入魅惑或恐慌状态。如果目标已经被具有上述生物类型的生物附身，或其魅惑或恐慌状态影响，目标后续进行的相关效应的豁免检定也将具有优势。</t>
  </si>
  <si>
    <t>Protection from Evil and Good</t>
  </si>
  <si>
    <t>净化饮食</t>
  </si>
  <si>
    <t>以施法距离内一点为中心，你移除半径5尺球状 区域内非魔法食物与饮品中的毒素和腐败。</t>
  </si>
  <si>
    <t>Purify Food and Drink</t>
  </si>
  <si>
    <t>致病射线</t>
  </si>
  <si>
    <t>你朝施法距离内一名生物射出一道绿色射线。对目标进行一次远程法术攻击。若命中，则目标受到2d8点毒素伤害且陷入中毒状态，持续至你的下一回合结束。
升环施法： 使用的法术位每比一环高一环，此法术的伤害就增加1d8点。</t>
  </si>
  <si>
    <t>Ray of Sickness</t>
  </si>
  <si>
    <t>庇护术</t>
  </si>
  <si>
    <t>一块镜子碎片</t>
  </si>
  <si>
    <t>你为施法距离内的一名生物施加守护。在法术终止前，当任何生物将受守护的生物定为其攻击检定或伤害性法术的目标时，该生物都必须成功通过一次感知豁免，否则该生物必须改为选定另外一个生物作为新的目标，或者失去本次的攻击/法术。不过此法术无法令受术者免受区域效应的影响。
若受保护生物发动一次攻击，施展一道法术，或是造成任何伤害，则该法术随之终止。</t>
  </si>
  <si>
    <t>Sanctuary</t>
  </si>
  <si>
    <t>炽焰斩</t>
  </si>
  <si>
    <t>被该次攻击检定命中的目标会在此次攻击中额外受到1d6火焰伤害。直至法术终止前，目标会在其每个回合开始时受到1d6点火焰伤害，并进行一次体质豁免。豁免失败则法术继续生效，成功则法术终止。
升环施法：使用的法术位每比一环高一环，此法术造成的所有伤害都会增加1d6点。</t>
  </si>
  <si>
    <t>Searing Smite</t>
  </si>
  <si>
    <t>护盾术</t>
  </si>
  <si>
    <t>反应，当你被攻击命中或被作为魔法飞弹Magic Missile 法术的目标时执行</t>
  </si>
  <si>
    <t>一道看不见的力场制护盾浮现在你身旁，保护着你。在你的下一回合开始前，你的 AC 具有+5 加值（在触发该法术的攻击之前生效），并且不会受到魔法飞弹Magic Missle 的伤害。</t>
  </si>
  <si>
    <t>Shield</t>
  </si>
  <si>
    <t>虔诚护盾</t>
  </si>
  <si>
    <t>一张祷文卷轴</t>
  </si>
  <si>
    <t>一片闪着微光的能量场围绕着施法距离内你指定的一个生物，使目标在法术持续时间内AC获得+2 加值。</t>
  </si>
  <si>
    <t>Shield of Faith</t>
  </si>
  <si>
    <t>无声幻影</t>
  </si>
  <si>
    <t>少量羊毛</t>
  </si>
  <si>
    <t>你创造一个影像，其形象来自一个大小不超过边长 15 尺立方体的物件，生物或其他的可视现象。影像出现在施法距离内的一处位置并在法术持续时间内持续存在。该影像是纯粹的视觉影像；它不会被听觉，嗅觉或其他感官感受到。
你可以使用魔法动作将影像移动到施法距离内的另一个位置。影像改变位置时，你可以改变影像的外观使其移动得更自然。例如，如果你创造了一个生物的影像并移动它，则你可以改变影像，使它看起来就像是在走路。
由于影像无法被碰到，任何与该影像进行的物理互动都会暴露其幻象的本质。一个生物使用研究动作调查影像时，它可以进行一次对抗法术豁免 DC 的智力（调查）检定。辨出幻象的生物可以看破该影像，在该生物看来会透过影像看到其背后的事物。</t>
  </si>
  <si>
    <t>Silent Image</t>
  </si>
  <si>
    <t>睡眠术</t>
  </si>
  <si>
    <t>一把细沙或玫瑰花瓣</t>
  </si>
  <si>
    <t>以施法距离内一点为源点，5尺半径球状区域内每个你选择的生物都必须成功通过一次感知豁免否则直到其下个回合结束陷入失能状态。在其下个回合结束时，它必须重复此豁免。如果目标第二次豁免失败，目标在持续时间内陷入昏迷状态。如果目标受到伤害，或其5尺内有人用一个动作将它摇醒，目标身上的法术结束。
不需要睡眠的生物（例如精灵）或免疫力竭状态的生物自动成功通过对抗此法术的豁免。</t>
  </si>
  <si>
    <t>Sleep</t>
  </si>
  <si>
    <t>动物交谈</t>
  </si>
  <si>
    <t>你在法术持续时间内获得理解野兽生物并用语言与其沟通的能力，并且你可以对它们使用交涉动作时任何技能选项都可以适用。
大多数野兽在谈及和生存与伙伴无关的话题时能说的很少，但至少，一只野兽能够给你提供周遭的地点和怪物的情报，包括任何它们近一日内察觉到过的东西。</t>
  </si>
  <si>
    <t>Speak with Animals</t>
  </si>
  <si>
    <t>塔莎狂笑术</t>
  </si>
  <si>
    <t>一块甜馅饼和一根羽毛</t>
  </si>
  <si>
    <t>施法距离内你可见的一名生物进行一次感知豁免。豁免失败，目标在持续时间内陷入失能和倒地状态。在此期间，目标会不受控制地狂笑（只要它能够发笑），且无法结束自身的倒地状态。
目标在其每回合结束或受到伤害时，可以再进行一次感知豁免。如果豁免是因受到伤害所致，则该次豁免具有优势。豁免成功时，法术终止。
升环施法：使用的法术位每比一环高一环，就可以额外指定一个目标。</t>
  </si>
  <si>
    <t>Tasha's Hideous Laughter</t>
  </si>
  <si>
    <t>谭森浮碟术</t>
  </si>
  <si>
    <t>一滴汞</t>
  </si>
  <si>
    <t>指定施法距离内一处你可见的未占空间，并在该处创造一个圆盘状的碟型水平力场。浮碟直径3尺，厚1寸，悬浮在离地3尺的空中。其可以在法术持续时间内持续存在，并至多可负载500磅重量。如果放在浮碟上的物件重量超过500磅，则该法术终止，浮碟上的所有东西也将掉落至地上。
浮碟距你20尺内时静止不动。只要你与其距离超过20尺，浮碟就会跟随你移动，并保持在距你20尺范围内。浮碟可以自由跨越崎岖地形、上下阶梯、斜坡面、诸如此类的地面，但它不能越过高差超过10尺的地面。例如，浮碟不能越过一个10尺深的坑；如果将浮碟创造在这个坑的坑底，则它将无法离开这个坑。
如果你距浮碟超过100尺（通常是因为它受障碍所阻无法跟上你），则法术终止。</t>
  </si>
  <si>
    <t>Tenser's Floating Disk</t>
  </si>
  <si>
    <t>雷鸣斩</t>
  </si>
  <si>
    <t>你的打击发出距你300尺内都能听见的雷鸣。被该次攻击检定命中的目标会在此次攻击中额外受到2d6点雷鸣伤害，如果目标是一名生物，则它必须成功于一次力量豁免，否则其被向着远离你的方向推离10尺并陷入倒地状态。
升环施法：使用的法术位每比一环高一环，伤害就提高1d6。</t>
  </si>
  <si>
    <t>Thunderous Smite</t>
  </si>
  <si>
    <t>雷鸣波</t>
  </si>
  <si>
    <t>你施放出一道雷鸣能量。在以你为源点15尺立方区域内的每名生物必须进行一次体质豁免。豁免失败者将受到2d8点雷鸣伤害，并被向远离你的方向推离10尺。豁免成功则只受一半伤害。
此外，所有完全位于该区域内且未被固定住的物件都将被推离10尺。该法术还会发出距你300尺内都能听见的雷霆巨响。
升环施法：使用的法术位每比一环高一环，伤害就提高1d8。</t>
  </si>
  <si>
    <t>Thunderwave</t>
  </si>
  <si>
    <t>隐形仆役</t>
  </si>
  <si>
    <t>一些线和木头</t>
  </si>
  <si>
    <t>该法术创造出一个隐形、无心智、无定形的中型 力场。你可以在法术终止前命令它进行简单的工作。该仆役被创造出来后出现在施法距离内一处未占空间的地面上。其AC为10，具有1点生HP，力量为2，且不能攻击。若仆从的生命值降至 0，则法术终止。
在每个自己回合内以一个附赠动作 ，你可以精神性的对仆役下达一道命令，使其移动至多15尺并与一个物件进行互动。仆役可以做人类能做到的简单工作，例如拿取东西、打扫卫生、修补东西、叠衣服、点火、上菜、倒饮料等。一旦你下达了命令，仆役就会尽全力去进行任务直至完成任务，并在此后等待你的下一个命令。
如果你命令仆役做一件需要它离开你身边60尺的工作，则法术终止。</t>
  </si>
  <si>
    <t>Unseen Servant</t>
  </si>
  <si>
    <t>巫术箭</t>
  </si>
  <si>
    <t>一根被闪电击中的树枝</t>
  </si>
  <si>
    <t>一支缠绕着碎裂魔力的蓝色能量长矛射向施法距离内的一个生物，并在你与目标之间生成一道持久的闪电弧。对目标进行一次远程法术攻击。若命中，则目标受到2d12点闪电伤害。
无论首次攻击是否命中，在你接下来的每个回合中，你都可以用附赠动作直接对目标造成1d12点闪电伤害。
此外，如果目标与你之间的距离超出了法术的施法距离，或者目标相对你而言处于全身掩护状态，法术将提前终止。
升环施法：使用的法术位每比一环高一环，此法术的初始伤害就提高1d12。</t>
  </si>
  <si>
    <t>Witch Bolt</t>
  </si>
  <si>
    <t>激愤斩</t>
  </si>
  <si>
    <t>被该次攻击检定命中的目标会在此次攻击中额外受到1d6点暗蚀伤害，并且目标必须通过一次感知豁免检定，否则直到法术结束为止陷入恐慌状态。在自己的每回合结束时，被恐慌的目标可以重复此豁免，成功则结束该法术对自身的影响。
升环施法：使用的法术位每比一环高一环，伤害就提高1d6。</t>
  </si>
  <si>
    <t>Wrathful Smite</t>
  </si>
  <si>
    <t>塔莎腐蚀酿</t>
  </si>
  <si>
    <t>一点腐烂的食物</t>
  </si>
  <si>
    <t>• 一股30尺长，5尺宽的的线状强酸从你的位置向你指定的任意方向喷射而出。在线状区域内的每个生物必须进行一次敏捷豁免，豁免失败者将在法术持续时间内被强酸覆盖，或直到自己或其他生物用一个动作从其身上刮下或者洗下。被强酸覆盖的生物在每个自己回合开始时受到2d4点强酸伤害。
• 升环法术效应。使用2环或更高法术位施展该法术时，你使用的法术位每比1环高一环，法术的伤害就增加2d4。</t>
  </si>
  <si>
    <t>Tasha’s Caustic Brew</t>
  </si>
  <si>
    <t>塔莎的万象坩埚</t>
  </si>
  <si>
    <t>吸收元素</t>
  </si>
  <si>
    <t>1反应，于你受到强酸、冷冻、火焰、闪电、或雷鸣伤害时进行</t>
  </si>
  <si>
    <t>• 此法术捕获了部分袭来的能量，减轻它对你的效果，并将之储存起来以用在你的下一次近战攻击中。在你的下个回合的开始之前，你对于触发法术的伤害类型具有抗性。此外，在你的下个回合，第一次以近战攻击命中时，目标额外受到1d6点触发法术的伤害类型的伤害，同时此法术终结。
• 升环施法效应：当你使用2环或更高的法术位施放该法术时，使用的法术位每高一环，额外伤害便增加1d6。</t>
  </si>
  <si>
    <t>Absorb Elements</t>
  </si>
  <si>
    <t>兽之联结</t>
  </si>
  <si>
    <t>一小块被布包裹的毛皮</t>
  </si>
  <si>
    <t>专注,至多10分钟</t>
  </si>
  <si>
    <t>• 你和一个你接触的，对你友好或被你魅惑的野兽建立起一道心灵链接。若该野兽的智力不低于4，则此法术失败。直到法术终结，只要你和该野兽相互处于彼此的视觉线内，此链接便处于活动状态。通过此链接，该野兽可以理解你以心灵感应传递的信息，而其也会以心灵感应向你传递其基本的情绪和意愿。只要此链接处于激活状态，该野兽在对你周围5尺，你能看见的任何生物所进行的攻击检定中获得优势。</t>
  </si>
  <si>
    <t>Beast Bond</t>
  </si>
  <si>
    <t>弹射</t>
  </si>
  <si>
    <t>• 选择距离之内，一个未被穿戴或持握的，重量为1到5磅的物体。此目标在你选择的一个方向上以直线轨迹飞行，在落到地面前至多行进90尺，若其在此过程中撞击到了固体表面则会提前停止运动。若该物体将会撞击一个生物，该生物必须进行一次敏捷豁免检定，豁免失败该物体击中该生物并不再移动。目标被击中后，它与该物体各受到3d8点钝击伤害。
• 升环施法效应：当你使用2环或更高的法术位施放该法术时，使用的法术位每高一环，你可以指定的物体的重量上限便增加5磅，而造成的伤害便提高1d8。</t>
  </si>
  <si>
    <t>Catapult</t>
  </si>
  <si>
    <t>造成恐惧</t>
  </si>
  <si>
    <t>• 你唤醒了一个处于距离内、你能看见的生物内心的凡性。此法术对于构装生物或不死生物无效。目标必须通过一次感知豁免检定，否则在持续时间内陷入恐慌状态。被恐惧的生物可以在它的每个回合结束时重复进行这个豁免检定，若成功将结束法术对自身的效果。
• 升环施法效应：当你使用2环或更高的法术位施放该法术时，使用的法术位每高一环，你就可以多指定一个额外生物作为目标。每个被你指定的生物相互之间的距离必须在30尺内。</t>
  </si>
  <si>
    <t>Cause Fear</t>
  </si>
  <si>
    <t>典礼术</t>
  </si>
  <si>
    <t>至少价值25gp的银粉，作为此法术的耗材</t>
  </si>
  <si>
    <t>• 你进行几种宗教典礼之一。当你施展此法术时，选择下述典礼之一，其目标必须在施法过程中处于你周围10尺内。
• 赎罪Atonement：你接触一个阵营发生了改变的自愿生物，而你进行一次DC20的感知（洞悉）检定。成功则你令目标恢复其原始阵营。
• 祝福圣水Bless Water：你接触一瓶水并将它转变为圣水。
• 成人礼Coming of Age：你接触一个年龄足够成年的类人生物。在接下来的24小时内，当目标进行一次属性检定时，它可以投d4并将投出的结果加到属性检定上。一个生物只能从此仪式中获得此增益一次。
• 献身Dedication：你接触一个自愿转变为你的宗教的信仰或想要为你信奉的神明服务的类人生物。在接下来的24小时内，当目标进行一次豁免检定时，它可以投d4并将投出的结果加到检定上。一个生物只能从此仪式中获得此增益一次。
• 葬礼Funeral Rite：你祝福一具处于你周围5尺内的尸体。在接下来的7天内，目标不能被任何弱于祈愿术wish的方式变为不死生物。
• 婚礼Wedding：你接触自愿接受婚姻的束缚的成年类人生物。在接下来的7天内，每个目标若处于彼此30尺范围内，则在AC上获得+2加值。一个生物只有在丧偶时才能再次从这个仪式中受益。</t>
  </si>
  <si>
    <t>Ceremony</t>
  </si>
  <si>
    <t>混乱箭</t>
  </si>
  <si>
    <t>• 你向着距离内的一个生物掷出一团变化不定、高声尖鸣的混乱能量。对目标进行一次远程法术攻击。击中时，目标受到2d8+1d6点伤害。选择一颗d8投出的数字来决定它的伤害类型：1强酸，2冷冻，3火焰，4力场，5闪电，6毒素，7精神，8雷鸣。
• 若你的两颗d8投出了相同的数字，混乱能量将从目标跳跃到一个由你选择的、处于它周围30尺内的其他生物上。对新目标进行一次新的攻击检定，进行新的伤害检定，这次伤害检定也可能令混沌能量跳跃。
• 一个生物只能被此混乱箭选作目标一次。
• 升环施法效应：当你使用2环或更高的法术位施展此法术时，每个生物受到额外伤害，类型与投出的一致。额外伤害等于高于1环的每个等级1d6点。</t>
  </si>
  <si>
    <t>Chaos Bolt</t>
  </si>
  <si>
    <t>地颤</t>
  </si>
  <si>
    <t>自身(10尺半径)</t>
  </si>
  <si>
    <t>• 你在施法距离内引发地面颤动。处于该区域，除你之外的其他生物必须进行一次敏捷豁免检定。若检定失败，该生物受到1d6点钝击伤害并应击倒地。若区域的地表为松软的土壤或石头，其在被清理之前成为困难地形。每5尺直径的部分都需要至少1分钟来手动清理。
• 升环施法效应：当你使用2环或更高的法术位施放该法术时，使用的法术位每高一环，伤害便增加1d6。</t>
  </si>
  <si>
    <t>Earth Tremor</t>
  </si>
  <si>
    <t>魔法圈套</t>
  </si>
  <si>
    <t>25尺的线绳，作为此法术的耗材</t>
  </si>
  <si>
    <t>• 当你施展此法术时，用线绳在一处处于你触及内的地面或地板上创造一个5尺半径的圆圈。当你完成施法时，线绳消失，化为一个魔法陷阱。
• 陷阱几乎是隐形的，要找到它需要一次成功的对抗你的法术豁免DC的智力（调查）检定。
• 当一个小型、中型或大型的生物移动进入受到此法术保护的区域时，陷阱就会触发。触发的生物必须通过一次敏捷豁免检定否则摔倒、应击倒地，并被魔法性地上下颠倒的举到半空中，直到它距离被保护的地面或地板3尺高。生物被束缚在那里直到法术结束。
• 被束缚的生物可以在其每个回合的结束时进行一次敏捷豁免检定，成功则结束被束缚。或者，其他能触及被束缚的生物可以进行一次智力（奥秘）检定，对抗你的法术豁免DC。成功则束缚的效果也会结束。
• 在陷阱被触发之后，当没有生物被它束缚时，法术将会结束。</t>
  </si>
  <si>
    <t>Snare</t>
  </si>
  <si>
    <t>西风打击</t>
  </si>
  <si>
    <t>• 你行动如风。在持续时间内，你的移动不会导致借机攻击。
• 此外，在此法术结束前仅一次，你可以在自己的回合让自己的一次武器攻击检定获得优势。这次攻击若击中会造成额外1d8力场伤害。无论你是否击中，你的步行速度都会增加30尺，直到这个回合结束。</t>
  </si>
  <si>
    <t>Zephyr Strike</t>
  </si>
  <si>
    <t>扭曲价值</t>
  </si>
  <si>
    <t>• 当你试图卖掉从混沌神殿中解放出来的那座奇异章鱼雕像时，你是否需要从那个无良商人口袋里再压榨几块黄金？当收税员驻足你的身前时，你是否需要贬低一些魔法资产的价值呢？扭曲价值法术为你保驾护航。
• 你施展此法术于边长不超过1尺的一个物件上，以幻术的滋养和抛光来加倍它看起来的价值，或者是用虚幻的划痕、凹陷和其他不雅的特征来减半它看起来的价值。任何检查物件的人，可以通过智力（调查）检定对抗你的法术DC，若成功将会确定它的真实价值。
• 升环施法效应：当你使用2环或更高的法术位施展该法术时，使用的法术位每比1环高一环，目标物件的最大尺寸就可以增加1尺。</t>
  </si>
  <si>
    <t>Distort Value</t>
  </si>
  <si>
    <t>吉姆的魔法飞弹</t>
  </si>
  <si>
    <t>版税成分：1gp</t>
  </si>
  <si>
    <t>• 每一个法师学徒都会施展无聊的古董魔法飞弹。啊哈，它总是击中目标。（哈欠）。别再干你祖父流传下来的苦差事了，来像吉姆• 达克马奇那样，用这个改进版本的法术吧！
• 你创造了三个扭曲着的，尖啸着的，低过敏的，无麸质的魔法立场飞镖。每一枚飞弹都瞄准一个在施法距离内由你选择的可见生物。为每一枚飞弹进行远程攻击检定。若命中，飞弹将对这个目标造成2d4点力场伤害。
• 如果这次攻击检定形成了一次重击，取代了正常重击形成的两次伤害骰，那枚飞弹的目标将受到5d4力场伤害。但是如果任何一个飞弹的攻击检定为1，所有飞弹都会丢失他们的目标并且在你的脸上爆炸。那时每一枚飞弹都会对你造成1点伤害。
• 升环施法效应：当你使用2环或更高的法术位施展该法术时，使用的法术位每比1环高一环，法术就可以多创造一枚飞镖，但是版权成分也会增加1gp。</t>
  </si>
  <si>
    <t>Jim's Magic Missile</t>
  </si>
  <si>
    <t>银光锐语</t>
  </si>
  <si>
    <t>1反应，当一个于你60尺内且可见的生物成功进行一次攻击检定、属性检定或豁免检定时</t>
  </si>
  <si>
    <t>• 你魔法地让触发生物分心，将其短暂的迟疑转变为另一个生物的鼓励。触发生物必须重新投掷d20并选用较低的结果。
• 之后你能选择施法距离内的一个不同生物（可以是你自己）。选择的生物在接下来的一分钟里的第一次攻击检定、属性检定或豁免检定中具有优势。一个生物在同一时间里只会拥有一次来自该法术的增益。</t>
  </si>
  <si>
    <t>Silvery Barbs</t>
  </si>
  <si>
    <t>斯翠海文：混乱之课</t>
  </si>
  <si>
    <t>灵敏之赐</t>
  </si>
  <si>
    <t>• 你触碰一个自愿生物，在法术持续时间内，他的先攻掷骰中可以加入一个额外的D8。</t>
  </si>
  <si>
    <t>Gift of Alacrity</t>
  </si>
  <si>
    <t>扩大重力</t>
  </si>
  <si>
    <t>• 施法距离内你可见的一点的10尺半径球形范围内的重力暂时性地增加了。
• 在你施法时，所有处于该范围内的生物必须通过一个体质豁免。若豁免失败，该生物受到2d8点力场伤害且其移动速度在他的下个回合结束前减半。若豁免成功，该生物受到一半的伤害且在移动速度上没有减值。
• 直到你的下个回合开始，任何想要把该范围内未被着装或携带的物品移动或捡起都需要进行一次对抗你的法术豁免DC的成功的力量检定，若成功才可行。
• 升环施法效应：每当你使用2环或更高的法术位施展该法术时，每比1环多一的法术位能使该法术的伤害增加1d8。</t>
  </si>
  <si>
    <t>Magnify Gravity</t>
  </si>
  <si>
    <t>戈尔戈罗斯形体扭曲术</t>
  </si>
  <si>
    <t>选择一个视野内你可见且与你同等体型的类人生物。你的外形在法术持续时间内变化为该生物的完美复制。即便通过彻底的物理检查也无法分辨你与目标间的区别。
你的声音和装备不会变化。</t>
  </si>
  <si>
    <t>Body Warping of Gorgoroth</t>
  </si>
  <si>
    <t>拉莱耶造雾术</t>
  </si>
  <si>
    <t>拉莱耶是一座笼罩于恐惧之迷雾中的古老城市。你利用那恐惧迷雾，以施法距离内一点为中心创造一片半径20尺的球状迷雾。该球状区域内处于轻度遮蔽。在其中可以看见一些诡异而转瞬即逝的模糊影像。在该球状区域内结束其回合的生物受到1d4心灵伤害。智力为3或更低的野兽会主动拒绝进入这片球状区域。</t>
  </si>
  <si>
    <t>Create Mist of R'lyeh</t>
  </si>
  <si>
    <t>黑潮</t>
  </si>
  <si>
    <t>你释放出一股旋转的暗影浪潮，笼罩你身周的区域。你施展该法术时，位于源自你的10尺立方区域的黑暗内的每名生物进行一次感知豁免。豁免失败则受到2d8心灵伤害，并陷入目盲直至其不在位于该黑暗区域。豁免成功则其仅受半伤且不会陷入目盲。黑暗持续至你的下个回合结束。
升环施法。使用的法术位每比一环高一环，立方区域的边长就增加5尺。</t>
  </si>
  <si>
    <t>Tide of Darkness</t>
  </si>
  <si>
    <t>暗影触须</t>
  </si>
  <si>
    <t>你创造出一条窃取生命的幽影长须，猛然抽向施法距离内一个你可见的生物。对目标进行一次远程法术攻击。若命中，目标将受到2d8暗蚀伤害，而你则获得等同于所造成伤害的临时生命值。
升环施法。使用的法术位每比一环高一环，伤害便增加1d8。</t>
  </si>
  <si>
    <t>Umbral Tendril</t>
  </si>
  <si>
    <t>强酸球</t>
  </si>
  <si>
    <t>一小瓶胃酸和一撮硫酸盐</t>
  </si>
  <si>
    <t>你创造一个由强酸凝胶组成的球体，并将其掷向范围内的一个生物。发动一次远程法术攻击。攻击命中时，该生物将受到 2d6点强酸伤害。无论攻击命中还是失手，球体都会爆炸，目标及其5尺范围内的生物需要成功通过一次敏捷豁免，失败则受到2d6点强酸伤害。
升环施法效应：使用二环或更高法术位施展该法术时，你使用的法术位每比一环高一环，法术的伤害就增加 1d6。</t>
  </si>
  <si>
    <t>Acid Orb</t>
  </si>
  <si>
    <t>下毒术</t>
  </si>
  <si>
    <t>一瓶基础毒药</t>
  </si>
  <si>
    <t>选择范围内你能看见的一个生物，使其遭受一种魔法毒素的攻击。目标受到2d4点毒素伤害，并必须进行一次体质豁免。若豁免失败，则目标在法术持续时间内中毒。
以这种方式中毒的生物，必须在它的每个回合结束时进行一次体质豁免。豁免失败则承受2d4点毒素伤害。若豁免检定成功，则法术在目标身上终止。
法术次级复原术Lesser Restoration可以提前结束目标身上的此法术。
升环施法效应：使用二环或更高法术位施展该法术时，你使用的法术位每比一环高一环，你便可以额外选择一个生物作为目标。</t>
  </si>
  <si>
    <t>Envenom</t>
  </si>
  <si>
    <t>感染术</t>
  </si>
  <si>
    <t>一个培养皿</t>
  </si>
  <si>
    <t>你使范围内你能看见的一个生物感染一种魔法疾病。在目标的每个回合开始，它必须进行一次体质豁免。若豁免检定失败则目标需承受1d12点黯蚀伤害，豁免成功则伤害减半。如果目标成功通过3次豁免，则法术终止。
法术次级复原术Lesser Restoration可以提前结束目标身上的此法术。
升环施法效应：使用二环或更高法术位施展该法术时，你使用的法术位每比一环高两环，法术的伤害就额外提升1d12。</t>
  </si>
  <si>
    <t>Infect</t>
  </si>
  <si>
    <t>肺痨湍流</t>
  </si>
  <si>
    <t>在法术持续时间内，你的舌头变成一根由绿色死灵能量组成的又细又长的绳子，你可以用它汲取其他生物的活力。60尺范围内你所选的一个你能看到的生物需要通过一次体质豁免。若豁免失败，则目标积累一层力竭，而你恢复1d4+你施法关键属性调整值的生命值。
在法术持续时间结束前的每个回合，你都可以用你的动作使相同或不同的一个生物变成目标。但是若一个生物成功通过了对抗肺痨湍流法术的体质豁免，则你不能再使其成为目标。</t>
  </si>
  <si>
    <t>Stream of Consumption</t>
  </si>
  <si>
    <t>毒素护盾</t>
  </si>
  <si>
    <t>一滴矮人血</t>
  </si>
  <si>
    <t>在法术持续时间内，你获得毒素伤害的抗性并在对抗中毒的豁免检定中获得优势。除此之外，当一个生物在你5尺范围内以近战攻击命中你时，护盾会向他们喷出毒素，对攻击者造成1d8点毒素伤害。
升环施法效应：使用二环或更高法术位施展该法术时，你使用的法术位每比一环高两环，法术的伤害就额外提升1d8。</t>
  </si>
  <si>
    <t>Toxic Shield</t>
  </si>
  <si>
    <t>增能术/缓能术</t>
  </si>
  <si>
    <t>反应，当位于你60尺内一名你可见的生物被攻击检定命中时执行</t>
  </si>
  <si>
    <t>一滴油或糖浆</t>
  </si>
  <si>
    <t>你在攻击命中的瞬间将其加快或减缓，从而增加或减少其动能（见下方选项）。
增能Accelerate。 目标受到该攻击造成的额外2d6伤害，伤害类型与触发攻击造成的伤害类型相同。
缓能Decelerate。 目标受到的伤害减少2d6（最低降为0）。
升环施法。使用的法术位每比一环高一环，额外的伤害或减少的伤害就增加1d6。</t>
  </si>
  <si>
    <t>Accelerate/Decelerate</t>
  </si>
  <si>
    <t>斩击弹</t>
  </si>
  <si>
    <t>附赠动作，当你使用远程武器命中一个生物后立即执行</t>
  </si>
  <si>
    <t>选择以下伤害类型之一：强酸、寒冷、火焰、闪电、毒素、雷鸣。此次攻击命中的目标额外受到2d6所选类型的伤害。你可以选择让触发攻击造成的伤害也改为所选伤害类型，或者维持原先的伤害类型。
升环施法。使用的法术位每比一环高1环，额外伤害就增加1d6。</t>
  </si>
  <si>
    <t>Ballistic Smite</t>
  </si>
  <si>
    <t>显迹术</t>
  </si>
  <si>
    <t>一个放大镜和烟斗</t>
  </si>
  <si>
    <t>当你施展此法术时，源自你的30尺光环区域内所有脚印和指纹都会在法术持续时间内变得高亮并微微发光。当你施展此法术时，选择过去10天内的任意时间点，只有该时间点至现在的脚印和指纹会被高亮。每个留下脚印和指纹的生物会被分配一种独特的颜色，但除此以外不会有其他识别。任何在此光环区域内移动或触碰物件的生物也会留下彩色的脚印和指纹，这可能会揭示该区域内的隐形生物。</t>
  </si>
  <si>
    <t>Clue</t>
  </si>
  <si>
    <t>咒唤掩体</t>
  </si>
  <si>
    <t>一个鸭鸭（蹲着）的模型</t>
  </si>
  <si>
    <t>你在地面上咒唤出一道低矮的圆石墙壁。矮墙厚18寸，由三个5尺长3尺高的墙段组成。每个墙段都必须与至少一个别的墙段有所连接。
躲在矮墙后的中型生物具有半身掩护；躲在矮墙后的小型生物具有四分之三掩护。这堵矮墙可以被翻越过去，且不需要额外消耗移动力。
每个墙段具有10的AC与30生命值，其会在生命值被降至0时坍塌，并被摧毁。当所有墙段都被摧毁时，或是法术结束时，这堵矮墙将消失。</t>
  </si>
  <si>
    <t>Conjure Cover</t>
  </si>
  <si>
    <t>记忆术</t>
  </si>
  <si>
    <t>价值10GP+的打结银线，作为法术耗材</t>
  </si>
  <si>
    <t>当你施展此法术时，你的目光扫过一页书面文字并将其烙印于记忆中。此后一年内，你可以精确记住该页所有信息细节。一年后，你为回忆这些信息而进行的所有智力检定都具有优势。</t>
  </si>
  <si>
    <t>Memorize</t>
  </si>
  <si>
    <t>贯星一条</t>
  </si>
  <si>
    <t>附赠动作，当你用武器发动的远程攻击命中或失手后立刻执行</t>
  </si>
  <si>
    <t>命中时或失手时，那枚弹药（或武器本身）化为一束5尺宽的线状魔法能量，自你延展至武器的常规范围为止。此线状区域需包括此次攻击的原目标，线状区域内的所有生物都需要通过一次敏捷豁免检定，豁免失败将受到武器的正常伤害，豁免成功将受到一半伤害。
升环施法。使用的法术位每比一环高1环，武器的伤害就增加1d8。</t>
  </si>
  <si>
    <t>Perforating Shot</t>
  </si>
  <si>
    <t>流言</t>
  </si>
  <si>
    <t>你魔法性地在源自你的100尺的光环区域内散播一个不超过10个单词的流言。区域内任何能听到并能理解至少三个其他生物的生物，都会相信他们听到附近有人在重复这个流言。不同的生物从不同的人那里听到流言，因此无法辨别具体的来源。通常，即使听到最恶毒的流言，生物也不会因此变得敌对，但听到流言会对其态度产生积极或消极的影响。</t>
  </si>
  <si>
    <t>Rumor</t>
  </si>
  <si>
    <t>武装术</t>
  </si>
  <si>
    <t>金属粉末</t>
  </si>
  <si>
    <t>在施法距离内你能看到的一处空地上物质化出至多五件简易或军用武器。这些武器都是非魔法的，但它们制作精良且可以按照你的喜好定制其风格样式。法术结束时这些武器会消失。
升环施法。使用二环或更高法术位施展该法术时，每比一环高一环，你可以额外召唤三件简易或军用武器。</t>
  </si>
  <si>
    <t>Armament</t>
  </si>
  <si>
    <t>升腾泡泡</t>
  </si>
  <si>
    <t>你在任何重量不超过500磅的固体、颗粒或液体周围吹出一个气泡，使其悬浮离地面4尺。无论气泡内装有什么，气泡的重量都是10磅，且可以用一个动作推动气泡。强风或能推动生物的效应也会推动气泡。气泡始终漂浮在离地至少4尺的高度，从高处下落时以每轮10尺的速度下降。
生物可以用一个动作刺破气泡的外表面，使其爆裂并释放其内容物。
升环施法。使用二环或更高法术位施展该法术时，每比一环高一环，气泡可以承载的重量增加500磅。</t>
  </si>
  <si>
    <t>Bubble Lift</t>
  </si>
  <si>
    <t>复制术</t>
  </si>
  <si>
    <t>铜粉和蜡</t>
  </si>
  <si>
    <t>你可以创造出施法距离内一个你能看见的、重量不超过25磅的物体的完全复制品。乍看之下，这两个物体难以区分，且复制品可以如同原物一般发挥功能，但不具有原物可能具有的任何魔法属性。当法术结束时，复制品消失。
如果有生物使用动作检查复制品，该生物可以通过一次对抗你法术豁免DC的智力（调查）检定来判断出这是一个复制品。
升环施法。使用二环或三环法术位施展该法术时，法术持续时间增加至8小时。使用四环或更高法术位时，法术持续时间增加至24小时。</t>
  </si>
  <si>
    <t>Duplicate</t>
  </si>
  <si>
    <t>林地守卫</t>
  </si>
  <si>
    <t>你在施法距离内一处你能看见的未被占据空间中，从地面创造出一个具有类人特征的小型活化灌木。这灌木拥有木质的身体和面部，但没有手臂，且无法移动。
任何对你怀有敌意的生物在其回合内首次移动到灌木10尺范围内，或在该范围内开始其回合时，都会成为灌木叶片攻击的目标。灌木使用你的法术攻击调整值进行一次远程武器攻击。命中时，该生物受到1d4点挥砍伤害。
在你的回合中，你可以使用一个附赠动作让灌木对其10尺范围内的一个生物进行叶片攻击。如果有多个由你创造的灌木都在目标10尺范围内，则此次攻击命中时每个灌木都会造成1d4点挥砍伤害。
升环施法。使用二环或更高法术位施展该法术时，每高出一环法术位可以额外创造一个灌木。</t>
  </si>
  <si>
    <t>Forest Guard</t>
  </si>
  <si>
    <t>赠生术</t>
  </si>
  <si>
    <t>选择施法距离内一个你能看到的生物。你受到1d20点暗蚀伤害，而目标恢复等同于你所受伤害数值的生命值。</t>
  </si>
  <si>
    <t>Gift</t>
  </si>
  <si>
    <t>镇静类人</t>
  </si>
  <si>
    <t>一根海鸥羽毛</t>
  </si>
  <si>
    <t>你尝试镇静施法距离内一个你能看见的类人生物。目标必须进行一次感知豁免。如果豁免失败，则该生物被你镇静直到法术结束。被镇静的生物无法发动攻击，无法施放影响敌人的法术，也无法对其他生物造成伤害。目标可以在其每个回合结束时重复进行豁免检定，豁免成功则效应终止。
升环施法。使用二环或更高法术位施展该法术时，你使用的法术位每比一环高一环，就可以额外影响一个类人生物。当你选择目标时，这些类人生物之间的距离必须在30尺以内。</t>
  </si>
  <si>
    <t>Pacify Person</t>
  </si>
  <si>
    <t>构沙术</t>
  </si>
  <si>
    <t>一小块海玻璃</t>
  </si>
  <si>
    <t>一面高5尺、宽5尺、厚1尺的沙墙从地面升起，出现在施法距离内你能看到的一处未被占据的空间内。当处于墙体形态时，这些沙子的坚固程度等同于实心石头。这面墙的AC为13且具有10点生命值。将墙体生命值降至0会摧毁它，且根据DM裁定可能导致相连的墙体坍塌。你可以用一个动作提前终止该法术。当法术结束时，墙体会崩塌回归沙砾。
如果你以仪式形式施展此法术，墙体会持续存在直到被摧毁或解消。</t>
  </si>
  <si>
    <t>Sand Structure</t>
  </si>
  <si>
    <t>灵植伪装</t>
  </si>
  <si>
    <t>花籽</t>
  </si>
  <si>
    <t>你迅速长出茂密的叶状植被覆盖全身。施展此法术时，你可以选择植被是否具有其他特征，比如花朵或浆果。
当你处于倒地且静止不动状态时，你与普通的灌木难以分辨。如果某个生物未曾观察到你移动或行动，它必须通过一次对抗你法术豁免DC的智力（调查）检定才能判断出你不是一株灌木。若要在被某个生物识破真身后重新伪装，你必须在该生物看不见你的情况下采取躲藏动作。
在法术持续时间内，你可以使用动作制造并投掷松果、浆果或花苞。当你这样做时，对30尺内的一个生物进行一次远程法术攻击。命中时，目标受到1d6+你的施法关键属性调整值的钝击伤害。</t>
  </si>
  <si>
    <t>Sprout Foliage</t>
  </si>
  <si>
    <t>召唤载具</t>
  </si>
  <si>
    <t>一小块橡胶</t>
  </si>
  <si>
    <t>你在身边5尺范围内一处未被占据的空间召唤出一辆自行车或载具机械。该载具不能大于一个5尺边长的立方体，且只能搭载一个中型或更小的生物。载具具有60尺的步行速度，只要你有至少一只空闲的手操控载具，就可以骑乘并使用这个载具。
你可以使用一个动作提前终止该法术。当法术结束时，载具会消失。</t>
  </si>
  <si>
    <t>Summon Vehicle</t>
  </si>
  <si>
    <t>魔力吞噬</t>
  </si>
  <si>
    <t>反应，当另一个生物对你施放的法术未能影响你时触发</t>
  </si>
  <si>
    <t>当触发法术未能影响你时，你咬住残留在空气中的魔法丝线，吞下这些已经安定的魔力，并获得以下效果之一（由你选择）：
你恢复等同于1d4 + 你的施法关键属性调整值的生命值。
直到你的下回合结束前，你的速度增加15尺。
在你的下回合结束前，你可以投掷一次d4，并将所得数值加到一次你选择的属性检定上。</t>
  </si>
  <si>
    <t>Swallow Magic</t>
  </si>
  <si>
    <t>水弹术</t>
  </si>
  <si>
    <t>你在手中或口中创造出一个快速旋转的漩涡水球，然后将其掷向施法距离内的一个生物。对目标进行一次远程法术攻击。若命中，则目标受到钝击伤害，具体伤害取决于其与你之间的距离。
1-10尺。5d6
11-60尺。4d6
61-90尺。3d6
升环施法。使用二环或更高法术位施展该法术时，你使用的法术位每比一环高一环，法术的伤害就增加1d6。</t>
  </si>
  <si>
    <t>Water Bullet</t>
  </si>
  <si>
    <t>覆潮武器</t>
  </si>
  <si>
    <t>一滴海水</t>
  </si>
  <si>
    <t>你在施法距离内指定至多三件你能看见的武器，使其被水流包裹。投掷一颗d4；在法术持续时间内，这些被选中武器造成的任何伤害都会减少等同于你投掷结果的数值（最低减至1点）。
升环施法。使用二环或更高法术位施展该法术时，你使用的法术位每比一环高一环，就可以额外指定两件武器。</t>
  </si>
  <si>
    <t>Whelm Weapon</t>
  </si>
  <si>
    <t>先祖授慧</t>
  </si>
  <si>
    <t>你祈求祖先的智慧，以获得应对自身试炼的洞察力。当你施展该法术时，以及持续时间内每个你的回合开始时，你都会获得英雄激励（如果你尚未拥有）。</t>
  </si>
  <si>
    <t>Ancestral Communion</t>
  </si>
  <si>
    <t>迷惑亡灵</t>
  </si>
  <si>
    <t>一撮骨灰</t>
  </si>
  <si>
    <t>你篡夺施法距离内一个你可见的亡灵生物的负能量，试图控制它。目标必须进行一次魅力豁免。若豁免失败，则目标在持续时间内陷入魅惑状态（无视任何对该状态的免疫），并对你友好。若豁免成功，则目标在你的下一回合开始前对你进行的下一次攻击检定具有劣势。若你或你的任何盟友对目标造成伤害或迫使其进行豁免检定，则法术终止。 
升环施法。使用的法术位每比一环高一环，你就可以多选择一个生物作为目标。</t>
  </si>
  <si>
    <t>Captivate Undead</t>
  </si>
  <si>
    <t>魔鬼报偿</t>
  </si>
  <si>
    <t>反应，施法距离内另一个生物受到伤害时可用</t>
  </si>
  <si>
    <t>一滴沥青</t>
  </si>
  <si>
    <t>你吸取一定量的一个生物所遭受的痛苦和流失的生命精华。消耗并掷出1枚生命值骰。你恢复等于骰值+你施法属性调整值的生命值。若该生物受到的伤害来自重击，则你恢复的生命值翻倍。 
升环施法。使用的法术位每比一环高一环，你就可以额外消耗1枚生命值骰。</t>
  </si>
  <si>
    <t>Devil's Due</t>
  </si>
  <si>
    <t>饕餮魔刃</t>
  </si>
  <si>
    <t>你为一把你正在持握的武器或你的徒手打击注入贪食的负能量。在持续时间内，当你在一个回合中第一次使用被强化的武器或徒手打击命中一个生物时，目标会受到等于你施法属性调整值的暗蚀伤害，并且你获得等于所造成暗蚀伤害的临时生命值。</t>
  </si>
  <si>
    <t>Hungering Blade</t>
  </si>
  <si>
    <t>狱之笞</t>
  </si>
  <si>
    <t>蛇信子</t>
  </si>
  <si>
    <t>你以深红色的能量鞭笞施法距离内一名你可见的生物，并在你们之间创建链接。目标必须成功通过一次体质豁免，否则将受到4d4火焰伤害并陷入束缚。陷入束缚的生物在其每个回合开始时受到2d4火焰伤害，其每个回合结束时，重新进行该豁免，成功则效应提前结束。
法术持续时间内，若目标为受禁生物，你能够以反应焚灭其身上的缄印。若如此做，目标为结束此法术效应进行的下一次豁免具有劣势。
升环施法。使用的法术位每比一环高一环，此法术的初始伤害就增加2d4，后续伤害就增加1d4。</t>
  </si>
  <si>
    <t>Hell's Lash</t>
  </si>
  <si>
    <t>匍匐之触</t>
  </si>
  <si>
    <t>你将手掌自腕部脱离，将其转化为一只蜘蛛形态。当蜘蛛处于你周围100尺范围内时，你可以与其进行心灵感应交流。
以一个动作，你能通过蜘蛛的感官进行观察与聆听，持续至你下个回合开始。在此期间，你自身的感官将处于耳聋与目盲状态。
若蜘蛛被消灭或无法返回，你的手掌将自动复原，但你会受到1d6心灵伤害。若你命令蜘蛛返回，它会爬回你的手腕并使法术终止。</t>
  </si>
  <si>
    <t>Creeping Touch</t>
  </si>
  <si>
    <t>提升视力</t>
  </si>
  <si>
    <t>你将目光投向天空，从更高有利位置观测。你通过一个隐形的传感器投射你的视野，该感应器会出现在你上方 120 尺处的位置。你可以如同正飞行一样透过传感器进行观察、从传感器的位置可以 360度全方位观察。传感器会随着你的移动而移动，并保持相对于你的高度。你可以使用附赠动作调整传感器的高度，但最多只能调整到距离你120尺的高度。
通过传感器观察时，你会陷入目盲，但你可以在通过传感器或通过自己的眼睛观察之间切换。</t>
  </si>
  <si>
    <t>Elevated Sight</t>
  </si>
  <si>
    <t>尖刺护盾</t>
  </si>
  <si>
    <t>反应</t>
  </si>
  <si>
    <t>一支小羽毛笔</t>
  </si>
  <si>
    <t>一轮</t>
  </si>
  <si>
    <t>由魔法力场构成的尖刺般的虚无屏障阻挡在你和攻击者之间。当你被近战攻击命中时，屏障令你受到的伤害降低 2d4，并对攻击者造成等量的穿刺伤害。屏障对远程攻击无效，但仍可在法术持续期间AC+2(视为半掩护）以抵抗它。
升环施法。当你使用2环或更高环阶的法术位施展该法术时，每比1环高1环，法术的效果提高1d4。</t>
  </si>
  <si>
    <t>Spiny Shield</t>
  </si>
  <si>
    <t>黄昏之纱</t>
  </si>
  <si>
    <t>一撮烟灰</t>
  </si>
  <si>
    <t>你对着一个生物念咒，将它笼罩在朦胧黑暗与寂静的面纱之中。目标在法术持续期间AC+1并在隐匿检定上具有优势。</t>
  </si>
  <si>
    <t>Veil of Dusk</t>
  </si>
  <si>
    <t>血骨之刃</t>
  </si>
  <si>
    <t>一把匕首或短剑，施法时不消耗</t>
  </si>
  <si>
    <t>当你施展此法术时，你会用材料成分切割你的身体，你的最大值生命值减少3点，材料成分消失。在法术持续期间，你可以使用一个附赠动作从你身上抽出一把由你自己的骨头、血液和肌腱制成的剑。这是一种魔法武器，当你使用它攻击时使用你的法术攻击加值，并在命中时造成1d6点挥砍伤害。你视为熟练这把武器。作为附赠动作，你可以将剑刃滑回身体以隐藏它。当持续时间结束时，你身体上的切口消失，你的最大值生命值恢复，材料成分重新出现。
升环施法。当你用三环或更高环阶的法术位施展该法术时，每比一环高二环，该武器命中额外造成1d6点伤害，且你的最大生命值额外减少，等同所用的法术位的环阶。</t>
  </si>
  <si>
    <t>Blade of Blood and Bone</t>
  </si>
  <si>
    <t>厄运将至</t>
  </si>
  <si>
    <t>一朵死掉的三叶草clover</t>
  </si>
  <si>
    <t>你扭转施法距离内一可见生物的好运。当目标进行属性检定时必须先进行一次魅力豁免，豁免失败则检定直接失败。此法术一旦施展就会持续生效，即使目标移出范围外也是如此。如果使用更高环阶的法术位施放，每一个后续效果都会添加到上述效果中。
如果目标最终检定成功（或在升环施法效果中的最终攻击或豁免成功），那么你会受到1点心灵伤害。如果你失去了对该法术的专注，则会受到1d4点心灵伤害。
升环施法。当你使用二环或更高环阶的法术位施展该法术时，当目标进行豁免时，它必须以魅力豁免代替该豁免，除非原豁免更为困难。当你使用四环或更高环阶的法术位施展该法术时，当目标进行攻击前必须进行一次魅力豁免，豁免失败攻击直接失手。当你使用八环法术位施展该法术时，此法术则无需专注。</t>
  </si>
  <si>
    <t>Doom of poor fortune</t>
  </si>
  <si>
    <t>妖箭术</t>
  </si>
  <si>
    <t>一根皮克精的箭</t>
  </si>
  <si>
    <t>专注，至多一分钟</t>
  </si>
  <si>
    <t>你装作以一把微型弓箭射箭。对施法距离内的一名生物进行一次远程法术攻击。被命中的目标生物会向一个随机方向（掷d8并为每个骰面指定一个方向）踉跄的被推向该方向5尺，其速度变为0，直到其下一回合结束。在本法术结束前，你可以在每个回合中以一个动作再次这样攻击。</t>
  </si>
  <si>
    <t>Elf Shot</t>
  </si>
  <si>
    <t>翡翠高脚杯</t>
  </si>
  <si>
    <t>一把橡子粉，施法时消耗，和一个饮酒器皿</t>
  </si>
  <si>
    <t>你摸碰一个酒器，并将橡子粉撒入其中，令其变成一个闪闪发光的绿色容器，里面装满了绿色药水。任何从酒杯中饮酒的生物能在1天内免受暗影侵蚀。这种保护会带来一些额外的好处：
在影域内采集食物时进行的检定具优势，并获得30尺黑暗视觉（或将你现有的黑暗视觉增加30尺）。</t>
  </si>
  <si>
    <t>Emerald Goblet</t>
  </si>
  <si>
    <t>暮色迷蒙</t>
  </si>
  <si>
    <t>一片烟色玻璃</t>
  </si>
  <si>
    <t>魔法的暮色从你选择的一点为中心半径50尺的球体内在法术持续期间弥散。逐渐弥散的暮色会蔓延到区域内的角落。
拥有黑暗视觉的生物可以看穿它，任何普通光照都能照亮它。任何穿过暮色朦胧区域的远程攻击具有劣势。
如果你将法术目标设置于你正持握或未被穿着携带的物件，则暮色将从物件周围漫出并跟随物件移动。将该物件完全掩盖时（比如用碗或头盔盖住），也会将其漫出的暮色隔绝。
如果该法术区域与任何二环或更高环阶法术创造的光亮区域重叠，则该法术效应会被解除。</t>
  </si>
  <si>
    <t>Gloaming</t>
  </si>
  <si>
    <t>莹虫术</t>
  </si>
  <si>
    <t>你选择施法距离内一点，召唤大量的萤火虫。在法术持续期间照亮该点半径15尺内的球体范围。一些萤火虫会落在躲藏的或隐形的生物上，这让它们更容易被发现。攻击该区域内隐形的生物不再具有劣势，尽管隐形生物的攻击仍具有优势，因为只有它们的大致位置被萤火虫的光所照亮，而不是具体的轨迹。在该区域内所有的躲藏都具有劣势。</t>
  </si>
  <si>
    <t>Fireflies</t>
  </si>
  <si>
    <t>糗态百出</t>
  </si>
  <si>
    <t>你为一个生物带来一点坏运气，让它看起来滑稽可笑。创造以下效果之一：
一个小小的油性水坑出现在你的目标的脚下，导致它失去平衡。目标必须成功通过一次敏捷豁免，否则无法在其下一回合使用附赠动作，因为它需重新站稳。
微小的颗粒吹到你的目标脸上，导致它打喷嚏。目标必须通过一次体质豁免，否则在其下一回合的第一次攻击具有劣势。
闪光灯在目标眼前短暂闪烁，造成其视力障碍。目标必须通过一次体质豁免，否则其被动察觉减半，直到其下回合结束。
目标感到耳朵上有一种快速、温和的拍打感，使其短暂迷失方向。目标必须通过一次体质豁免才能维持专注。
一股看不见的力量猛拉着目标的裤子，导致他们的衣服滑落。目标必须通过一次敏捷豁免，否则目标在其下回合结束前的下一次使用双手武器的攻击具有劣势，或者在下一回合结束前失去其盾牌提供的护甲等级加值，因为它需使用单手提裤子。
同一时间只能对一个生物使用其中一种效果。</t>
  </si>
  <si>
    <t>Pratfall</t>
  </si>
  <si>
    <t>咒火闪焰</t>
  </si>
  <si>
    <t>你释放出一道耀眼的焰能爆。对施法距离内的一个目标发动一次远程法术攻击；结算该次攻击检定时目标无法从半身掩护和四分之三掩护中获益。若命中，则目标受到2d10光耀伤害。
升环施法。你使用的法术位每比一环高一环，你便可额外发射一道焰能爆。你可以令这发新的焰能爆瞄准你原先的目标或是另一个目标。每道焰能爆都需要分别进行攻击。</t>
  </si>
  <si>
    <t>Spellfire Flare</t>
  </si>
  <si>
    <t>制敌术</t>
  </si>
  <si>
    <t>一个黏土做的小手塑像</t>
  </si>
  <si>
    <t>你向施法距离内的一名生物掷出一片令其晕眩的魔法力场。目标进行一次体质豁免（构装和亡灵自动豁免成功）。豁免失败则目标受2d4力场伤害，其速度减半至你的下一回合开始，且目标在其下一回合中仅可以执行一个动作或一个附赠动作（但不能同时执行二者）。豁免成功则仅受半伤。
升环施法。你使用的法术位每比一环高一环，法术的伤害就增加2d4。</t>
  </si>
  <si>
    <t>Wardaway</t>
  </si>
  <si>
    <t>援助术</t>
  </si>
  <si>
    <t>一小片白布</t>
  </si>
  <si>
    <t>8 小时</t>
  </si>
  <si>
    <t>选择法术距离内至多三个生物。每个目标的生命值上限和当前生命值 在法术持续时间内提高5点。
升环施法：使用的法术位每比二环高一环，每个目标的生命值就额外提高 5 点。</t>
  </si>
  <si>
    <t>Aid</t>
  </si>
  <si>
    <t>变身术</t>
  </si>
  <si>
    <r>
      <rPr>
        <sz val="11"/>
        <color theme="1"/>
        <rFont val="仿宋"/>
        <charset val="134"/>
      </rPr>
      <t>你变换了自身形态。施法时，从以下选项中选择其一生效，其效应维持至其持续时间结束。在持续时间内，你还能够以一个魔法动作将效应切换为另一个不同的选项。
　　</t>
    </r>
    <r>
      <rPr>
        <sz val="11"/>
        <color theme="1"/>
        <rFont val="Arial"/>
        <charset val="134"/>
      </rPr>
      <t>•</t>
    </r>
    <r>
      <rPr>
        <sz val="11"/>
        <color theme="1"/>
        <rFont val="仿宋"/>
        <charset val="134"/>
      </rPr>
      <t xml:space="preserve"> 水生适应Aquatic Adaptation。 你长出鳃和蹼。你可以在水下呼吸，并且获得等同于步行速度的游泳速度。
　　</t>
    </r>
    <r>
      <rPr>
        <sz val="11"/>
        <color theme="1"/>
        <rFont val="Arial"/>
        <charset val="134"/>
      </rPr>
      <t>•</t>
    </r>
    <r>
      <rPr>
        <sz val="11"/>
        <color theme="1"/>
        <rFont val="仿宋"/>
        <charset val="134"/>
      </rPr>
      <t xml:space="preserve"> 改变外貌Change Appearance。你改变了自己的外貌。你可以自行设定自己的外观：包括身高、体重、面部细节、声线、头发长短、肤色以及（可能具有的）独特外貌特征。你可以让自己的外观形似其他种族的一员而你的任何数据都不会变化。你无法变为一个体型不同的生物，并且你的基础身体轮廓不会变化。例如，如果你两足行动，就不能变为四足生物。你可以在持续时间内以一个魔法动作改变这些外貌细节。
　　</t>
    </r>
    <r>
      <rPr>
        <sz val="11"/>
        <color theme="1"/>
        <rFont val="Arial"/>
        <charset val="134"/>
      </rPr>
      <t>•</t>
    </r>
    <r>
      <rPr>
        <sz val="11"/>
        <color theme="1"/>
        <rFont val="仿宋"/>
        <charset val="134"/>
      </rPr>
      <t xml:space="preserve"> 天生武器Natural Weapons。 你长出爪子（挥砍）、獠牙（穿刺）、犄角（穿刺）或蹄（钝击）。当你使用徒手打击以这些新长的器官造成伤害时，它会造成1d6对应类型伤害，而非你通常的徒手打击伤害，并且你使用你的施法关键属性调整值而非力量调整值来作为攻击和伤害的调整值。</t>
    </r>
  </si>
  <si>
    <t>Alter Self</t>
  </si>
  <si>
    <t>动物信使</t>
  </si>
  <si>
    <t>指定一只在施法距离内你能看见的微型野兽。该生物必须成功通过一次魅力豁免，否则它会为你传递一则消息（如果该生物的挑战等级不是0，则豁免自动成功）。你选择一个你曾造访过的地点，然后描述收信人的基本信息，如“一个穿着城镇守卫制服的男人或女人”或“一个戴着尖顶帽子的红发矮人”。你还需要说出一段不超过二十五个单次的信息。目标野兽 将会在法术持续时间内前往你选定的地点。会飞的信使24小时内可移动50里，不会飞的信使只能移动25里。
野兽抵达目的地后，会模仿你的声音把信息传递给你描述的人。信使只会把信息传递给符合你描述的人。如果法术持续时间内信使未能抵达目的地则信息将遗失，而曾作为信使的野兽将自行寻路返回你施法的地点。
升环施法： 使用的法术位每比2环高一环，此法术持续时间就增加48小时。</t>
  </si>
  <si>
    <t>Animal Messenger</t>
  </si>
  <si>
    <t>秘法锁</t>
  </si>
  <si>
    <t>价值25GP+的金粉，作为法术耗材</t>
  </si>
  <si>
    <t>你触碰一个关着的门、窗、容器或出入口，并使目标在法术持续时间内被魔法上锁。秘法锁无法被任何非魔法方式解锁。在你施展法术时你可以选择允许一些其他生物，你和受你允许的生物能够无视秘法锁打开/关闭该物件。你还可以设置一条密语，在该物件5尺内念出密语时，秘法锁将被解锁（持续1分钟）。</t>
  </si>
  <si>
    <t>Arcane Lock</t>
  </si>
  <si>
    <t>复苏秘法</t>
  </si>
  <si>
    <t>你利用自己的生命力来治愈自身。投一枚或两枚你还未消耗的生命骰，然后回复等于结果加你的施法属性调整值的总和的生命值。随后，这些生命骰会被法术消耗。
升环施法：使用的法术位每比二环高一环，你就能多投掷一枚未使用的生命骰。</t>
  </si>
  <si>
    <t>Arcane Vigor</t>
  </si>
  <si>
    <t>卜筮术</t>
  </si>
  <si>
    <t>绘有标记的短棒、骨头、卡片、或类似的预言道具，价值25+GP</t>
  </si>
  <si>
    <t>你从异界存在处获得对某道有关你在接下来的30分钟内所计划执行的一系列行动之结果的预示。DM从下列预示中选取一个：
预兆 预示着… 
吉 好的结果。 
凶 坏的结果。 
吉凶并存 结果既有好的方面，也有坏的方面。 
无 结果并无明显的好坏分别。 
该法术将不会对任何环境因素进行解释，比如可能会对结果产生改变的一些其他法术。若你在两次长休之间使用两次或更多次的卜筮术，则法术在第一次施展之后会每次累积25%概率会不给出任何结果。</t>
  </si>
  <si>
    <t>Augury</t>
  </si>
  <si>
    <t>树肤术</t>
  </si>
  <si>
    <t>一把树皮</t>
  </si>
  <si>
    <t>你触碰一个自愿生物。直到法术终止前，目标的皮肤呈现出树皮样的外貌，并且若目标AC低于17，则其AC变为17。</t>
  </si>
  <si>
    <t>Barkskin</t>
  </si>
  <si>
    <t>野兽感官</t>
  </si>
  <si>
    <t>你触碰一只自愿的野兽。在持续期间内，你可以借助该野兽的感官来感知周围事物，如同它们的感官是你的感官一般。以通过该野兽感官感知事物时，你同样会受益于它拥有的那些特殊感官。</t>
  </si>
  <si>
    <t>Beast Sense</t>
  </si>
  <si>
    <t>目盲术/耳聋术</t>
  </si>
  <si>
    <t>处于你施法范围内的一个你可见的生物必须进行一次体质豁免，豁免失败者在法术持续期间陷入目盲或耳聋状态（由你选择）。目标可以在其每个回合结束时重复此豁免，直至豁免成功时结束自己身上的效应。
升环施法：使用的法术位每比二环高一环，你就能多指定一个生物作为法术目标。</t>
  </si>
  <si>
    <t>Blindness/Deafness</t>
  </si>
  <si>
    <t>朦胧术</t>
  </si>
  <si>
    <t>你的身体变得模糊不定，难以捉摸。在法术持续时间内，所有生物对你发动的攻击检定具有劣势。不过若攻击者能通过盲视或真实视觉观测你，则其免疫于此法术的效应。</t>
  </si>
  <si>
    <t>Blur</t>
  </si>
  <si>
    <t>安定心神</t>
  </si>
  <si>
    <t>你指定施法距离内一点，以该点为源点半径20尺球状区域内的每个类人生物必须成功通过一次魅力豁免，否则将受下列效应之一影响（由你分别为每名生物选择生效的效应）。
直到法术结束，该生物免疫魅惑和恐慌状态。如果该生物已经陷入魅惑或恐慌状态，则这些状态在持续时间内被压制。
该生物对你选择的之前敌对的生物态度变为冷漠。该冷漠态度持续到目标受到伤害或者看到自己的盟友受到伤害。当法术结束时，该生物恢复到原本的态度。</t>
  </si>
  <si>
    <t>Calm Emotions</t>
  </si>
  <si>
    <t>匕首之云</t>
  </si>
  <si>
    <t>一小片玻璃</t>
  </si>
  <si>
    <t>你指定施法距离内一点，在以该点为中心的5尺立方区域内咒唤出旋转的匕首。区域内的每名生物受到4d4点挥砍伤害。每当立方区域移动到一名生物区域内时、一名生物进入立方区域或是在该区域结束其回合时，该生物同样会受到此伤害。一名生物一回合中只会受到一次该伤害。
升环施法： 使用的法术位每比二环高一环，此法术的伤害就增加2d4。</t>
  </si>
  <si>
    <t>Cloud of Daggers</t>
  </si>
  <si>
    <t>不灭明焰</t>
  </si>
  <si>
    <t>价值50+GP的红宝石尘，作为法术耗材</t>
  </si>
  <si>
    <t>直至被解除</t>
  </si>
  <si>
    <t>你所触碰的物件上冒出火焰。这一效应发出半径20尺的明亮光照和额外20尺的微光光照。法术效应看上去与一般火焰无异，不过其并不会发热，也不需要燃料。你可以掩盖或隐藏火焰，但无法将其闷熄或扑灭。</t>
  </si>
  <si>
    <t>Continual Flame</t>
  </si>
  <si>
    <t>警戒箭阵</t>
  </si>
  <si>
    <t>一根装饰性穗带</t>
  </si>
  <si>
    <t>你触碰至多四根非魔法箭矢或弩矢，将其插在位于你所处空间的地面上。直到法术结束为止，这些弹药不能被物理方法拔起，且当除你之外的生物第一次进入距弹药30尺内空间或在距弹药30尺内空间结束回合时，一枚弹药便会飞起攻击此生物。那名生物必须成功于一次敏捷豁免，否则受到2d4点穿刺伤害。那枚弹药随之被摧毁。当所有弹药都没有插在地面上时，法术终止。
施展该法术时，你可以指定任意名你选择的生物，法术效应将无视他们。
升环施法：使用的法术位每比二环高一环，可被影响的弹药数量就增加两枚。</t>
  </si>
  <si>
    <t>Cordon of Arrows</t>
  </si>
  <si>
    <t>疯狂冠冕</t>
  </si>
  <si>
    <t>一名施法距离内你可见的生物必须成功于一次感知豁免，否则于法术持续时间内陷入魅惑状态。非类人生物自动成功于此豁免。
一顶虚体王冠出现在被魅惑目标的头顶，且目标每回合必须在移动之前使用其动作对除自身以外你精神性选择的目标发动一次近战攻击。若你并未选择任何生物，或目标触及内没有生物，则目标可在其回合正常行动。目标在其每回合结束时都可以重新豁免，豁免成功则结束其身上该法术的效应。
在施法后，你在每个自己回合里必须用一个魔法动作维持对目标的控制，否则法术将终止。</t>
  </si>
  <si>
    <t>Crown of Madness</t>
  </si>
  <si>
    <t>黑暗术</t>
  </si>
  <si>
    <t>蝙蝠毛与一块煤</t>
  </si>
  <si>
    <t>你指定施法距离内一点，并在法术持续时间内使魔法性黑暗充斥以该点为中心半径15尺的球状区域。黑暗视觉也无法看穿这这种黑暗，非魔法的光照也无法将其照亮。
或者，你可以将此法术施展于一个未被着装或携带的物件上，使黑暗充斥以该物件为中心的15尺光环区域。将该物件用不透明的东西遮掩（比如用碗或头盔盖住）时，会将黑暗Darkness隔绝。
如果法术区域与任何二环或更低环阶法术创造的明亮光照或微光光照 区域重叠，则这些造光的法术将被解除。</t>
  </si>
  <si>
    <t>Darkness</t>
  </si>
  <si>
    <t>一根干胡萝卜</t>
  </si>
  <si>
    <t xml:space="preserve">你触碰一名自愿生物，该生物在法术持续时间内拥有150尺黑暗视觉。 </t>
  </si>
  <si>
    <t>Darkvision</t>
  </si>
  <si>
    <t>侦测思想</t>
  </si>
  <si>
    <t>1铜币</t>
  </si>
  <si>
    <r>
      <rPr>
        <sz val="11"/>
        <color theme="1"/>
        <rFont val="仿宋"/>
        <charset val="134"/>
      </rPr>
      <t>你激活下述效应之一。直到法术结束为止，你可以在你随后的回合用一个魔法动作以激活下述任意效应之一。
　　</t>
    </r>
    <r>
      <rPr>
        <sz val="11"/>
        <color theme="1"/>
        <rFont val="Arial"/>
        <charset val="134"/>
      </rPr>
      <t>•</t>
    </r>
    <r>
      <rPr>
        <sz val="11"/>
        <color theme="1"/>
        <rFont val="仿宋"/>
        <charset val="134"/>
      </rPr>
      <t xml:space="preserve"> 感知思想Sense Thoughts。 你感知距你30尺内，知晓语言或能够心灵感应的思想的存在。你并不会阅读这些思想，但你知道这里存在一名有理智的生物。
此法术会被1尺厚的岩石、泥土或木头，1寸厚的金属，或薄薄一层铅阻隔。
　　</t>
    </r>
    <r>
      <rPr>
        <sz val="11"/>
        <color theme="1"/>
        <rFont val="Arial"/>
        <charset val="134"/>
      </rPr>
      <t>•</t>
    </r>
    <r>
      <rPr>
        <sz val="11"/>
        <color theme="1"/>
        <rFont val="仿宋"/>
        <charset val="134"/>
      </rPr>
      <t xml:space="preserve"> 阅读思想Read Thoughts。选择一名距你30尺内的可见生物，或一名距你30尺内被感知思想 侦测到的生物。你了解到此时目标最关心的事情。如果目标不知晓任何语言也不会心灵感应，则你不能得到任何信息。
在你的下一回合，用一个魔法动作，你可以尝试深入目标的心灵。如果你选择这么做，目标进行一次感知豁免。豁免失败，则你了解到他的逻辑推理、情绪状态以及他头脑中的一些大事（比如忧虑、挚爱和仇恨的事物）。豁免成功，法术终止。无论哪种情况，目标都会知道你正在窥探其心灵，且直到你的注意力从它的心灵上移开为止，目标均可以在其回合内使用动作进行一次智力（奥秘）检定，对抗你的法术豁免DC，目标胜出对抗时，法术终止。</t>
    </r>
  </si>
  <si>
    <t>Detect Thoughts</t>
  </si>
  <si>
    <t>龙息术</t>
  </si>
  <si>
    <t>一根辣椒</t>
  </si>
  <si>
    <t>你触摸一名自愿生物，然后从强酸、寒冷、火焰、闪电或毒素中任选其一。在法术结束之前，目标可以用一个魔法动作呼出15尺锥形范围的吐息。区域内的所有生物进行一次敏捷豁免，豁免失败受到3d6点所选类型的伤害，豁免成功只受一半伤害。
升环施法：使用的法术位每比二环高一环，此法术的伤害就提高1d6。</t>
  </si>
  <si>
    <t>Dragon's Breath</t>
  </si>
  <si>
    <t>强化属性</t>
  </si>
  <si>
    <t>毛发或羽毛</t>
  </si>
  <si>
    <t>你触碰一名生物并在力量、敏捷、智力、感知、魅力中选择一项属性。法术持续时间内，目标在使用所选属性进行的属性检定具有优势。
升环施法：使用的法术位每比二环高一环，你就可以额外指定一个目标。你可以分别为每个目标选择一项属性。</t>
  </si>
  <si>
    <t>Enhance Ability</t>
  </si>
  <si>
    <t>变巨术/缩小术</t>
  </si>
  <si>
    <t>一撮铁粉</t>
  </si>
  <si>
    <r>
      <rPr>
        <sz val="11"/>
        <color theme="1"/>
        <rFont val="仿宋"/>
        <charset val="134"/>
      </rPr>
      <t>在法术持续时间内，法术使施法距离内一个你可见的生物或物件的大小发生改变（见下可选效应）。若你以物件为目标，则其不能被着装或携带。如果目标为非自愿生物，则其可以进行一次体质豁免。豁免成功则法术无效。
如果目标是生物，则其着装物和携带物的尺寸也随之变化。随后任何从该生物身上脱离的物品都会立即恢复为正常大小。投掷武器和弹药在命中目标或失手后会恢复为正常大小。
　　</t>
    </r>
    <r>
      <rPr>
        <sz val="11"/>
        <color theme="1"/>
        <rFont val="Arial"/>
        <charset val="134"/>
      </rPr>
      <t>•</t>
    </r>
    <r>
      <rPr>
        <sz val="11"/>
        <color theme="1"/>
        <rFont val="仿宋"/>
        <charset val="134"/>
      </rPr>
      <t xml:space="preserve"> 变巨Enlarge。目标的体型增大一级（例如从中型变为大型）。目标在力量检定和力量豁免时具有优势。目标使用变巨的武器发动攻击或进行徒手打击 时，命中时将额外造成1d4点伤害。
　　</t>
    </r>
    <r>
      <rPr>
        <sz val="11"/>
        <color theme="1"/>
        <rFont val="Arial"/>
        <charset val="134"/>
      </rPr>
      <t>•</t>
    </r>
    <r>
      <rPr>
        <sz val="11"/>
        <color theme="1"/>
        <rFont val="仿宋"/>
        <charset val="134"/>
      </rPr>
      <t xml:space="preserve"> 缩小Reduce。目标的体型缩小一级（例如从中型变为小型）。目标在力量检定和力量豁免时具有劣势。目标使用缩小的武器发动攻击或进行徒手打击 时，命中时将额外减少1d4点伤害（以此法无法将该伤害降至1以下）。</t>
    </r>
  </si>
  <si>
    <t>EnlargeReduce</t>
  </si>
  <si>
    <t>注目术</t>
  </si>
  <si>
    <t>你编排一段使人分心的话语，指定施法距离内任何你能看见的生物。目标生物必须进行一次感知豁免。如果你或你的同伴正在和目标生物战斗，则其自动成功于该豁免。豁免失败时，目标直到法术终止之前进行的感知（察觉）检定与被动察觉 值具有-10减值。</t>
  </si>
  <si>
    <t>Enthrall</t>
  </si>
  <si>
    <t>寻获坐骑</t>
  </si>
  <si>
    <t>你召唤某个异界存在作为忠诚坐骑，坐骑会出现在施法范围内你选择的未占据空间中。此生物使用异界坐骑Otherworldly Steed 的数据。如果你已经有一只以此法术获得的坐骑，则其会被新坐骑替代。
坐骑看起来像一匹大型的可骑乘动物（由你选择），比如一匹马，一头骆驼，一只恐狼或一头驼鹿。你在施展此法术时从下述三种生物类型中选择坐骑的生物类型：天族、妖精、邪魔，其数据中的特定特质由坐骑的生物类型决定。
异界坐骑Otherworldly Steed 
大型天族、妖精或邪魔（由你选择），绝对中立
AC 10+法术环阶
HP 5+每法术环阶10点（坐骑拥有等同于法术环阶数量的d10生命骰）
速度 60尺，飞行60尺（需要法术为四环或以上）
力量18|+4|+4 敏捷12|+1|+1 体质14|+2|+2
智力6|-2|-2 感知12|+1|+1 魅力8|-1|-1
感官 被动察觉11
语言 心灵感应1里（仅对你生效）
CR无（XP0；PB等同于你的熟练加值）
特质Traits
生命连接Life Bond。 当你从一道一环或以上的法术中恢复生命值时，若你位于坐骑5尺内，则坐骑也会恢复相同数量的生命值。
动作Actions
异界猛击Otherworldly Slam。近战攻击检定：加值等同于你的法术攻击调整值，触及5尺。命中：1d8+法术环阶点光耀（天族）、心灵（妖精）、黯蚀（邪魔）伤害。
附赠动作Bonus Actions 
堕落凝视Fell Glare（仅限邪魔，长休充能）。 感知豁免：DC等同于你的法术豁免DC，一名距坐骑60尺内的可见生物。失败：目标直到你下个回合结束为止陷入恐慌状态。
妖精跨步Fey Step（仅限妖精，长休充能）。坐骑连同其骑手传送至你选择的距其60尺内未占空间中。
治愈之触Healing Touch（仅限天族，长休充能）。一名距坐骑5尺内的生物恢复2d8+法术环阶点生命值。
战斗Combat。坐骑是你和你盟友的盟友。战斗时，它共用你的先攻，并在你骑乘它期间视同受控坐骑（如骑乘战斗规则中所定义）。如果你具有失能状态，则坐骑会在你的回合之后立刻进行自己的回合并独立行动，集中精力保护你。
坐骑的消失Disappearance of the Steed。坐骑在其降至0生命值或你死亡时会消失。当它消失时，它会将自己穿着或携带的任何物品留下。如果你再次施展此法术，你决定是重新召唤消失的那头坐骑还是召唤一头不同的。
升环施法： 在生物数据中使用更高的法术环阶。</t>
  </si>
  <si>
    <t>Find Steed</t>
  </si>
  <si>
    <t>寻找陷阱</t>
  </si>
  <si>
    <t>你感测到施法距离范围内，且在你视觉线范围内的任何陷阱。该法术的目标“陷阱”包括任何创造意图是造成伤害或其他危害的物件或装置。因此该法术可以感测警报术Alarm和守卫刻文Glyph of Warding ，也可以发现某个陷坑型机械陷阱。不过它不能揭示地板的某处自然产生的脆弱点，或某处不稳定的天花板，又或是某个隐藏的陷坑。
该法术只单纯揭示陷阱的存在而不能得知陷阱的位置。不过你可以知晓所感测到陷阱其能够构成危害的大致形式。</t>
  </si>
  <si>
    <t>Find Traps</t>
  </si>
  <si>
    <t>火焰刀</t>
  </si>
  <si>
    <t>一片漆树叶</t>
  </si>
  <si>
    <t>你在一只空手上召出一把火焰刀。该刀刃的尺寸和形状近似于一把弯刀并在法术持续时间内持续存在。当你放下刀刃时其将消失不见，但你可以用一个附赠动作重新将其唤出。
你可以用一个魔法动作使用该火焰刀发动一次近战法术攻击。若命中，则目标受到3d6+你的施法属性调整值点火焰伤害。
火焰刀提供半径10尺的明亮光照，以及额外10尺的微光光照。
升环施法：使用的法术位每比二环高一环，此法术的伤害就增加1d6。</t>
  </si>
  <si>
    <t>Flame Blade</t>
  </si>
  <si>
    <t>炽焰法球</t>
  </si>
  <si>
    <t>一颗蜡球</t>
  </si>
  <si>
    <t>一颗直径5尺的火焰球显现在施法距离内地面上的一处未被占据的空间，并在法术持续时间内持续存在。任何生物在火球周围5尺内结束其回合时必须进行一次敏捷豁免。豁免失败者将受到2d6点火焰伤害，豁免成功则伤害减半。
你可以用一个附赠动作将火球沿着地面移动30尺。如果你将火球移入某名生物所占据的空间，则该生物必须进行对抗火球伤害的豁免，而火球在该回合内停止移动。
移动火球时，你可以指引它越过不高于5尺的障碍，或者越过不宽过10尺的陷坑。被火球触碰的任何未被着装或携带的可燃物件都会开始燃烧。火球向其周围散发出半径20尺的明亮光照，以及额外20尺的微光光照。
升环施法：使用的法术位每比二环高一环，其伤害就增加1d6。</t>
  </si>
  <si>
    <t>Flaming Sphere</t>
  </si>
  <si>
    <t>遗体防腐</t>
  </si>
  <si>
    <t>2枚铜币，作为此法术的耗材</t>
  </si>
  <si>
    <t>你触碰一具尸体或其他遗骸。目标在法术持续时间内不会腐烂且无法被转变为亡灵Undead。该法术同样可以有效的延长复活目标的时间限制，因为受该法术影响下度过的时间不计入法术如死者复活Raise Dead 的时间限制内。</t>
  </si>
  <si>
    <t>Gentle Repose</t>
  </si>
  <si>
    <t>造风术</t>
  </si>
  <si>
    <t>一颗豆类种子</t>
  </si>
  <si>
    <t>一股长60尺，宽10尺的线状强风以你为起点向你指定的方向吹去。每名位于线状区域内的生物必须成功于一次力量豁免，豁免失败则沿着线状的方向被推离你15尺。在线状区域内结束其回合的生物也必须进行同样的豁免。
任何生物在线状区域内朝更靠近你的方向移动时，其每移动1尺必须花费2尺的移动力。
强风吹散区域内的毒气或蒸汽，并吹熄蜡烛等不受保护的其他类似火焰。而有保护的火焰（比如提灯）则会剧烈摇晃并有50%的概率被吹熄。
你可以在自己随后的回合内用一个附赠动作改变线状风道的方向。</t>
  </si>
  <si>
    <t>Gust of Wind</t>
  </si>
  <si>
    <t>灼热金属</t>
  </si>
  <si>
    <t>一片铁片和一团火焰</t>
  </si>
  <si>
    <t>指定施法距离内一件你能看见的人造金属物件（例如一把金属武器，或者一套金属质的重甲或中甲），并使该物件变得炽热。施展该法术时，任何与该物件有物理接触的生物均受到2d8点火焰伤害。直到法术终止前，只要这个物件依然在施法距离内，你都可以在你随后的每个回合以一个附赠动作来再次造成此伤害。
若握持或着装该物件的生物因此受到伤害，则该生物必须通过一次体质豁免，否则如果这个生物只要能丢下该物件，该生物就必须丢下该物件。如果该物件没有被丢下，则直至你的下一回合开始为止，该生物进行攻击检定和属性检定时具有劣势。
升环施法：使用的法术位每比二环高一环，此法术的伤害就增加1d8。</t>
  </si>
  <si>
    <t>Heat Metal</t>
  </si>
  <si>
    <t>定身类人</t>
  </si>
  <si>
    <t>一片直的小铁片</t>
  </si>
  <si>
    <t>指定施法距离内一个你能看见的类人生物。该目标必须进行一次感知豁免，豁免失败则其在法术持续时间内陷入麻痹状态。目标在其每回合结束时可以重新进行这次豁免，豁免成功则终止其身上该法术的效应。
升环施法：使用三环或更高法术位施展该法术时，你使用的法术位每比二环高一环，就可以额外指定一个类人作为目标。</t>
  </si>
  <si>
    <t>Hold Person</t>
  </si>
  <si>
    <t>隐形术</t>
  </si>
  <si>
    <t>一根包裹在阿拉伯胶中的睫毛</t>
  </si>
  <si>
    <t>你触碰的一个生物进入隐形状态并维持至法术终止。如果目标进行攻击检定、造成伤害或施展法术，则此法术提前终止。
升环施法：使用三环或更高法术位施展该法术时，你使用的法术位每比二环高一环，就可以额外指定一个生物作为目标。</t>
  </si>
  <si>
    <t>Invisibility</t>
  </si>
  <si>
    <t>敲击术</t>
  </si>
  <si>
    <t>指定施法距离内一个你能看见的物件。该物件可以是一扇门，一个盒子，一个箱子，一副镣铐，一把挂锁，或是一个其他的通过魔法或普通手段来防止被打开的物件。
被一把普通锁锁住的目标其锁会被解开，被卡死的目标会被松开，被闩住的目标会被打开。如果目标被多把锁锁住，则只有一把锁会被打开。
若你指定的目标被法术秘法锁arcane locks 锁住，则该秘法锁被压制 10 分钟，这段时间内目标可被正常开启和关闭。
施展该法术时，受术目标会发出一声响亮的敲击声，其声响最远 300 尺内都能听见。</t>
  </si>
  <si>
    <t>Knock</t>
  </si>
  <si>
    <t>次等复原术</t>
  </si>
  <si>
    <t>你触碰一个生物，并终止正影响它的一种状态：目盲，耳聋，麻痹或中毒 。</t>
  </si>
  <si>
    <t>Lesser Restoration</t>
  </si>
  <si>
    <t>浮空术</t>
  </si>
  <si>
    <t>一个金属弹簧</t>
  </si>
  <si>
    <t>指定施法距离内你能看见的一个生物或未固定的物件，使其垂直上升至多 20 尺，并在该处维持悬浮直至持续时间结束。该法术可悬浮一个重量至多 500 磅的目标。一个非自愿的生物可以对法术进行一次体质豁免，若成功将避免受其影响。
目标只能通过推或拉一个固定的物件或平面（例如一面墙或者天花板）来进行移动，这种移动方式视为等同于攀爬。你可以在自己回合里将目标的悬浮高度向上或向下改变至多 20 尺：如果你自身就是该法术的目标，则你可以进行上升和下降并将其作为你移动的一部分；如果你不是该法术的目标，则你可以使用魔法动作来移动目标，但目标必须始终处于你的施法距离内。
法术终止时，仍处于空中的目标会缓缓飘落到地面。</t>
  </si>
  <si>
    <t>Levitate</t>
  </si>
  <si>
    <t>动植物定位术</t>
  </si>
  <si>
    <t>一块寻血猎犬的皮毛</t>
  </si>
  <si>
    <t>你点名或描述一种特定的野兽生物、植物 生物或非魔法植物。如果5里内存在该类生物或植物，你将知晓其中最近的个体与你的相对方位和距离。</t>
  </si>
  <si>
    <t>Locate Animals or Plants</t>
  </si>
  <si>
    <t>物件定位术</t>
  </si>
  <si>
    <t>一根分叉的树枝</t>
  </si>
  <si>
    <t>你点名或描述一个你熟悉的物件。只要该物件与你相距不超过1000尺，你就会感测到该物件的方位。如果该物件正在移动，则你也将知晓其移动的方向。
该法术可定位一个你认识的特定物件，不过你需要曾经在30尺内近距离看到过该物件至少一次；或者它也可定位特定的一类物件（如某种服装、珠宝、家具、工具或武器）中距你最近个体。如果有任意厚度的铅，即使只是薄薄一片铅片阻挡了你与被定位物件间的通路，则该物件也无法被该法术所定位。</t>
  </si>
  <si>
    <t>Locate Object</t>
  </si>
  <si>
    <t>魔嘴术</t>
  </si>
  <si>
    <t>价值10GP+的翡翠尘，作为法术耗材</t>
  </si>
  <si>
    <t>你将一段信息植入施法距离内的一个物件中，其信息会在满足预设事件时说出。指定一个你能看见且未被另一生物穿着或携带的物件。然后，你可以使用至多10分钟来传达这段不超过25个字的信息。最后再来设定触发法术传达信息的事件。预设的事件发生时，目标物件上出现一张魔法嘴，并用与你相同的声音和音量复述所存储的信息。如果你指定的目标本身有一张嘴或者类似嘴的结构（例如雕像的嘴），则魔法嘴将生成在该嘴结构的位置，使其看起来如同是物件的嘴在说话一样。施展该法术时，你可以让法术在传达过信息后随即终止，或者也可以让法术一直持续并在每次被预设条件触发时进行复述。你所决定的触发条件可以很概括也可以很具体，不过你只能根据目标物件30尺内的视觉或听觉状况来设定条件。例如，你可以命令魔嘴在任何生物移动至物件30尺内时说出信息，或者当其30尺内有银铃响起时说出信息。</t>
  </si>
  <si>
    <t>Magic Mouth</t>
  </si>
  <si>
    <t>魔化武器</t>
  </si>
  <si>
    <t>你触碰一件非魔法武器。直到法术结束前，它成为魔法武器且在进行攻击检定和伤害掷骰时具有+1 加值。你再次施放该法术时，先前的效应提前结束。
升环施法：使用三至五环的法术位时，此法术的加值增加至+2；使用高于五环的法术位时，此法术的加值增加至+3。</t>
  </si>
  <si>
    <t>Magic Weapon</t>
  </si>
  <si>
    <t>马友夫强酸箭</t>
  </si>
  <si>
    <t>大黄粉</t>
  </si>
  <si>
    <t>一支闪烁的绿色箭矢朝一个施法距离内的目标疾速飞去，并炸裂成一滩强酸。对目标进行一次远程法术攻击。若命中，则目标受到4d4点强酸伤害，然后再其下一回合结束时再受到2d4点强酸伤害。若未命中，则箭矢的酸液溅射目标，造成初始伤害一半的伤害。
升环施法：使用的法术位每比二环高一环，此法术伤害（包括初始和后续）增加1d4。</t>
  </si>
  <si>
    <t>Melf's Acid Arrow</t>
  </si>
  <si>
    <t>心灵尖刺</t>
  </si>
  <si>
    <t>指定施法距离内一个可见生物，你驱动一道心灵能量的锥刺侵入目标的心智。目标必须进行一次感知豁免检定，失败则会受到3d8点心灵伤害，成功则只受一半伤害。在目标豁免失败时，你在法术结束之前能时刻得知目标所在的位置，只要你们还处于同一个存在位面上。当你拥有目标的位置信息时，目标将不能对你躲藏，并且如果它隐形了，在对抗你时它不能从这个状态中受益。
升环施法：使用的法术位每比二环高一环，此法术的伤害就增加1d8。</t>
  </si>
  <si>
    <t>Mind Spike</t>
  </si>
  <si>
    <t>镜影术</t>
  </si>
  <si>
    <t>三个你自身的幻象分身出现在你所处的空间中。直到法术终止前，分身都会随你移动，并模仿你的动作和位置变换，使人无法追踪判断哪一个是你的真身。
在法术持续时间内，每当一个生物攻击命中你时，为每个剩余分身投掷一个d6，只要有任一d6骰出3或以上，一个分身代你承受本次命中并随之被摧毁。分身无视所有其他的伤害和效应。三个分身都被摧毁时，法术随之结束。
如果一名生物处于目盲状态，或拥有盲视，或拥有真实视觉，则该法术无法影响该生物。</t>
  </si>
  <si>
    <t>Mirror Image</t>
  </si>
  <si>
    <t>迷踪步</t>
  </si>
  <si>
    <t>你短暂地被银白的雾气所笼罩，传送到至多30尺内一个你能看见且未被占据的空间。</t>
  </si>
  <si>
    <t>Misty Step</t>
  </si>
  <si>
    <t>月华之光</t>
  </si>
  <si>
    <t>一片月籽藤叶</t>
  </si>
  <si>
    <t xml:space="preserve">指定施法距离内一点，一束淡淡的银光照耀在以该点为中心半径5尺、高40尺的柱状区域内。直至法术终止前，柱状区域内处于微光光照。在施展该法术的后续回合内，你能够以一个魔法动作将柱状区域移动至多60尺。柱状区域出现时，每个区域内的生物进行一次体质豁免检定，豁免失败则受到2d10的光耀伤害，且若该生物已变形（例如受法术变形术Polymorph影响），其变回真实形态，且无法在离开柱状区域前变形。豁免成功则仅承受前述伤害的一半。在法术区域进入生物空间、生物进入法术区域或在其内结束回合时，目标生物也需要进行该体质豁免检定。一名生物每回合仅需进行一次该豁免检定。
升环施法：使用的法术位每比二环高一环，此法术的伤害就增加1d10。 </t>
  </si>
  <si>
    <t>Moonbeam</t>
  </si>
  <si>
    <t>涅斯图魔法灵光</t>
  </si>
  <si>
    <t>一小片方形丝绸</t>
  </si>
  <si>
    <t>你触及一名自愿生物或者一个未被着装或携带的物件以在其上设置一道幻术。生物获得下述伪装效应，物件则获得下述虚假灵光效应。效应持续至法术结束。如果你持续30日每日均对同一个目标施展此法术，则幻术会的持续时间变为直至被解除。
伪装Mask（生物）。选择一种目标实际生物类型以外的生物类别。法术和其他魔法效应会将目标生物视为属于该生物类型来处理效果。
虚假灵光False Aura（物件）。你改变物件在能够侦测魔法灵光的侦测法术和魔法效应（例如侦测魔法Detect Magic）中呈现的样子。你可以使一个非魔法物件如同具有魔法性、让一个魔法物件如同只是非魔法的，或者改变物件的魔法灵光学派，使其呈现出由你选择的特定魔法学派的灵光。</t>
  </si>
  <si>
    <t>Nystul's Magic Aura</t>
  </si>
  <si>
    <t>行动无踪</t>
  </si>
  <si>
    <t>槲寄生烧成的灰烬</t>
  </si>
  <si>
    <t>你在法术持续时间于30尺光环范围内散发出遮蔽灵光。位于灵光范围期间，你和每名你选择的生物在敏捷（隐匿）检定上获得+10加值，且不会留下任何踪迹。</t>
  </si>
  <si>
    <t>Pass without Trace</t>
  </si>
  <si>
    <t>魅影之力</t>
  </si>
  <si>
    <t>一点羊毛</t>
  </si>
  <si>
    <t>你试图向施法距离内你可见的一名生物脑内植入一段幻术。目标进行一次智力豁免。豁免失败时，你创造出一个不大于10尺立方且只能被目标感知到的魅影物件，生物或其他你指定的现象。魅影将持续至法术终止。该魅影包括声音、温度和其他感官因素。目标可以用研究动作进行一次对抗你法术豁免DC的智力（调查）检定来仔细研究这个魅影。检定成功则目标意识到魅影是一道幻术，法术终止。目标受法术影响期间会认定魅影是真实的，并且会合理化任何与其互动产生的不合逻辑的结果。例如，若目标试图走过一座跨越峡谷的魅影桥时从桥上坠落并存活，它仍然会相信该桥是真实存在的，并且会觉得是其他什么东西导致了自己的坠落。若魅影代表着一名危险生物或一处灾害，则受术目标甚至还会受到幻术的直接伤害。在每个你的回合中，若目标在魅影区域内或距其5尺范围内，则上述形态的魅影可以对目标造成2d8点心灵伤害。而此时目标则会感觉该伤害类型与魅影适于造成的一种伤害类型相符。</t>
  </si>
  <si>
    <t>Phantasmal Force</t>
  </si>
  <si>
    <t>治疗祷言</t>
  </si>
  <si>
    <t>在施展法术期间一直位于施法距离内的至多五名生物获得等同于一次短休的增益，并且恢复2d8点生命值。一名生物直到完成一次长休为止不能再次被此法术影响。
升环施法：使用的法术位每比二环高一环，此法术的治疗量就增加1d8。</t>
  </si>
  <si>
    <t>Prayer of Healing</t>
  </si>
  <si>
    <t>防护毒素</t>
  </si>
  <si>
    <t>你触及一名生物并结束其陷入的中毒状态。在持续时间内，目标为避免陷入或结束中毒状态所做的豁免具有优势，且具有毒素伤害的抗性。</t>
  </si>
  <si>
    <t>Protection from Poison</t>
  </si>
  <si>
    <t>衰弱射线</t>
  </si>
  <si>
    <t>你向施法距离内的一名生物射出一道让人衰弱的能量射线。目标必须进行一次体质豁免。豁免成功，则目标直到你的下个回合开始在下一次攻击掷骰上具有劣势。豁免失败，目标在持续时间内在使用力量属性的D20检定上具有劣势。同样的，在此期间，其所有的伤害掷骰获得1d8的减值。目标在每个其回合结束时可以重复豁免，豁免成功则法术终止。</t>
  </si>
  <si>
    <t>Ray of Enfeeblement</t>
  </si>
  <si>
    <t>魔绳术</t>
  </si>
  <si>
    <t>一段绳子</t>
  </si>
  <si>
    <t>你接触一段绳子。绳的一端会向上升起，直到整条绳索都垂直于地面挂在空中或绳子触及天花板。绳子向上的末端存在一个隐形的3尺×5尺大小的传送门，其通往一个法术持续时间内一直存在的异次元空间。沿着绳子向上攀爬即可进入此空间，绳子也可被拽入空间中或从空间中丢出。空间可容纳至多八名体型不超过中型的生物。攻击，法术和其他效应均无法穿过空间而出入，但空间内的生物可以通过入口看到外面的景象。法术终止时，异次元空间内的一切东西都会掉出来。</t>
  </si>
  <si>
    <t>Rope Trick</t>
  </si>
  <si>
    <t>灼热射线</t>
  </si>
  <si>
    <t>你射出三道火焰的射线。你可以将其射向施法距离内的一个或多个目标。每道射线需要你分别进行一次远程法术攻击。若命中，则目标受到2d6点火焰伤害。
升环施法：使用的法术位每比二环高一环，你就能多创造出一道射线。</t>
  </si>
  <si>
    <t>Scorching Ray</t>
  </si>
  <si>
    <t>识破隐形</t>
  </si>
  <si>
    <t>一撮滑石粉</t>
  </si>
  <si>
    <t>1 小时</t>
  </si>
  <si>
    <t>在法术持续时间内，你能看见任何处于隐形状态的生物和物件，如同其处于正常可见状态一样。你还能够看见以太位面，以太位面的生物和物件在你眼中会以幽灵般的半透明形状显现。</t>
  </si>
  <si>
    <t>See Invisibility</t>
  </si>
  <si>
    <t>粉碎音波</t>
  </si>
  <si>
    <t>一片云母</t>
  </si>
  <si>
    <t>一阵震耳欲聋的噪音在你指定的施法距离内一点上爆发出来。以该点为中心半径10尺球状区域内的所有生物必须要进行一次体质豁免。豁免失败将受到3d8点雷鸣伤害；豁免成功受到半数伤害。构装生物进行该豁免时具有劣势。如果法术的范围内存在不被任何生物着装携带的非魔法物件，则它也要受到该伤害。
升环施法：使用的法术位每比二环高一环，此法术的伤害就增加1d8。</t>
  </si>
  <si>
    <t>Shatter</t>
  </si>
  <si>
    <t>闪耀斩</t>
  </si>
  <si>
    <t xml:space="preserve">被该次攻击检定命中的目标会在此次攻击中额外受到2d6点光耀伤害。目标会发出5尺半径的明亮光照直至法术结束。在此期间，对其进行的攻击检定具有优势，且其无法受益于隐形状态。
升环施法： 使用的法术位每比二环高一环，此法术的额外伤害就增加1d6。
（译注：此法术原名为印记斩Branding Smite） </t>
  </si>
  <si>
    <t>Shining Smite</t>
  </si>
  <si>
    <t>沉默术</t>
  </si>
  <si>
    <t>你指定施法距离内一点，以该点为中心半径20尺的球状区域在法术持续时间内将无法产生任何声音，且外界的声音也无法于该区域内传播。任何完全位于该区域内的生物和物件都将免疫雷鸣伤害，而完全位于该区域内的任何生物都将陷入耳聋状态。此外，该区域内无法施展包含言语成分的法术。</t>
  </si>
  <si>
    <t>Silence</t>
  </si>
  <si>
    <t>蛛行术</t>
  </si>
  <si>
    <t>一滴沥青和一只蜘蛛</t>
  </si>
  <si>
    <t>你触碰一个自愿的生物，并使其在法术终止前能够在垂直表面上下或横向移动，其甚至可以在天花板上倒挂着移动而不需要用到双手。另外，目标获得等同于其速度的攀爬速度。
升环施法：使用的法术位每比2环高一环，你便能额外指定一个生物作为法术的目标。</t>
  </si>
  <si>
    <t>Spider Climb</t>
  </si>
  <si>
    <t>荆棘丛生</t>
  </si>
  <si>
    <t>七根棘刺</t>
  </si>
  <si>
    <t>以施法距离内一点为中心周围20尺半径的球状区域扭曲变形，大片坚硬的棘刺破土而出。该区域在法术持续时间内视为困难地形。而生物进入该区域或在其中移动时，其每移动5尺就要受到2d4点穿刺伤害。法术导致的地面变形经过伪装，使其看起来并无异样。如果生物在你施展此法术时看不见这片区域，则它只有在执行一次搜索动作并成功进行一次感知（察觉或求生）检定后，才能在进入之前发现该区域隐藏的危险。</t>
  </si>
  <si>
    <t>Spike Growth</t>
  </si>
  <si>
    <t>灵体武器</t>
  </si>
  <si>
    <t>你创造出一块形似你选择的武器的浮空灵体力场，并使其持续到法术持续时间结束。它出现在施法距离内你选择的一点，并且你可以立即对该武器周围5尺内的一个生物发动一次近战法术攻击。若命中，则目标受到 1d8+你的施法属性调整值 点力场伤害。在你之后的回合内，你可以用附赠动作让该武器移动至多20尺，并再对它周围5尺内的一个生物发动一次同样的攻击。
升环施法： 使用的法术位每比二环高一环，此法术的伤害就增加1d8。</t>
  </si>
  <si>
    <t>Spiritual Weapon</t>
  </si>
  <si>
    <t>暗示术</t>
  </si>
  <si>
    <t>一滴蜂蜜</t>
  </si>
  <si>
    <t>专注，至多8小时</t>
  </si>
  <si>
    <t>你以魔法影响施法距离内一个你能看见的生物，并对其施以某种行动暗示（不超过25个词）。由你指定的受术目标必须能听到并理解你的话语。暗示必须听起来可行，也不明显涉及伤害目标及其盟友的内容。比如说，你可以说“把邪教的宝库钥匙找来，然后给我。”或者：“别打了，让图书馆保持安静，然后出去别回来。”
目标必须成功通过一次感知豁免，否则在法术持续时间内陷入魅惑，若你或你的盟友对其造成伤害此法术将提前结束。被魅惑的生物会尽其所能地执行你所描述的行为。你所暗示的行为可能会在法术持续时间内始终一直进行，而如果你所暗示的活动可以用更短的时间完成，则此法术会在目标完成了你的要求后随即终止。</t>
  </si>
  <si>
    <t>Suggestion</t>
  </si>
  <si>
    <t>野兽召唤术</t>
  </si>
  <si>
    <t>一根羽毛、一簇毛皮和一条装在镀金橡果内的鱼尾、价值至少200GP</t>
  </si>
  <si>
    <t>你唤来一个野兽灵魄。其使用下文野兽灵魄的数据，并会在施法距离内一处你可见的未被占据的空间中显现。当你施展法术时，从天空、大地和海洋中选择一个环境。该生物会显化符合为你所选的环境的形态，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野兽灵魄Bestial Spirit 
小型野兽，绝对中立
AC 11+法术环阶
HP 20（仅天空）或30（仅大地与海洋）+每比2环高的法术环阶5点
速度30尺；攀爬30尺（仅大地）；飞行60尺（仅天空）；游泳30尺（仅海洋）
力量18|+4|+4 敏捷11|+0|+0 体质16|+3|+3
智力5|-3|-3 感知14|+2|+2 魅力5|-3|-3
感官：黑暗视觉60尺，被动察觉12
语言：理解你的语言
CR无（XP0；PB等于你的熟练加值）
特质Traits
飞掠Flyby（仅天空）。灵魄飞行离开敌人的触及时不会引发对方的借机攻击。
集群战术Pack Tactics（仅限大地与海洋）。灵魄至少有一个未处于失能的盟友在目标生物5尺内时，它对该生物发动的攻击检定有优势。
水下呼吸Water Breathing（仅海洋）。灵魄只能在水下呼吸。
动作Actions
多重攻击Multiattack。灵魄发动等于法术环阶一半次数的撕裂攻击（向下取整）。
撕裂Rend。近战攻击检定：加值等于你的法术攻击加值，触及5尺。命中：1d8+4+法术环阶的挥砍伤害。</t>
  </si>
  <si>
    <t>Summon Beast</t>
  </si>
  <si>
    <t>守护之链</t>
  </si>
  <si>
    <t>一对铂金戒指（每个价值50GP+），你和目标在法术持续时间内需保持佩戴它们</t>
  </si>
  <si>
    <t>你触碰另一个自愿的生物，在法术终止前在你和目标之间建立一道神秘的连接。目标位于你身边60尺内时，其AC和豁免检定具有+1加值，且对所有伤害具有抗性。此外，每当目标受到伤害时，你也会受到同样的伤害。
如果你的生命值降至0，或你与目标距离超过60尺，则该法术终止。如果再有守护之链被施展于两个已被连接生物中的任意一方时，原有的法术将立刻终止。</t>
  </si>
  <si>
    <t>Warding Bond</t>
  </si>
  <si>
    <t>蛛网术</t>
  </si>
  <si>
    <t>少量蜘蛛网</t>
  </si>
  <si>
    <t>你在法术范围内指定一点召唤出一大片黏黏的网状物。蛛网覆盖以该点为源点的 20 尺立方区域，并在法术持续时间内维持存在。蛛网范围内视为困难地形，并造成轻度遮蔽 。
如果蛛网没有被固定在两个固体中间（例如墙和树）或跨在一片地板、墙壁、天花板中间，则蛛网会自动坍塌，而导致法术在你的下一回合开始时终止。摊在平面上的蛛网深度为 5 尺。
在一个回合中首次进入蛛网，或任何在蛛网中开始其回合的生物必须进行一次敏捷豁免，否则陷入束缚状态，直至其离开蛛网或挣脱束缚。
一名因蛛网陷入束缚状态的生物可以用一个动作进行一次对抗你的法术豁免DC的力量（运动）检定。如果成功，则其不再被束缚。
蛛网是可燃的。任何5尺立方区域的蛛网在遇到火焰后会在一轮内燃烧殆尽，并对火焰中开始其回合的生物造成2d4点火焰伤害。</t>
  </si>
  <si>
    <t>Web</t>
  </si>
  <si>
    <t>诚实之域</t>
  </si>
  <si>
    <t>你创造一个抵御谎言的魔法区域，该区域以施法距离内一点为中心，覆盖以该点为中心15尺半径的球状区域。在法术终止前，生物在一回合中首次进入该区域，或在该区域内开始其回合时，必须进行一次魅力豁免。豁免失败者在该区域内不能故意说谎。而你可以知晓每个受术生物的豁免是成功与否。
受影响的生物可以意识到该效果的存在，因此它可以主动回避回答那些通常会以谎言答复的问题。该生物在回答问题时可以闪烁其词、避重就轻，但说的仍然需要是真话。</t>
  </si>
  <si>
    <t>Zone of Truth</t>
  </si>
  <si>
    <t>塔莎心灵鞭</t>
  </si>
  <si>
    <t>• 你对施法距离内一个生物进行一次心灵打击。目标必须进行一次智力豁免。豁免失败者受到3d6点心灵伤害，并且直到其下一个回合结束前不能执行反应。此外，在其下一个回合中，他必须选择移动，执行一个动作或执行一个附赠动作；此回合内其只能进行三者之一。豁免成功者所受伤害减半，也不会受到法术的其他效应影响。
• 升环施法效应：使用3环或更高法术位施展该法术时，你使用的法术位每比2环高一环，法术就能多影响一个目标。而各目标之间距离不能超过30尺。</t>
  </si>
  <si>
    <t>Tasha’s Mind Whip</t>
  </si>
  <si>
    <t>阿迦纳萨喷火术</t>
  </si>
  <si>
    <t>一片红龙的鳞片</t>
  </si>
  <si>
    <t>• 一道长30尺，宽5尺的翻涌火线从你向一个你选定的方向蔓延。在该线中的生物必须进行一次敏捷豁免检定。豁免失败的生物受到3d8点火焰伤害，而豁免成功则只受到上述伤害的一半。
• 升环施法效应：当你使用3环或更高的法术位施放该法术时，使用的法术位每高一环，伤害便增加1d8。</t>
  </si>
  <si>
    <t>Aganazzar's Scorcher</t>
  </si>
  <si>
    <t>尘土恶魔</t>
  </si>
  <si>
    <t>一捧尘土</t>
  </si>
  <si>
    <t>• 选择施法距离之内，你能看见的一个5尺立方的，未被占据的空气。一股外观如同尘卷风的元素出现在那里，并在法术的持续时间内持续存在。
• 任何在尘卷风周围5尺范围内结束其回合的生物必须进行一次力量豁免检定。若检定失败，该生物受到1d8点钝击伤害并被推离10尺。若检定成功，该生物只受到上述伤害的一半，并不会被推离。
• 以一个附赠动作，你可以让尘卷风向任意方向移动至多30尺。若尘卷风移动时经过了沙子，尘土，松软的土壤或小砂砾，它将会卷起这些物质，在自身周围形成10尺半径的残骸云，持续到你下个回合的开始。残骸云对所在区域造成重度遮蔽。
• 升环施法效应：当你使用3环或更高的法术位施放该法术时，使用的法术位每高一环，伤害便增加1d8。</t>
  </si>
  <si>
    <t>Dust Devil</t>
  </si>
  <si>
    <t>地缚</t>
  </si>
  <si>
    <t>• 选择距离内你能够看到的一个生物。黄色的魔法能量线缠绕着该生物。该目标必须成功通过一次力量豁免，否则其飞行速度（若有的话）在法术的持续时间内降为0尺。受到此法术影响的飞行中的生物以每轮60尺的速度安全降落，直到其撞到地面或法术终结。</t>
  </si>
  <si>
    <t>Earthbind</t>
  </si>
  <si>
    <t>治愈之魂</t>
  </si>
  <si>
    <t>• 你召唤出自然精魂抚慰伤员。这个无形的精魂出现在施法距离内你可以看见的一处5尺立方空间。精魂看起来像是透明的野兽或是妖精（由你选择）。
• 直到法术结束之前，每次你或者一个你可以看见的生物在回合里第一次进入精魂所占据的空间，或是在其中开始它的回合，你都可以让精魂为它恢复1d6点生命值（无需动作）。精魂不能治疗构装体或不死生物。此法术最大治疗次数为1+施法属性调整值次（最少两次）。
• 在你的回合中以一个附赠动作，你可以移动精魂30尺至你可以看见的另一个空间。
• 升环施法效应：当你使用3环或更高的法术位施放该法术时，使用的法术位每高一环，治疗值就增加1d6点。</t>
  </si>
  <si>
    <t>Healing Spirit</t>
  </si>
  <si>
    <t>麦克斯米利安的地之攫</t>
  </si>
  <si>
    <t>一个由陶土雕塑成的手的模型</t>
  </si>
  <si>
    <t>• 你选择距离内，你能看见的，地面上的一处5平方尺，未被占据的空间。一只由坚实的土壤形成的中型手掌出现在那里，并伸向它周围5尺内，一个你能看见的生物。该目标必须进行一次力量豁免检定。若检定失败，该生物受到2d6点伤害并在法术的持续时间内被束缚。
• 以一个动作，你可以令手掌挤压被束缚的生物，其必须进行一次力量豁免检定。若检定失败，其受到2d6点钝击伤害。检定成功则只受到上述伤害的一半。
• 要逃离束缚，被束缚的生物可以进行一次力量检定来对抗你的法术豁免DC。若成功，该生物得以逃脱，不再被手掌束缚。
• 以一个动作，你可以令手掌伸向一个其他生物，或移动到距离之内一处未被占据的其他空间。这种指令会让手掌放开被它束缚的生物。</t>
  </si>
  <si>
    <t>Maximilian's Earthen Grasp</t>
  </si>
  <si>
    <t>烟火</t>
  </si>
  <si>
    <t>• 选择距离之内，你能看见的一处占满5立方尺区域的非魔法火焰。你可以熄灭区域内的火焰，或者你可以制造出焰火或浓烟。
• 焰火Fireworks：目标伴随着炫目的彩色光芒爆炸。在目标周围10尺范围内的生物必须通过一次体质豁免检定，否则在直到你的下个回合结束前的时间里处于目盲状态。
• 浓烟Smoke：目标散发出浓重的黑烟，蔓延在20尺半径的区域内，可绕过角落。烟雾所在的区域处于重度遮蔽状态。浓烟将持续1分钟或直到被强风吹散。</t>
  </si>
  <si>
    <t>Pyrotechnics</t>
  </si>
  <si>
    <t>幽影刃</t>
  </si>
  <si>
    <t>• 你将幽影交织成手中实化的剑。该魔法剑持续到法术结束。它被视为你具有熟练项的简易近战武器，命中时造成2d8心灵伤害，并具有灵巧、轻型和投掷特性（射程20/60)。当你用该剑攻击微亮光照或黑暗中的目标时，你进行的攻击检定具有优势。
• 如果你放下或投掷该武器，它将在该回合结束时消散。其后，如法术持续，你能以一个附赠动作使该剑重现于你手中。
• 升环施法效应：当你用3-4环施放该法术时，其伤害增加到3d8。5-6环时增加到4d8。7环或以上则增加到5d8。</t>
  </si>
  <si>
    <t>Shadow Blade</t>
  </si>
  <si>
    <t>写入空中</t>
  </si>
  <si>
    <t>专注,至多1小时</t>
  </si>
  <si>
    <t>• 你令你能看见的天空中的一个部分出现至多10个字。文字看起来是由云彩构成的，并在法术的持续时间内留在原位。文字将会在法术终结时消失。强风可以吹散云彩，令法术提前终止。</t>
  </si>
  <si>
    <t>Skywrite</t>
  </si>
  <si>
    <t>史尼洛雪球群</t>
  </si>
  <si>
    <t>一块冰或一小块白色岩石碎片</t>
  </si>
  <si>
    <t>• 在距离之内的，一个由你指定的点上，大量的魔法雪球喷涌而出。以该点为中心，5尺半径的球形区域内的所有生物必须进行一次敏捷豁免检定。检定失败则受到3d6点冷冻伤害，成功者只受到上述伤害的一半。
• 升环施法效应：当你使用3环或更高的法术位施放该法术时，使用的法术位每高一环，伤害便增加1d6。</t>
  </si>
  <si>
    <t>Snilloc's Snowball Swarm</t>
  </si>
  <si>
    <t>守护之风</t>
  </si>
  <si>
    <t>• 一阵强风（风速每小时20尺）在你周围10尺半径内回旋并能随着你移动，始终以你为中心。这股风将在法术的持续时间内持续存在。
• 这股风具有如下效果：
  它会令你和其他区域内的生物耳聋。
  它会令区域内，不大于火炬的未受保护的火焰熄灭。
  它可以隔离那些能够被强风吹散的毒气，瓦斯和雾气。
  区域对于除你之外的生物是困难地形。
  若远程武器攻击进入或离开风区，其攻击检定得到劣势。</t>
  </si>
  <si>
    <t>Warding Wind</t>
  </si>
  <si>
    <t>巧舌如簧</t>
  </si>
  <si>
    <t>1反应，当你与另一个生物说话时采取</t>
  </si>
  <si>
    <t>• 据说是吉姆• 达克马奇发明了这个魔法，并且它最开始的名字叫“我说了啥？！”你有没有曾经在与当地领主开玩笑时，不小心提到他的儿子长得像你家农场里那只你最喜欢的猪？我们过去都经历过！不过你可以确保没人知道这件事情，来假装它从未发生过，以此来避免因为一次诚实的失言而丢掉脑袋。
• 当你施展这个法术时，你可以通过巧妙的操作修整你周围听众的记忆，从而使在你周围5尺内、每一个你所选择的生物立即忘掉在最后六秒中你所说过的每一句话。之后，他们会记住你实际上说的是作为这个法术言语成分的那些话语。</t>
  </si>
  <si>
    <t>Gift of Gab</t>
  </si>
  <si>
    <t>吉姆的发光硬币</t>
  </si>
  <si>
    <t>一枚硬币。版税成分：2gp</t>
  </si>
  <si>
    <t>• 在魔术大师、大冒险家吉姆• 达克马奇运用过的许多骗术中，“发光的旧硬币”是其中最为经典的。当你施法时，你将作为法术材料成分的硬币丢往法术距离内任意一点。这枚硬币将会像处于法术光亮术light影响一般闪闪发光。在硬币周围30尺内，你所能看到、并且由你选择的每一个生物必须通过一次感知豁免，否则将会在持续时间内被硬币所分心。在被分心时，生物在感知（察觉）检定和先攻检定中具有劣势。</t>
  </si>
  <si>
    <t>Jim's Glowing Coin</t>
  </si>
  <si>
    <t>纳撒尔恶作剧</t>
  </si>
  <si>
    <t>一块苹果派的饼皮</t>
  </si>
  <si>
    <t>• 你用妖精与巨龙的魔法充满一个施法范围内边长20尺的立方体区域。在恶作剧之涌表格里掷骰以决定产生的魔法效应。法术持续时间内，你每回合开始时重骰这个表格。在你重骰之前，你可以把这个立方体区域移动最多10尺。
恶作剧之涌Mischievous Surge
d4  效应
1   空气中弥漫着苹果派的味道，区域内的生物必须成功通过一次感知豁免，否则将被你魅惑，直至你的下回合开始。
2   一束束鲜花出现在四周，区域内的生物必须成功通过一次敏捷豁免，否则鲜花将往他们脸上喷水，使他们陷入目盲，直至你的下回合开始。
3   区域内的每个生物必须成功通过一次感知豁免，否则将开始咯咯笑，直至你的下回合开始。一个正在咯咯笑的生物陷入失能，并使用他的所有移动力向一个随机方向移动。
4   一滴滴蜜糖出现并在区域内悬浮，将其内变成困难地形，直至你的下回合开始。</t>
  </si>
  <si>
    <t>Nathair's Mischief</t>
  </si>
  <si>
    <t>费茨本的巨龙宝库</t>
  </si>
  <si>
    <t>雾凇霜缚</t>
  </si>
  <si>
    <t>一瓶冰雪融化而成的水</t>
  </si>
  <si>
    <t>• 你爆发出一股冰冷的能量并覆盖30尺锥形区域。区域内的每个生物都必须成功通过一体质豁免，否则将受到3d8点冷冻伤害并且被冰霜包裹一分钟，或直至一个生物用动作为自己或触及范围内的其他生物破冰。被冰霜包裹的生物其速度降至0。豁免成功则伤害减半，并且不会受到其他效应影响。
• 升环施法效应：当你用3环或更高的法术位施展该法术时，你使用的法术位每比2环高一环，法术的伤害便增加1d8。</t>
  </si>
  <si>
    <t>Rime's Binding lce</t>
  </si>
  <si>
    <t>魔宠群</t>
  </si>
  <si>
    <t xml:space="preserve">• 你召唤3只使用你所选择的动物精魂外貌的临时魔宠。每只魔宠所使用的规则与动物精魂外貌选项与寻获魔宠find familiar相同。该法术所召唤的所有魔宠都必须属于同一生物种类（天界生物，精类生物，邪魔；你的选择）。如果你已经以寻获魔宠find familiar或类似方式召唤一个魔宠，则你以该法术召唤的魔宠数量减少一个。
• 该法术召唤的魔宠可以与你进行心灵交流且当它们在你1英里范围内时可以与你分享它们的视觉或听觉感官。
• 当你施展施法距离为触及的法术时，该法术所召唤的其中一名魔宠可以如常传递法术。然而每回合你只能通过一只魔宠传递一次触及法术。
• 升环施法效应：使用3环或更高法术位施展该法术时，你的法术位每比2环高一环，你可以召唤一只额外的魔宠。
</t>
  </si>
  <si>
    <t>Flock of Familiars</t>
  </si>
  <si>
    <t>夸力许的失落实验室</t>
  </si>
  <si>
    <t>借鉴才学</t>
  </si>
  <si>
    <t>一本价值至少25gp的书</t>
  </si>
  <si>
    <t>• 你从往昔的魂灵中获取知识。选择一项你没有熟练的技能。在法术的持续时间里，你拥有所选技能的熟练项。如果你再次释放该法术，该法术会提前结束。</t>
  </si>
  <si>
    <t>Borrowed Knowledge</t>
  </si>
  <si>
    <t>动力短行</t>
  </si>
  <si>
    <t>• 你用舞蹈般的步姿魔法地增强你的移动，在持续时间内你获得以下增益:
→你的速度增加10尺。
→你不会触发借机攻击。
→你能穿过另一个生物的空间，而且对你言不算是困难地形。如果你在另一个生物的空间里结束回合，你会被推挤到你最后所经过的未被占据空间里，并受到1d8力场伤害。</t>
  </si>
  <si>
    <t>Kinetic Jaunt</t>
  </si>
  <si>
    <t>涡旋翘曲</t>
  </si>
  <si>
    <r>
      <rPr>
        <sz val="11"/>
        <color theme="1"/>
        <rFont val="Courier New"/>
        <charset val="134"/>
      </rPr>
      <t>•</t>
    </r>
    <r>
      <rPr>
        <sz val="11"/>
        <color theme="1"/>
        <rFont val="仿宋"/>
        <charset val="134"/>
      </rPr>
      <t xml:space="preserve"> 你魔法地扭曲施法距离内一个你可见的其他生物周边的空间。目标需通过一次体质豁免（目标可主动选择失败），否则目标将被传送至施法距离内一处你可见，由你选择的未被占据的空间。选择的空间必须是地表之上或液体之中，并且能让目标在不被挤压的情况下支撑目标。
</t>
    </r>
    <r>
      <rPr>
        <sz val="11"/>
        <color theme="1"/>
        <rFont val="Courier New"/>
        <charset val="134"/>
      </rPr>
      <t>•</t>
    </r>
    <r>
      <rPr>
        <sz val="11"/>
        <color theme="1"/>
        <rFont val="仿宋"/>
        <charset val="134"/>
      </rPr>
      <t xml:space="preserve"> 升环施法效应：当你使用3环或更高的法术位施展该法术时，法术位每比2环高1环，施法距离便增加30尺。</t>
    </r>
  </si>
  <si>
    <t>Vortex Warp</t>
  </si>
  <si>
    <t>靡叶生华</t>
  </si>
  <si>
    <t>枯萎的藤蔓，弯折成环形</t>
  </si>
  <si>
    <t>• 选择施法距离内一点，以该点为中心的10尺半径球形区域里，你唤起死气与生机。该区域里每个由你选择的生物需进行一次体质豁免，豁免失败者受到2d6黯蚀伤害，豁免成功则伤害减半。区域里的非魔法植物都会枯萎。
此外，区域里一个你所选的生物能使用并投掷一枚未使用的生命骰。恢复投掷结果加上你的施法属性调整值点生命值。
升环施法效应：当你使用3环或更高的法术位施展该法术时，法术位每比2环高1环，法术多造成1d6伤害，选择生物能投掷的生命骰数也多1个。</t>
  </si>
  <si>
    <t>Wither and Bloom</t>
  </si>
  <si>
    <t>卡牌喷射</t>
  </si>
  <si>
    <t>自身(15尺锥形)</t>
  </si>
  <si>
    <t>一副牌组</t>
  </si>
  <si>
    <t>• 你向一处15尺锥状区域喷射卡牌，该区域内的生物必须进行一次敏捷豁免。豁免失败的生物受到2d10的力场伤害伤害并陷入目盲，直到其下一个回合结束。豁免成功则仅会受到一半伤害。
• 升环施法效应： 当你使用3环或更高法术位施放本法术时，你使用的法术位每比2环高一环，法术的伤害就增加1d10。</t>
  </si>
  <si>
    <t>Spray of Cards</t>
  </si>
  <si>
    <t>空气泡泡</t>
  </si>
  <si>
    <t>• 你指定视线范围内的一个自愿生物，并在其头部创造一个散发幽光的球体。这个球体内会充满新鲜空气直到法术结束。如果这个生物有多个头，那么球体只会出现在它的一个头周围(假设它所有的头共用一套呼吸系统，这足够让他它避免窒息)。 
• 升环施法效应：当你使用 3 环或更高的环位施放这个法术时，你使用的法术位每比 2 环高一环，就能额外创造两个新鲜空气球体。</t>
  </si>
  <si>
    <t xml:space="preserve">Air Bubble </t>
  </si>
  <si>
    <t>星界冒险指南</t>
  </si>
  <si>
    <t>侦测扭曲</t>
  </si>
  <si>
    <t>一片剃刀叶</t>
  </si>
  <si>
    <t xml:space="preserve">• 持续时间内，你能够感知到你周围30尺范围内的传送门，且不论那些传送门是否开启。
• 如果你以此侦测到了传送门，你可以再用一个动作对其进行分析。为此，你需要用施法属性进行一次DC15的属性检定。检定成功时，你将会得知这个传送门背后的目的地是哪个位面，以及他需要什么样的传送门钥匙，那之后本法术结束。检定失败时，你将不会得知该传送门的任何情报，且直到你下次施展本法术前你都无法再次对其分析。
• 本法术的侦测能力可以穿透大部分的障碍，但3尺厚的土木、1尺厚的岩石、1寸厚的常见金属、或薄薄一层铅都能阻挡本法术的侦测。 </t>
  </si>
  <si>
    <t>Warp Sense</t>
  </si>
  <si>
    <t>命运宠儿</t>
  </si>
  <si>
    <t>一颗至少价值100GP的白色珍珠，在施法时被消耗</t>
  </si>
  <si>
    <t>• 你给予你自己或施法距离内你可见的一个自愿生物以潜藏的幸运。在法术结束之前，当被选中的生物进行一次攻击检定，属性检定或者豁免检定时，他能够使该法术结束并扔一颗额外的D20骰，并决定使用哪一颗D20。或者，当这个生物成为一个攻击检定的目标时，他能够使该法术结束并扔一颗额外的D20骰，并决定使用哪一颗D20:攻击者所掷骰的或通过该法术所掷骰。
• 若原D20骰有优势或劣势，那么通过该法术掷出的D20在原D20的优势或劣势生效后生效。
• 升环施法效应：使用3环或更高法术位施展该法术时，每比2环高一环的法术位可以令你指定一个额外的生物。</t>
  </si>
  <si>
    <t>Fortune’s Favor</t>
  </si>
  <si>
    <t>不动物件</t>
  </si>
  <si>
    <t>至少价值25gp的金尘，在施法时消耗</t>
  </si>
  <si>
    <t>• 你触摸一个至多不超过10磅的物件，使其魔法般地固定住。你与你施法时指定的生物能够如常移动它。你也可以设置一串密码，当密码在该物件5尺内被念出时，使该法术暂时被压制1分钟。
• 若该物件被固定在空中，那么它可以至多承载4000磅的重量。更重的负载会使其坠落。另外，一个生物能以其动作进行一个对抗你的法术豁免DC的力量检定。若其成功，则该物件能被他移动10尺。
• 升环施法效应：若你使用4环或5环法术位施展该法术，使该物件移动的检定DC增加5，并且它能够承载8000磅重的负载并持续24小时。如果你用6环或者更高环的法术位施展该法术，那么使该物件移动的检定DC增加10，并且它能够承载20000磅重的负载并一直持续到法术被解除。</t>
  </si>
  <si>
    <t>Immovable Object</t>
  </si>
  <si>
    <t>魔袋术</t>
  </si>
  <si>
    <t>• 你轻弹手腕, 让你手中的一件物品消失。这件只有你能持握的，重量不超过五磅物件会被传送到一个异次元空间，它会在法术持续时间内一直停留在那里。
• 直到法术结束为止, 你可以用你的动作将物件召唤到你空余的手中, 你也可以用一个动作将该物件返还至异次元空间处。 到法术结束时仍然存在在异次元空间的物品会出现在你的位置中，你的脚下。</t>
  </si>
  <si>
    <t>Wristpocket</t>
  </si>
  <si>
    <t>深渊之息</t>
  </si>
  <si>
    <t>你从至深的海沟下咒唤海水包围一个施法距离内你可见的生物。海水将渗入目标的嘴中并环绕其身体，缓慢地以大海深不可测的重压碾碎目标。目标承受3d6钝击伤害，且在持续时间内无法说话或使用含有言语成分的法术。</t>
  </si>
  <si>
    <t>Breath of the Deep</t>
  </si>
  <si>
    <t>黑暗攫握</t>
  </si>
  <si>
    <t>你创造出一股恐怖的力量，缓慢地从内部挤压目标。选择施法距离内一可见生物，掷2d6并记录掷出的总值。在你之后的每个回合开始时，再掷一次2d6并将掷出的数值加到总值上。
-若总值大于目标的力量，则其基于力量的攻击检定具有劣势。
-若总值大于目标的敏捷，则其速度减半，且针对它的攻击检定具有优势。
-若总值大于目标的当前生命值，则目标会立即向内坍缩并死亡。</t>
  </si>
  <si>
    <t>Clutch of Darkness</t>
  </si>
  <si>
    <t>猫之优雅</t>
  </si>
  <si>
    <t>你获得猫一样的灵巧反应力和平衡力。你获得以下增益直至法术结束：
-只要你未陷入失能，你免疫倒地
-当你坠落时，你能够以反应减少一定坠落伤害，数值等于你等级的五倍
-你的敏捷检定和敏捷豁免获得优势
-你的跳跃距离翻倍</t>
  </si>
  <si>
    <t>Feline Grace</t>
  </si>
  <si>
    <t>生物危害</t>
  </si>
  <si>
    <t>一颗枯萎的根和一滴醋</t>
  </si>
  <si>
    <t>你用一团毒素淤泥在法术持续时间内覆盖一片15尺宽的立方区域。该区域变为困难地形，并充满危险的毒气。一个进入该区域或在其中开始回合的生物必须进行一次体质豁免。若豁免失败，则该生物受到1d8点毒素伤害并直到它的下一个回合开始前陷入中毒状态。即使生物不用呼吸或屏住呼吸，依然会受到此法术影响。
升环施法效应：使用三环或更高法术位施展该法术时，你使用的法术位每比二环高一环，法术的伤害就额外提升1d8。</t>
  </si>
  <si>
    <t>Biohazard</t>
  </si>
  <si>
    <t>腐蚀之攥</t>
  </si>
  <si>
    <t>在法术持续时间内，你的手掌分泌出粘稠的灼烧性强酸，你可以用它将一个生物攥握在痛苦之中。当你施展这个法术时，作为你的回合内法术结束前的动作的一部分，你可以对你身边5尺范围内的一个生物发动一次近战法术攻击。若攻击命中，你对目标造成4d4点强酸伤害，并且目标因为你的酸性抓取陷入束缚状态，直到你的下一个回合结束。你可以接下来逐轮攻击同一个目标，也可以在任何时间点改为攻击一个新的目标。如果你切换了目标，则前一个目标将不再受此法术影响。
一个因为你的抓握陷入束缚的生物可以用它的动作进行一次力量检定，以对抗你的施法豁免DC，若检定成功则其不再受到束缚。每当一个生物以被此法术造成的束缚状态结束它的回合，它就需要额外承受4d4点强酸伤害。
升环施法效应：使用三环或更高法术位施展该法术时，你使用的法术位每比二环高一环，法术的伤害就额外提升2d4。</t>
  </si>
  <si>
    <t>Caustic Grip</t>
  </si>
  <si>
    <t>擒拿鬼手</t>
  </si>
  <si>
    <t>一根手指骨和一块织物碎片</t>
  </si>
  <si>
    <t>一大群漂浮的幽灵手出现，并抓向范围内你能看见的一个目标。目标需要成功通过一次力量豁免。若豁免检定失败，则目标需要承受3d8点黯蚀伤害，豁免成功则伤害减半。
除此之外，若豁免检定失败，幽灵手会擒抱目标直到你的下一个回合结束，并立即将目标向你所选择的方向移动30尺（但不能向上）。在目标的回合内，其可以进行一次力量检定或敏捷检定（由目标选择）来对抗你的法术豁免DC以逃脱擒抱。若成功，则擒抱结束。
升环施法效应：使用三环或更高法术位施展该法术时，你使用的法术位每比二环高一环，擒拿鬼手便可以额外多选择一个生物为目标。</t>
  </si>
  <si>
    <t>Grasping Ghost</t>
  </si>
  <si>
    <t>精神焕发</t>
  </si>
  <si>
    <t>一根注射器和一份血液样本</t>
  </si>
  <si>
    <t>一个小时</t>
  </si>
  <si>
    <t>在范围内选择三个生物。每个生物获得10点临时生命值。
升环施法效应：使用三环或更高法术位施展该法术时，你使用的法术位每比二环高一环，提供的临时生命值就多5点。</t>
  </si>
  <si>
    <t>Invigorate</t>
  </si>
  <si>
    <t>裂眼术</t>
  </si>
  <si>
    <t>你对范围内你能看见的一个生物发动一次远程法术攻击。如果命中，你用一种致命毒素对目标造成伤害，并使其眼睛开始流血。该生物将承受2d6点黯蚀伤害，并直到你的下一个回合结束前陷入目盲状态。
升环施法效应：使用三环或更高法术位施展该法术时，你使用的法术位每比二环高一环，黯蚀伤害就增加1d6点。</t>
  </si>
  <si>
    <t>Ocular Necrosis</t>
  </si>
  <si>
    <t>掷出窗外</t>
  </si>
  <si>
    <t>一股力场波动从你张开的手中爆发，将施法距离内你一个你可见的生物抛出窗外。目标进行一次力量豁免检定。豁免失败则目标被推离至多20尺，并从你指定的一扇窗户被抛出。如果目标20尺范围内没有窗户，它会被改为向你选择的一个方向推离至多20尺，并从一个奥术力场构成的窗户被抛出，该窗户会在生物身后实体化并在碎裂后消失。目标被抛出窗户时会受到4d6挥砍伤害并陷入倒地状态。豁免成功则目标仅被推离10尺，且不受伤害。</t>
  </si>
  <si>
    <t>Defenestration</t>
  </si>
  <si>
    <t>延迟术</t>
  </si>
  <si>
    <t>一个八角型符号</t>
  </si>
  <si>
    <t>你短暂减缓施法距离内一个你选择的你可见生物的时间。目标必须进行一次感知豁免检定，豁免失败则从下一轮开始被移动至先攻序列的最后一位。</t>
  </si>
  <si>
    <t>Delay</t>
  </si>
  <si>
    <t>宿醉感</t>
  </si>
  <si>
    <t>一小瓶烈酒</t>
  </si>
  <si>
    <t>你散发出一道醉酒灵光，这股灵光迅速消退，只余留强烈的宿醉感。施法距离内的一名你选择的生物进行一次体质豁免检定。豁免失败则该生物受到3d8心灵伤害，并陷入中毒状态直至你的下个回合结束。豁免成功则目标仅受半伤。目标因为此伤害而为维持专注所进行的体质豁免具有劣势。
升环施法。使用的法术位每比二环高一环，此法术的伤害就增加1d8。</t>
  </si>
  <si>
    <t>Hangover</t>
  </si>
  <si>
    <t>卡你武器</t>
  </si>
  <si>
    <t>反应，当60尺内你可见的生物用远程武器发动一次攻击时执行</t>
  </si>
  <si>
    <t>一撮受潮的火药</t>
  </si>
  <si>
    <t>目标的武器将发生故障，本次攻击失手。武器故障后将无法被使用，直至有生物用利用动作将武器的故障修理完毕为止。</t>
  </si>
  <si>
    <t>Jam Weapon</t>
  </si>
  <si>
    <t>叶忒罗的自动换弹</t>
  </si>
  <si>
    <t>一枚使用过的弹壳</t>
  </si>
  <si>
    <t>附魔你触碰的那把远程武器，令它能够自动为自己换弹reload*。如果武器具有装填词条或换弹词条，法术持续时间内你将无视它们。当这把武器的弹药被击发后，新的弹药会从你的携带物品中自动传送到武器中。
译注：只能换弹reload，不能帮你上膛load</t>
  </si>
  <si>
    <t>Jethro’s Instant Reload</t>
  </si>
  <si>
    <t>回溯</t>
  </si>
  <si>
    <t>当你施展此法术时，记录你的位置。直至你的下一回合结束，你可以执行反应来传送回该位置，以响应一次攻击检定、一个生物施展一道法术，或一个生物移动至你5尺范围内；如果该位置被占据，则传送到最近的未占据空间。此传送先于触发的攻击或法术发生。法术随后结束。</t>
  </si>
  <si>
    <t>Recall</t>
  </si>
  <si>
    <t>步履相随</t>
  </si>
  <si>
    <t>你和施法距离内最多三名你选择的自愿生物之间形成奥术连结，这种连结会在彼此靠近时产生魔法牵引。在法术持续时间内，每个目标的速度增加5尺。当任何一个受影响的生物结束其回合时，该法术的其他目标可以使用反应移动最多等于其速度一半的距离，朝向另一个受影响的生物移动。
升环施法。使用三环或更高法术位施展该法术时，每比二环高一环，你可以额外选择一个目标。</t>
  </si>
  <si>
    <t>At Your Side</t>
  </si>
  <si>
    <t>兽形化人</t>
  </si>
  <si>
    <t>这个法术可以将施法距离内你能看见的一只野兽变形为一个类人生物的形态。非自愿的生物必须通过一次感知豁免检定才能避免此效应。该法术对生命值为0的野兽无效。
变形效应持续到法术终止，或直到目标生命值降至0或死亡为止。新的形态可以是任何你选择的种族的类人生物外观。目标的游戏资料，不包括其精神属性值，会被替换为一名平民的数据。它保留其原有的阵营和个性。
目标获得其平民形态的生命值。当它恢复原形时，野兽会恢复到其变形前的生命值。如果是因为生命值降至0而恢复原形，则多余的伤害会转移到其原形态上。只要这些多余的伤害不会让野兽原形态的生命值降至0，它就不会陷入昏迷。
生物能够执行的动作会受其新形态的性质限制。
升环施法。使用三环或更高法术位施展该法术时，每比二环高一环，法术持续时间增加1小时。</t>
  </si>
  <si>
    <t>Beast Transmutation</t>
  </si>
  <si>
    <t>驭兽术</t>
  </si>
  <si>
    <t>一撮缠结的毛发</t>
  </si>
  <si>
    <t>选择施法距离内一只你能看见的野兽。若该野兽的挑战等级为2或更低，则会受到法术影响；否则法术失败。受影响的生物必须通过一次感知豁免，失败则你的意识进入其身体，你将完全且精确地控制它。在此法术效应下，你能通过该生物的眼睛视物，听到它所能听到的声音，并获得该生物所具有的任何特殊感官的好处。你可以如同该生物一般移动并采取动作，且可以执行该生物在能力范围内可以完成的任务。在此期间，你的身体处于昏迷状态；这不会影响你对此法术的专注。
若该生物受到伤害，你必须进行一次感知（驯兽）检定，其DC等于10或该生物受到伤害值的一半，取较高者。若检定失败，该生物重获对其身体的控制权，且法术终止。
升环施法。使用三环或更高法术位施展该法术时，每比二环高一环，该法术能影响的最大挑战等级提高1。</t>
  </si>
  <si>
    <t>Control Animal</t>
  </si>
  <si>
    <t>反侦术</t>
  </si>
  <si>
    <t>一袋沙子和六支蜡烛</t>
  </si>
  <si>
    <t>你在施法距离内的地面上一点为中心，用蜡烛和沙子创造出一个复杂的奥术法阵。该法阵可以有10尺或更小的半径。在法术结束前的任何时候，如果法阵外的生物通过魔法或非魔法手段看见或听见你，蜡烛的火焰会改变颜色。如果是法术或魔法效应在起作用，你会察觉到它并理解其效应的范围。</t>
  </si>
  <si>
    <t>Counterspy</t>
  </si>
  <si>
    <t>余烬腹火</t>
  </si>
  <si>
    <t>一瓶油，作为该法术的耗材</t>
  </si>
  <si>
    <t>你吞下施法时消耗的油。在法术结束前，你可以使用一个附赠动作呼出这些油，并在将其从体内喷出时点燃它。一条5尺宽、30尺长的直线范围内的每个生物必须进行一次敏捷豁免，豁免失败时受到2d10点火焰伤害，豁免成功则伤害减半。
一旦你呼出油，法术随即结束。</t>
  </si>
  <si>
    <t>Ember Belly</t>
  </si>
  <si>
    <t>猿之攫</t>
  </si>
  <si>
    <t>你召唤出一只巨大的虚体猿掌，它升起并试图抓住施法距离内你能看见的一个巨型或更小的地面生物。猿掌尝试擒抱目标，使用你的施法关键属性调整值进行擒抱检定。如果你在对抗中失败，猿掌消失，法术终止。
被猿掌擒抱的目标在其每回合开始时受到1d8点暗蚀伤害。目标可以用其动作按正常规则尝试挣脱擒抱。当擒抱被解除时，猿掌消失，法术终止。
升环施法。使用三环或更高法术位施展该法术时，你使用的法术位每比二环高一环，就可以额外选择一个目标，并为每个目标分别召唤一只猿掌。这种情况下，法术持续到最后一只猿掌消失为止。当你选择这些目标时，它们之间的距离必须在60尺以内。</t>
  </si>
  <si>
    <t>Monkey's Grasp</t>
  </si>
  <si>
    <t>魔菇术</t>
  </si>
  <si>
    <t>你触碰一到三发弹药，将独特的蘑菇魔法注入其中，使其在弹药上或弹药尖端长出肥厚的绿色蘑菇。
当生物被使用该弹药的远程武器攻击命中时，它额外受到1d6点毒素伤害，且必须进行一次敏捷豁免。豁免失败时，该生物被推离等同于所受伤害数值的距离（向上取整到最近的5尺），最多15尺。无论攻击是否命中，法术随即在该发弹药上终止。
如果你再次施展这个法术，先前施法影响的任何弹药上的法术效果随即终止。</t>
  </si>
  <si>
    <t>Mushroom Ballista</t>
  </si>
  <si>
    <t>隐匿物件</t>
  </si>
  <si>
    <t>你选择施法距离内一个你能看见的物件，使其变为隐形直到法术结束。该物件不能大于5尺边长的立方体，且不能是由生物穿戴的物品。</t>
  </si>
  <si>
    <t>Obscure Object</t>
  </si>
  <si>
    <t>冲击之柱</t>
  </si>
  <si>
    <t>你迅速跺脚，召唤出一根木质或石质的柱体，从你脚下向施法距离内你能看见的一个生物突进。对目标进行一次远程法术攻击。若命中，目标受到2d12点钝击伤害，且如果目标是巨型或更小体型，它会被推离你10尺远。你与目标之间的直线地面变成困难地形，每个5尺方格区域若要用手清理至少需要1分钟。
升环施法。使用三环或更高法术位施展该法术时，你使用的法术位每比二环高一环，伤害就增加1d12。</t>
  </si>
  <si>
    <t>Pillar of Force</t>
  </si>
  <si>
    <t>怒雷云冕</t>
  </si>
  <si>
    <t>一滴水</t>
  </si>
  <si>
    <t>选择施法距离内的一个生物，可以是你自己。一朵洁白蓬松的云朵出现在目标上方，并在法术持续时间内跟随目标移动。当目标受到来自你能看见的敌对生物的伤害时，你可以使用反应，从云朵中对该生物发动一次远程法术攻击，前提是该生物位于目标60尺范围内。若命中，该生物受到2d8点闪电伤害。
升环施法。当你使用三环或更高法术位施放该法术时，每比二环高两环，伤害额外增加1d8。</t>
  </si>
  <si>
    <t>Rageful Nimbus</t>
  </si>
  <si>
    <t>法术识记</t>
  </si>
  <si>
    <t>一根红木火柴</t>
  </si>
  <si>
    <t>当你施展此法术时，你能提取出所有魔法中蕴含的独特气息。选择施法距离内你能察觉到的一个魔法效应。该效应会释放出其创造者特有的气息。如果你熟悉该生物，你会自动知道这个魔法效应是由它创造的。
如果你不熟悉该生物，你可以进行一次使用你的施法关键属性调整值的属性检定，并加上你的熟练加值。参考下表确定你从气息中能获得什么信息。当你在某个DC的检定中成功时，你也会获得较低DC对应的信息。
DC 5。你得知创造该魔法效应的生物类型。
DC 10。如果该生物具有职业，你得知其职业。
DC 15。你得知该生物是否隶属于某个组织。
DC 20。你得知该生物的名字。</t>
  </si>
  <si>
    <t>Spell Signature</t>
  </si>
  <si>
    <t>共享视界</t>
  </si>
  <si>
    <t>1英里</t>
  </si>
  <si>
    <t>一颗玻璃眼球</t>
  </si>
  <si>
    <t>你指定施法距离内一个你熟悉的自愿生物作为目标。在法术持续时间内，或直到目标以一个动作主动解除效果之前，目标可以通过你的双眼观察，并获得你所拥有的任何特殊感官的好处。在此期间，目标可以用一个附赠动作在使用自己的视觉和你的视觉之间切换。
升环施法。当你使用3环或更高法术位施展该法术时，每比二环高一环可以额外指定一个自愿生物作为目标。</t>
  </si>
  <si>
    <t>Shared Vision</t>
  </si>
  <si>
    <t>易形换貌</t>
  </si>
  <si>
    <t>此法术允许你改变施法距离内你能看到的两个类人生物的外貌。每个目标都获得幻术伪装，使其看起来像另一个目标——包括其盔甲、衣物、武器和其他随身物品。每个生物可以显得比实际高或矮1尺；除此之外，伪装会尽可能准确地复制另一个目标的体貌特征。除非你用动作提前解除，否则法术会持续到时间结束。
此法术造成的改变无法经受物理接触的检验。例如，如果此法术使一个生物因伪装而获得一件斗篷，物体会穿过这件斗篷，任何触摸斗篷的人都不会感到触感，或者会触摸到生物的背部或肩膀。如果此法术使一个生物显得比实际更小，当有人伸手触摸该生物时，他的手看似还在半空中时就会碰到实体。
生物可以使用动作检查一个目标，并进行一次对抗你法术豁免DC的智力（调查）检定。若成功，它会意识到目标是在伪装。</t>
  </si>
  <si>
    <t>Switched Form</t>
  </si>
  <si>
    <t>匿形术</t>
  </si>
  <si>
    <t>反应，当你在躲藏或不可见状态下位置即将被生物发现时触发</t>
  </si>
  <si>
    <t>你暂时性地转为隐形以避免被触发该法术的生物发现。直到你下一回合结束前，你始终处于隐形状态，且无论你在什么表面上移动，你的脚步都不会发出任何声响。任何你穿戴或携带的物品只要还在你身上就同样处于隐形状态。如果你发动攻击或施展法术，则该法术提前终止。</t>
  </si>
  <si>
    <t>Transparency</t>
  </si>
  <si>
    <t>疾风跃袭</t>
  </si>
  <si>
    <t>一阵旋转的暴风将你托起，并把你送到施法距离内一个你能看见的生物处。在本回合结束前，由于狂风的冲击，你下一次使用近战武器攻击命中生物时，该攻击额外造成2d6点挥砍伤害。</t>
  </si>
  <si>
    <t>Wind Sprint</t>
  </si>
  <si>
    <t>血祭</t>
  </si>
  <si>
    <t>一滴你的血</t>
  </si>
  <si>
    <t>你牺牲一部分生命力以增强你的魔法力量。当你施展该法术时，你受到1d6暗蚀伤害，此伤害无法以任何方式减少或阻止。在持续时间内，当你施展一道造成伤害的法术时，该法术的一个目标（由你选择）会额外受到1d6伤害，伤害类型与法术正常的伤害类型相同（如果有多种伤害类型，由你选择）。 
升环施法。使用的法术位每比二环高一环，你受到的伤害以及你法术造成的额外伤害均增加1d6。</t>
  </si>
  <si>
    <t>Blood Sacrifice</t>
  </si>
  <si>
    <t>判罪锁链</t>
  </si>
  <si>
    <t>你向施法距离内一个你可见的生物掷出一条带有倒刺的虚幻锁链。目标进行一次力量豁免。若豁免失败，则目标受到2d6力场伤害，被拉向你至多30尺，并被锁链捆缚。被锁链捆缚期间，该生物被拴系于你，无法移动或传送至距离你超过30尺的空间，并且你对该生物进行的攻击检定具有优势。 
若豁免成功，则目标仅受半伤。被捆缚的目标在其每个回合结束时重复该豁免，豁免成功则终止自身该法术。若你与目标之间的距离超过30尺，则该法术终止。 
升环施法。使用的法术位每比二环高一环，伤害就增加1d6。</t>
  </si>
  <si>
    <t>Chain of Conviction</t>
  </si>
  <si>
    <t>失落者合颂</t>
  </si>
  <si>
    <t>一个价值10GP+的银铃铛</t>
  </si>
  <si>
    <t>你在施法距离内一处你可见的点召唤出失落灵魂的诡异歌声与悲号。以该点为源点的15尺球状区域内的每个生物都必须进行一次感知豁免。若豁免失败，则目标受到2d6心灵伤害，并在持续时间内陷入恐慌状态。若豁免成功，则其受到半伤，并陷入恐慌状态，直至其下一回合结束。被恐慌的目标在其每个回合结束时重复该豁免，豁免成功则终止自身该法术。 
升环施法。使用的法术位每比二环高一环，伤害就增加1d6。</t>
  </si>
  <si>
    <t>Chorus of the Lost</t>
  </si>
  <si>
    <t>黯然销魂曲</t>
  </si>
  <si>
    <t>你对施法距离内一个你可见的生物施加一首侵蚀心智的歌谣。如果该生物的智力为4或更高，则其必须进行一次智力豁免检定，豁免失败则其在持续时间内陷入魅惑状态。 
以这种方式被魅惑期间，目标会被一首只有它能听见的、快速重复的民谣所折磨；它在其每个回合开始时受到1d6心灵伤害，并在感知（察觉）检定以及用于维持专注的体质豁免中具有劣势。目标在其每个回合结束时重复该豁免，豁免成功则终止自身该法术。 
升环施法。使用的法术位每比二环高一环，伤害就增加1d6。</t>
  </si>
  <si>
    <t>Harrowing Ballad</t>
  </si>
  <si>
    <t>血色隐秘</t>
  </si>
  <si>
    <t>一滴血，作为该法术的耗材</t>
  </si>
  <si>
    <t>你通过鲜血的力量获知施法距离内一个你可见生物的信息。你得知目标的种族、生物类型、当前生命值以及所有正在影响它的状态。你还会得知它是否具有以下任何内容，如果有，具体是什么：抗性，易伤，或对伤害或状态的免疫。 
此外，你在你的下一回合结束前对目标进行的下一次属性检定或攻击检定具有优势。</t>
  </si>
  <si>
    <t>Sanguine Secrets</t>
  </si>
  <si>
    <t>夏日清风</t>
  </si>
  <si>
    <t>你在15尺锥状区域内释放出一道光与风的冲击。锥状区域内你的盟友会恢复2d6生命值。锥状区域内对你敌对的亡灵必须进行一次体质豁免，豁免失败则受到2d6光耀伤害，豁免成功则受到半伤。 
升环施法。使用的法术位每比二环高一环，伤害与治疗量就均增加1d6。</t>
  </si>
  <si>
    <t>Summer Winds</t>
  </si>
  <si>
    <t>溃心低语</t>
  </si>
  <si>
    <t>选择施法距离内一个你可见的生物，并向其低语一句只有它可听见的骇人短语。目标必须进行一次感知豁免。若豁免失败，则目标受到2d6心灵伤害，并陷入恐慌状态，直至你的下一回合开始。若豁免成功，则目标仅受半伤。 
以这种方式被恐慌期间，该生物对你选择的钝击、穿刺或挥砍伤害具有易伤。 
升环施法。使用的法术位每比二环高一环，你就可以多选择一个生物作为目标。</t>
  </si>
  <si>
    <t>Unraveling Whisper</t>
  </si>
  <si>
    <t>死神面纱</t>
  </si>
  <si>
    <t>一颗干燥的玉米壳或麦秸</t>
  </si>
  <si>
    <t>你将自身裹于阴影之中，在攻击间隙为你提供遮掩。在你用一次攻击检定命中一个生物的任何回合结束时，你获得隐形状态，直至你的下一回合开始。</t>
  </si>
  <si>
    <t>Veil of the Reaper</t>
  </si>
  <si>
    <t>戕狱对决</t>
  </si>
  <si>
    <t>你与一名生物发起令人瞩目的决斗。若没有盟友位于你5尺内，选择施法距离内一名能看见并听见你的生物，该生物必须成功通过一次魅力豁免，否则将回应你的挑战并与你战斗。在法术持续时间内，你的AC具有+2加值，目标对除你之外任何生物发动攻击检定时都具有劣势，且目标首次尝试移动远离你时必须成功通过一次魅力豁免，否则其速度降为0。
你在距离该目标超过 30 尺的位置结束你的回合时，该法术终止。</t>
  </si>
  <si>
    <t>Infernal Challenge</t>
  </si>
  <si>
    <t>放血术</t>
  </si>
  <si>
    <t>你触碰一件非魔法武器。直到法术结束前，下一个被该武器命中的生物必须通过一次体质豁免，否则会伤口溃烂。伤口溃烂的生物在其回合开始时受到2d6点暗蚀伤害，持续至法术结束。一个生物同时只能有一道这样的溃烂伤口。
接受至少1魔法治疗后，溃烂的伤口会愈合，结束重复伤害和法术。
升环施法。当你用三环或更高环阶的法术位施展该法术时，每比二环高一环，伤口溃烂的伤害增加1d6。</t>
  </si>
  <si>
    <t>Bloodletter</t>
  </si>
  <si>
    <t>生命链接</t>
  </si>
  <si>
    <t xml:space="preserve"> 动作</t>
  </si>
  <si>
    <t>你选择的一个目标必须进行一次感知豁免。若豁免失败，则你和目标之间会形成一条病态的绿色以太系链。每当你受到伤害时、每个被此链接的目标都会受到该伤害一半的暗蚀伤害。 以这种方式造成的伤害会在计算抗性或免疫后再应用。如果被系住的目标生命值数降为0，则其将不再受到此法术的影响。 以一个附赠动作，你可以将系链从一个倒下（此处指生命值为0或死亡）的敌人身上到另一个目标身上。新目标必须通过一次感知豁免，否则也会受到此法术的影响。一个目标只能有一条系链。
升环施法。当你用四环或更高环阶的法术位施展该法术时，每2比环高2环，便可增加一条系链。</t>
  </si>
  <si>
    <t>Life Tether</t>
  </si>
  <si>
    <t>伏击猎物</t>
  </si>
  <si>
    <t>一根折断的树枝</t>
  </si>
  <si>
    <t>你引导原始的掠食能量，完美地隐藏自己的存在，让你能够出其不意地攻击目标。法术持续期间你会保持隐形，并在所有敏捷（隐匿）检定上具有优势。隐形持续至法术持续时间结束，但当你期间移动超过施法时的位置5尺或更远就会提前结束。
只要保持隐形，对任何未察觉您的目标发动的第一次攻击额外造成1d6 点伤害。这次攻击会结束法术。
升环施法。当你使用三环或更高环阶的法术位施展该法术时，每比二环高一环，第一次攻击的额外伤害就会增加 1d6。</t>
  </si>
  <si>
    <t>Ambush Prey</t>
  </si>
  <si>
    <t>咒唤摆渡人</t>
  </si>
  <si>
    <t>几枚铜币</t>
  </si>
  <si>
    <t>当你站在河岸或其他水域的岸边时，你召唤一个摆渡灵魄和它的船，它会出现在施法距离内一处可见未占据空间里。当它的生命值降为0或法术结束时，灵魄就会消失。灵魄对你和你的同伴友好。你需为该生物投掷先攻，该生物有自己的回合。它能带你和本法术每环阶最多1名同伴穿过河流或水体（不需要你的任何动作）或沿着同一水域的其他地点。如果你不发出任何命令，它会保护自己免受敌对生物的攻击，否则不会采取任何动作。
如果你的专注被打破，渡船和摆渡人不会消失。相反，你失去了对被召唤的灵魄的控制，它变得对你和你的同伴充满敌意，它可能会攻击你。一个不受控制的摆渡人不能被你解散，在你召唤它1小时后就会消失。DM掌握摆渡灵魄的数据（使用次级月魔Lesser Lunar Devil ，见第九章（翻译暂缺），或须魔Bearded Devil 的数据）。
升环施法。当你用三环或更高环阶的法术位施展该法术时，船可以带你和你的同伴穿过一个位面边界进入以太位面，然后在另一处水体处离开（使用猬魔Barbed Devil的数据）。当你使用五环或更环阶的法术位施展此法术时，它可以穿越冥河River Styx，将你和你的同伴带到多元宇宙的远处（使用月魔Lunar Devil（见《万兽图志》）或骨魔Bone Devil 的数据）。
译注：月魔数据卡见后文引用怪物或万兽图志</t>
  </si>
  <si>
    <t>Conjure Ferryman</t>
  </si>
  <si>
    <t>德雷弗恩的钝刃术</t>
  </si>
  <si>
    <t>一块生锈的铁片</t>
  </si>
  <si>
    <t>你让目标的武器迅速腐蚀。你选择施法距离内一持用锻造的，非魔法武器的生物，其必须成功通过一次力量豁免。如果失败则目标所有武器伤害掷骰必须投掷两次取较低的结果，如果法术在1分钟内结束，目标的武器将恢复正常状态。否则，武器会分解变成一堆铁锈或木屑（视情况而定）。</t>
  </si>
  <si>
    <t>Drayfn’s Blunted Blade</t>
  </si>
  <si>
    <t>冬眠术</t>
  </si>
  <si>
    <t>一束熊毛</t>
  </si>
  <si>
    <t>1小时（见法术说明）</t>
  </si>
  <si>
    <t>你哼着舒缓的旋律，丢下一点熊毛，它会诱导你触碰的下一个生物进入一种令人昏昏欲睡的治疗状态。目标恢复1d6点生命值，每恢复一点生命值就陷入10分钟的睡眠。如果该生物非自愿，则必须通过一次体质豁免，否则会在法术持续时间内陷入睡眠。 在其每个回合结束时，目标可以重复豁免。成功则目标身上的法术效应结束。
每个受此法术影响的生物都会陷入昏迷，直到法术结束、冬眠的生物受到伤害，或有人使用动作摇醒或拍醒冬眠的生物。 亡灵和免疫魅惑的生物不受此法术的影响。
升环施法。当你用三环或更高环阶的法术位施展该法术时，每比一环高环，便可额外触碰一个自愿生物作为冬眠术的目标。</t>
  </si>
  <si>
    <t>Hibernation</t>
  </si>
  <si>
    <t>克拉尔之蛆</t>
  </si>
  <si>
    <t>一条活蛆</t>
  </si>
  <si>
    <t>一条6英寸长的蛆虫在施法距离内你选择的生物体内，并开始从内部吞噬目标。你对施法距离内的一名目标发动一次近战法术攻击。命中后目标会受到1d8+你的施法属性调整值点暗蚀伤害。作为附赠动作项，在你随后的每个回合内你都可以这样重复攻击目标。
目标在其回合中可以以一个动作对蛆虫发动一次近战武器攻击。造成穿刺或挥砍伤害。蛆虫的护甲等级等于你的法术豁免DC，本法术的所用的法术位每环阶给予8点生命值。如果你的目标命中蛆，会对蛆虫造成一半的伤害，而目标受到另一半伤害。如果蛆被杀死，法术结束。
升环施法。当你用三环或更高环阶的法术位施展该法术时，每比环2高一环，造成的伤害增加1d8点。</t>
  </si>
  <si>
    <t>Krail’s Maggot</t>
  </si>
  <si>
    <t>克拉尔之裂</t>
  </si>
  <si>
    <t>反应，当你将被擒抱或吞咽时</t>
  </si>
  <si>
    <t>你用手指做出一个切割动作，魔法地进入将你擒抱或吞咽生物的身体，并从背面离开。你立即解除目标生物对你的擒抱，且该生物必须进行一次体质豁免，豁免失败受到3d12点暗蚀伤害，豁免成功伤害减半。
如果是在被吞咽的情况下施展该法术，不管你对它造成了多少伤害，你都会离开触发生物的身体。倒地并出现在触发反应的生物10尺内的一处未占据空间。
升环施法。当你使用三环或者更高环阶的法术位施展此法术时，每比二环高一环，造成的伤害增加1d12。</t>
  </si>
  <si>
    <t>Krail’s Rupture</t>
  </si>
  <si>
    <t>雷洛赫的恼人卡祖笛</t>
  </si>
  <si>
    <t>一把木制卡祖笛</t>
  </si>
  <si>
    <t>你用卡祖笛吹奏出悠长、婉转的音符。所有距离你10尺内能听到你的声音的生物都必须进行一次体质豁免。豁免失败的生物会在你的每个回合开始时受到1d6点雷鸣伤害，并在持续时间内无法施展具有语言成分的法术。豁免成功的生物会受到1d6点雷鸣伤害，并在其下一回合结束前无法施展带有语言成分的法术。豁免失败的生物可以在其每个回合结束时重新豁免，豁免成功终止对自身影响。</t>
  </si>
  <si>
    <t>Leiloch’s Irritating Kazoo</t>
  </si>
  <si>
    <t>不详妖风</t>
  </si>
  <si>
    <t>一块裂开的骨头</t>
  </si>
  <si>
    <t>你指定施法距离内至多三个名可见生物，并迫使其进行一次魅力豁免。豁免失败者直至法术结束前，其每当进行攻击检定或豁免时，必须从掷骰结果中减去一个d12。
升环施法。使用三环或更高环阶的法术位施展本法术时，你使用的法术位每比二环高一环，就能多指定一个目标。</t>
  </si>
  <si>
    <t>Ominous winds</t>
  </si>
  <si>
    <t>暗影适应术</t>
  </si>
  <si>
    <t>一块黑布</t>
  </si>
  <si>
    <t>你的肉体和衣服变得苍白且褪色，因为你的身体上呈现出一小块影域的碎片。在此法术的持续时间内，你对暗影腐化Shadow Corruption状态免疫，并对暗蚀伤害具有抗性。此外，对于降低你的力量或生命值上限的效果，如幽影Shadow的汲取力量或法术重伤术Harm ，你的豁免也具有优势。</t>
  </si>
  <si>
    <t>Shadow Adaptation</t>
  </si>
  <si>
    <t>丑小鸭</t>
  </si>
  <si>
    <t>一面镜子</t>
  </si>
  <si>
    <t>你选择的施法距离内一生物，其必须进行一次魅力豁免。豁免失败时，目标在所有魅力检定上都具有劣势，与之交谈的人在法术持续时间内对其漠不关心。如果目标在此法术效应下成功通过一次魅力检定，则可以进行一次新的魅力豁免以克服该效果。
升环施法。当你用三环或更高环阶的法术位施展该法术时，每比二环高一环，便可额外指定一名目标。</t>
  </si>
  <si>
    <t>Ugly Duckling</t>
  </si>
  <si>
    <t>死佑护甲</t>
  </si>
  <si>
    <t>一块价值50+GP的缟玛瑙，作为法术的耗材</t>
  </si>
  <si>
    <t>墨色的灵光在法术持续时间内环绕你触碰的一名生物。该生物进行的死亡豁免具有优势，且每回合一次，当位于法术目标5尺内的生物用近战攻击检定命中法术目标时，该攻击者受2d4暗蚀伤害。</t>
  </si>
  <si>
    <t>Death Armor</t>
  </si>
  <si>
    <t>德莱雅的人工生命小帮手</t>
  </si>
  <si>
    <t>价值100+GP的宝石粉末，作为法术的耗材；外加一套你熟练的工匠工具</t>
  </si>
  <si>
    <t>你召唤一群灵体小帮手，持续至法术结束。小帮手们看起来像是人工生命体或是其它由你选择的构装，但其不具备实体，亦无法被伤害。小帮手们视为具有对奥秘技能以及用来施展该法术的那套工匠工具的熟练项。
若你正在制造一件物品，这些灵体小帮手整体可被视为一名协助者，减半你制作这件物品的时间。</t>
  </si>
  <si>
    <t>Deryan's Helpful Homunculi</t>
  </si>
  <si>
    <t>伊尔明斯特的法术闪避</t>
  </si>
  <si>
    <t>奥术法阵令你能在持续时间内抵抗魔法。你对抗法术和其他魔法效应时进行的豁免检定具有优势。此外，若你对抗豁免成功受半数伤害的法术或魔法效应时，若豁免成功则不受伤害。</t>
  </si>
  <si>
    <t>Elminster's Elusion</t>
  </si>
  <si>
    <t>人工生命仆从</t>
  </si>
  <si>
    <t>价值100+GP的宝石</t>
  </si>
  <si>
    <t>你在施法距离内一处未占据空间里召唤出一个特别的人工生命体。该生物使用人工生命仆从Homunculus Servant的数据。如果你已经从这个法术拥有了一个人工生命体，该人工生命体将会被新的取代。你决定人工生命体的外观，比如一只机械鸟，带翅膀的小瓶子，或微型的活化坩埚。
战斗Combat。人工生命体对你和你的盟友来说是一位盟友。在战斗中，它使用你的先攻值，在你的回合结束后立即执行它的回合。它服从于你的命令（无需消耗你的动作）。如果你未发配命令，它会采取回避动作，并使用移动力避免危险。
升环施法。 在其数据的法术环阶中使用法术位的环阶。
人工生命仆从Homunculus Servant
微型构装，中立
AC 13 
HP 5+每法术环阶5（仆从具有等于法术环阶熟练的生命骰[d4]） 
速度 20尺，飞行30尺 
  调整 豁免    调整 豁免    调整 豁免 
力量 4 -3 -3  敏捷 15 +2 +2  体质 12 +1 +1 
智力 10 +0 +0  感知 10 +0 +0  魅力 7 -2 -2 
免疫 毒素；力竭，中毒 
感官 黑暗视觉60尺，被动察觉10 
语言 心灵感应1里（只与你起效） 
CR 无（XP 0；PB等于你的熟练加值） 
特质Traits
反射闪避Evasion。当人工生命体受到一个允许其进行敏捷豁免来只承受一半伤害的效应影响时，其豁免成功时不受伤害，豁免失败时只承受一半伤害。其无法在失能期间使用此特性。 
魔法连结Magic Bond。 将你的熟练加值加入人工生命体进行的任何属性检定与豁免检定。
动作Actions
力场打击Force Strike。 近战或远程攻击检定：加值等于你的法术攻击加值，触及5尺或射程30尺。命中：1d6外加法术环阶的力场伤害。
反应Reactions
传递法术Channel Magic。 触发：人工生命体位于你120尺内期间，你施展了一道施法距离为触碰的法术。 响应： 人工生命体通过其触碰传递法术</t>
  </si>
  <si>
    <t>Homunculus Servant</t>
  </si>
  <si>
    <t>活化死尸</t>
  </si>
  <si>
    <t>一滴血、一块肉、以及一点骨灰</t>
  </si>
  <si>
    <t>在施法距离内指定一具中型或小型类人生物遗骨或遗体。目标将变为一名亡灵生物：遗骨变为骷髅skeleton，遗体则变为丧尸zombie。（这些生物的资料卡见附录B）。
在你的每个回合内，你可以使用一个附赠动作并以精神命令操纵距离你 60 尺内，任何你用此法术制造的生物（如果你操纵多个生物，则你的命令可以同时传达给它们全部或是其中的某几个，不过每次只能为它们下达同一命令）。你决定被操纵生物下回合执行的动作和如何移动。或者，你也可以选择下达一条宽泛的命令（比如守护某个房间或走廊）。如果你没有下达命令，该生物将执行回避动作且只会为躲避危险而移动。一旦被下达命令，该生物会持续执行命令直到任务完成。
这些受操纵生物只会在 24 小时内服从你的命令，在之后，它们会停止遵守你下达的命令。若你想将对这些生物的控制时间再延长24小时，则你必须在当前24小时的时间段终止前再次对这些生物施展该法术。法术的此种用法只能延长你对至多四个你使用此法术所创造生物的控制时间，而不会创造新的生物。
升环施法：使用的法术位每比三环高一环，你就能多唤起两只亡灵生物，或是多延长对两只亡灵生物的控制。你无法用同一具骸骨或遗体唤起多个亡灵生物。</t>
  </si>
  <si>
    <t>Animate Dead</t>
  </si>
  <si>
    <t>活力灵光</t>
  </si>
  <si>
    <t>一道灵光自你身上发出并形成30尺半径的光环 。当你创造灵光时和它持续时你的每个回合开始，你可以为区域内的一名生物回复2d6点生命值。</t>
  </si>
  <si>
    <t>Aura of Vitality</t>
  </si>
  <si>
    <t>希望信标</t>
  </si>
  <si>
    <t>在施法距离内指定任意数量的生物，并使其在法术持续时间内进行的感知豁免和死亡豁免具有优势。此外，其获得的所有治疗的生命值恢复量都取最大值。</t>
  </si>
  <si>
    <t>Beacon of Hope</t>
  </si>
  <si>
    <t>降咒</t>
  </si>
  <si>
    <r>
      <rPr>
        <sz val="11"/>
        <color theme="1"/>
        <rFont val="仿宋"/>
        <charset val="134"/>
      </rPr>
      <t>你触碰一名生物。该生物必须进行一次感知豁免并成功通过，否则将在法术持续时间内被诅咒。直到诅咒终止前，目标会遭受以下一项效应，由你选择：
　　</t>
    </r>
    <r>
      <rPr>
        <sz val="11"/>
        <color theme="1"/>
        <rFont val="Arial"/>
        <charset val="134"/>
      </rPr>
      <t>•</t>
    </r>
    <r>
      <rPr>
        <sz val="11"/>
        <color theme="1"/>
        <rFont val="仿宋"/>
        <charset val="134"/>
      </rPr>
      <t xml:space="preserve"> 选择一项属性。目标使用该属性所进行的属性检定和豁免检定具有劣势。
　　</t>
    </r>
    <r>
      <rPr>
        <sz val="11"/>
        <color theme="1"/>
        <rFont val="Arial"/>
        <charset val="134"/>
      </rPr>
      <t>•</t>
    </r>
    <r>
      <rPr>
        <sz val="11"/>
        <color theme="1"/>
        <rFont val="仿宋"/>
        <charset val="134"/>
      </rPr>
      <t xml:space="preserve"> 目标对你发动的攻击检定具有劣势。
　　</t>
    </r>
    <r>
      <rPr>
        <sz val="11"/>
        <color theme="1"/>
        <rFont val="Arial"/>
        <charset val="134"/>
      </rPr>
      <t>•</t>
    </r>
    <r>
      <rPr>
        <sz val="11"/>
        <color theme="1"/>
        <rFont val="仿宋"/>
        <charset val="134"/>
      </rPr>
      <t xml:space="preserve"> 在战斗中，目标在其每回合开始时必须进行一次感知豁免，豁免失败则在该回合中被迫执行回避动作。
　　</t>
    </r>
    <r>
      <rPr>
        <sz val="11"/>
        <color theme="1"/>
        <rFont val="Arial"/>
        <charset val="134"/>
      </rPr>
      <t>•</t>
    </r>
    <r>
      <rPr>
        <sz val="11"/>
        <color theme="1"/>
        <rFont val="仿宋"/>
        <charset val="134"/>
      </rPr>
      <t xml:space="preserve"> 若你的攻击检定或法术对目标造成了伤害，则目标还会额外受到1d8黯蚀伤害。
升环施法：使用四环法术位施展此法术时，你可以维持此法术的专注至多10分钟。使用五环及更高环阶的法术位施展此法术时，此法术无需专注，并且持续时间变为8小时（5~6环法术位）或24小时（7~8环法术位）。若你使用9环法术位施展此法术，则此法术会一直持续到被解除为止。</t>
    </r>
  </si>
  <si>
    <t>Bestow Curse</t>
  </si>
  <si>
    <t>致盲斩</t>
  </si>
  <si>
    <t>被该次攻击检定命中的目标会在此次攻击中额外受到3d8点光耀伤害，并且目标陷入目盲状态直至法术结束。陷入目盲的目标在其每回合结束时可以进行一次体质豁免，豁免成功则终止其身上的法术。
升环施法：你使用的法术位每比三环高一环，此法术的额外伤害提升1d8。</t>
  </si>
  <si>
    <t>Blinding Smite</t>
  </si>
  <si>
    <t>闪现术</t>
  </si>
  <si>
    <t>你在法术持续时间内每次自己回合结束时掷一次d6。结果为4~6时，你从你现在身处的存在位面消失，并出现在以太位面Ethereal Plane （若你本已身处以太位面，此法术会立即终止）。在你身处以太位面期间，你可以观测到你所离开位面的黑白影像，但只限于60尺之内。你只能影响其他身处以太位面的生物，或被其影响。并且处于其他位面的生物在没有能够观测到以太位面事物的特殊能力的情况下，同样无法观测到你。
你会在你的下一回合开始时返回其他位面；如果当你法术终止时身处以太位面，你同样会返回其他位面。你返回原先位面时会出现在一个你原先位置10尺之内你可见的未被占据的空间之中。若在此范围内没有未被占据的空间，则你会出现在最近的未被占据的空间之中。</t>
  </si>
  <si>
    <t>Blink</t>
  </si>
  <si>
    <t>召雷术</t>
  </si>
  <si>
    <t>一朵风暴云在施法距离内你上方可见的一点出现。风暴云表现为高10尺、半径60尺的柱状形状。
当你施展这道法术时，选择风暴云下方你可见的一点。一束闪电从云端射向该点。位于该点5尺内的生物进行一次敏捷豁免。豁免失败者受到3d10闪电伤害，豁免成功则仅受半数伤害。
直至法术结束前，你都可以执行一个魔法动作以此法再次降下闪电，并指定闪电射向同一点或另选一点。
若施法时你身处暴风雨环境下的室外，则该法术令你得以控制空中的风暴而非创造一朵新的风暴云。在这种状况下，法术伤害增加1d10。
升环施法：使用的法术位每比三环高一环，此法术的伤害就增加 1d10。</t>
  </si>
  <si>
    <t>Call Lightning</t>
  </si>
  <si>
    <t>鹰眼术</t>
  </si>
  <si>
    <t>一件价值100GP+的法具：选择聆听则为一个以珠宝装饰的号角，选择观察则为一颗玻璃眼珠</t>
  </si>
  <si>
    <t>你在施法距离内某处创造一个隐形的传感器，该处可以是你熟悉的地点（你曾到访过或看见过的地方），也可以是你不熟悉的显眼处（比如一扇门后，拐角位置或树林里）。这一无形体且不受伤害的传感器会在法术持续期间停留在该地。
施展该法术时，你可以选择进行观察或是聆听。你可以通过传感器以所选的感官方式感测，如同你处在传感器所在的空间。你能够以一个附赠动作在观察和聆听之间切换。
可以看见传感器的生物（例如一名生物受益于识破隐形See Invisibility或真实视觉 时）会看到传感器是一个拳头大小的发光球体。</t>
  </si>
  <si>
    <t>Clairvoyance</t>
  </si>
  <si>
    <t>咒唤兽群</t>
  </si>
  <si>
    <r>
      <rPr>
        <sz val="11"/>
        <color theme="1"/>
        <rFont val="仿宋"/>
        <charset val="134"/>
      </rPr>
      <t>你将自然精魂咒唤在施法距离内一处你可见的未占据空间中，他们以幽灵般虚幻兽群的形象出现（占据大型空间）。兽群在持续时间内一直存在，并且你可以选择动物精魂的形态——例如狼群、蛇群或是鸟群。
　　</t>
    </r>
    <r>
      <rPr>
        <sz val="11"/>
        <color theme="1"/>
        <rFont val="Arial"/>
        <charset val="134"/>
      </rPr>
      <t>•</t>
    </r>
    <r>
      <rPr>
        <sz val="11"/>
        <color theme="1"/>
        <rFont val="仿宋"/>
        <charset val="134"/>
      </rPr>
      <t xml:space="preserve"> 在你位于兽群5尺内期间，你的力量豁免检定具有优势。当你在你的回合移动时，你可以令兽群也移动至多30尺到一处你可见的未被占据的空间中。
　　</t>
    </r>
    <r>
      <rPr>
        <sz val="11"/>
        <color theme="1"/>
        <rFont val="Arial"/>
        <charset val="134"/>
      </rPr>
      <t>•</t>
    </r>
    <r>
      <rPr>
        <sz val="11"/>
        <color theme="1"/>
        <rFont val="仿宋"/>
        <charset val="134"/>
      </rPr>
      <t xml:space="preserve"> 每当兽群在移动中进入了一名你可见的生物10尺内时、一名你可见的生物进入位于兽群10尺内的空间或是在该空间结束其回合时，你都可以迫使该生物进行一次敏捷豁免检定。失败则该生物受到3d10挥砍伤害。一名生物一回合只需要进行一次该豁免。
升环施法： 使用的法术位每比三环高一环，此法术的伤害就增加1d10。</t>
    </r>
  </si>
  <si>
    <t>Conjure Animals</t>
  </si>
  <si>
    <t>箭如雨下</t>
  </si>
  <si>
    <t>一把价值1+CP的近战或远程武器</t>
  </si>
  <si>
    <t>你挥舞作为施法材料的武器，令无数外形相似的灵体武器（或是适合这把武器的弹药）显现，它们将向前射出并在之后消失。每名由你选择且你可见的位于60尺锥形区域内的生物进行一次敏捷豁免检定，豁免失败者将受到5d8点力场伤害，豁免成功则只受一半伤害。
升环施法：使用的法术位每比三环高一环，此法术的伤害就增加1d8。</t>
  </si>
  <si>
    <t>Conjure Barrage</t>
  </si>
  <si>
    <t>法术反制</t>
  </si>
  <si>
    <t>反应，当你看见距你60尺内一名生物施展一道具有言语、姿势或材料成分的法术时可用</t>
  </si>
  <si>
    <t>你试图打断一名正在施法的生物。该生物进行一次体质豁免。豁免失败则法术消散且毫无效果，并且用于施展法术的动作、附赠动作或反应随之浪费。如果那道法术是使用法术位施展的，则法术位并不会被消耗。</t>
  </si>
  <si>
    <t>Counterspell</t>
  </si>
  <si>
    <t>造粮术</t>
  </si>
  <si>
    <t>你在施法距离内的地面上或容器中创造45磅食物和30加仑淡水，该法术创造的食物和水均可用于避免饥饿和脱水 的危害。食物味道寡淡却营养丰富，并且看起来像一种你选择的食物，水也是干净的。食物24小时内未被食用即会变坏。</t>
  </si>
  <si>
    <t>Create Food and Water</t>
  </si>
  <si>
    <t>十字军披风</t>
  </si>
  <si>
    <t>你在30尺光环区域内散发出魔法灵光。位于灵光范围期间，你和你盟友以一把武器或一次徒手打击命中时将额外造成1d4光耀伤害。</t>
  </si>
  <si>
    <t>Crusader's Mantle</t>
  </si>
  <si>
    <t>昼明术</t>
  </si>
  <si>
    <t>法术持续时间内，日光从施法距离内一点发散而出，充斥一个60尺半径的球状区域。日光区域视为明亮光照，且会再额外散发出60尺微光光照。
或者，你可以将此法术施展于一个未被着装或携带的物件上，使日光充斥以该物件为中心的60尺光环区域。将该物件用不透明的东西遮掩（比如用碗或头盔盖住）时，会将日光隔绝。
如果法术区域与任何三环或更低环阶法术创造的黑暗 区域重叠，则这些造暗的法术将被解除。</t>
  </si>
  <si>
    <t>Daylight</t>
  </si>
  <si>
    <t>解除魔法</t>
  </si>
  <si>
    <t>在施法距离内指定一名生物、一个物件或一处魔法效应。所有影响该目标的三环或更低环阶法术即告终止。每个影响目标的四环或更高环阶法术都需要以你的施法属性进行一次属性检定（DC 10+目标法术环阶），检定成功时目标法术终止。
升环施法：你直接终止影响目标的小于等于该施法环阶的法术效应。</t>
  </si>
  <si>
    <t>Dispel Magic</t>
  </si>
  <si>
    <t>元素武器</t>
  </si>
  <si>
    <t>你触碰的一把非魔法武器变成魔法武器。选择下述伤害类型之一：强酸、寒冷、火焰、闪电、雷鸣。法术持续时间内，用那把武器发动的攻击检定具有+1加值，且在命中时造成额外1d4点你所选伤害类型的伤害。
升环施法：使用五环或六环法术位时，攻击检定的加值变为+2，额外伤害变为2d4。使用七环或更高法术位时，攻击检定的加值变为+3，额外伤害变为3d4。</t>
  </si>
  <si>
    <t>Elemental Weapon</t>
  </si>
  <si>
    <t>恐惧术</t>
  </si>
  <si>
    <t>一根白羽毛</t>
  </si>
  <si>
    <t>30尺锥状区域内的所有生物必须通过一次感知豁免，豁免失败者将丢弃其所有持握物，并在法术持续时间内陷入恐慌状态。
以此法被恐慌的生物必须在自己回合中执行疾走动作，并以此寻找最安全的路线远离你，直至其无路可走为止。如果该生物结束其回合时位于一处使其视觉线中没有你的空间，则其可以再进行一次感知豁免，豁免成功则法术对该生物的效应终止。</t>
  </si>
  <si>
    <t>Fear</t>
  </si>
  <si>
    <t>假死术</t>
  </si>
  <si>
    <t>一撮墓土</t>
  </si>
  <si>
    <t>你触碰一名自愿生物并将其变得如死者般的僵直。
在法术持续时间内，对目标进行的任何肉体检查和法术检测都显示目标已死亡。该状况下的目标陷入目盲以及失能状态，且其速度降至0。
目标对除了心灵伤害外的所有伤害类型具有抗性，也免疫中毒状态。</t>
  </si>
  <si>
    <t>Feign Death</t>
  </si>
  <si>
    <t>火球术</t>
  </si>
  <si>
    <t>一颗蝙蝠粪和硫磺搓成的小球</t>
  </si>
  <si>
    <t>明亮的闪光从你的指间飞驰向施法距离内你指定的一点，并随着一声低吼迸成一片烈焰。目标点周围半径20尺球状区域内的每个生物必须进行一次敏捷豁免。豁免失败者将受到8d6点火焰伤害，豁免成功则伤害减半。
区域内所有未被着装或携带的可燃物件会开始燃烧。
升环施法：使用的法术位每比三环高一环，此伤害就增加1d6。</t>
  </si>
  <si>
    <t>Fireball</t>
  </si>
  <si>
    <t>飞行术</t>
  </si>
  <si>
    <t>一根羽毛</t>
  </si>
  <si>
    <t>你触碰一个自愿生物。目标在法术持续时间内获得60尺的飞行速度且可以悬浮。法术终止时，如果目标仍在空中，否则其随即坠落，除非其有办法阻止坠落。
升环施法：使用的法术位每比三环高一环，你就可以额外再指定一名生物作为法术目标。</t>
  </si>
  <si>
    <t>Fly</t>
  </si>
  <si>
    <t>气化形体</t>
  </si>
  <si>
    <t>一小块纱布</t>
  </si>
  <si>
    <t>在法术持续时间内，你将触碰到的一名自愿生物连同其穿着携带物一起转化为一团云雾。如果目标的生命值降至0或其用一个魔法动作终止其身上的法术效应，则该目标身上的法术终止。
在该形态下，目标唯一的移动方式即是10尺的飞行速度，且可以悬浮。该目标可以进入并占据一个已有生物占据的空间。其拥有钝击、穿刺和挥砍伤害的抗性，其对倒地状态免疫，且进行的力量、敏捷、体质豁免具有优势。该目标可以穿过狭隙，但会将液态物质视为固体表面。
云雾形态的目标不能讲话或操作物件，其随身携带或持握的物件不会掉落，也不能被使用或与之互动。另外，目标也不能攻击或施法。
升环施法：使用的法术位每比三环高一环，你就可以额外再指定一名生物作为法术目标。</t>
  </si>
  <si>
    <t>Gaseous Form</t>
  </si>
  <si>
    <t>守卫刻纹</t>
  </si>
  <si>
    <t>价值200GP+的钻石尘，作为法术耗材</t>
  </si>
  <si>
    <t>直到被解除或触发</t>
  </si>
  <si>
    <r>
      <rPr>
        <sz val="11"/>
        <color theme="1"/>
        <rFont val="仿宋"/>
        <charset val="134"/>
      </rPr>
      <t>施展该法术时，你在某个表面（诸如桌面或地板）或某个能被关闭以隐藏刻纹的物件里（诸如书本或宝箱）刻画一个会释放魔法效应的刻纹。该刻纹可以覆盖直径不超过10尺的区域。如果受术的物件或表面从被施法位置被移开超过10尺，则其刻纹被破坏且法术不被触发即告终止。
结界刻纹近乎不可察觉，其需要以你的法术豁免DC进行一次成功的感知（察觉）检定才能被发现。
刻画刻纹时，你可以设定其触发条件，并从爆炸符文和法术刻纹两者中选择其一：
　　</t>
    </r>
    <r>
      <rPr>
        <sz val="11"/>
        <color theme="1"/>
        <rFont val="Arial"/>
        <charset val="134"/>
      </rPr>
      <t>•</t>
    </r>
    <r>
      <rPr>
        <sz val="11"/>
        <color theme="1"/>
        <rFont val="仿宋"/>
        <charset val="134"/>
      </rPr>
      <t xml:space="preserve"> 设定触发条件Set the Trigger。你在施法时设定结界刻纹的触发条件。刻画于表面的刻纹其最典型的触发条件包括：触碰或站立在刻纹上；拿掉覆盖在刻纹上的物件；进入刻纹一定范围。刻画在物件内的刻纹其最典型的触发条件包括：打开物件；看到该刻纹。刻纹一旦被触发，则该法术终止。
你可以进一步细化触发条件，比如设定只有特定生物种类（例如设定为只影响异怪Aberration）才能触发刻纹。你还可以为生物设置不触发刻纹的条件，诸如某人说出特定口令。
　　</t>
    </r>
    <r>
      <rPr>
        <sz val="11"/>
        <color theme="1"/>
        <rFont val="Arial"/>
        <charset val="134"/>
      </rPr>
      <t>•</t>
    </r>
    <r>
      <rPr>
        <sz val="11"/>
        <color theme="1"/>
        <rFont val="仿宋"/>
        <charset val="134"/>
      </rPr>
      <t xml:space="preserve"> 爆炸符文Explosive Runes。符文被触发时将在半径 20尺球状区域内爆发魔法能量。区域内的每个生物必须进行一次敏捷豁免。豁免失败者将受到5d8点强酸，冷冻，火焰，闪电，或雷鸣伤害（你在制造刻纹时指定），豁免成功则伤害减半。
　　</t>
    </r>
    <r>
      <rPr>
        <sz val="11"/>
        <color theme="1"/>
        <rFont val="Arial"/>
        <charset val="134"/>
      </rPr>
      <t>•</t>
    </r>
    <r>
      <rPr>
        <sz val="11"/>
        <color theme="1"/>
        <rFont val="仿宋"/>
        <charset val="134"/>
      </rPr>
      <t xml:space="preserve"> 法术刻纹Spell Glyph。作为创造符文的一部分，你可以施展一道已准备的的三环或更低环阶法术，并将其储备在所创造的刻纹中。所储备法术必须以单一生物或一个区域为目标，而被储存的法术以该方式施展时并不会立即生效。
符文被触发时，所储备的法术即刻生效。如果法术有一个目标，则以触发刻纹的生物为目标；如果法术影响一个区域，则该区域以此生物为中心；如果法术召唤敌对Hostile生物或创造伤害性质的物件或陷阱，则这些造物将显现在尽可能靠近触发者的地方并攻击它。如果法术需要专注，则其效应将在其最大持续时间内维持。
升环施法：使用的法术位每比三环高一环，此法术的爆炸符文的伤害就增加1d8。如果你创造一个法术刻纹，则其储备法术的环阶至高可以与你施放守卫刻文时使用的法术位环阶相同。</t>
    </r>
  </si>
  <si>
    <t>Glyph of Warding</t>
  </si>
  <si>
    <t>加速术</t>
  </si>
  <si>
    <t>一片甘草根切片</t>
  </si>
  <si>
    <t>指定施法距离内一个你能看见的自愿生物。直至法术终止前，目标速度翻倍；其AC获得+2加值；其进行敏捷豁免时具有优势；其每个回合都可作出一个额外的动作，但该动作只能用于执行攻击动作（仅一次攻击），或者疾走、撤离、躲藏和利用动作。
法术终止时，目标将泛起一阵倦意使其失能并且速度为0，持续至其下一回合结束。</t>
  </si>
  <si>
    <t>Haste</t>
  </si>
  <si>
    <t>哈达之欲</t>
  </si>
  <si>
    <t>一条酸洗过的触须</t>
  </si>
  <si>
    <t>你打开了通往遥远国度的大门，展现其中难以名状的恐怖。以施法距离内一点为中心，一个半径 20 尺的黑暗球状区域显现并持续至该法术终止。这个球状区域是困难地形，并同时发散着能在30尺内听到的不谐耳语和啜嚼噪音。任何光照，无论是魔法光照还是其他光照都无法照亮这个区域，而完全进入该区域内的生物将陷入目盲状态。
任何在区域内开始其回合的生物将受到 2d6 点冷冻伤害。任何在区域内结束其回合的生物必须进行一次敏捷豁免，豁免失败者将因异界软体触手的触碰而受到2d6点强酸伤害。
升环施法：使用的法术位每比三环高一环，此法术造成的寒冷或者强酸伤害（由你选择）就增加1d6。</t>
  </si>
  <si>
    <t>Hunger of Hadar</t>
  </si>
  <si>
    <t>催眠图纹</t>
  </si>
  <si>
    <t>一撮五彩纸屑</t>
  </si>
  <si>
    <t>你在施法距离内一处边长 30 尺的立方区域内创造出一个在空中舞动旋转的彩色图纹。图纹在出现片刻后消失，然后迫使区域内每个看到它的生物进行一次感知豁免，豁免失败者将在法术持续时间内陷入魅惑状态。在被该法术魅惑期间，被该法术魅惑的生物陷入失能状态，且速度降为0。
如果受术生物受到任何伤害，或有其他生物用一个动作将其从恍惚中摇醒，则其身上的此效应将提前终止。</t>
  </si>
  <si>
    <t>Hypnotic Pattern</t>
  </si>
  <si>
    <t>李欧蒙小屋</t>
  </si>
  <si>
    <t>一个小水晶珠子</t>
  </si>
  <si>
    <t>你释放出一个固定在原位的半径10尺的光环，光环会在法术持续时间内保持存在。如果光环的大小不足以完全覆盖其区域内的所有生物，法术会失败。
在施展此法术时即处于光环内的生物和物件可以自由进出光环。而所有其他生物和物件都将被阻挡而无法进出。三环或更低级别的法术既无法直接穿过光环施放，也无法使法术效果延伸至穿过光环。
光环内的空气干爽舒适，而无论外侧气候如何。你可以在法术终止前使光环内的光照变为昏暗光照或黑暗（无需任何动作）。光环从外侧看是不透明的，并且呈现出由你选定的颜色，但从内侧看它则是透明的。
当你离开该区域，或试图再次施展该法术时，法术将提前终止。</t>
  </si>
  <si>
    <t>Leomund's Tiny Hut</t>
  </si>
  <si>
    <t>闪电箭矢</t>
  </si>
  <si>
    <t>附赠动作，在你使用武器发动远程攻击命中一个目标或失手时紧接可用</t>
  </si>
  <si>
    <t>当你的攻击命中一个目标或失手时，该武器的弹药或该武器本身变为一束闪电。作为目标从这次攻击中受到的任何伤害或其他效果的替代，若该攻击命中，则目标受到4d8点闪电伤害，若该攻击未命中，则受到一半伤害。无论你的攻击是否命中，目标周围10尺范围内的每个生物都必须进行一次敏捷豁免，豁免失败则受到2d8点闪电伤害，豁免成功则受到半数伤害。
在此之后，该弹药或武器变回其正常形态。
升环施法：使用的法术位每比三环高一环，上述两种效应的伤害都各增加1d8。</t>
  </si>
  <si>
    <t>Lightning Arrows</t>
  </si>
  <si>
    <t>闪电束</t>
  </si>
  <si>
    <t>一些毛皮和一把水晶权杖</t>
  </si>
  <si>
    <t>一束100 尺长，5尺宽的线状闪电从你的位置向你指定的方向爆发迸出。在线状区域内的每个生物必须进行一次敏捷豁免，豁免失败者将受到8d6点闪电伤害，豁免成功则受到一半伤害。
升环施法： 使用的法术位每比三环高一环，此法术的伤害就增加1d6。</t>
  </si>
  <si>
    <t>Lightning Bolt</t>
  </si>
  <si>
    <t>防护法阵</t>
  </si>
  <si>
    <t>总价值100GP+的盐和银粉，作为法术耗材</t>
  </si>
  <si>
    <r>
      <rPr>
        <sz val="11"/>
        <color theme="1"/>
        <rFont val="仿宋"/>
        <charset val="134"/>
      </rPr>
      <t>指定施法距离内地面上你能看见的一点，并以该处为中心创造一个 10 尺半径、20 尺高的柱状魔法能量。承载能量柱的地面或其他平面上会显现出闪光的符文。
指定以下生物类型中的一种或多种：天族、元素、精类、邪魔、亡灵。法阵将会对被指定类型的生物产生以下效应：
　　</t>
    </r>
    <r>
      <rPr>
        <sz val="11"/>
        <color theme="1"/>
        <rFont val="Arial"/>
        <charset val="134"/>
      </rPr>
      <t>•</t>
    </r>
    <r>
      <rPr>
        <sz val="11"/>
        <color theme="1"/>
        <rFont val="仿宋"/>
        <charset val="134"/>
      </rPr>
      <t xml:space="preserve"> 该类生物不能以非魔法手段主动进入柱状区域内。如果该类生物试图使用传送或位面旅行进入此区域，则它必须先进行一次魅力豁免以判定其是否成功。
　　</t>
    </r>
    <r>
      <rPr>
        <sz val="11"/>
        <color theme="1"/>
        <rFont val="Arial"/>
        <charset val="134"/>
      </rPr>
      <t>•</t>
    </r>
    <r>
      <rPr>
        <sz val="11"/>
        <color theme="1"/>
        <rFont val="仿宋"/>
        <charset val="134"/>
      </rPr>
      <t xml:space="preserve"> 该类生物对柱状区域内的生物进行攻击检定时具有劣势。
　　</t>
    </r>
    <r>
      <rPr>
        <sz val="11"/>
        <color theme="1"/>
        <rFont val="Arial"/>
        <charset val="134"/>
      </rPr>
      <t>•</t>
    </r>
    <r>
      <rPr>
        <sz val="11"/>
        <color theme="1"/>
        <rFont val="仿宋"/>
        <charset val="134"/>
      </rPr>
      <t xml:space="preserve"> 柱状区域内的目标不受该类生物所魅惑、恐慌、或附身 。
施展该法术时，你可以选择让魔法作用于相反的方向来阻止特定种类的生物离开柱状区域内，以保护区域外的目标。
升环施法：使用的法术位每比三环高一环，法术持续时间就增加 1 小时。</t>
    </r>
  </si>
  <si>
    <t>Magic Circle</t>
  </si>
  <si>
    <t>高等幻象</t>
  </si>
  <si>
    <t>你创造一个影像，其形象来自一个大小不超过边长20尺立方体的物件或生物，或是其他的可视现象。影像出现在施法距离内你能看见的一处位置并在法术持续时间内维持存在。它看起来完全是真实的，并且还具有相应的声音、气味和温度。但它无法造成伤害或让人陷入任何状态。
在该幻象施法距离内时，你可以用一个魔法动作将影像移动到施法距离内的另一个位置。影像改变位置时，你可以改变影像的外表来使它移动得更自然。例如，如果你创造了一个生物的影像并移动它，则你可以改变影像，使它看起来就像是在走路。或者你也可以让影像在不同的时间发出不同的声音，甚至可以让它参与一场对话。
由于影像可以被穿过，任何与该影像进行的物理互动都会暴露其幻象的本质。一个生物用研究动作调查影像时，它可以进行一次对抗你的法术豁免 DC 的智力（调查）检定，以判定是否看穿幻象。辨出幻象的生物可以看破该影像，而影像的其他感官效应在该生物看来会变得微弱而模糊。
升环施法： 使用高于三环的法术位时，法术时间持续至被解除且无需专注。</t>
  </si>
  <si>
    <t>Major Image</t>
  </si>
  <si>
    <t>群体治愈真言</t>
  </si>
  <si>
    <t>指定施法距离内至多六个你能看见的生物，使它们恢复 2d4+你的施法属性调整值 点生命值。
升环施法：使用的法术位每比三环高一环，此法术的治疗量就增加1d4。</t>
  </si>
  <si>
    <t>Mass Healing Word</t>
  </si>
  <si>
    <t>融身入石</t>
  </si>
  <si>
    <t>你进入一个足以完全容纳你身体的石料物件或石料表面内，使你自己和你携带的所有装备在法术持续时间内与石料融为一体。你必须触碰该石料来做到这件事。此后，任何非魔法的感官都无法看到或侦测到你的存在。
与石料融合后，你看不到外界发生了什么，并且你为了聆听外界声音而进行的任何感知（察觉）检定都具有劣势。与石头融合时，你仍能感觉到时间的流逝，也可以对自己施展法术。你无法移动，但可以消耗5尺移动力从进入石头的地方离开石内，法术随之终止。
石头所受的轻微损伤不会对你造成伤害，不过石头部分损毁或者形状改变时（改变到不再适合容纳你的程度），会将你从石中排挤出并对你造成6d6点力场伤害。石头完全损毁（或材质改变）时，也会将你从石中排挤出并对你造成50点力场伤害。被排挤出石头时，你移动至距离第一次进入石头处最近的一处未被占据的空间位置，并陷入倒地状态。</t>
  </si>
  <si>
    <t>Meld Into Stone</t>
  </si>
  <si>
    <t>回避侦测</t>
  </si>
  <si>
    <t>一撮价值25+GP的钻石尘，作为法术耗材</t>
  </si>
  <si>
    <t>法术持续时间内，你使你触及的目标不会被预言法术发现。目标可以是一名自愿生物，或者是在任何方向上都不超过10尺的一处地点或一个物件。目标不能被任何预言法术选为目标，也不能被魔法探知传感器感测到。</t>
  </si>
  <si>
    <t>Nondetection</t>
  </si>
  <si>
    <t>魅影驹</t>
  </si>
  <si>
    <t>一匹拟真的大型马形生物出现在施法距离内你选择的一处地面上的未占据空间中。你决定该生物的样貌，且它装备着鞍座、嚼子和缰绳。这些随法术创造的装备一旦离开坐骑10尺即化作一阵烟消失不见。
在法术持续时间内，你或者一名你指定的生物可以骑乘此坐骑。坐骑使用乘用马Riding Horse的数据（见附录B），不过其具有100尺速度，每小时可行进13里。法术终止时，坐骑会慢慢消失，骑手有1分钟的时间下马。坐骑受到伤害时，法术将提前终止。</t>
  </si>
  <si>
    <t>Phantom Steed</t>
  </si>
  <si>
    <t>植物滋长</t>
  </si>
  <si>
    <t>动作（繁茂）或8小时（丰产）</t>
  </si>
  <si>
    <r>
      <rPr>
        <sz val="11"/>
        <color theme="1"/>
        <rFont val="仿宋"/>
        <charset val="134"/>
      </rPr>
      <t>该法术将活力引导给特定区域中的植物。本法术的施法时间取决于你选择下述效应之一：繁茂或丰产。
　　</t>
    </r>
    <r>
      <rPr>
        <sz val="11"/>
        <color theme="1"/>
        <rFont val="Arial"/>
        <charset val="134"/>
      </rPr>
      <t>•</t>
    </r>
    <r>
      <rPr>
        <sz val="11"/>
        <color theme="1"/>
        <rFont val="仿宋"/>
        <charset val="134"/>
      </rPr>
      <t xml:space="preserve"> 繁茂Overgrowth。 你指定施法距离内一点，以该点为中心100尺半径的球状范围内的普通植物将变的粗壮繁茂。一名穿过该区域的生物每移动1尺必须花费4尺移动力。你可以在该法术范围内空出一块或多块任意大小的区域，将其排除在法术效应影响之外。
　　</t>
    </r>
    <r>
      <rPr>
        <sz val="11"/>
        <color theme="1"/>
        <rFont val="Arial"/>
        <charset val="134"/>
      </rPr>
      <t>•</t>
    </r>
    <r>
      <rPr>
        <sz val="11"/>
        <color theme="1"/>
        <rFont val="仿宋"/>
        <charset val="134"/>
      </rPr>
      <t xml:space="preserve"> 丰产Enrichment。 你指定施法距离内一点，距该点半里内的植物的产量将在365日内被强化。这些植物收获时将产出两倍于正常产量的作物。这些植物每年仅能从一道植物滋长中获益。</t>
    </r>
  </si>
  <si>
    <t>Plant Growth</t>
  </si>
  <si>
    <t>防护能量</t>
  </si>
  <si>
    <t>法术持续时间内，你触及的一名自愿生物具有你选择的一种伤害类型的抗性：强酸、寒冷、火焰、闪电、雷鸣。</t>
  </si>
  <si>
    <t>Protection from Energy</t>
  </si>
  <si>
    <t>移除诅咒</t>
  </si>
  <si>
    <t>你触及一名生物或一个物件，使影响其的所有诅咒终止。如果该物件是一件诅咒魔法物品，则其上的诅咒不会因此解除，不过该法术可以打破诅咒物品与其所有者之间的同调，使其所有者可以将其卸下或丢弃。</t>
  </si>
  <si>
    <t>Remove Curse</t>
  </si>
  <si>
    <t>回生术</t>
  </si>
  <si>
    <t>一颗价值300+GP的钻石，作为法术耗材</t>
  </si>
  <si>
    <t>你接触在前一分钟内刚刚死亡的一名生物。该生物以1点生命值回生。该法术不能复活老死的生物，也不能恢复失去的身体部位。</t>
  </si>
  <si>
    <t>Revivify</t>
  </si>
  <si>
    <t>短讯术</t>
  </si>
  <si>
    <t>无限</t>
  </si>
  <si>
    <t>你向你所遇到过的或某人遇到过且向你描述的一个生物发送一小段二十五个词以内的信息。该生物将在心中听到你的信息，它可以认出你是发讯人（如果他认识你），还可以用同样的方式立即回复一条讯息。法术会让目标能够理解你短讯的信息。
你的传讯可以跨越任意长的距离，甚至能跨越位面。但如果目标和你不在同一个存在位面，则短讯术有5%的概率无法到达。如果讯息没能传达，你将得知这一结果。
在收到你的信息后，一个生物能够屏蔽你以这个法术再次对他发信的能力，持续8小时。如果你在这段时间内试图送出另一条信息，你会得知你的短讯被屏蔽，并且法术失败。</t>
  </si>
  <si>
    <t>Sending</t>
  </si>
  <si>
    <t>雪雨暴</t>
  </si>
  <si>
    <t>一把迷你雨伞</t>
  </si>
  <si>
    <t>你指定施法距离内一点，并使以该点为中心，高40尺、半径20尺的柱状区域内降下冷冻刺骨的冻雨和冰雹直至法术终止。该区域将造成重度遮蔽，且该区域内的一切外露的暴露在外的明火都将被浇熄。
该区域的地面变成困难地形。生物在一个回合内首次进入该区域或在区域内开始其回合时，它必须成功通过一次敏捷豁免，否则将陷入倒地状态并失去专注。</t>
  </si>
  <si>
    <t>Sleet Storm</t>
  </si>
  <si>
    <t>缓慢术</t>
  </si>
  <si>
    <t>一滴糖浆</t>
  </si>
  <si>
    <t>你在施法距离内一处 40 尺立方区域内指定至多六个生物并扭曲其周围的时间流。每个目标都要进行一次感知豁免，豁免失败则受到该法术影响直至法术终止。
被影响的生物的速度减半，而其 AC 和敏捷豁免都获得-2减值，且不能执行反应。该生物在其回合内可以执行一个动作或一个附赠动作，但不能在一回合内同时执行以上两者。当它执行攻击动作时，它只能发动一次攻击。
如果该生物尝试施展一个具有姿势成分的法术，则其法术有25%的概率会因为生物的动作太慢而施展失败。
受术生物在其每个回合结束时可以再进行一次该感知豁免，豁免成功则终止其身上的该法术效应。</t>
  </si>
  <si>
    <t>Slow</t>
  </si>
  <si>
    <t>死者交谈</t>
  </si>
  <si>
    <t>燃烧的香</t>
  </si>
  <si>
    <t>10 分钟</t>
  </si>
  <si>
    <t>你给施法距离内一具你所选择的尸体施以复生的表象，让其可回答你的问题。这具尸体必须还有一张嘴，且如果该生物死亡时是亡灵生物，则施法失败。若目标尸体在最近十日内曾被作为该法术的目标，则本次施法失败。
在法术终止前，你可以向尸体提出最多五个问题。尸体的知识和它讲述的语言仅限于其生前所知。回答通常是简短，含糊或重复的语句，而且如果你对尸体抱有敌意或者尸体认为你是其敌人，它也不是一定要给你正确的答复。该法术并不能让该生物的灵魂返回其身体中，只是活化了其精神。因此，该尸体不能认知新的信息，不能理解它死后发生的任何事情，也不能对未来的事件作出猜测。</t>
  </si>
  <si>
    <t>Speak with Dead</t>
  </si>
  <si>
    <t>植物交谈</t>
  </si>
  <si>
    <t>自身（半径30尺）</t>
  </si>
  <si>
    <t>你给周围30尺固定灵光范围内的植物赋予有限的知觉与活力，使其能够与你沟通和按你的简单命令行事。你可以向植物询问最近一日该法术区域内所发生的事，由此了解有关于曾路过这里的生物、天气和其他状况的信息。
你可以让区域内因植物生长形成的困难地形（如灌木丛）在法术持续时间内变为普通地形。你也可以在法术持续时间内将有植物生长的普通地形变成困难地形。
虽然该法术并不能让植物拔根而起或移动位置，但它们可以依你的意愿而活动自己的树枝、藤蔓和茎秆。
如果法术区域内有一个植物生物，你可以如同有共同语言一般与其交流。</t>
  </si>
  <si>
    <t>Speak with Plants</t>
  </si>
  <si>
    <t>灵体卫士</t>
  </si>
  <si>
    <t>一卷祷文</t>
  </si>
  <si>
    <t>在法术持续时间内，保护性的灵体环绕在你的周围15尺灵光范围内飞舞。如果你属于善良或中立阵营，则它们飘渺的身形看起来像是天使或精类生物（由你选择）。如果你属于邪恶阵营，则它们将形如邪魔。
施展此法术时，你可以指定特定生物让其不受该法术影响。除此之外的生物在灵光区域内将受法术影响致速度被减半。当灵光进入一个生物的空间、一个生物进入灵光或在灵光内结束回合时，，其必须进行一次感知豁免。豁免失败将受到3d8点光耀伤害（如果你属于善良或中立）或3d8点黯蚀伤害（如果你属于邪恶），豁免成功则只受到一半伤害。一名生物一回合仅需进行一次该豁免。
升环施法： 使用的法术位每比三环高一环，此法术的伤害就增加 1d8。</t>
  </si>
  <si>
    <t>Spirit Guardians</t>
  </si>
  <si>
    <t>臭云术</t>
  </si>
  <si>
    <t>一个臭鸡蛋</t>
  </si>
  <si>
    <t>你以施法距离内一点为中心创造出一团半径 20 尺的黄色恶心气体云团球状区域。云团内形成重度遮蔽。云团会一直留在空中，直至法术持续时间结束或一阵强风（比如造风术Gust of Wind创造的强风）将其吹散为止。
如果一个生物在其回合开始时位于云团内，则它必须成功通过一次体质豁免。否则将陷入中毒状态直到其当前回合结束。因此而陷入中毒状态期间，该生物无法执行动作或附赠动作。</t>
  </si>
  <si>
    <t>Stinking Cloud</t>
  </si>
  <si>
    <t>妖精召唤术</t>
  </si>
  <si>
    <t>一朵价值300+GP的镀金花</t>
  </si>
  <si>
    <t>你唤来一个妖精灵魄。其使用下文妖精灵魄的数据，并会在施法距离内一处你可见的未被占据的空间中显现。当你施展法术时，从愤怒、欢欣、诡诈中选择一种情绪，该生物会显现为一个受你所选情绪所影响的妖精生物，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妖精灵魄Fey Spirit 
小型妖精，绝对中立
AC 12+法术环阶
HP 30+每比3环高的法术环阶10点
速度30尺，飞行30尺
力量13|+1|+1 敏捷16|+3|+3 体质14|+2|+2
智力14|+2|+2 感知11|+0|+0 魅力16|+3|+3
免疫：魅惑
感官：黑暗视觉60尺，被动察觉10
语言：木族语，理解你的语言
CR无（XP0；PB等于你的熟练加值）
动作Actions
多重攻击Multiattack。灵魄发动等于法术环阶一半次数的妖精之剑攻击（向下取整）。
妖精之剑Fey Blade。近战攻击检定：加值等于你的法术攻击加值，触及5尺。命中：2d6+3+法术环阶的力场伤害。
附赠动作Bonus Actions 
妖精步伐Fey Step。灵魄魔法地传送至多30尺至一处它可见的未被占据空间。随后根据所选情绪，灵魄触发以下效果之一：
愤怒Fuming。妖精在此回合结束前的下一次攻击检定具有优势。
欢欣Mirthful。感知豁免：DC等于你的法术豁免DC，单一灵魄10尺内它可见的生物。失败：目标受你和灵魄魅惑1分钟或直到目标受到任意伤害。
诡诈Tricksy。灵魄令魔法黑暗充斥于它5尺内的一处10尺立方区域，持续直到灵魄的下一回合结束。</t>
  </si>
  <si>
    <t>Summon Fey</t>
  </si>
  <si>
    <t>亡灵召唤术</t>
  </si>
  <si>
    <t>一个价值300+GP的镀金头骨</t>
  </si>
  <si>
    <t>你唤来一个亡灵灵魄。其使用下文亡灵灵魄的数据，并会在施法距离内一处你可见的未被占据的空间中显现。当你施展法术时，从幽体，腐尸，骷髅中选择一类，该生物会显现为你所选的那类形态的亡灵生物，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亡灵灵魄Undead Spirit
中型亡灵，绝对中立
AC 11+法术环阶
HP 30（仅幽体和腐尸）或20（仅骷髅）+每比3环高的法术环阶10点
速度30尺；飞行40尺（悬浮；仅幽体）
力量12|+1|+1 敏捷16|+3|+3 体质15|+2|+2
智力4|-3|-3 感知10|+0|+0 魅力9|-1|-1
免疫：暗蚀，毒素；力竭，恐慌，麻痹，中毒
感官：黑暗视觉60尺，被动察觉10
语言：理解你说的语言
CR无（XP0；PB等于你的熟练加值）
特质Traits
腐灭灵光Festering Aura（仅腐尸）。体质豁免：DC等于你的法术豁免DC，所有在以灵魄为源点5尺光环区域内开始其回合的生物（除了你）。失败：该生物陷入中毒状态，直至其下一回合开始。
虚体移动Incorporeal Movement（仅幽体）。灵魄可以虚体化并如同穿过困难地形一样穿过其他生物和物件。如果它在自己的回合结束时仍处在物件内部，则被挪到距离最近的未被占据的位置，且每因此移动5尺便受到1d10力场伤害。
动作Actions
多重攻击Multiattack。灵魄发动等于法术环阶一半次数的攻击（向下取整）。
致死之触Deathly Touch（仅幽体）。近战攻击检定：加值等于你的法术攻击加值，触及5尺。命中：1d8+3+法术环阶的暗蚀伤害，且目标陷入恐慌状态直至其下一回合结束。
暗澹箭Grave Bolt（仅骷髅）。远程攻击检定：加值等于你的法术攻击加值，射程150尺。命中：2d4+3+法术环阶的暗蚀伤害。
腐灭爪击Rotting Claw（仅腐尸）。近战攻击检定：加值等于你的法术攻击加值，触及5尺。命中：1d6+3+法术环阶的挥砍伤害。若目标具有中毒状态，则其还会陷入麻痹状态，直至其下一回合结束。</t>
  </si>
  <si>
    <t>Summon Undead</t>
  </si>
  <si>
    <t>巧言术</t>
  </si>
  <si>
    <t>一座微缩庙塔</t>
  </si>
  <si>
    <t>此法术赋予你触碰的一名生物理解任何其能看见或听见的口语或手语的能力。此外，当目标生物以口语或手语进行交流时，任何能听见其话语或看见其手语，且知道至少一门语言的生物都能理解它。</t>
  </si>
  <si>
    <t>Tounges</t>
  </si>
  <si>
    <t>吸血鬼之触</t>
  </si>
  <si>
    <t>你的阴影环绕着的手可以吸取他人的生命力来为自己疗伤。对你触及范围内的一名生物进行一次近战法术攻击。若命中，则目标受到3d6点暗蚀伤害，而你则恢复数值等同于所造成暗蚀伤害一半的生命值。
该法术终止前，你可以在你的每个回合内用魔法动作对相同或不同的生物进行一次这样的攻击。
升环施法：使用的法术位每比三环高一环，此法术的伤害就提高1d6。</t>
  </si>
  <si>
    <t>Vampiric Touch</t>
  </si>
  <si>
    <t>水下呼吸</t>
  </si>
  <si>
    <t>一根短芦苇</t>
  </si>
  <si>
    <t>在法术终止前，该法术让施法距离内你所选择的至多十个自愿生物获得在水下呼吸的能力。此外，受术者依然保有正常的呼吸能力。</t>
  </si>
  <si>
    <t>Water Breathing</t>
  </si>
  <si>
    <t>水上行走</t>
  </si>
  <si>
    <t>一个软木塞</t>
  </si>
  <si>
    <t>此法术赋予你选择的位于施法距离内的至多十名生物在持续时间内将任何液体表面（比如水、酸、泥、雪、流沙、岩浆等）视作无害的固体地面穿越的能力（穿越熔岩的生物仍然会因炽热受到伤害）。
一名受影响的目标必须用一个附赠动作才能穿过液体表面进入其内部，反之亦然。然而若目标将因坠落而进入液体中，则其会直接穿过液体表面，如常进入其内部。</t>
  </si>
  <si>
    <t>Water Walk</t>
  </si>
  <si>
    <t>风墙术</t>
  </si>
  <si>
    <t>一把扇子和一根羽毛</t>
  </si>
  <si>
    <t>你指定施法距离内地面上一点并从中升起了一道烈风形成的墙壁。你可以造出长度至多 50 尺、高度至多15尺、厚度至多1尺的风墙。你可以自由塑造该墙的形状，不过它必须沿着地面形成一条连续的轨道。风墙持续存在至法术终止。
风墙出现时，所有位于风墙所占据区域内的生物必须进行一次力量豁免。豁免失败，受到4d8点钝击伤害。豁免成功，则只受一半伤害。
烈风可以阻隔浓雾、烟尘和其他气体。体型为小型或更小的飞行生物或物件无法穿过风墙。重量轻的物质带进风墙中时将被向上吹飞。对墙后目标射出的箭、矢和其他普通飞行物会被朝上吹走而直接判为打失。巨人或攻城器械投出的巨石和类似的飞行物不受影响。处于气化形态的生物无法穿过风墙。</t>
  </si>
  <si>
    <t>Wind Wall</t>
  </si>
  <si>
    <t>智能壁垒</t>
  </si>
  <si>
    <t>• 在法术持续时间内，你或一个施法距离内的可见生物获得对心灵伤害的抗性，同时在智力、感知和魅力豁免检定上具有优势。
• 升环施法效应：使用4环或更高法术位施展该法术时，你使用的法术位每比3环高一环，就可以多选择一个生物作为目标。而各目标之间距离不能超过30尺。</t>
  </si>
  <si>
    <t>Intellect Fortress</t>
  </si>
  <si>
    <t>魂灵环绕</t>
  </si>
  <si>
    <t>• 你唤来亡者的魂灵，令它们在法术持续时间内环绕于你的身边。这些魂灵无形且不可伤害。
• 直到法术终止前，你所有命中你10尺内生物的攻击造成1d8点额外伤害。伤害类型为光耀、黯蚀或冷冻（由你在施展法术的时候选择）。任何受到此伤害的生物无法恢复生命值，直到你下回合开始。
• 此外，任何你身边10尺内且你可见的生物回合开始时，你可以使其速度降低10尺，直到你下回合开始。
• 升环施法效应：使用4环或更高法术位施展该法术时，你使用的法术位每比3环高两环，其伤害就增加1d8。</t>
  </si>
  <si>
    <t>Spirit Shroud</t>
  </si>
  <si>
    <t>暗影衍体召唤术</t>
  </si>
  <si>
    <t>至少价值300gp的包有眼泪的宝石</t>
  </si>
  <si>
    <t>• 你唤来一个暗影灵魄。其在施法距离内你可见的一个未占据位置化为实体。这一实体使用下面的暗影灵魄Shadow Spirit的数据。当你施展法术时，当你施展法术时，从暴怒Fury，绝望Despair或恐惧Fear中选择一种情感。此生物的外形为一个受你所选情感所影响的畸形二足生物，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升环施法效应：使用4环或更高法术位施展该法术时，该生物数据中使用更高的法术环阶。
暗影灵魄Shadow Spirit
中型怪兽
AC：11+法术环阶 (天生护甲)
HP：35+15每比3环高的法术环阶
速度：40尺
力量13（+1）  敏捷16（+3）  体质15（+2）
智力4（-3)    感知10（+0）  魅力16（+3）
伤害抗性：黯蚀
状态免疫：恐慌
感官：黑暗视觉120尺，被动察觉10
语言：懂你说的语言
挑战等级：—
熟练加值：与你相等
惧怖狂怒Terror Frenzy（仅限暴怒）。灵魄对恐慌生物发动的攻击检定具有优势。
哀伤之重Weight of Sorrow（仅限于绝望）。除你之外的所有生物在灵魄5尺内开始回合时，其速度降低20尺直到该生物的下回合开始。
动作
多重攻击Multiattack。灵魄发动等同于法术环阶一半的次数的攻击（向下取整）。
冻寒撕裂Chilling Rend。近战武器攻击：命中+你的法术攻击调整值，触及5尺，单一目标。伤害：1d12+3+法术环阶点冷冻伤害。
恐惧尖叫Dreadful Scream（1/日）。灵魄发出尖叫。处于它10尺内的每个生物必须进行一次感知豁免对抗你的法术豁免DC，否则对灵魄恐慌1分钟。被恐慌生物可以在其自己回合结束时再进行一次该豁免，豁免成功则终止该生物身上的恐慌效应。
附赠动作
暗影潜藏Shadow Stealth（仅限恐惧）。灵魄处于微光光照或黑暗环境时，可以一个附赠动作来执行躲藏动作。</t>
  </si>
  <si>
    <t>Summon Shadowspawn</t>
  </si>
  <si>
    <t>假寐术</t>
  </si>
  <si>
    <t>一撮沙子</t>
  </si>
  <si>
    <t>• 你做一个使人平静的手势，在施法距离内，你选择最多3名你可以看见的自愿生物在法术持续时间中进入昏迷状态。如果生物受到伤害或者某人使用动作将他摇醒，对于那个目标法术会提前结束。如果目标在整个持续期间都保持昏迷，目标会得到一次短休的增益，但是在完成一次长休之前将不能再受到该法术的影响。
• 升环施法效应：当你使用4环或更高的法术位施放该法术时，使用的法术位每高一环，你就可以多指定一个额外的自愿生物作为目标。</t>
  </si>
  <si>
    <t>Catnap</t>
  </si>
  <si>
    <t>敌群环绕</t>
  </si>
  <si>
    <t>• 你接触一个可见生物的思想并迫使它进行一次智力豁免检定。免疫恐慌的生物自动通过此豁免。若豁免失败，目标失去从敌人中辨别友伴的能力，将所有可见的生物识别为敌人直到法术结束。每次目标受到伤害时它都可以重复进行此豁免，若成功将结束它对自己的效果。
• 每当受影响的生物选择另一个生物作为目标时，它必在攻击、法术或其他可用能力的范围里，从所有可见目标中随机选择目标。如果一名敌人提供了借机攻击的机会给受术生物，生物必须进行攻击，只要它有能力这么做。</t>
  </si>
  <si>
    <t>Enemies Abound</t>
  </si>
  <si>
    <t>土石喷发</t>
  </si>
  <si>
    <t>一块黑曜石</t>
  </si>
  <si>
    <t>• 选择距离内你能看见的，位于地面上的一点。以该点为中心，20尺立方的空间内，一道翻滚的泥土和岩石流喷发而出。在该区域中的每个生物必须进行一次敏捷豁免检定。若未通过豁免，该生物受到3d12点钝击伤害，成功的豁免令上述伤害减半。此外，该区域的地面成为困难地形直到被清理。该区域每5平方尺的空间，若用手来清理至少需要1分钟时间。
• 升环施法效应：当你使用4环或更高的法术位施放该法术时，使用的法术位每高一环，伤害便增加1d12。</t>
  </si>
  <si>
    <t>Erupting Earth</t>
  </si>
  <si>
    <t>火箭</t>
  </si>
  <si>
    <t>• 你接触一个装有箭矢或弹药的箭袋。当一个目标被从箭袋中取出的弹药进行的远程武器攻击击中时，该目标额外受到1d6点火焰伤害。弹药上法术的魔力将在其击中或未击中目标时消失，而法术将在从箭袋中取出十二发弹药后终结。
• 升环施法效应：当你使用4环或更高的法术位施放该法术时，使用的法术位每高一环，你能以此法术影响的弹药的数量便增加2发。</t>
  </si>
  <si>
    <t>Flame Arrows</t>
  </si>
  <si>
    <t>生命转换</t>
  </si>
  <si>
    <t>• 你牺牲自己的部分健康来修复其他生物的伤口。你受到4d8无视伤害抗性与伤害免疫点黯蚀伤害，同时施法距离内一个由你选择的可见生物恢复生命值，数值等于你承受点黯蚀伤害的两倍。
• 升环施法效应：当你使用4环或更高的法术位施放该法术时，使用的法术位每高一环，黯蚀伤害就增加1d8。</t>
  </si>
  <si>
    <t>Life Transference</t>
  </si>
  <si>
    <t>马友夫微流星</t>
  </si>
  <si>
    <t>由松木盛着的硝石和硫磺，外形为小珠子</t>
  </si>
  <si>
    <t>• 你在你所在的空间内制造出六颗微型流星。它们会悬浮在空气中，在法术的持续时间内以你为中心绕转。当你释放此法术——及在你之后的每个回合中通过使用一个附赠动作——你能释放一到两颗流星，让它们袭击你周围120尺范围内的一点。一旦流星到达目的地，或是撞击到了固体表面，它会发生爆炸。在流星爆炸点周围5尺的生物均必须进行一次敏捷豁免检定。检定失败者受到2d6点火焰伤害，检定成功则只受到上述伤害的一半。
• 升环施法效应：当你使用4环或更高的法术位施放该法术时，使用的法术位每高一环，创造出的流星数量就增加两颗。</t>
  </si>
  <si>
    <t>Melf's Minute Meteors</t>
  </si>
  <si>
    <t>召唤次级恶魔</t>
  </si>
  <si>
    <t>来自一个于24小时之内被杀的类人生物身上的一剂血液</t>
  </si>
  <si>
    <t>• 你吐出污秽的词语，从无底深渊的无尽混沌中召唤来恶魔。遵从下表Roll点来决定什么生物出现。
    D6    被召唤的恶魔
    1-2   2个挑战等级为1或更低的恶魔
    3-4   4个挑战等级为1/2或更低的恶魔
    5-6   8个挑战等级为1/4或更低的恶魔
• DM选择恶魔的种类，例如原魔Manes或者怯魔dretches，然后你选择施法距离内可见的未被占据空间让它们出现。被召唤的恶魔在生命值降低为0或法术结束时消失。
• 恶魔对包括你在内的所有生物抱有敌意。它们拥有自己的回合，将它们整体视作一组来投掷先攻。恶魔会花费它的回合用于追逐和攻击最近的非恶魔生物，尽其所能。
• 作为施放此法术的一部分，你可以使用作为施法材料的血液在地上绘制一个法阵。法阵大到可以包括你在的空间。在法术的持续时间内，被召唤来的恶魔无法穿过或伤害法阵，也无法以其中的任何人作为目标。用这种方式使用的施法材料会在法术结束时被消耗。
• 升环施法效应：当你使用6环或7环的法术位施放该法术时，被召唤的恶魔数量变为两倍。当你使用8环或9环的法术位施放该法术时，被召唤的恶魔数量变为三倍。</t>
  </si>
  <si>
    <t>Summon Lesser Demon</t>
  </si>
  <si>
    <t>雷霆步</t>
  </si>
  <si>
    <t>• 你传送到施法距离内一处未被占据的可见空间。在你消失的瞬间，雷鸣般的爆发声响起。在你离开的空间周围10尺内的每个生物必须进行体质豁免检定，失败将受到3d10雷鸣伤害，成功则只承受一半。该法术会发出方圆300尺内都能听见的雷霆巨响。
• 你可以带走物体只要它们没有超过你能承载的重量。你也可以传送一个与你体型相仿或是比你更小的自愿生物，而它所携带的装备也不能超过他的负重。这个生物必须在你施展法术时处于5尺内，并且在你的目的地周围5尺必须要有一个未被占据的空间以让它到达；否则这个生物将被留下。
• 升环施法效应：当你使用4环或更高的法术位施放该法术时，使用的法术位每高一环，伤害就会增加1d10。</t>
  </si>
  <si>
    <t>Thunder Step</t>
  </si>
  <si>
    <t>潮涌</t>
  </si>
  <si>
    <t>• 你召唤出浪潮拍打距离之内的区域。区域的长度至多为30尺，宽度至多为10尺，高度至多为10尺。在区域内的每个生物均必须进行一次敏捷豁免检定。若检定失败，该生物受到4d8点钝击伤害并应击倒地。检定成功则只受到上述伤害的一半，且不会摔倒。之后，水会沿着地表向四周流去，熄灭区域内和周围30尺内所有未受保护的火焰，而后消失不见。</t>
  </si>
  <si>
    <t>Tidal Wave</t>
  </si>
  <si>
    <t>迷你仆役</t>
  </si>
  <si>
    <t>• 你接触一个微型的非魔法物体，它没有附在另一个物体或表面之上，也没有被其他生物所携带。目标被活化并长出细小的胳膊和腿脚，并成为处于你控制之下的生物，直到法术结束或者降低至0HP。参考以下版块得知它的数据。
• 以一个附赠动作，你可以对这个生物发出精神命令，只要它在你周围120尺范围内（如果你通过该法术控制了多个生物，你可以同时命令它们，对其中的每一个发布同样的指令）。你决定这个生物在下一回合自愿采取的动作和自愿进行的移动，或者你也可以发布一个简单的、综合的命令，例如去拿起钥匙、站着放哨、堆叠书本。如果你不发布命令，仆役除了保护自己对抗敌对生物以外什么也不会做。一旦得到一个命令，仆役会继续服从命令行动直到工作完成。
• 当这个生物的生命值降低至0点，它恢复至原来的形态，并且任何剩余的伤害会由那个形态承担。
• 升环施法效应：当你使用4环或更高的法术位施放该法术时，使用的法术位每高一环，你可以额外活化两个物体。
    迷你仆役 Tiny Servant
    微型构装生物，无阵营
    AC 15（天生护甲）
    HP 10（4d4）
    速度30尺，攀爬30尺
    力量 4（-3）  敏捷16（+3）  体质10（+0）
    智力 2（-4）  感知10（+0）  魅力 1（-5）
    伤害免疫：毒素，心灵
    状态免疫：目盲，魅惑，耳聋，力竭，恐慌，麻痹，石化，中毒
    感官：盲视60尺（对超过半径的区域目盲），被动察觉10
    语言：-
    动作：
    挥击，近战武器攻击：命中+5，触及5尺，单一目标。伤害：5（1d4+3）钝击伤害</t>
  </si>
  <si>
    <t>Tiny Servant</t>
  </si>
  <si>
    <t>沙墙术</t>
  </si>
  <si>
    <t>一捧沙</t>
  </si>
  <si>
    <t>• 你在距离内你能看到的地表的一点上召唤出由舞动的沙子构成的墙体。你可以制造出的墙体长度至多为30尺，高度至多为10尺，厚度至多为10尺。其将在法术终结时消失。它能阻挡视线，但无法阻挡移动。处于墙体所在的空间内的生物目盲，在其中移动时，每移动1尺需要消耗3尺的移动力。</t>
  </si>
  <si>
    <t>Wall of Sand</t>
  </si>
  <si>
    <t>水墙术</t>
  </si>
  <si>
    <t>• 你在距离内你能看到的地表的一点上召唤出由水构成的墙体。你可以制造出的墙体长度至多为30尺，高度至多为10尺，厚度至多为1尺。或者你也可以制造出直径至多为20尺的环形墙体，高度至多为20尺，厚度至多为1尺。该墙体将在法术终结时消失。该墙体所在的区域是困难地形。
• 任何进入墙体所在空间的远程武器攻击在攻击检定中具有劣势，而穿过墙体到达其目标的火焰效果所造成点火焰伤害将减半。造成冷冻伤害的法术若穿过墙体会令穿过的部分被冻结（至少5平方尺的空间被冻结）。每个被冻结的5平方尺的方格具有AC5和15点生命值。令一块被冻结的区域生命值降为0将摧毁它。当一个部分被摧毁时，墙体的水不会填补其位置。</t>
  </si>
  <si>
    <t>Wall of Water</t>
  </si>
  <si>
    <t>快速交友</t>
  </si>
  <si>
    <t>• 如果你想要确保某件事情完成，你不能依赖于含糊不清的承诺、宣誓或雇佣合同。当你施展此法术时，选择一个能看见、能听见、并且能理解你的，在施法距离内的类人生物。这个生物必须通过一次感知豁免，否则将会在持续期间内被你魅惑。当生物因为这种方式被魅惑时，它将承诺尽其所能地以友好的方式履行你所要求的任何服务或者是活动。
• 在这个生物之前的任务完成时，或者你决定中止它的当前任务时，你可以为它布置一个新任务。如果这项活动或任务可能伤害这个生物，或者与这个生物的正常活动和欲望相违背时，生物可以进行另一次感知豁免来尝试中止这个效果。如果你或者你的同伴正在与这个生物交战，他对此豁免具有优势。如果你要求的活动在结果上会确实地导致这个生物死亡，法术将会结束。
• 当法术结束时，这个生物知道他曾经被你所魅惑。
升环施法效应：当你使用4环或更高的法术位施放该法术时，使用的法术位每比3环高一环，你就可以多指定一个额外的目标。</t>
  </si>
  <si>
    <t>Fast Friends</t>
  </si>
  <si>
    <t>鼓动贪欲</t>
  </si>
  <si>
    <t>一块至少价值 50gp 的宝石</t>
  </si>
  <si>
    <t>• 当你施展这个法术时，你将展现作为法术材料成分的宝石，并且选择施法距离内能看见你的、任意数量的生物。每一个目标都必须成功通过一次感知豁免，否则将会被你魅惑直到法术结束，或者直到你或你的同伴做了任何有害于他的事情。当生物被这种方式魅惑时，它们除了以安全的方式花费移动力来接近你以外，不能做任何其他的事情。当一个受影响的生物到达你的5尺之内，它将不能移动，只是贪婪地注视着你所展现的宝石。
• 受影响的目标每个回合结束时，可以再进行一次感知豁免检定。如果它成功，对于那个目标的效果将结束。</t>
  </si>
  <si>
    <t>Incite Greed</t>
  </si>
  <si>
    <t>励志演讲</t>
  </si>
  <si>
    <t>• 你向盟友、工作人员、或是无辜的旁观者发出劝诫，激励他们向往崇高的目标，不管到底有没有发生什么让他们兴奋的事情。选择施法距离内最多5个可以听见你的生物。在持续时间中，每个生物都可以得到5点临时生命值，并且在感知豁免中具有优势。如果一个受影响的生物被一次攻击命中，它将在下一个它所进行的攻击检定中具有优势。一旦一个受影响的生物失去了这个法术所提供的临时生命值，这个法术就对它结束了。
升环施法效应：当你使用4环或更高的法术位施展该法术时，使用的法术位每比3环高一环，提供的临时生命值就增加5点。</t>
  </si>
  <si>
    <t>Motivational Speech</t>
  </si>
  <si>
    <t>阿莎德隆奔行</t>
  </si>
  <si>
    <t>• 巨龙汹涌的火焰从你的脚边喷涌而出，赋予你爆炸般的速度。法术持续时间内，你的速度提升20尺，并且移动不会触发借机攻击。
• 当你移动至一个生物或未被着装或携带的物件5尺内时，其被你的灼热尾迹灼烧，受到1d6点火焰伤害。一个生物或物件每回合只会承受一次此伤害。
• 升环施法效应：当你用4环或更高的法术位施展该法术时，你使用的法术位每比3环高一环，你的移动速度额外增加5尺，法术造成的伤害便增加1d6。</t>
  </si>
  <si>
    <t>Ashardalon's Stride</t>
  </si>
  <si>
    <t>加德尔高塔术</t>
  </si>
  <si>
    <t>一块石头，木材或其他建筑材料的碎片</t>
  </si>
  <si>
    <t>• 你召唤一座两层的石制，木制，或其他合适建筑材料所制成的塔楼。塔的形状既可以是圆形也可以为方形。塔的每层有10尺高并有着最高100平方的面积。层与层之间的通道有一个简单的梯子与舱口组成。当你施法时，每一层有以下形式供你选择。
有床，椅子，柜子和魔法壁炉的卧室
有书桌，书，书架，羊皮纸，墨水和墨水笔的书房
有餐桌、椅子、魔法壁炉、容器和炊具的用餐处
有沙发、扶手椅、边桌和脚凳的休息室
有厕所、浴缸、魔法火盆和桑拿椅的卫生间
有望远镜和夜空地图的天文台
一间没有家具的空房间
• 塔的内部温暖而又干燥，且不受外部环境影响。任何随塔一同召唤的家具或设备如果被挪出塔外便会化为烟雾。法术结束时，与该法术无关的一切生物或物件将安全地出现在室外的地面上，且塔与其中家具的一切痕迹都将消失。
• 你可以在法术持续时再次施展该法术来将塔的存在延长24小时。在一年的时间内，你可以通过每天在相同的位置并以同样的配置来施放这个法术来创造一个永久塔。
• 升环施法效应：使用4环或更高法术位施展该法术时，你的法术位每比3环高一环，召唤的塔可以多一层。</t>
  </si>
  <si>
    <t>Galder's Tower</t>
  </si>
  <si>
    <t>敌意术</t>
  </si>
  <si>
    <t>一张描绘着 浪客Rogue 的卡牌</t>
  </si>
  <si>
    <t>• 你以魔法之词低语，令施法距离内你选择的一个生物产生敌意。目标必须进行一次感知豁免。若豁免失败，目标会受到 4d4的心灵伤害，且必须立即使用反应对你选择的另一个你能看到的生物发动一次近战攻击。如果目标无法发动这次攻击（例如它的触及范围内没有生物，或者因为它的反应无法使用），那么在你的下一回合开始前，目标的下一次攻击检定具有劣势。若豁免成功，目标仅会受到一半的伤害。
• 升环施法效应： 当你使用4环或更高法术位施放本法术时，你使用的法术位每比3环高一环，法术的伤害就增加1d4。</t>
  </si>
  <si>
    <t>Antagonize</t>
  </si>
  <si>
    <t>脉冲波动</t>
  </si>
  <si>
    <t>• 你创造出一股强烈的冲压，将其释放向30尺锥形范围，并决定该冲压会推开还是拉近范围内的物品与生物。在锥形范围内的每个生物必须要通过一个体质豁免，若豁免失败则会受到6d6点力场伤害，豁免成功则受到一半伤害。豁免失败的生物会向你被拉进15尺，或从你处被推开15尺，取决于你施展法术时的选择。
• 另外，完全处于锥形范围内的未被着装或携带的物件也会被向你被拉进或者被推开15尺。
• 升环施法效应：当你使用4环或更高环的法术位施展该法术时，每比3环高出一环的法术位就能使法术的伤害增加1d6，并使推拉的距离增加5尺。</t>
  </si>
  <si>
    <t>Pulse Wave</t>
  </si>
  <si>
    <t>腐烂外皮之诅咒</t>
  </si>
  <si>
    <t>你在目标的脑海中制造骇人幻象，使其坚信自身肉体正缓慢腐烂。范围内一位你能看见的生物将目睹自己腐朽溃烂，并陷入末日将至的恐惧。选择以下一种效果生效：
被诅咒的生物会无私地阻止疾病蔓延至同伴。每当其在任意同伴30尺范围内开启回合时，若存在可移动的空间，其必须以最安全的路径使用疾走以远离距离最近的同伴。
被诅咒的生物会满怀怨毒地将疾病传染给敌人。每回合若存在可移动的空间，其必须以最安全的路径使用疾走冲向距离最近的敌人。当其进入任意敌人5尺范围内时，其会对该敌人发动一次徒手打击。</t>
  </si>
  <si>
    <t>Curse of the Putrid Husk</t>
  </si>
  <si>
    <t>末日</t>
  </si>
  <si>
    <t>你低语着迫近死亡的预言，这些话语渗入某个生物的命运丝线，将其引向死亡的时刻。一个在你施法距离内你可见的生物必须进行一次魅力豁免。豁免失败，则当该生物受到来自一次攻击的伤害时，你可以执行反应动作发动效果：无需掷伤害骰，而是直接使用每个伤害骰所能掷出的最大值。目标在每个其回合结束时重复豁免，豁免成功则法术终止。</t>
  </si>
  <si>
    <t>Doom</t>
  </si>
  <si>
    <t>幻影之豹</t>
  </si>
  <si>
    <t>你咒唤一只幽灵黑豹，令其扑杀施法距离内你可见的生物，撕咬并压制其以便你近处的盟友将其击杀。
目标进行一次力量豁免。豁免失败则受到8d6力场伤害并陷入束缚状态直至法术结束。豁免成功则仅受半伤然后法术结束。束缚期间，目标的回合开始时，其受到2d6力场伤害。目标或其触及范围内的生物能够以动作进行力量（运动）检定对抗你的法术豁免DC，成功则法术结束。
升环施法。使用四环或更高法术位施展该法术时，你使用的法术位每比三环高一环，伤害就增加1d6。</t>
  </si>
  <si>
    <t>Phantom Panther</t>
  </si>
  <si>
    <t>幽暗迸发</t>
  </si>
  <si>
    <t>一个半径20尺的阴郁球状区域从施法距离内你所选的一点迸发，来自阴影维度的邪恶能量席卷整片区域。你选择一个实体，将其短暂推入现实，带来惊骇一瞬。当你施展此法术时，选择下列选项之一：
恐惧匿于黑暗The Darkness Hides Terrors。 区域内所有你选择的生物都必须进行一次敏捷豁免。豁免失败则受到4d8心灵伤害，并且必须使用其反应沿最安全的路线，尽可能远离你所选的那个点。豁免成功则仅受一半伤害。
暗影之墓Tomb of Shadows。 区域内所有你选择的生物都必须进行一次体质豁免。豁免失败则受到4d8暗蚀伤害，并且其速度减少20尺。豁免成功则仅受一半伤害。
升环施法。使用的法术位每比三环高一环，伤害便增加1d8。</t>
  </si>
  <si>
    <t>Shadowy Eruption</t>
  </si>
  <si>
    <t>维瑞之印</t>
  </si>
  <si>
    <t>你已掌握维瑞之印，这是一个据说在创世前就已存在的古代符文。选择施法距离内你可见的一个生物。当你使用法术正常对该生物造成伤害并投掷一枚或多枚骰子时，不对此次伤害进行掷骰，取而代之，你直接取每个骰子的最大面值。此外，你可以选择一个你能施放的五环或更低环阶且施法时间为动作的法术。你可以将其作为施放维瑞之印的一部分进行施放，并同时消耗两个法术的法术位。</t>
  </si>
  <si>
    <t>Voorish Sign</t>
  </si>
  <si>
    <t>腐蚀爆裂</t>
  </si>
  <si>
    <t>一小瓶强酸</t>
  </si>
  <si>
    <t>一团辛辣刺鼻的化学物质从你的手中喷涌而出。30尺锥形范围内的所有生物必须进行一次敏捷豁免。豁免失败则受到10d4点强酸伤害，豁免成功则伤害减半。
这股强酸会破坏法术范围内任何有机物制成的物件。一个被此法术杀死的生物肉体会完全溶解，只留下一具腐烂的骨架。
升环施法效应：使用四环或更高法术位施展该法术时，你使用的法术位每比三环高一环，强酸伤害就增加2d4点。</t>
  </si>
  <si>
    <t>Corrosive Blast</t>
  </si>
  <si>
    <t>恶毒剑</t>
  </si>
  <si>
    <t>一滴酸和一小撮铁尘</t>
  </si>
  <si>
    <t>专注，1分钟</t>
  </si>
  <si>
    <t>你在接触的一件武器上抹上一层酸性物质。直到法术结束前，这把武器一旦命中将额外造成2d4点强酸伤害。如果这把武器还不是魔法武器，那么在法术持续时间内它变为魔法武器。
除此之外，被这把武器以近战攻击命中的生物必须进行一次体质豁免。若豁免失败，则该生物陷入中毒状态，直到攻击者的下个回合结束。
升环施法效应：使用四环或更高法术位施展该法术时，你使用的法术位每比三环高一环，强酸伤害就增加1d4点。</t>
  </si>
  <si>
    <t>Fetid Blade</t>
  </si>
  <si>
    <t>瘟疫术</t>
  </si>
  <si>
    <t>一朵枯萎的花</t>
  </si>
  <si>
    <t>你用一种魔法疾病感染范围内你能看到的至多三个生物。在目标的每个回合开始时，它必须通过一次体质豁免。若豁免失败，该生物需要承受3d6点黯蚀伤害并积累一层力竭。如果一个目标累计成功通过了三次豁免，则法术在该生物身上终止。
法术次级复原术Lesser Restoration可以提前结束目标身上的此法术。</t>
  </si>
  <si>
    <t>Pestilence</t>
  </si>
  <si>
    <t>镇静毒素</t>
  </si>
  <si>
    <t>范围内你选择的一个生物必须通过一次体质豁免，否则将承受8d6点毒素伤害并陷入中毒状态，直到你的下个回合结束。当以此法术的效果陷入中毒状态时，目标同时会陷入震慑状态。若豁免检定成功，目标受到一半伤害且不会陷入中毒状态。
升环施法效应：使用四环或更高法术位施展该法术时，你使用的法术位每比三环高一环，毒素伤害就增加1d6点。</t>
  </si>
  <si>
    <t>Tranquilizing Toxin</t>
  </si>
  <si>
    <t>一些毒蛇的鳞片或毒牙</t>
  </si>
  <si>
    <t>一分钟</t>
  </si>
  <si>
    <t>你释放出一股恶意汹涌的气场，使靠近你的生物晕头转向。任何在你10尺范围内开始回合的生物都将陷入中毒状态，直到它们的下一个回合开始。</t>
  </si>
  <si>
    <t>Venomous Aura</t>
  </si>
  <si>
    <t>浪之自由</t>
  </si>
  <si>
    <t>一簇浸湿的头发</t>
  </si>
  <si>
    <t>你以施法距离内一点为源点，召唤一道半径15尺、高10尺的柱状海水洪流。洪流会呈现为浪涛、漩涡、水龙卷、或其他由你选择的形态。柱状区域内的每个生物必须成功通过一次力量豁免，否则将受到2d8钝击伤害并倒地。你可以选择至多等同于你施法属性调整值（至少可以选择一个）的生物对抗本法术的豁免自动成功。
如果你处于本法术范围内，作为你施展此法术的动作的一部分，你可以消失在洪流中并传送到法术范围内的一个未被占据的空内间。</t>
  </si>
  <si>
    <t>Freedom of the Wave</t>
  </si>
  <si>
    <t>塔尔多雷战役设定集：重制版</t>
  </si>
  <si>
    <t>加农炮击</t>
  </si>
  <si>
    <t>600尺</t>
  </si>
  <si>
    <t>一枚小号的仿制加农炮</t>
  </si>
  <si>
    <t>你在空中召唤出一颗加农炮弹，以全速飞出，并在碰撞后爆炸。对法术施法距离内的一个你可见的目标发动一次远程法术攻击。命中时，目标受到5d10钝击伤害，而且炮弹将爆炸。爆炸将覆盖以其为源头的5尺光环区域，区域内除目标外的所有生物都需要进行一次敏捷豁免，豁免失败者将受到上述伤害的一半。
升环施法。使用的法术位每比三环高1环，炮弹的伤害就增加1d10。</t>
  </si>
  <si>
    <t>Conjure Cannonball</t>
  </si>
  <si>
    <t>多腕术</t>
  </si>
  <si>
    <t>一对臂章</t>
  </si>
  <si>
    <t>你触摸的一生物身上出现两条由绚丽奥术能量组成的肌肉手臂。这些手臂功能完备，可以用来握住武器和盾牌（允许目标持握2件双手武器或4 件单手武器），执行法术的姿势成分，以及执行其他动作。在法术持续时间内，目标在力量（运动）检定中具有优势。目标可以使用一个附赠动作，使用这些手臂持握的一把武器进行一次近战攻击。</t>
  </si>
  <si>
    <t>Polybrachia</t>
  </si>
  <si>
    <t>蝶云风暴</t>
  </si>
  <si>
    <t>昆虫腿</t>
  </si>
  <si>
    <t>你在施法距离内一个你选择的点创造出一团由蝴蝶组成的混乱云团，形成一个20尺半径的球形区域。该区域被重度遮蔽，区域内原有的烟雾会被驱散。
当你施展此法术时，你可以选择区域内的一些生物无视以下效应。在法术持续时间内，受影响区域变为困难地形。当生物试图离开法术区域时，它必须进行一次力量豁免。豁免失败时，该生物会被拉回到球体中心最近的未被占据空间。</t>
  </si>
  <si>
    <t>Butterfly Storm</t>
  </si>
  <si>
    <t>咒唤海洋</t>
  </si>
  <si>
    <t>一块巫眼珊瑚</t>
  </si>
  <si>
    <t>你将海底的一个随机20尺边长立方体的海水传送至施法距离内你能看见的区域。这些海水会如同被容器盛放一般保持其立方体形状。生物可以如常出入这片水体。
当法术结束时，海水失去其形状，坠落地面并向外扩散。此时任何处于水中的生物会被冲向随机方向30尺远。</t>
  </si>
  <si>
    <t>Conjure Ocean</t>
  </si>
  <si>
    <t>达良之块</t>
  </si>
  <si>
    <t>一撮沙子和一块陶片</t>
  </si>
  <si>
    <t>你创造出五个1尺见方的魔法力场，被称为达良之块。每个达良之块出现在施法距离内你选择的不同的未被占据空间中，并被魔法固定在原位。这些方块对所有生物都是隐形的，除了你和你在施法时指定的生物。能看见达良之块的生物（包括受到识破隐形影响或拥有真实视觉的生物）会看到由透明的深绿色光芒构成的发光立方体。
固定在空中的方块可以承载最多5,000磅的重量。超过这个重量会导致方块坠落。生物可以使用一个动作进行一次对抗你法术豁免DC的力量检定，成功则可以将固定的方块移动最多10尺。
升环施法。使用四环或更高法术位施展该法术时，每比三环高一环可以额外创造两个达良之块。</t>
  </si>
  <si>
    <t>Dara Blocks</t>
  </si>
  <si>
    <t>光耀缚束</t>
  </si>
  <si>
    <t>一道闪烁的光带射向施法距离内的一个目标，并在一道壮丽的光芒中将其包裹。对目标进行一次远程法术攻击。命中时，目标被束缚，且被魔法固定在原地直到其下一回合结束。</t>
  </si>
  <si>
    <t>Light Snare</t>
  </si>
  <si>
    <t>坠落术</t>
  </si>
  <si>
    <t>你召唤出一股庞大的发光能量，缠绕住施法距离内的一个飞行生物，并试图将其从空中拽下。目标必须进行一次敏捷豁免。若豁免失败，目标会被拽至地面并受到正常的坠落伤害（每下落10尺受到1d6点钝击伤害，最高不超过20d6）。若豁免成功，该生物只下落一半距离且不受到伤害。</t>
  </si>
  <si>
    <t>Plummet</t>
  </si>
  <si>
    <t>波格莫奇锅</t>
  </si>
  <si>
    <t>你在施法距离内的地面上一处空位召唤出一口铸铁锅。所有在锅子20尺范围内、未被穿戴或携带且重量不超过10磅的物体都会立即被吸入波格莫的奇异容器中，无论这些物体看起来是否能装得下。所有物体都会被储存在锅中的异次元空间内，直到法术结束。当法术结束时，锅子消失，其中储存的物体会出现在锅子原来所在的位置。
在法术持续时间内，锅子保持密封状态，其中的物体在法术结束前无法被取出。锅子宽1尺，高1尺。它可以轻易被移动或携带，无论其中装了多少物体，锅子始终保持15磅重。锅子免疫所有伤害，但可以被解除魔法解除。</t>
  </si>
  <si>
    <t>Pogmo's Pot</t>
  </si>
  <si>
    <t>菜刀术</t>
  </si>
  <si>
    <t>一片草叶</t>
  </si>
  <si>
    <t>一簇茂密的蔬菜叶片突然从你施法距离内一处你能看见的未被占据空间的地面上生长而出。以一个附赠动作，生物可以将这些叶片从地面拔出，显露出一根按照你选择的形状长成刀刃状的根茎蔬菜。在法术持续时间内，生物可以将这把蔬菜刀刃作为一件它拥有熟练项的近战武器使用。该刀刃命中时造成1d12挥砍伤害（如常将你的属性调整值加入伤害掷骰），且具有灵巧属性。
此外，在后续回合中，持握者或其盟友可以使用一个附赠动作从刀刃上咬下一口。这么做会治疗该生物等同于刀刃伤害骰+你的施法关键属性调整值的生命值。一旦有生物从刀刃上咬下一口，其伤害骰降低一级——例如从d12降至d10。如果刀刃的伤害骰降低到d4以下，它就会被摧毁，且法术提前结束。</t>
  </si>
  <si>
    <t>Vegetable Blade</t>
  </si>
  <si>
    <t>蠕行腐朽</t>
  </si>
  <si>
    <t>你将黑灰色的腐烂触须投向施法距离内一个你可见的生物。随后，三条触须从该目标跃向你选择的至多三个其他目标，每个目标都必须在第一个目标的30尺范围内。目标可以是生物或非魔法的非生物植物，例如树木或灌木。无论哪种情况，每个目标只能被其中一条触须选定为目标。 
若目标为生物，则其必须进行一次体质豁免。若豁免失败，则目标受到3d8暗蚀伤害，并在持续时间内陷入中毒状态。若豁免成功，则目标仅受到一半伤害。以这种方式中毒的生物会在其每个回合开始时受到1d8暗蚀伤害。中毒的生物在其每个回合结束时重复该豁免，豁免成功则终止自身该法术。 
植物生物自动失败于初始豁免检定，非魔法的非生物植物则直接枯萎死亡。 
升环施法。使用的法术位每比三环高一环，就会有一根额外的触须从第一个目标跳跃到另一个目标。</t>
  </si>
  <si>
    <t>Creeping Rot</t>
  </si>
  <si>
    <t>猩红丰获</t>
  </si>
  <si>
    <t>一小瓶血液</t>
  </si>
  <si>
    <t>一道血浪从源自你的15尺光环区域内席卷而出。血浪中每个你选择的生物都必须进行一次敏捷豁免，豁免失败则受到3d10暗蚀伤害，豁免成功则受到一半伤害。 
如果你至少伤害了一个小型或更大的生物，则该光环区域内一个你选择的可见生物会恢复等于该伤害掷骰一半的生命值。 
升环施法。使用的法术位每比三环高一环，伤害就增加1d10。</t>
  </si>
  <si>
    <t>Crimson Harvest</t>
  </si>
  <si>
    <t>歪曲结界</t>
  </si>
  <si>
    <t>一枚柳条编的五角星</t>
  </si>
  <si>
    <t>你触碰一处固定表面，并标示一个能令扭曲生物感到痛苦的符号。一个隐形的30尺球状区域从你触碰的点扩展而出。球状区域内的每个异怪、妖精、邪魔、怪兽或亡灵会在属性检定和攻击检定中具有劣势。当一个受影响的生物在一个回合内首次进入该区域或在该区域内开始其回合时，它必须进行一次感知豁免，豁免失败则陷入恐慌状态，直至其下一回合开始。 
升环施法。如果你使用四环（至多1小时）或五环（至多8小时）法术位施展此法术，你可以维持更长时间的专注。使用六环及更高环阶的法术位施展此法术时，此法术无需专注，并且持续时间变为24小时。</t>
  </si>
  <si>
    <t>Crooked Ward</t>
  </si>
  <si>
    <t>剔肉镰刀</t>
  </si>
  <si>
    <t>你创造出一把在持续时间内持续存在的幽灵镰刀，并且可以攻击你的敌人。镰刀悬浮出现于你的空间内并跟随你移动。当你施展此法术时，以及在你每个回合内作为附赠动作，你可以指示它飞向并打击你周边30尺范围内的一个生物。进行一次远程法术攻击。命中时，目标受到2d8暗蚀伤害，并且你获得等于所造成伤害一半的临时生命值。镰刀命中或失手后，会返回并悬浮在你的空间内。 
升环施法。使用的法术位每比三环高一环，伤害就增加1d8。</t>
  </si>
  <si>
    <t>Culling Sickle</t>
  </si>
  <si>
    <t>受诅杂音</t>
  </si>
  <si>
    <t>一张乐谱</t>
  </si>
  <si>
    <t>你全神贯注于一个你熟悉且与你处于同一存在位面的生物。目标必须进行一次感知豁免，豁免失败则在持续时间内被诅咒。一旦目标为对抗该法术而进行的豁免检定失败，则在接下来24小时内，你无法在仪式施展该法术时再次以其为目标。 
被诅咒期间，目标会听到萦绕心头的不和谐音乐，并且在所有D20检定中具有劣势。目标在一个回合内首次失败于一次D20检定时，它会以既无优势也无劣势的方式重复对抗此法术的豁免检定，豁免成功则提前终止该法术。</t>
  </si>
  <si>
    <t>Cursed Cacophony</t>
  </si>
  <si>
    <t>丰收月辉</t>
  </si>
  <si>
    <t>一块月光石</t>
  </si>
  <si>
    <t>你呼唤丰收之月的光辉，照亮以施法距离内一点为源点的20尺球状区域。该区域会沐浴在银色的微光光照下。在该光照下具有隐形状态的生物和物件会以半透明的闪烁影像形式变得可见。当你的一位盟友位于该光照下时，它可以使用附赠动作吸收部分光辉，获得2d6临时生命值。 
升环施法。使用的法术位每比三环高一环，临时生命值就增加1d6。</t>
  </si>
  <si>
    <t>Harvest Moonglow</t>
  </si>
  <si>
    <t>孤立术</t>
  </si>
  <si>
    <t>一小块金属立方</t>
  </si>
  <si>
    <t>施法距离内一个你可见的生物必须进行一次感知豁免，豁免失败则其心智将被完全孤立的恐惧所笼罩。在持续时间内，其他所有生物都对目标具有隐形状态，目标无法看穿此状态——即便使用盲视、真实视觉或如同法术识破隐形See Invisibility之类的魔法——并且目标无法通过任何其他感官感知其他生物。目标会在移动时绕开其他生物，或以其他方式合理化地不穿过其他生物所占据的空间（例如，如果另一个生物挡在路上，目标会认为那是一扇关着的门或是一堵墙）。目标仍然能感受到疼痛，但无法确定任何由其他生物所造成的伤害的来源。目标在其每个回合结束时重复该豁免，豁免成功则终止自身该法术。</t>
  </si>
  <si>
    <t>Isolation</t>
  </si>
  <si>
    <t>殉难者</t>
  </si>
  <si>
    <t>一把价值1+CP的匕首</t>
  </si>
  <si>
    <t>你触碰一个在过去1分钟内死亡的生物，并将你的生命精粹转移到它体内。目标以等于你当前生命值总值的生命值复活。你立即降至0生命值（无法以任何方式阻止），并获得两次失败的死亡豁免检定，且你必须立即进行一次死亡豁免。直至你进行这次死亡豁免之前，你无法恢复生命值或变得伤势稳定。</t>
  </si>
  <si>
    <t>Martyr</t>
  </si>
  <si>
    <t>悼亡迷雾</t>
  </si>
  <si>
    <t>一小瓶眼泪</t>
  </si>
  <si>
    <t>你召唤出一片稀薄迷雾，汲取以施法距离内一点为中心的20尺球状区域内的欢乐与活力。在迷雾出现时位于其中，或在一个回合内首次进入迷雾或在迷雾内结束自己回合的每个生物，都必须进行一次魅力豁免，豁免失败则会充满深深的忧郁，直至其下一回合结束。受影响生物的速度减半，其攻击检定具有劣势，并且其所有伤害掷骰都会减去1d8。</t>
  </si>
  <si>
    <t>Mist of Mourning</t>
  </si>
  <si>
    <t>牧群圣所</t>
  </si>
  <si>
    <t>价值25+GP的银粉，作为该法术的耗材</t>
  </si>
  <si>
    <t>你以施法距离内一点为中心，创造出一个闪烁微弱光芒的20尺球状区域。你和你选择的至多等于你施法属性调整值的生物（至少1个其他生物）可以从该球状区域吸收赋权魔法。当任何被选中的生物在该区域内完成一次长休时，球状区域消失，这些生物获得2d10临时生命值，并且在剩余持续时间内，他们在使用其拥有技能熟练的魅力检定中具有优势。未在球状区域内完成一次长休的被选中生物不会获得任何增益。</t>
  </si>
  <si>
    <t>Sanctum of the Flock</t>
  </si>
  <si>
    <t>猩红黎明</t>
  </si>
  <si>
    <t>猩红光芒在以施法距离内一点为中心的20尺半径，60尺高的柱状区域内倾泻而下。该区域内每个非构装非亡灵生物都必须进行一次体质豁免，豁免失败则受到4d10暗蚀伤害，豁免成功则受到一半伤害。该区域内的构装与亡灵会恢复4d10生命值。 
如果该法术的任何区域与任何三环或更低环阶法术创造的黑暗区域重叠，则这些造暗的法术将被解除。 
升环施法。使用的法术位每比三环高一环，伤害就增加1d10，可被解除的法术的环阶就增加一。</t>
  </si>
  <si>
    <t>Scarlet Dawn</t>
  </si>
  <si>
    <t>汲影术</t>
  </si>
  <si>
    <t>你通过阴影汲取源自你的15尺光环区域内生物的活力与自我意识。当你施展该法术时，你可以指定某些生物不受其影响。每当其他生物进入该光环或在其中开始其回合，或当该光环进入生物的占据空间时，该生物必须进行一次魅力豁免。若豁免失败，则该生物受到2d6暗蚀伤害，并且其攻击检定和属性检定会具有劣势，直至其下一回合结束。若豁免成功，则该生物仅受到一半伤害。一名生物一个回合内只进行一次该豁免。 
升环施法。使用的法术位每比三环高一环，伤害就增加1d6。</t>
  </si>
  <si>
    <t>Shadow Drain</t>
  </si>
  <si>
    <t>炼狱之尘</t>
  </si>
  <si>
    <t>150 尺</t>
  </si>
  <si>
    <t>一块硫磺</t>
  </si>
  <si>
    <t>你显现地狱一角。在法术持续时间内，你令施法距离内一点为中心的半径15尺球状区域内充斥着黑暗、硫磺与爆裂火焰。位于其30尺内的生物可以听见地狱火云中回荡着的被诅咒灵魂的悲鸣。光照——包括魔法光源——无法照亮火云，任何完全身处区域内的生物陷入目盲。火云扭曲了时空，使火云所在区域变为困难地形。在区域内开始其回合的生物将受到3d6火焰伤害。在区域内结束其回合的生物必须成功通过一次感知豁免，否则将因魔音贯脑受到3d6心灵伤害。</t>
  </si>
  <si>
    <t>Mote of Hell</t>
  </si>
  <si>
    <t>羽化</t>
  </si>
  <si>
    <t>一根小羽毛</t>
  </si>
  <si>
    <t>你的双臂会变成强有力的翅膀，你的手指变成长而优美的羽毛。此法术的效果持续1分钟，之后羽毛会逐渐脱落、当你的双臂恢复原状时，你会轻轻地漂浮到地面上。这个法术会给施法者带来以下增益：
以一个附赠动作，你可以飞行至多等同于你移动速度两倍的距离。你必须在移动结束后着陆，不过在此法术生效时，你不会受到坠落伤害，因为你的羽毛手臂会将你轻轻的带到地面上。
你可以用有力的羽臂将自己向上推，距离相当于你移动速度的一半。
在你的回合中可以使用一次此效果，并且可以与普通跳跃同时使用。
坠落时，你可以利用反作用力收紧双臂，在风中滑行。你可以向任何方向至多等同你移动速度的距离飞行，并选择落脚点。
在进行跳远或跳高时，你在所有的运动检定中具有优势。跳跃前不需要移动10尺，跳远的距离是正常情况下的三倍。
要使用此法术，你的双手必须必须没有持有盾牌和重型武器，也不能超载。</t>
  </si>
  <si>
    <t>Feathered Reach</t>
  </si>
  <si>
    <t>暮光法球</t>
  </si>
  <si>
    <t>一滴沥青和一袋闪亮的沙子</t>
  </si>
  <si>
    <t>你将周围半径15尺，高15尺的区域笼罩在一个球形的点缀着微星的夜空中。暮色掩盖了你的盟友，却清晰地照亮了你的敌人。
受此法术影响的区域会因魔法阴影处于轻微遮蔽，其中的小星座柔和地闪烁。除了这些星星之外，只有由三环或更高的法术产生的光才能照亮球内的任何区域。非魔法光照在球体内不起作用，所有其他形式的魔法光照只能在其5尺内提供微光光照。
施放此法术时，你可以指定任意数量的生物在球体内被超自然的阴影遮蔽。被选择的生物在球体内时，在敏捷（隐匿）检定上具有优势，并可在任何时候尝试躲藏。在该法术范围外生物在对其感知（察觉）检定上具有劣势。
该区域内的所有其他生物都会被微缩星星的光芒所晕眩，导致它在球体内部的所有察觉检定具有劣势。当这些生物首次进入法术区域，或在该区域开始回合时、其必须进行一次感知豁免，否则就会陷入目盲，直到其回合结束。</t>
  </si>
  <si>
    <t>Globe of Twilight</t>
  </si>
  <si>
    <t>祈求永荣者</t>
  </si>
  <si>
    <t>10分钟；特殊，见正文</t>
  </si>
  <si>
    <t>自身；特殊，见正文</t>
  </si>
  <si>
    <t>一个阿玛兰的圣徽；特殊，见正文</t>
  </si>
  <si>
    <t>你呼唤永荣者的力量，令自身获得洞察万物运动的伟大韵律。当你施展该法术时，掷两个d20，并记录掷出的结果。为每个骰子选择应用在攻击检定、技能检定或豁免检定中的一项。同一选项可以应用给多个骰子。在接下来的 24 小时内，你能将60尺内你可见的一名盟友或敌人的任意掷骰结果改为你记录的骰子之一，但被修改的结果与你记录骰子的检定类型必须相同（攻击检定，技能检定或豁免检定）。目标仍会在该数字上加上任何相关的调整值，但在其他情况下会将替换后的数字视为其掷出的数字。
要如此做，你必须以你的反应出示你的圣徽，并唤起你所用能量所属永荣者的名字。你可以在攻击检定，技能检定或豁免检定掷出之后、但在事件结果确定之前如此做。法术会在24小时后结束，或者当两个骰子被消耗时法术提前结束。</t>
  </si>
  <si>
    <t>Invoke the Amaranthine</t>
  </si>
  <si>
    <t>刺骨寒风</t>
  </si>
  <si>
    <t>一把桦木扇</t>
  </si>
  <si>
    <t>一阵冰冷的风形成一条120尺长，20尺宽的线状区域，在法术持续时间内从你的位置吹向你选择的方向。每一个在该线状区域中开始其回合生物必须通过一次力量豁免，否则将被你推离30尺。豁免失败的生物也会受到1d12点寒冷伤害并应击倒地。如果在寒冷天气或是黑暗或阴影的状态下施展，豁免将处于劣势。该区域中的任何生物在靠近你时每移动1尺，就必须消耗2尺的移动力。
在法术结束前的每个回合，你都可以一个附赠动作，改变线状区域从你身上喷出的方向。
刺骨寒风会吹散气体或蒸汽，它会熄灭该区域的蜡烛、火把、灯笼和类似的火焰。
升环施法。当你用四环或更高环阶的法术位施展该法术时，豁免具有劣势，并且每比三环高一环，伤害增加1d12点。</t>
  </si>
  <si>
    <t>Bitter Wind</t>
  </si>
  <si>
    <t>深根入月</t>
  </si>
  <si>
    <t>10英里/每个施法等级</t>
  </si>
  <si>
    <t>一套价值至少每英里50gp的月长石用于一条完全在影域内的路，或者一套价值至少每英里500gp的蛋白石用于一条延伸到另一个位面的路</t>
  </si>
  <si>
    <t>永久</t>
  </si>
  <si>
    <t>你将暗影物质绑定至一条附魔的妖精之路上，固定两点之间的道路，以抵御普通天气和世俗的变化，并在暗影潮汐中伸展和弯曲。这被称为暗影之路，它会受到正常的磨损，会被那些有工具的人破坏，也会被敌对力量的魔法破坏，比如解除魔法Dispel Magic 。
如果你愿意，法术可以包含一个祷词或祭品作为关键词。这条道路的秘密允许任何知道并使用它的人在道路上添加一到两个效果，例如在道路上更快地行走（最高可达到通常允许的陆上速度的两倍）或锁定和解锁影域Shadow Realm之外的道路。那些不知道祷词、仪式或祭品的人不能从影域之外进入这条路。</t>
  </si>
  <si>
    <t>Deep Roots of the Moon</t>
  </si>
  <si>
    <t>妖精祝酒</t>
  </si>
  <si>
    <t>价值100GP的葡萄酒，施法时消耗，以及每个参与者一个杯子</t>
  </si>
  <si>
    <t>你和最多五个其他生物向妖精王庭的领主和女领主们敬酒。从以下祝酒词中选择之一，目标必须在施法过程中距离你10尺内。
惺惺相惜Commiseration。施法者可以组建或加入一个鬼婆集会。在集会中，每个成员之间可以共享法术位。法术持续期间，鬼婆集会中一名成员知晓的法术所有成员都会知晓，并且可以使用任何共享的法术位施展。
友谊Friendship。每个参加祝酒会的生物在法术持续时间内变成妖精生物，取代他们原来的生物类型，当他们处于影域或曙光之地Bright Lands时，他们的地位status*会增加 2d6。 （见第一章[不全书暂无]）
畜牧Husbandry。在法术持续时间内，参与者可以与野兽交流，就像他们有共通的语言一样（尽管他们不会获得影响野兽的魔法能力）。
噩梦Nightmares。 在法术持续时间内，生物首次靠近其中一名参与者30尺内时，它必须通过一次感知豁免，否则会在1分钟内对所有参与者恐慌。
嬉戏Playfulness。 每个参与者都会长出翅膀，并在持续时间内的10轮内，他们会获得等同于步行速度的飞行速度。如果参与者在回合结束时没有站在水平面上，回合结束时就会倒地。
宁静Restfulness。 每个参与者在法术持续时间内在对抗魅惑或陷入睡眠的法术或其他魔法效应时具有优势。</t>
  </si>
  <si>
    <t>Faerie Toast</t>
  </si>
  <si>
    <t>严峻之影</t>
  </si>
  <si>
    <t>你选择施法距离内地面可见一点，尖锐的矛状阴影覆盖地面15尺立方的区域。 在法术持续时间内，这些阴影会遮蔽该范围内的生物，为他们提供半身掩护。当生物在一个回合中首次进入受影响的区域或在其中开始其回合时，该生物必须通过一次敏捷豁免，否则会受到1d8点穿透伤害并目盲，直到法术结束。
在该区域开始回合的生物如果已经目盲会受到1d8点穿刺伤害。
因暗影目盲的生物可以使用其动作进行一次敏捷或感知豁免（由其选择）以对抗你的法术豁免DC。如果成功，它则恢复视力。</t>
  </si>
  <si>
    <t>Grim Shadows</t>
  </si>
  <si>
    <t>迷失</t>
  </si>
  <si>
    <t>你试图迷惑一个生物的方向感。目标必须进行一次感知豁免，如果豁免失败，则法术会消除所有关于特定地点的记忆、地标和路线的记忆——即使是众所周知的地点，如城市内的地点、 森林之家、著名的山丘和道路。
移除诅咒Remove Curse或高等复原术Greater Restoration 会终止此效果。
升环施法。当你使用四环或更高的法术位施放此法术时，每比三环高一环便可额外指定一名生物为目标。这些生物必须相距在30尺内。如果你使用五环或更高环阶的法术位，法术持续时间变为8小时。七环改为24小时。如果你使用9环法术位施展该法术，法术持续时间变为直到被解除。</t>
  </si>
  <si>
    <t>Lost</t>
  </si>
  <si>
    <t>奥罗斯的命运印记</t>
  </si>
  <si>
    <t>反应，当你在一次豁免中失败时</t>
  </si>
  <si>
    <t>一面小铁盾</t>
  </si>
  <si>
    <t>如果你豁免失败，你可以选择改为成功。然后选择距离你30尺内的一可见生物，令其受到你豁免失败的效应的影响，目标可以对此进行豁免，如同它是豁免的原始目标一样，但该豁免具有劣势。你仍会受到豁免成功的效果（若有）。</t>
  </si>
  <si>
    <t>Orros Mark of Fate</t>
  </si>
  <si>
    <t>暗影传送门</t>
  </si>
  <si>
    <t>200尺</t>
  </si>
  <si>
    <t>一个价值50gp的银门栓，施法时消耗</t>
  </si>
  <si>
    <t>你可以在最近的墙壁、悬崖、树木或类似结构上创建一扇门。它将立即与200尺内的一处相似的门相连。近处的门必须在10尺内，而远处的门可以是你可以看到的地方，也可以是您可以通过说明距离和方向来描述的地方，例如向正下100尺或西北向上45度50尺。
咒唤出门后，你可以以动作打开并通过近处的传送门，这会立即将你传送到远处的传送门。其他生物也可以这样做，直到法术持续时间结束或当有人以一个附赠动作将远处的门关闭后结束。
升环施法。如果以五环法术位施展该法术，此法术可以打开通往暗影之路shadow road的门。 这可能需要 额外的姿势或材料成分。 如果缺少这些成分，法术就会失效并被浪费。</t>
  </si>
  <si>
    <t>Shadow Portal</t>
  </si>
  <si>
    <t>噪鸣护盾</t>
  </si>
  <si>
    <t>雷鸣般的巨声于法术持续时间内回响在源自你的半径10尺的光环区域。每当光环区域进入一名你可见生物所在的空间时、一名你可见的生物进入光环区域或是在该区域结束其回合时，该生物都要进行一次体质豁免检定。失败则该生物受到3d6雷鸣伤害且陷入耳聋状态，持续至你的下一回合开始。豁免成功则仅受半伤。一名生物一回合只进行一次该豁免。你在施展该法术时可以指定哪些生物不受其影响。
此外，你获得对雷鸣伤害的抗性，且对你发动的远程攻击检定均具有劣势。
升环施法。你使用的法术位每比三环高一环，法术的伤害就增加1d6。</t>
  </si>
  <si>
    <t>Cacophonic Shield</t>
  </si>
  <si>
    <t>咒唤机群</t>
  </si>
  <si>
    <t>一枚黄铜齿轮</t>
  </si>
  <si>
    <t>你咒唤一群无形且守序的灵体，其于施法距离内的一处未占据空间中显现为中型的、由一队魔冢或其它构装组成的机群。机群存在直至法术结束。
当你施展该法术时、或是在后续回合中以一个魔法动作，你可以令机群指定其5尺内的一个生物或物件，创造下列效果之一：
机关之力Clockwork Force。目标进行一次敏捷豁免检定，豁免失败受3d6力场伤害，豁免成功则伤害减半。
秩序守护Orderly Ward。目标获得等于1d6+你的施法属性调整值点临时生命值。
当你在你的回合移动时，你可以令机群也移动至多30尺到一处你可见的未占据空间中。
升环施法。你使用的法术位每比三环高一环，法术的伤害和临时生命值就增加1d6。</t>
  </si>
  <si>
    <t>Conjure Constructs</t>
  </si>
  <si>
    <t>莱拉的银辉长枪</t>
  </si>
  <si>
    <t>一枚价值250+GP的银针</t>
  </si>
  <si>
    <t>银色能量自你之处爆发，覆盖一处120尺长、5尺宽的线状区域。每名位于区域内的由你选择的生物都进行一次力量豁免检定。豁免失败者受到3d10力场伤害且陷入倒地状态。豁免成功仅受半伤。
升环施法。你使用的法术位每比三环高一环，法术的伤害就增加1d10。</t>
  </si>
  <si>
    <t>Laeral's Silver Lance</t>
  </si>
  <si>
    <t>希伦的剧毒灵蛇</t>
  </si>
  <si>
    <t>一枚蛇牙</t>
  </si>
  <si>
    <t>一条闪烁的灵体毒蛇将于法术的持续时间内环绕在你的身侧。你获得15点临时生命值；此法术会在你不具有剩余的临时生命值时提前结束。
你在此法术生效期间获得以下增益：
攀援Climbing。你获得等于你速度的攀爬速度。
剧毒啃咬Venomous Bite。以一个魔法动作，你能用这条毒蛇对50尺内的一名生物发动一次远程法术攻击。若命中，则目标受到1d6力场伤害且陷入中毒状态直至你的下一回合开始。目标还会在中毒期间陷入失能状态。
升环施法。你使用的法术位每比三环高一环，你从法术获得的临时生命值就增加5，且剧毒啃咬的伤害也增加1d6。</t>
  </si>
  <si>
    <t>Sylune's Viper</t>
  </si>
  <si>
    <t>秘法眼</t>
  </si>
  <si>
    <t>一点蝙蝠毛皮</t>
  </si>
  <si>
    <t>你在施法距离内创造出一个漂浮在空中，不受伤害的隐形魔法眼。你通过精神连接接收秘法眼传来的视觉信息。秘法眼拥有30尺黑暗视觉且可以观察任何方向。
以一个附赠动作，你可以让秘法眼向任意方向移动30尺。固体障碍物会阻挡秘法眼的移动，但它可以穿过任何直径大于1寸的缝隙。</t>
  </si>
  <si>
    <t>Arcane Eye</t>
  </si>
  <si>
    <t>生命灵光</t>
  </si>
  <si>
    <t>一道灵光自你身上发出并形成 30 尺半径的光环。在灵光范围内时，你和你的盟友获得对暗蚀伤害的抗性，生命值上限也无法被降低。另外，生命值为0的盟友在灵光范围内开始其回合时，恢复1点生命值。</t>
  </si>
  <si>
    <t>Aura of Life</t>
  </si>
  <si>
    <t>净化灵光</t>
  </si>
  <si>
    <t>一道灵光自你身上发出并形成 30 尺半径的光环。在灵光范围内时，你和你的盟友获得毒素伤害的抗性，并且在为抵抗和结束下列状态所做的豁免时具有优势：目盲、魅惑、耳聋、恐慌、麻痹、中毒、震慑 。</t>
  </si>
  <si>
    <t>Aura of Purity</t>
  </si>
  <si>
    <t>放逐术</t>
  </si>
  <si>
    <t>一颗五芒星</t>
  </si>
  <si>
    <t>一个在你施法距离内你可见的生物必须进行一次魅力豁免，豁免失败者会在法术持续期间被转移到一个无害的半位面，身处半位面期间，目标会陷入失能状态。当法术终止时，目标将重新出现在其被放逐前的位置。如果该位置被占据，则目标将出现在距离该位置最近的一个未被占据空间。
若该目标的生物类型为异怪、天族、元素、妖精或邪魔，则在法术持续一分钟后，目标不会返回。该目标会被改为转移到与其生物类型相关的一个位面（由DM决定）中的随机地点。
升环施法：使用的法术位每比四环高一环，你就能多指定一个生物作为此法术的目标。</t>
  </si>
  <si>
    <t>Banishment</t>
  </si>
  <si>
    <t>枯萎术</t>
  </si>
  <si>
    <t>一个在你施法距离内你可见的生物必须进行一次体质豁免，豁免失败者受到8d8黯蚀伤害，成功则只受到一半伤害。生物类型为植物的生物在此豁免中自动失败。
作为此法术的另一种用法，你可以指定一个并非生物的非魔法植物为目标（如树木或灌木），该植物不进行豁免，直接凋谢死亡。
升环施法：使用的法术位每比四环高一环，此法术的伤害就提升1d8。</t>
  </si>
  <si>
    <t>Blight</t>
  </si>
  <si>
    <t>魅惑怪物</t>
  </si>
  <si>
    <t>一名你可见的施法距离内的生物进行一次感知豁免，如果你或者你的盟友正在与它战斗，它在这次豁免上具有优势。豁免失败，则目标陷入魅惑状态直至法术结束，或在你或你的盟友对它造成伤害时提前结束。魅惑生物将对你友好。当法术结束时，目标会知道它曾被你魅惑。
升环施法：使用的法术位每比四环高一环，你就可以额外指定一名生物作为此法术的目标。</t>
  </si>
  <si>
    <t>Charm Monster</t>
  </si>
  <si>
    <t>强迫术</t>
  </si>
  <si>
    <t>每名你所选择的，施法距离内你可见的生物必须成功通过一次感知豁免，否则陷入魅惑状态直至法术结束。
法术持续期间，你能够以一个附赠动作指向你的某个水平方向。随后，每个魅惑目标在其下一回合里必须使用其所有的移动力，采取最安全的路线，尽可能的向该方向移动。在以此法移动后，目标可以重新豁免，豁免成功则结束其身上该法术的效应。</t>
  </si>
  <si>
    <t>Compulsion</t>
  </si>
  <si>
    <t>困惑术</t>
  </si>
  <si>
    <t>三颗坚果壳</t>
  </si>
  <si>
    <t>你选择施法距离内一点为中心，半径10尺球状区域内的每名生物必须成功通过一次感知豁免，否则目标不能执行反应和附赠动作，并且必须在其每个回合开始时掷1d10，根据下表内容来决定当回合的行为。
1d10 当前回合行为 
1 目标不执行任何动作，并使用所有移动力来进行移动。掷 1d4 决定其方向：1.北、2.东、3.南、4.西。 
2~6 目标不进行移动也不执行任何动作。 
7~8 该生物不进行移动，执行动作来对其触及内一名随机生物发动一次近战攻击。如果没有生物在其触及内，则目标本回合不执行任何动作。 
9~10 该生物自行决定当回合行为。受影响的目标在其每回合结束时都可以重新豁免，豁免成功则结束其身上该法术的效应。 
升环施法： 使用的法术位每比四环高一环，此法术的球状区域半径就增加5尺。</t>
  </si>
  <si>
    <t>Confusion</t>
  </si>
  <si>
    <t>咒唤微元素群</t>
  </si>
  <si>
    <t>你在持续时间内将来自元素位面的精魂咒唤在你身周15尺光环区域内，让它们环绕着你飞舞。直到法术结束为止，你进行的任何攻击检定命中光环区域内的生物时，都会额外造成2d8点伤害。额外伤害的类型为强酸、寒冷、火焰或闪电的一种（在你发动攻击时选择）。
此外，光环区域内的地面对你的敌人而言是困难地形。
升环施法： 使用的法术位每比四环高一环，此法术的伤害就增加2d8。</t>
  </si>
  <si>
    <t>Conjure Minor Elementals</t>
  </si>
  <si>
    <t>咒唤林地卫士</t>
  </si>
  <si>
    <t>你在持续时间内将许多自然精魂咒唤在你身周10尺光环区域内。每当光环区域进入一名你可见生物所在的空间时、一名你可见的生物进入光环区域或是在该区域结束其回合时，你都可以迫使该生物进行一次感知豁免检定。失败则该生物受到5d8点力场伤害，成功则只受一半伤害。一名生物一回合只需要进行一次该豁免。
此外，在持续时间内，你能够以附赠动作执行撤离动作。
升环施法：使用的法术位每比四环高一环，此法术的伤害就增加1d8。</t>
  </si>
  <si>
    <t>Conjure Woodland Beings</t>
  </si>
  <si>
    <t>操控水体</t>
  </si>
  <si>
    <t>水尘混合物</t>
  </si>
  <si>
    <r>
      <rPr>
        <sz val="11"/>
        <color theme="1"/>
        <rFont val="仿宋"/>
        <charset val="134"/>
      </rPr>
      <t>你控制你指定的一处边长至多100尺的立方区域中的任意水体直至法术结束，从以下效应中选择其一生效。在后续的你的回合中，你能够以一个魔法动作重复同一效应，或是选择另一效应。
　　</t>
    </r>
    <r>
      <rPr>
        <sz val="11"/>
        <color theme="1"/>
        <rFont val="Arial"/>
        <charset val="134"/>
      </rPr>
      <t>•</t>
    </r>
    <r>
      <rPr>
        <sz val="11"/>
        <color theme="1"/>
        <rFont val="仿宋"/>
        <charset val="134"/>
      </rPr>
      <t xml:space="preserve"> 上涨Flood。你使控制区域内的水位上涨20尺。如果你指定的区域是一片大水体中的一部分，则你改为制造一片20尺高的波浪，并在从区域的一边扑向另一边后崩溃。波浪中任何巨型或更小的载具都会被波浪带到区域的另一边。且所有巨型或更小的载具都有25%的几率倾覆。
直至法术结束或你选择另一个效应，水位将维持上涨。如果该效应用以产生波浪，则你维持上涨期间，波浪在你的回合开始时重新出现。
　　</t>
    </r>
    <r>
      <rPr>
        <sz val="11"/>
        <color theme="1"/>
        <rFont val="Arial"/>
        <charset val="134"/>
      </rPr>
      <t>•</t>
    </r>
    <r>
      <rPr>
        <sz val="11"/>
        <color theme="1"/>
        <rFont val="仿宋"/>
        <charset val="134"/>
      </rPr>
      <t xml:space="preserve"> 分水Part Water。你使区域内的水体分开并形成一条水体的沟壑。沟壑从法术区域的一头延伸到另一头，而被分开的水体则在两边形成两道水墙。沟壑持续存在，直至法术结束或你选择另一个效应。该效应终止时，水流会在下一轮中逐渐将沟壑填满，直至其恢复成通常的水位。
　　</t>
    </r>
    <r>
      <rPr>
        <sz val="11"/>
        <color theme="1"/>
        <rFont val="Arial"/>
        <charset val="134"/>
      </rPr>
      <t>•</t>
    </r>
    <r>
      <rPr>
        <sz val="11"/>
        <color theme="1"/>
        <rFont val="仿宋"/>
        <charset val="134"/>
      </rPr>
      <t xml:space="preserve"> 转向Redirect Flow。你使区域内的流水向一个你自选的方向流动，即使水流需要绕过障碍、沿着墙壁向上流、或是流向一些不太可能的方向，区域内的水体都将遵照你指使的方向流动，但一旦其流出法术区域，则会重新基于其所在地形改变流向。水体持续向你所选方向流动，直至法术结束或你选择另一个效应。
　　</t>
    </r>
    <r>
      <rPr>
        <sz val="11"/>
        <color theme="1"/>
        <rFont val="Arial"/>
        <charset val="134"/>
      </rPr>
      <t>•</t>
    </r>
    <r>
      <rPr>
        <sz val="11"/>
        <color theme="1"/>
        <rFont val="仿宋"/>
        <charset val="134"/>
      </rPr>
      <t xml:space="preserve"> 漩涡Whirlpool。该效应需要水体至少为50尺的方形区域并且至少有25尺深。你在区域中央形成一个漩涡。漩涡持续存在，直至法术结束或你选择另一个效应。漩涡的形态为底部宽5尺，顶部至多宽50尺，高25尺。水中任何位于漩涡25尺内的生物或物件均被漩涡向自身拉动10尺。当一名生物在一个回合内第一次进入漩涡或在漩涡内结束其回合时，进行一次力量豁免。豁免失败受到2d8点钝击伤害。豁免成功则只受一半伤害。一名生物若想以游泳方式离开漩涡，则必须先执行一个动作来远离漩涡并成功通过一次对抗你法术豁免DC的力量（运动）检定。</t>
    </r>
  </si>
  <si>
    <t>Control Water</t>
  </si>
  <si>
    <t>防死结界</t>
  </si>
  <si>
    <t>你触摸一名生物，并给予其对死亡的防护。在法术结束前，当目标的生命值首次降至0时，该目标的生命值改为降至1，随后法术终止。
目标受到直接致死而不造成伤害的效应影响时，若该法术仍在生效，则改为目标受到的致死效应失效，随后法术终止。</t>
  </si>
  <si>
    <t>Death Ward</t>
  </si>
  <si>
    <t>任意门</t>
  </si>
  <si>
    <t>500尺</t>
  </si>
  <si>
    <t>你将传送至施法距离内的一处地点。你会准确到达该目的地。法术的目的地可以是你能看见的、可想象的地点，也可以是通过距离和方向说明的地点，比如“径直向下200尺”，“西北偏上45度300尺”。
你还可以带上一名自愿生物一同传送。该生物在你传送时必须距你5尺内，且其传送终点也位于你所选目的地的5尺内。
如果你、你携带的生物、或两者均将被传送至一处已被一名生物占据、或被一个或更多物件填满的空间中，则你和任何与你一起传送的生物都将受到4d6点力场伤害，且传送失败。</t>
  </si>
  <si>
    <t>Dimension Door</t>
  </si>
  <si>
    <t>预言术</t>
  </si>
  <si>
    <t>价值25+GP的熏香，作为法术耗材</t>
  </si>
  <si>
    <t>此法术让你得以与一名神祇或其仆人取得联络。你可以就某个未来7日内将要发生的特定目标、事件或活动提出一个问题。DM将给予你真实的答复，这个答复可能是一段短语或一节神秘的短诗。此法术的回答并不会顾及所有可能影响结果的情况。例如其他法术的影响。
若你在完成一次长休前施展多于一次该法术，则法术有概率不给出任何结果。此概率从第二次施展起每次累计25％。</t>
  </si>
  <si>
    <t>Divination</t>
  </si>
  <si>
    <t>支配野兽</t>
  </si>
  <si>
    <t>一名法术范围内你可见的野兽必须成功于一次感知豁免，否则在持续时间内陷入魅惑状态。若你或你的盟友正在与其战斗，则目标进行的此次豁免具有优势。目标受到伤害时，可以重复进行豁免，豁免成功则其身上的此法术终止。
该野兽被魅惑期间，只要你与其处于同一位面就可以与之保持心灵感应。在你的回合，你可以通过心灵感应命令该生物（无需动作），比如“攻击那个生物”“跑到那个位置”或是“去拿那个物品”。该生物会在其回合内尽其所能以遵守你的指令。生物完成一项指令却未收到你的进一步指示时，将会凭自身喜好行动，尽可能的保护自己。
你可以用自己的反应去要求目标执行一项反应。
升环施法： 使用更高环阶法术位施展时，你的专注能持续更长时间，五环至多10分钟，六环至多1小时，七环及以上至多8小时。</t>
  </si>
  <si>
    <t>Dominate Beast</t>
  </si>
  <si>
    <t>艾伐黑触手</t>
  </si>
  <si>
    <t>一根触手</t>
  </si>
  <si>
    <t>蠕动的乌黑触须填满了一处施法距离内你可见的20尺方状地面。在法术持续时间内，这些触手会将此区域地面变为困难地形。
每名区域内的生物进行一次力量豁免。豁免失败受到3d6点钝击伤害，并且直到法术结束为止陷入束缚状态。一名进入此区域或在区域内结束回合的生物也要进行此豁免。一名生物一回合只进行一次此豁免。
一名被束缚的生物可以用一个动作进行一次力量（运动）检定对抗你的法术豁免DC，若检定成功则结束其身上的束缚状态。</t>
  </si>
  <si>
    <t>Evard's Black Tentacles</t>
  </si>
  <si>
    <t>鬼斧神工</t>
  </si>
  <si>
    <t>你将一种原材料转化成该材料制作的成品。例如，你可以将一丛树木转化为一座木桥，一把麻草化为绳子，或是将亚麻和羊毛化作衣物。
指定施法距离内你能看见的原材料。只要有足够的材料，你就可以将他们转化为一件体型不超过大型的物件（至多占据10尺立方区域或八个相邻的5尺立方区域）。如果你的目标材料是金属、石料或者其他矿石材料，那么被制造的物件不能大于中型（至多占据 5 尺立方区域），制成品的质量和原材料质量相同。
该法术不能创造生物或魔法物品。你只有对制作某物品的工匠工具拥有熟练项时，才能使用此法术去制作相应需要高工艺水平制作的物品，如武器、护甲等。</t>
  </si>
  <si>
    <t>Fabricate</t>
  </si>
  <si>
    <t>火焰护盾</t>
  </si>
  <si>
    <t>一小块磷或一只萤火虫</t>
  </si>
  <si>
    <t>轻薄缥缈的火焰在法术持续期间环绕着你的身体，散发出10尺半径的明亮光照和额外10尺的微光光照。
这层火焰可以为你提供一面温暖护盾或冻寒护盾，由你选择。温暖护盾将赋予你对冷冻伤害的抗性，而冻寒护盾则会赋予你对火焰伤害的抗性。
此外，每当一名距你5尺内的生物以一次近战攻击命中你时，这个护盾将迸发出火焰。温暖护盾将对攻击者造成2d8点火焰伤害，冻寒护盾将对攻击者造成2d8点冷冻伤害。</t>
  </si>
  <si>
    <t>Fire Shield</t>
  </si>
  <si>
    <t>月光涌泉</t>
  </si>
  <si>
    <t>一道冷冽光芒在法术持续时间内缭绕你身，散发出20尺半径的明亮光照和额外20尺的微光光照。
直到法术结束，你具有光耀伤害的抗性，并且你的近战攻击在命中时额外造成2d6点光耀伤害。
此外，在你受到距你60尺内一名你可见的生物的伤害后，你可以立即用一个反应，强迫其进行一次体质豁免。豁免失败者直到你的下个回合结束为止陷入目盲状态。</t>
  </si>
  <si>
    <t>Fount of Moonlight</t>
  </si>
  <si>
    <t>行动自如</t>
  </si>
  <si>
    <t>一条皮带</t>
  </si>
  <si>
    <t>你触碰一个自愿生物，并使目标在法术持续时间内移动时不受困难地形限制，并且任何法术或其他魔法效应都不能降低目标的速度，或者使目标陷入麻痹或束缚状态。目标还会获得等同于其速度的游泳速度。
此外，该目标还可以花费5尺移动力直接从非魔法的束缚物中挣脱（诸如镣铐或其他生物对其施加的受擒状态）。
升环施法：使用的法术位每比四环高一环，你就可以额外再指定一名生物作为此法术的目标。</t>
  </si>
  <si>
    <t>Freedom of Movement</t>
  </si>
  <si>
    <t>巨虫术</t>
  </si>
  <si>
    <t>你召唤一只巨化的蜈蚣、蜘蛛或黄蜂（你施法时选择）。其使用下文巨虫Giant Insect的数据，并会在施法距离内一处你可见的未被占据的空间中显现。你选择的形态决定了其数据中的部分细节。该生物会在生命值降为0或是法术结束时消失。
该生物是你和你盟友的盟友。它在战斗中使用你的先攻，并在你回合结束后立即执行其回合。它遵从于你的口头指令（无需任何动作）。如果你不发令，它将执行回避动作并使用其移动力以远离危险。
升环施法：在生物数据中使用更高的法术环阶。
巨虫Giant Insect
大型野兽，无阵营
AC 11+法术环阶
HP 30+每比四环高一环阶10点
速度 40尺，攀爬40尺，飞行40尺（仅限黄蜂）
力量17|+3|+3 敏捷13|+1|+1 体质15|+2|+2
智力4|-3|-3 感知14|+2|+2 魅力3|-4|-4
感官：黑暗视觉60尺，被动察觉12
语言：理解你所知晓的语言
CR 无（XP0；PB等同于你的熟练加值）
特质Traits
蛛行Spider Climb。 巨虫能够在困难表面上攀爬，包括在天花板上攀爬，而不需要进行属性检定。
动作Actions
多重攻击Multiattack。巨虫发动等同于法术环数一半次数的攻击（向下取整）。
猛毒刺Poison Jab。近战攻击检定：加值等同于你的法术攻击调整值，触及10尺。命中：1d6+3+法术环阶点穿刺伤害+1d4点毒素伤害。
蛛网箭Web Bolt（仅限蜘蛛）。远程攻击检定：加值等同于你的法术攻击调整值，射程60尺。命中：1d10+3+法术环阶点钝击伤害，且目标的速度降为0直至巨虫的下个回合开始。
附赠动作Bonus Actions
剧毒喷涌Venomous Spew（仅限蜈蚣）。体质豁免：DC等同于你的法术豁免DC，一名距巨虫10尺内且巨虫可见的生物。失败：目标陷入中毒状态直至巨虫的下个回合开始。</t>
  </si>
  <si>
    <t>Giant Insect</t>
  </si>
  <si>
    <t>擒抱藤</t>
  </si>
  <si>
    <t>你指定施法距离内一个你能够看见的未被占据的空间，并召唤一条藤蔓使其从该空间的地面上破土而出。藤蔓直到法术结束为止会一直存在。
对一名距藤蔓30尺内的生物进行一次近战法术攻击。命中时，目标受到4d8点钝击伤害并被往藤蔓所在方向拉近30尺。如果目标体型不超过巨型，则目标同时陷入受擒状态（逃脱DC等同于你的法术豁免DC）。藤蔓在同一时间只能擒抱一名生物，但你随时可以让藤蔓放开一名受擒的生物（无需动作）。
直至该法术终止前，你可以在你随后的回合里用一个附赠动作再次对一名距其30尺内的生物进行这样的攻击。
升环施法：使用的法术位每比四环高一环，藤蔓便可额外擒抱一名生物。</t>
  </si>
  <si>
    <t>Grasping Vine</t>
  </si>
  <si>
    <t>高等隐形术</t>
  </si>
  <si>
    <t>触碰一名生物，该生物直到法术结束之前具有隐形状态。</t>
  </si>
  <si>
    <t>Greater Invisibility</t>
  </si>
  <si>
    <t>信仰守卫</t>
  </si>
  <si>
    <t>一名大型灵体守护者出现在施法距离内一处由你指定的，你可见且未被占据的空间，并在法术持续时间内在该处悬浮。占据该空间的守护者是无敌的，并且会以适合你神祇或神系的形态出现。
任何敌人在一回合内首次进入距守护者10尺内或于其10尺内开始其回合时，必须进行一次敏捷豁免。豁免失败受到20点光耀伤害，豁免成功则伤害减半。守护者在造成总计60点伤害后随即消失。</t>
  </si>
  <si>
    <t>Guardian of Faith</t>
  </si>
  <si>
    <t>幻景</t>
  </si>
  <si>
    <t>一颗蘑菇</t>
  </si>
  <si>
    <t>你使施法距离内一处150尺立方区域内的自然地形在视觉、听觉、嗅觉上都像是另一种自然地形。因此，开阔的平原或者道路可能会变得像是一片沼泽，或是丘陵、裂谷以及其他难以通过，甚至是无法通过的地形。一个池塘可能变得看起来像一片草地，一个悬崖像是一个缓坡，或者使一条乱石沟像是一条宽阔平坦的道路。区域内经过加工的建筑、装备或生物的外表不会改变。
地形的触觉特征不会改变，所以进入这片区域的生物可能会看穿幻象。如果触觉区别不明显，一个仔细调查幻象的生物可以采取研究动作，尝试进行一次对抗法术豁免 DC 的智力（调查）检定以识破之。对于一个识破了幻象本体的生物，幻象看起来就像是一层模糊的图像叠加在真实地形上。</t>
  </si>
  <si>
    <t>Hallucinatory Terrain</t>
  </si>
  <si>
    <t>冰风暴</t>
  </si>
  <si>
    <t>一只连指手套</t>
  </si>
  <si>
    <t>以施法距离内一点为中心的一处半径20尺，高40尺的柱状区域内，岩石般坚硬的冰雹重重地砸向地面。每个处在范围内的生物都必须进行一次敏捷豁免，豁免失败者将受到2d10点钝击伤害和 4d6 点冷冻伤害，豁免成功则受到一半伤害。
冰雹使柱状区域内的地面变为困难地形，直至你的下一回合结束。
升环施法： 使用的法术位每比四环高一环，此法术的钝击伤害就增加1d10。</t>
  </si>
  <si>
    <t>Ice Storm</t>
  </si>
  <si>
    <t>李欧蒙秘藏箱</t>
  </si>
  <si>
    <t>一个3尺×2尺×2尺、由稀有材料制成的、价值5000GP+的箱子；以及由同样材料制成的一个箱子的微缩模型（价值50GP+）</t>
  </si>
  <si>
    <t>直至解除</t>
  </si>
  <si>
    <t>你将一个箱子及其内容物藏在以太位面。你必须同时接触箱子和作为法术材料成分的微缩模型。箱子最多可容纳12立方尺的非活体物质（3×2×2 尺）。
箱子处于以太位面时，你可以用一个魔法动作并触碰箱子的模型来召回箱子。箱子出现在你 5 尺内一个未被占据空间的地面。随后，你可以使用一个魔法动作并同时触碰箱子与微缩模型来把箱子送回以太位面。
60日之后，法术的效应会每日累计5%的概率自动结束。如果你再次施展该法术或箱子的模型被摧毁，该法术的效应也将随之终止。如果法术终止时箱子处于以太界，则其留在那里等待被你或者其他人找到。</t>
  </si>
  <si>
    <t>Leomund's Secret Chest</t>
  </si>
  <si>
    <t>生物定位术</t>
  </si>
  <si>
    <t>你点名或描述一个你熟悉的生物。只要该生物与你相距不超过1000尺，你就会感测到该生物的方位。如果该生物正在移动，则你也将知晓其移动的方向。
该法术可以定位一个你认识的特定生物；或者它也可以定位特定的一类生物（例如人类或独角兽）中距你最近的个体，不过你需要曾经在 30 尺的近距离内看到过该类生物至少一次。如果被点名或描述的生物并不处于其原本的形态（例如正被一个变形术Polymorph或石化术Flesh to Stone的法术效应影响），则该法术无法定位该生物。
如果有任意厚度的铅，即使只是薄薄一片铅片阻挡了你与被定位物件间的通路，则该生物也无法被该法术所定位。</t>
  </si>
  <si>
    <t>Locate Creature</t>
  </si>
  <si>
    <t>魔邓肯忠犬</t>
  </si>
  <si>
    <t>一支银哨</t>
  </si>
  <si>
    <t>指定施法距离内一处你能看见且未被占据的空间，你在该处创造出一只幻影守护犬。守护犬持续存在至法术结束或你们之间的距离超过300 尺。
只有你能看见守护犬，它无法被触及且不会受伤。当一个体型不小于小型的生物进入守护犬 30 尺内时，如果该生物无法说出你在施法时设定的口令，守护犬则会开始大声吠叫。守护犬拥有30尺真实视觉。
在你的每回合开始时，守护犬会尝试啮咬其5尺范围内的一个敌人。该生物进行一次敏捷豁免，失败则受到4d8点力场伤害。
在你施展法术的后续回合里，你能够以一个魔法动作令守护犬移动至多30尺。</t>
  </si>
  <si>
    <t>Mordenkainen's Faithful Hound</t>
  </si>
  <si>
    <t>魔邓肯私人密室</t>
  </si>
  <si>
    <t>一片薄铅</t>
  </si>
  <si>
    <r>
      <rPr>
        <sz val="11"/>
        <color theme="1"/>
        <rFont val="仿宋"/>
        <charset val="134"/>
      </rPr>
      <t>你对施法距离内一片区域施以魔法防护。该区域为一立方区域，其边长至小5尺，大至 100 尺。该法术持续至持续时间结束。
施展该法术时，其提供的防护效应由你决定。从下列词条中选择一种或多种生效：
　　</t>
    </r>
    <r>
      <rPr>
        <sz val="11"/>
        <color theme="1"/>
        <rFont val="Arial"/>
        <charset val="134"/>
      </rPr>
      <t>•</t>
    </r>
    <r>
      <rPr>
        <sz val="11"/>
        <color theme="1"/>
        <rFont val="仿宋"/>
        <charset val="134"/>
      </rPr>
      <t xml:space="preserve"> 声音不能穿透被保护区域边缘的障壁
　　</t>
    </r>
    <r>
      <rPr>
        <sz val="11"/>
        <color theme="1"/>
        <rFont val="Arial"/>
        <charset val="134"/>
      </rPr>
      <t>•</t>
    </r>
    <r>
      <rPr>
        <sz val="11"/>
        <color theme="1"/>
        <rFont val="仿宋"/>
        <charset val="134"/>
      </rPr>
      <t xml:space="preserve"> 被保护区域的障壁变得黑暗而模糊，无法通过视觉（包括黑暗视觉）看穿。
　　</t>
    </r>
    <r>
      <rPr>
        <sz val="11"/>
        <color theme="1"/>
        <rFont val="Arial"/>
        <charset val="134"/>
      </rPr>
      <t>•</t>
    </r>
    <r>
      <rPr>
        <sz val="11"/>
        <color theme="1"/>
        <rFont val="仿宋"/>
        <charset val="134"/>
      </rPr>
      <t xml:space="preserve"> 预言法术创造的传感器无法出现在被保护区域内，也无法穿过区域边界处的障壁。
　　</t>
    </r>
    <r>
      <rPr>
        <sz val="11"/>
        <color theme="1"/>
        <rFont val="Arial"/>
        <charset val="134"/>
      </rPr>
      <t>•</t>
    </r>
    <r>
      <rPr>
        <sz val="11"/>
        <color theme="1"/>
        <rFont val="仿宋"/>
        <charset val="134"/>
      </rPr>
      <t xml:space="preserve"> 区域内的生物不能成为预言法术的目标。
　　</t>
    </r>
    <r>
      <rPr>
        <sz val="11"/>
        <color theme="1"/>
        <rFont val="Arial"/>
        <charset val="134"/>
      </rPr>
      <t>•</t>
    </r>
    <r>
      <rPr>
        <sz val="11"/>
        <color theme="1"/>
        <rFont val="仿宋"/>
        <charset val="134"/>
      </rPr>
      <t xml:space="preserve"> 任何事物无法通过传送进出被保护区域。
　　</t>
    </r>
    <r>
      <rPr>
        <sz val="11"/>
        <color theme="1"/>
        <rFont val="Arial"/>
        <charset val="134"/>
      </rPr>
      <t>•</t>
    </r>
    <r>
      <rPr>
        <sz val="11"/>
        <color theme="1"/>
        <rFont val="仿宋"/>
        <charset val="134"/>
      </rPr>
      <t xml:space="preserve"> 在被保护区域内，位面旅行被封锁。
当你每日在同一个位置施展此法术，持续365日后，法术将成为永久效应（直到被解除）。
升环施法：使用的法术位每比四环高一环，此法术立方区域的边长就可以增加100尺。</t>
    </r>
  </si>
  <si>
    <t>Mordenkainen's Private Sanctum</t>
  </si>
  <si>
    <t>欧提路克弹力法球</t>
  </si>
  <si>
    <t>一颗玻璃球</t>
  </si>
  <si>
    <t>一颗微微发光的法球将施法距离内一个大型或更小的生物或物件封在其中。非自愿的生物必须成功通过一次敏捷豁免，否则在法术持续时间内被封在球体中。
任何事物，包括实体物件、能量或其它法术效应，都不能穿透障壁进出其内，不过生物在球内仍可以正常呼吸。球体免疫一切伤害，且球内的生物或物件不能被来自球外的攻击或效应所伤害，球内的生物也不能对球外的任何事物造成伤害。
该球体没有重量，而其尺寸恰好可以容纳球内的生物或物件。被封住的生物可以使用一个动作推动球壁并以至多该生物速度一半的速度滚动球体。另外，球体也可以被其他生物拿起或移动。
以球体为目标施展一道解离术Disintegrate可以摧毁球体而不伤害球内的任何事物。</t>
  </si>
  <si>
    <t>Otiluke's Resilient Sphere</t>
  </si>
  <si>
    <t>魅影杀手</t>
  </si>
  <si>
    <t>你指定施法距离内一名你可见的生物，窥探其噩梦，依此创造一道只有目标能看见的幻象。目标生物进行一次感知豁免。豁免失败时，目标受到4d10点心灵伤害，且在法术持续时间内进行的所有属性检定与攻击检定都具有劣势。豁免成功，则目标只受一半伤害，法术终止。
法术持续时间内，目标在其每回合结束时进行一次感知豁免，豁免失败将再次受到心灵伤害。豁免成功则法术终止。
升环施法：使用的法术位每比四环高一环，此法术的伤害就增加1d10。</t>
  </si>
  <si>
    <t>Phantasmal Killer</t>
  </si>
  <si>
    <t>变形术</t>
  </si>
  <si>
    <t>一枚毛毛虫茧</t>
  </si>
  <si>
    <t>你尝试将施法距离内你可见的一名生物转变为一只野兽。目标必须成功于一次感知豁免，否则在持续时间内被变形为野兽形态。这种野兽形态可以是你所选的挑战等级不大于目标（若目标没有挑战等级，则使用目标的等级）的任意野兽。目标的游戏数据被替换为所选野兽的数据，但目标保留其阵营、性格、生物类型、生命值、生命值骰。野兽的具体数据见附录B。
目标获得等同于其野兽形态生命值的临时生命值。若目标没有剩余的临时生命值，则法术提前终止。
该生物只可做出其新形态的生理结构所允许的动作。它不能说话也不能施法。
目标的装备融入新形态中。目标不能使用装备或者通过其他方式从装备中获得增益。</t>
  </si>
  <si>
    <t>Polymorph</t>
  </si>
  <si>
    <t>惊惧斩</t>
  </si>
  <si>
    <t>被该次攻击检定命中的目标会在此次攻击中额外受到4d6点心灵伤害。该目标必须进行一次感知豁免，豁免失败则目标陷入震慑状态直到你的下个回合结束。
升环施法：使用高于四环的法术位施放本法术时，你使用的法术位每比四环高一环，额外伤害就增加1d6。</t>
  </si>
  <si>
    <t>Staggering Smite</t>
  </si>
  <si>
    <t>塑石术</t>
  </si>
  <si>
    <t>软粘土</t>
  </si>
  <si>
    <t>你触碰一个体积为中型或更小的石质物件或某块岩石在任何方向都不超过 5 尺的一部分，并将其塑造成你想要的任意形状。例如你可以将一块大石头塑造成一件武器、一尊塑像、或一个保险箱，也可以在石墙上开出一条小通道，前提是墙的厚度不能超过 5 尺。你也可以使一扇石门或石质门框变形来将门封死。你创造的物件最多可以有两条铰链和一道闩，除此之外不能以该法术塑造出更复杂的机械结构。</t>
  </si>
  <si>
    <t>Stone Shape</t>
  </si>
  <si>
    <t>石肤术</t>
  </si>
  <si>
    <t>价值100GP+的钻石粉末，作为法术耗材</t>
  </si>
  <si>
    <t>在法术结束前，你触碰的一个自愿生物获得对钝击、穿刺、挥砍伤害的抗性。</t>
  </si>
  <si>
    <t>Stoneskin</t>
  </si>
  <si>
    <t>异怪召唤术</t>
  </si>
  <si>
    <t>一条腌制触手和一颗装在白金瓶中的眼球、价值400GP+</t>
  </si>
  <si>
    <t>你唤来一个异怪灵魄。其使用下文异怪灵魄的数据，并会在施法距离内一处你可见的未被占据的空间中显现。当你施展法术时，从类眼魔，夺心魔和史拉蟾中选择一个类别。该生物会显化为你所选的那一类异怪，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异怪灵魄Aberrant Spirit
中型异怪，绝对中立
AC 11+法术环阶
HP 40+每比4环高的法术环阶10点
速度30 尺；飞行30尺（悬浮；仅类眼魔）
力量16|+3|+3 敏捷10|+0|+0 体质15|+2|+2
智力16|+3|+3 感知10|+0|+0 魅力6|-2|-2
免疫：心灵
感官：黑暗视觉60尺，被动察觉10
语言：深潜语，理解你的语言
CR无（XP0；PB等于你的熟练加值）
特质Traits
再生Regeneration（仅史拉蟾）。灵魄在其回合开始时恢复5点生命值，前提是它至少有1点生命值。
低语灵光Whispering Aura（仅夺心魔）。只要灵魄并未失能，它就会在自己的每个回合开始时释放出灵能能量。感知豁免：DC等于你的法术豁免DC，灵魄5尺内的每个生物（除你之外）。失败：2d6心灵伤害
动作Actions
多重攻击Multiattack。灵魄发动等于法术环阶一半次数的攻击（向下取整）。
爪击Claw（仅史拉蟾）。近战攻击检定：加值等于你的法术攻击加值，触及5尺。命中：1d10+3+法术环阶的挥砍伤害，目标无法恢复生命值直至灵魄的下一回合开始。
眼波射线Eye Ray（仅类眼魔）。远程攻击检定：加值等于你的法术攻击加值，射程150尺。命中：1d8+3+法术环阶的心灵伤害。
灵能猛击Psychic Slam（仅夺心魔）。近战攻击检定：加值等于你的法术攻击加值，触及5尺。命中：1d8+3+法术环阶的心灵伤害。</t>
  </si>
  <si>
    <t>Summon Aberration</t>
  </si>
  <si>
    <t>构装召唤术</t>
  </si>
  <si>
    <t>一个金属密码箱、价值400GP+</t>
  </si>
  <si>
    <t>你唤来一个构装灵魄。其使用下文构装灵魄的数据，并会在施法距离内一处你可见的未被占据的空间中显现。当你施展法术时，从粘土、金属、岩石中选择一种材料，该生物会显现为以该种材料制成的活化雕像（由你决定其外观），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构装灵魄Construct Spirit 
中型构装，绝对中立
AC 13+法术环阶
HP 40+每比4环高的法术环阶15点
速度30尺
力量18|+4|+4 敏捷10|+0|+0 体质18|+4|+4
智力14|+2|+2 感知11|+0|+0 魅力5|-3|-3
抗性：毒素
免疫：魅惑，力竭，恐慌，麻痹，中毒
感官：黑暗视觉60尺，被动察觉10
语言：理解你的语言
CR无（XP0；PB等于你的熟练加值）
特质Traits
灼热之躯Heated Body（仅金属）。当一个生物对灵魄发动近战攻击并命中，或是在擒抱灵魄、被灵魄擒抱期间开始其回合时，那个生物受到1d10火焰伤害。
石迷昏眠Stony Lethargy（仅岩石）。当一个灵魄可见的生物在其10 尺距离内开始回合时，它可以对其释放出一道魔法能量。感知豁免：DC等于你的法术豁免DC，被指定的生物。失败：目标不能进行借机攻击且速度减半，持续直至其下一回合开始。
动作Actions
多重攻击Multiattack。灵魄发动等于法术环阶一半次数的猛击攻击（向下取整）。
猛击Slam。近战攻击检定：加值等于你的法术攻击加值，触及5尺。命中：1d8+4+法术环阶的钝击伤害。
反应Reactions
狂怒乱击Berserk Lashing（仅粘土）。触发：一个生物对灵魄造成了伤害。响应：灵魄对该目标发动一次猛击攻击（若可能），或者灵魄向那个目标移动至多等于其速度一半的距离且不引发借机攻击。</t>
  </si>
  <si>
    <t>Summon Construct</t>
  </si>
  <si>
    <t>元素召唤术</t>
  </si>
  <si>
    <t>一个价值400GP+的、装有空气、一块鹅卵石、灰烬与水的镶金瓶</t>
  </si>
  <si>
    <t>你唤来一个元素灵魄。其使用下文元素灵魄的数据，并会在施法距离内一处你可见的未被占据的空间中显现。当你施展法术时，从气、土、火、水中选择一种元素，该生物会显现为由你所选元素组成的二足模糊人影，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元素灵魄Elemental Spirit 
中型元素，绝对中立
AC 11+法术环阶
HP 50+每比4环高的法术环阶10点
速度40尺；掘穴40尺（仅土）；飞行40尺（悬浮；仅气）；游泳40尺（仅水）
力量18|+4|+4 敏捷15|+2|+2 体质17|+3|+3
智力4|-3|-3 感知10|+0|+0 魅16|+3|+3
抗性：强酸（仅水），闪电和雷鸣（仅气），穿刺和挥砍（仅地）
免疫：火焰（仅火），毒素；力竭，麻痹，石化，中毒
感官：黑暗视觉60尺，被动察觉10
语言：原初语，理解你的语言
CR无（XP0；PB等于你的熟练加值）
特质Traits
不定形态Amorphous Form（仅气、火、水）。灵魄能够轻松穿过最窄1寸宽的狭窄空间，如同其是困难地形一般。
动作Actions
多重攻击Multiattack。灵魄发动等于法术环阶一半次数的猛击攻击（向下取整）。
猛击Slam。近战攻击检定：加值等于你的法术攻击加值，触及5尺。命中：1d10+4+法术环阶的钝击（仅土）、冷冻（仅水）、闪电（仅气）、火焰（仅火）伤害。</t>
  </si>
  <si>
    <t>Summon Elemental</t>
  </si>
  <si>
    <t>浓酸球</t>
  </si>
  <si>
    <t>一滴胆汁</t>
  </si>
  <si>
    <t>你指向施法距离内一点，一颗发光的直径1尺的酸液球飞向那个位置，随后爆炸，波及20尺半径球状区域。在该区域中的每名生物进行一次敏捷豁免。豁免失败的生物不仅将受到10d4点强酸伤害，其下个回合结束时还将再受到5d4点强酸伤害。若豁免成功，该生物只受到初始伤害的一半伤害。
升环施法：使用的法术位每比四环高一环，此法术的初始伤害便增加2d4。</t>
  </si>
  <si>
    <t>Vitriolic Sphere</t>
  </si>
  <si>
    <t>火墙术</t>
  </si>
  <si>
    <t>一块木炭</t>
  </si>
  <si>
    <t>你在施法距离内一块固体表面上创造出一面火墙。你可以选择创造长不过 60 尺、高不过 20 尺、厚不过 1 尺的直线型火墙；或是直径不过 20 尺、高不过 20 尺、厚不过 1 尺的环形火墙。火墙不透明，且将持续存在至法术终止。
火墙出现时，所有位于火墙所占据的区域内的生物必须进行一次敏捷豁免。豁免失败，受到 5d8 点火焰伤害。豁免成功，则只受一半伤害。
施展该法术时，你选择火墙的哪一侧会造成伤害。生物在火墙造成伤害一侧10尺内或火墙所占据的区域内结束其回合时将受到5d8点火焰伤害。在一个回合内首次进入火墙或在火墙所占据的区域内结束自己的回合时也会受到同样的伤害。火墙的另一侧不会造成伤害。
升环施法：使用的法术位每比四环高一环，此法术造成的伤害就提高1d8。</t>
  </si>
  <si>
    <t>Wall of Fire</t>
  </si>
  <si>
    <t>元素灾厄</t>
  </si>
  <si>
    <t>• 指定施法距离内至多一个你能看见的生物，选择下述伤害类型之一：强酸，冷冻，火焰，闪电或雷鸣，并迫使目标进行一次体质豁免检定。豁免失败者直至法术终止前，每回合第一次受到选定类型的伤害时，目标额外受到2d6点对应类型的伤害。此外，直到法术终止，该目标失去对该伤害类型的任何抗性。
• 升环施法效应：使用5环或更高法术位施放该法术时，你使用的法术位每比4环高一环，就能多指定一个目标。而各目标之间距离不能超过30尺。</t>
  </si>
  <si>
    <t>Elemental Bane</t>
  </si>
  <si>
    <t>召唤高等坐骑</t>
  </si>
  <si>
    <t>• 你召唤一个圣魂并呈现出忠诚的、雄伟的坐骑外观。坐骑显现在施法距离内未被占据的空间，其外形由你从以下形态中选择：狮鹫Griffon、飞马Pegasus、鹿鹰兽Peryton、恐狼Dire Wolf、犀牛Rhinoceros或者剑齿虎Saber-toothed Tiger（DM也可以允许你选择其他动物作坐骑）。坐骑拥有你所选形态的属性数据，但他实际上属于天界生物，精类生物或邪魔的一种（由你选择）而不是通常类型。另外，如果你的坐骑智力为5或更低，则其智力变为6，同时能听懂一门你掌握的语言。
• 不管是否在战斗中，坐骑都能为你提供帮助，而你们之间的契约让你们行动更为紧密。你乘上该坐骑时，所有你施展的只以自身为目标的法术同时也影响该坐骑。
• 该坐骑生命值降至0时消失不见，且不留下任何物质残余。你也可以随时用一个动作解散该坐骑使其消失。此后，每当你重新施展该法术时，将满生命值的召唤同一匹坐骑显现。
• 坐骑在你身边1里内时，你可以与其以心灵感应的方式进行交流。
• 你不能用该法术同时拥有一匹以上的坐骑，你可以随时用一个动作将坐骑从契约中解放，并使其消失不见。</t>
  </si>
  <si>
    <t>Find Greater Steed</t>
  </si>
  <si>
    <t>自然守卫</t>
  </si>
  <si>
    <t>• 自然之魂回应你的呼唤并将你转变为一个强大的守卫。转变持续到法术结束。你选择以下形态之一取得：原始猛兽或战争巨树。
• 原始猛兽Primal Beast：如野兽般的皮毛覆盖你的身体，你的面部特征变得野性，并且你得到以下增益：
  你的步行速度增加10尺。
  你得到120尺的黑暗视觉。
  你基于力量的攻击检定具有优势。
  你的近战武器攻击在击中时会造成额外1d6力场伤害。
• 战争巨树Great Tree：你的皮肤出现树纹，枝叶从你的头发上萌芽，并且你得到以下增益：
  你得到10点临时生命值。
  你的体质豁免检定具有优势。
  你基于敏捷或基于感知的攻击检定具有优势。
  当你在地面上时，你周围15尺的地面对于你的敌人而言是困难地形。</t>
  </si>
  <si>
    <t>Guardian of Nature</t>
  </si>
  <si>
    <t>莫伊之影</t>
  </si>
  <si>
    <t>至少价值150gp的镶嵌在宝石里的不死生物的眼睛</t>
  </si>
  <si>
    <t>• 如同火焰般的暗影完全笼罩住你的身体，使你对于其他人处于重度遮蔽，直到法术结束。
• 暗影将你周围10尺内的微光照明转变为黑暗，或者把同样区域的明亮照明转变为微光。直到法术结束之前，你得到对光耀伤害的抗性。此外，不论何时在你周围10尺内的生物用攻击命中你时，暗影会猛击那个生物，对他造成2d8点黯蚀伤害。</t>
  </si>
  <si>
    <t>Shadow of Moil</t>
  </si>
  <si>
    <t>致病辐射</t>
  </si>
  <si>
    <t>• 淡绿色的光线以你选择的距离内一点为中心扩散成半径30尺的球体。光线会蔓延过拐角，并一直持续到法术结束。
• 当一个生物在回合内第一次进入法术区域，或者是在其中开始回合，生物必须成功通过一次体质豁免检定，否则将承受4d10光耀伤害和一级力竭，并且会发散出5尺半径的暗绿色光线。这个光线让生物无法从隐形中获益。光线和由于该法术所产生的任何等级的力竭在法术结束时消失。</t>
  </si>
  <si>
    <t>Sickening Radiance</t>
  </si>
  <si>
    <t>暴风球</t>
  </si>
  <si>
    <t>• 在距离内，由你指定的一点为中心，出现了一个由强风构成的20尺半径的球体。该球体将在法术的持续时间内持续存在。在球体出现时处于其中的生物，或是在球体内结束其回合的生物均必须通过一次力量豁免检定，否则受到2d6点钝击伤害。球体所在的空间成为困难地形。
• 直到法术终结，你可以在你的每个回合使用一个附赠动作，令球体中心射出一发闪电，攻击距中心不超过60尺范围内的生物。进行一次远程法术攻击，如果攻击目标在球体内，这次攻击检定具有优势。若击中，目标受到4d6点闪电伤害。
• 在球体周围30尺内的生物在用于聆听的感知（观察）检定中具有劣势。
• 升环施法效应：当你使用5环或更高的法术位施放该法术时，使用的法术位每比4环高一环，所有效应产生的伤害便各增加1d6。</t>
  </si>
  <si>
    <t>Storm Sphere</t>
  </si>
  <si>
    <t>召唤高等恶魔</t>
  </si>
  <si>
    <t>• 你吐出污秽的词语，从无底深渊的无尽混沌中召唤来一只恶魔。你选择挑战等级为5或更低的一种恶魔类型，例如影魔Shadow Demon或者是巴古拉魔Barlgura。恶魔出现在法术距离内你可见的一处未被占据的空间，当它的生命值降低至0点或是法术结束时，恶魔将会消失。
• 恶魔拥有自己的回合，你为他投掷先攻。当你在召唤它以及在之后你的每一个回合，你都可以向它发布口头命令（无需你的动作），告诉它在下个回合它必须做什么。如果你没有发布命令，它会花费自己的回合用来攻击任何在触及范围内攻击它的生物。
• 在恶魔的每个回合结束时，它都会进行一次魅力豁免检定。如果你说出它的真名，恶魔会在这次豁免检定中具有劣势。如果豁免失败，恶魔继续服从你。如果豁免成功，在法术剩下的时间中你失去对恶魔的控制，并且恶魔会花费它的回合用于追逐和攻击最近的非恶魔生物，尽其所能。即使你在到达完整的持续时间之前中断该法术的专注，一个失去控制的恶魔在1d6轮内仍然不会消失，只要它还留有生命值。
• 作为施放此法术的一部分，你可以使用作为施法材料的血液在地上绘制一个法阵。法阵大到可以包括你在的空间。在法术的持续时间内，被召唤来的恶魔无法穿过或伤害法阵，也无法以其中的任何人作为目标。用这种方式使用的施法材料会在法术结束时被消耗。
• 升环施法效应：当你使用5环或更高的法术位施放该法术时，使用的法术位每比4环高一环，允许召唤的恶魔挑战等级就+1。</t>
  </si>
  <si>
    <t>Summon Greater Demon</t>
  </si>
  <si>
    <t>碧水球</t>
  </si>
  <si>
    <t>• 你在距离之内，你能看见的一点上召唤出一个半径5尺的水球。水球可以悬浮于空气中，但其离地高度不能超过10尺。水球将在法术的持续时间内持续存在。
• 处于水球空间内的任何生物必须进行一次力量豁免检定。若豁免成功，该生物将被排出到水球周围最近的未被占据的空间中。巨型或更大的生物将自动于此豁免检定中成功，一个大型或更小的生物可以选择在豁免中失败。若豁免失败，生物会被水球束缚，被水淹没。在其每个回合的结束，被束缚的生物可以重试此豁免检定，若成功则结束法术对自己的效果。
• 水球可以容纳至多4个中型（或更小的）生物，或是1个大型生物。若水球束缚了一个超过上限的生物，一个已经被束缚的随机生物将被排除，在水球周围5尺范围内摔倒。
• 以一个动作，你可以在直线方向上移动水球，至多移动30尺。若其移动时经过了一个坑，悬崖或类似地形，它会安全的落下，直到悬浮在地表10尺为止。水球束缚的所有生物也会随之移动。你可以用水球撞击生物来迫使其进行豁免检定。
• 当此法术终止时，水球会掉落在地，熄灭其周围30尺内的所有普通火焰。任何被水球束缚的生物会在摔落点成为摔倒状态。随后水流会消失。</t>
  </si>
  <si>
    <t>Watery Sphere</t>
  </si>
  <si>
    <t>劳洛希姆心灵长枪</t>
  </si>
  <si>
    <t>• 你从你的额头处释放一道闪闪发光的灵能长矛，瞄准法术范围内你可见的一个生物。或者，你可以说出一个生物的名字。如果被唤名的生物身处施法距离内，即使你无法看见它，它也会成为法术的目标。如果被唤名的生物不处于施法距离内，长矛会消失并且没有任何效果。
• 目标必须成功通过一次智力豁免，否则将受到7d6点心灵伤害并陷入失能，直至你的下回合开始。豁免成功则伤害减半且不会失能。
• 升环施法效应：当你用5环或更高的法术位施展此法术时，你使用的法术位每比4环高一环，法术的伤害便增加1d6。</t>
  </si>
  <si>
    <t>Raulothim's Psychic Lance</t>
  </si>
  <si>
    <t>加德尔急速邮差</t>
  </si>
  <si>
    <t>25金币，或同等价值的矿石货物作为法术耗材</t>
  </si>
  <si>
    <t>• 你在施法距离内的一点召唤出一名小型气元素。气元素没有形体且近乎透明，它对所有伤害免疫且无法与其他生物或物件互动。它携带着一件内部尺寸为每边3尺的打开的空箱子。当法术持续时，你可以在箱子内存放尽可能多的物品。随后你可以指定一名你曾见过至少一次，或拥有其一件身体部位，头发，指甲或类似物件的生物。
• 一旦箱子的盖子被合上，气元素与箱子将会消失，并随后在目标生物的旁边重新出现。如果目标生物处在另一个位面，或是不受魔法侦测和定位的影响，箱子里的物件将在你脚下的地面上重新出现。
• 目标生物在选择是否打开箱子前会知道其中内容，并知道在法术结束前它还有多少时间取得其中物品。其他任何生物都无法打开箱子和取得其中的内容。当法术结束或箱子内部所装物品皆被移出之后，气元素与箱子都会消失。如果目标生物命令气元素将物品返还与你，则它也会消失，而箱子内未被取出的物品将在你脚下的地面上重新出现。
• 升环施法效应：使用8环法术位施展该法术时，你可以将箱子送往与你处在不同存在位面的生物。</t>
  </si>
  <si>
    <t>Galder's Speedy Courier</t>
  </si>
  <si>
    <t>死神灵魄</t>
  </si>
  <si>
    <t>一张描绘着死神化身的镀金纸牌，至少价值400gp</t>
  </si>
  <si>
    <t>• 你唤来一个象征死神的灵魄。其在施法距离内你可见的一个未占据位置化为实体，并使用收割者灵魄 Reaper Spirit的数据。当其生命值降至0或法术结束时，灵魄会消失。
该灵魄在法术持续时间内对你和你的同伴们友好。在战斗中，该生物使用你的先攻，但在你回合结束后立即行动。它遵从于你的口头指令（无需任何动作）。如果你不发令，它将执行回避动作并远离危险。
• 升环施法效应：使用5环或更高法术位施放本法术时，该法术召唤的收割者灵魄数据中使用更高的法术环阶。
收割者灵魄 Reaper Spirit
中型不死生物，绝对中立
AC:11+法术环阶（天生护甲）
HP:40+高于4环每环10点
速度:30尺，飞行30尺（悬浮）
力量16（+3） 敏捷16（+3） 体质16（+3）
智力16（+3） 感知16（+3） 魅力16（+3）   
伤害免疫:黯蚀，毒素
状态免疫:魅惑，力竭，恐慌，麻痹，中毒
感官:黑暗视觉60尺，被动察觉13
语言:理解你所说的语言
挑战等级:——
熟练加值：等同于你的熟练加值
虚体移动 Incorporeal Movement。灵魄可以如同穿过困难地形一样穿过其他生物和物件。如果它在自己的回合结束时仍处在物件内部则受到5（1d10）的力场伤害。
动作Actions
多重攻击Multiattacks。灵魄发动等同于法术环阶一半的次数的攻击 （向下取整）。
收割之镰Reaping Scythe。近战武器攻击：命中使用你的法术攻击调整值(具有优势)，触及5尺，单一被作祟的生物。命中:1d8+3+该法术环阶的黯蚀伤害。
附赠动作Bonus Actions
作祟生物Haunt Creature。灵魄以自己10尺内的一个生物为目标，并开始作祟该生物。当目标被作祟时，如果目标和你在同一个存在位面上，你和灵魄就会感知到目标的方向和距离。此外，如果目标在灵魄10尺内开始其回合，则该目标必须对你的法术豁免DC进行一次成功的感知豁免，否则将陷入恐慌状态直到目标的下一回合开始。目标在死亡、灵魄消失或灵魄再次使用此动作前一直处于被作祟状态。</t>
  </si>
  <si>
    <t>Spirit of Death</t>
  </si>
  <si>
    <t>界门封锁</t>
  </si>
  <si>
    <t>一把损坏的传送门钥匙，作为本法术的耗材</t>
  </si>
  <si>
    <t>• 选择施法距离内的一处30尺立方区域，你加固这片区域的位面结构。这片区域内，的所有传送门都将关闭且在法术持续时间内无法被再次开启。任何能进行位面旅行或开启传送门的法术（例如 异界之门gate 或 位面转移plane shift）如果被用于进入这片区域或离开这片区域的话，都将自动失败。这片立方区域是无法移动的。
• 升环施法效应：当你使用6环或更高环阶的法术位施展本法术时，本法术将一直持续至被解除为止。</t>
  </si>
  <si>
    <t>Gate Seal</t>
  </si>
  <si>
    <t>引力裂沟</t>
  </si>
  <si>
    <t>一块黑色的大理石</t>
  </si>
  <si>
    <t>• 一道半径20尺球形范围的破坏性能量在施法距离内你能看见的一点为源点形成，并开始拖拽范围内的生物。所有在范围内的生物必须进行一次体质豁免检定。若豁免失败，该生物受到5d10点力场伤害并且会被直直拉向能量的中心，并在离中心尽可能近的未被占据的空间停止（哪怕这会让他飞到天上）。若豁免成功，则其受到一半伤害并且不会被拉走。
• 升环施法效应：当你使用5环或者更高环位的法术位施展该法术时，每比4环高出一环的法术位可以使该法术的伤害增加1d10。</t>
  </si>
  <si>
    <t>Gravity Sinkhole</t>
  </si>
  <si>
    <t>苏莱曼之尘</t>
  </si>
  <si>
    <t>你咒唤一团能够伤害超自然生物的细密尘云。以施法距离内一点为中心，你创造一片半径30尺的球状尘霭。选择一种除野兽或类人外的生物类型。区域内所有属于所选类型的生物受到20力场伤害。当尘霭移动到某个生物所在的空间时，或当生物进入该球状区域、或是在该区域内结束其回合时，该生物同样受到此伤害。一个生物每回合仅会受到一次此伤害。</t>
  </si>
  <si>
    <t>Dust of Suleiman</t>
  </si>
  <si>
    <t>犹格·索托斯之拳</t>
  </si>
  <si>
    <t>你咒唤出犹格·索托斯的恐怖卷须重击你的敌人。你选择施法距离内一个生物，迫使其进行一次力量豁免。豁免失败者受到8d6暗蚀伤害，陷入倒地状态，且你可以在施法范围内将其往任意方向移动至多40尺。豁免成功则仅受8d6暗蚀伤害。</t>
  </si>
  <si>
    <t>Fist of Yog-Sothoth</t>
  </si>
  <si>
    <t>鲜血蠕虫</t>
  </si>
  <si>
    <t>一个装满水蛭的罐子</t>
  </si>
  <si>
    <t>你以一种以恶性寄生虫为形式的魔法疾病感染施法范围内你能看到的一个生物。每回合一次，当一个生物以武器攻击命中被感染的目标时，该次攻击额外造成4d6点黯蚀伤害，并且攻击者恢复与造成的黯蚀伤害数值等同的生命值。每当被感染的生物受到这样的黯蚀伤害时，它可以进行一次对抗本法术的体质豁免。若豁免检定成功，则法术终止。
升环施法效应：使用五环或更高法术位施展该法术时，你使用的法术位每比四环高一环，黯蚀伤害就增加1d6点。</t>
  </si>
  <si>
    <t>Blood Worm</t>
  </si>
  <si>
    <t>尸爆</t>
  </si>
  <si>
    <t>反应，当120尺范围内你能看到的一个生物死亡时</t>
  </si>
  <si>
    <t>你使触发此法术的生物的尸体发生爆炸，淋下一片沾染了病菌的血腥血肉雨。以触发法术的生物尸体为原点，半径10尺范围内的所有生物受到4d8点黯蚀伤害和4d8点强酸伤害，或在成功通过一次敏捷豁免后只受到一半的伤害。
升环施法效应：使用五环或更高法术位施展该法术时，你使用的法术位每比四环高一环，强酸伤害就增加1d8点。</t>
  </si>
  <si>
    <t>Corpse Explosion</t>
  </si>
  <si>
    <t>腐坏孢子</t>
  </si>
  <si>
    <t>一颗干蘑菇</t>
  </si>
  <si>
    <t>三株毒蘑菇在施法范围内你能看到的一处5尺空间内魔法性地发芽。蘑菇会释放有毒的孢子，并且任何生物若在长出蘑菇的区域周围10尺范围内开始回合，必须通过一次体质豁免。若豁免失败，则该生物将因每个蘑菇受到1d8点毒素伤害，并且直到它的下个回合开始前陷入中毒状态。
直到法术结束前，你可以在自己的回合用一个附赠动作让该区域内额外再长出来一个蘑菇。
升环施法效应：使用五环或更高法术位施展该法术时，你使用的法术位每比四环高一环，初始时区域内就会再多长出来一颗蘑菇。</t>
  </si>
  <si>
    <t>Corrupting Spores</t>
  </si>
  <si>
    <t>终末仪式</t>
  </si>
  <si>
    <t>一小块黄铜，一片玫瑰花瓣，一滴圣水</t>
  </si>
  <si>
    <t>你以你施法距离内能看到的一个生物为目标，将一道神圣之光照射在它们的身上。目标必须通过一次感知豁免。若豁免检定失败，目标将承受8d8点光耀伤害，豁免成功则伤害减半。该法术对天界生物和构装生物无效。
如果法术以不死生物或邪魔为目标，它的豁免检定将承受劣势，并且法术将直接对其造成最大伤害。如果一个不死生物或邪魔因此法术生命值降低为0，该生物将死亡并且尸体会化为灰烬。
升环施法效应：使用五环或更高法术位施展该法术时，你使用的法术位每比四环高一环，你就可以额外选择彼此相距30尺的另一个生物。</t>
  </si>
  <si>
    <t>Last Rites</t>
  </si>
  <si>
    <t>猛毒波</t>
  </si>
  <si>
    <t>一根枯萎的根和一滴蜡</t>
  </si>
  <si>
    <t>一股有毒烟雾组成的气浪从你身上散发出来。以你为中心半径30尺范围内的所有生物需要通过一次体质豁免。
若豁免失败，则每个生物需要承受4d12点毒素伤害，并直到你的下个回合结束前陷入中毒状态。若豁免检定成功，则该生物只受到一半伤害且不会陷入中毒状态。
升环施法效应：使用五环或更高法术位施展该法术时，你使用的法术位每比四环高一环，造成的伤害就额外提升1d12。</t>
  </si>
  <si>
    <t>Poison Wave</t>
  </si>
  <si>
    <t>召唤摇头摆尾的家伙</t>
  </si>
  <si>
    <t>一簇猫毛和一只死老鼠</t>
  </si>
  <si>
    <t>你召唤出摇头摆尾的家伙。它显现在范围内你能看到的一处未被占据的空间。该形体的数据如后文所示。当它的生命值降低为0或法术结束时该生物将会消失。
该生物在法术持续时间内对你和你的同伴们友好。在战斗中，该生物使用你的先攻，但在你回合结束后立即行动。它遵从于你的口头指令（无需任何动作）。如果你不发令，它将执行回避动作，使用移动速度来远离危险。
升环施法效应：使用五环或更高法术位施展该法术时，该生物数据中使用更高的法术环数。
摇头摆尾的家伙The Thing with the Writhing Tail
中型异怪，无阵营
AC：12+法术环阶
HP：50+每比四环高的法术环阶10点
速度：40尺；攀爬速度30尺
力量13（+1）敏捷19（+4）体质12（+1）
智力19（+4）感知15（+2）魅力19（+4）
伤害免疫：心灵
状态免疫：魅惑，恐慌
感官：黑暗视觉120 尺，被动察觉12
语言：深潜语，心灵感应120尺
挑战等级：- 熟练加值与你相等
缥缈视域Ethereal Sight：该生物可以看到隐形的生物并看穿以太位面。
动作Actions
多重攻击Multiattack。该生物发动等同于法术环数一半的次数的爪击（向下取整）。
爪击Claws。近战武器攻击：命中使用你的法术攻击加值，触及5尺，单一目标。命中：1d6+法术环数+4的挥砍伤害+2d6冷冻伤害。
可怖嘶嘶Eldritch Hiss。该生物对其5尺内能看到的一个生物低语出可怕的真相。目标必须通过一次感知豁免。豁免失败则目标需承受4d6点心灵伤害，并立即使用其反应（如果有的话）用起尽可能最快的速度远离该生物。逃离的生物不会进入明显的危险地方，例如火焰和大坑。
认知触须Thought Tendril。该生物对其5尺范围内能看到的一个生物发动一次心灵上的鞭挞。目标必须进行一次智力豁免。豁免失败则目标需承受4d6点心灵伤害，并直到它的下一个回合结束前不能使用反应。此外，它在自己的下一回合中，只能选择在移动、动作或附赠动作中采取一种。</t>
  </si>
  <si>
    <t>Summon the Thing with the Writhing Tail</t>
  </si>
  <si>
    <t>硫酸溢浆</t>
  </si>
  <si>
    <t>一小瓶硝酸和一瓶水</t>
  </si>
  <si>
    <t>你选择范围内一个着甲或有天生护甲的生物。你魔法性地使这个生物的天生护甲或人造护甲在法术持续时间内变得腐朽和易碎。当它的护甲被腐蚀时，该生物的AC变为10+该生物的敏捷调整值。
升环施法效应：使用五环或更高法术位施展该法术时，你使用的法术位每比四环高一环，你就可以额外多选择一个目标。</t>
  </si>
  <si>
    <t>Vitriol Ichor</t>
  </si>
  <si>
    <t>凶兆预警</t>
  </si>
  <si>
    <t>你从未来的自己处接收到一条最多6个单词的讯息，警告你即将面临的重大威胁，或指引你走向一条有望收获成果的道路。这条信息由DM决定。在未来的某个时刻，一旦你理解了自己为何发送这条讯息，你必须进行一次长达10分钟的仪式（可在短休或长休期间进行），将这条讯息送回过去传达给现在的你。若你施展该法术时未收到任何讯息，这意味着你在未来永远不会完成这个仪式——这可能是因为你的死亡，亦或遭遇了其他阻碍。
一旦你施展了此法术，在七天内或直到你完成仪式前，你都不能再次施展它。</t>
  </si>
  <si>
    <t>Dire Warning</t>
  </si>
  <si>
    <t>曼蒂的野性随从</t>
  </si>
  <si>
    <t>一个小仆人铃</t>
  </si>
  <si>
    <t>你触碰一只中型或更小的野兽，使其变形成一位外貌由你选择的类人。该野兽的属性资料会被平民Commoner的数据卡取代，但保留其生命值和生命值骰。你选择该平民的技能熟练。该平民会穿着高档服装，但没有其他装备，并且对所有非熟练任务有着基本的理解。
目标获得10临时生命值。如果目标的临时生命值耗尽，则法术提前结束。法术结束时，高档服装会化为烟雾消散。
战斗Combat。该平民是你与你的盟友的盟友。它掷出自己的先攻并在自己的回合行动。它的行为如同受你雇佣一样尽职尽责。
持续时间Duration。此法术的持续时间取决于施展的时间和地点。如果在时间正常流逝的地方施展，则法术会持续至下一个午夜的第十二下钟声鸣响，无论这段时间多长。在其他地方，法术持续24小时。
升环施法。使用的法术位每比四环高一环，你就可以额外变形一只野兽。</t>
  </si>
  <si>
    <t>Mandy's Feral Follower</t>
  </si>
  <si>
    <t>镇静怪物</t>
  </si>
  <si>
    <t>你尝试镇静施法距离内一个你能看见的生物。目标必须进行一次感知豁免。如果豁免失败，则该生物被你镇静直到法术结束。被镇静的生物无法发动攻击，无法施放影响敌人的法术，也无法对其他生物造成伤害。目标可以在其每个回合结束时重复进行豁免检定，豁免成功则效应终止。
升环施法。使用五环或更高法术位施展该法术时，你使用的法术位每比四环高一环，就可以额外影响一个目标。当你选择目标时，这些生物之间的距离必须在30尺以内。</t>
  </si>
  <si>
    <t>Pacify Monster</t>
  </si>
  <si>
    <t>风暴战驹</t>
  </si>
  <si>
    <t>一根风花茎</t>
  </si>
  <si>
    <t>选择施法距离内你能看到的一个5尺立方空间。一匹中型元素战驹从旋转的疾风中显现，并朝你选择的方向直线冲锋，最远可冲锋60尺。如果战驹出现在一个中型或更小生物所占据的空间内，该生物必须通过一次敏捷豁免，否则会被战驹带着一起移动。生物可以选择主动失败这次豁免。
每个处于战驹移动路径上的生物（不包括被它携带的生物，如果有的话）必须进行一次敏捷豁免，豁免失败受到6d8点钝击伤害，豁免成功则伤害减半。之后战驹消失。
升环施法。当你使用五环或更高法术位施展该法术时，每比四环高一环伤害增加1d8。</t>
  </si>
  <si>
    <t>Storm Stallion</t>
  </si>
  <si>
    <t>活埋术</t>
  </si>
  <si>
    <t>一撮坟土</t>
  </si>
  <si>
    <t>即使敌人尚未死亡，你也能将它们送入坟墓。施法距离内一个站在地面上的你可见生物必须进行一次力量豁免。若豁免失败，则地面开裂并吞没目标，将其埋葬入至多10尺深的地下。在被埋葬期间，目标具有全身掩护，陷入束缚和目盲状态，并且无法呼吸。若豁免成功，则目标陷入倒地状态，并且其速度为0，直至其下一回合结束。被埋葬的生物可以通过使用其动作进行一次DC15的力量（运动）检定来尝试从坟墓中掘出。检定成功时，它向地表掘进5尺。检定成功且差值为5或更高时，则其到达地表。当该生物到达地表时，它会以倒地状态从地面出来。 
如果目标站在任意厚度的石头或金属上，或者至少2寸厚的木头上，则其在该豁免检定中自动成功。</t>
  </si>
  <si>
    <t>Buried Alive</t>
  </si>
  <si>
    <t>野性呼唤</t>
  </si>
  <si>
    <t>少许兽毛或兽皮</t>
  </si>
  <si>
    <t>你发出一声原始的嚎叫，召唤低等生物听从你的命令。当你施展此法术时，源自你的100尺光环区域内的每个野兽都必须进行一次感知豁免。若豁免失败，则目标陷入魅惑状态，能够理解你的命令，并且在其下一回合内尽可能地遵循这些命令。在你的随后回合内，你可以使用魔法动作下达新的命令。若豁免成功，则目标陷入魅惑状态，直至你的下一回合开始，但是你无法进一步命令它。该嚎叫最远300尺内都能听见。</t>
  </si>
  <si>
    <t>Call of the Wild</t>
  </si>
  <si>
    <t>薪火焚身</t>
  </si>
  <si>
    <t>你使施法距离内一个你可见的生物爆燃起贪饕的无情烈焰。目标必须进行一次敏捷豁免。若豁免失败，则目标受到2d8火焰伤害和2d8暗蚀或光耀伤害（施法时选择），并且灼灼烈焰会持续燃烧。若豁免成功，则目标仅受到一半伤害。 
在烈焰持续燃烧期间，目标会在自己每个回合开始时再次受到该伤害。目标或目标触及距离内的其他生物可以使用动作让目标重复该豁免，豁免成功则终止该法术。 
被此法术的伤害杀死的生物会连同其穿戴或携带的任何非魔法装备一起化为灰烬。</t>
  </si>
  <si>
    <t>Consuming Pyre</t>
  </si>
  <si>
    <t>绝望侵袭</t>
  </si>
  <si>
    <t>一朵曼陀罗花</t>
  </si>
  <si>
    <t>你诅咒施法距离内的一个生物，使其内心充满逐渐蔓延的偏执与绝望。当目标执行攻击或魔法动作时，其必须进行一次感知豁免，豁免失败则浪费其动作。一旦目标在对抗该法术的豁免检定中累计成功三次，则该法术终止。</t>
  </si>
  <si>
    <t>Intrusive Despair</t>
  </si>
  <si>
    <t>凶杀鸦群</t>
  </si>
  <si>
    <t>一根乌鸦羽毛</t>
  </si>
  <si>
    <t>你召唤并释放出一群致命的乌鸦。以你为源点的30尺锥状区域内的每个你选择的生物都必须进行一次敏捷豁免。若豁免失败，则目标受到5d6力场伤害，并陷入目盲状态。若豁免成功，则目标仅受到一半伤害。目盲的生物在其每个回合结束时重复该豁免，豁免成功则终止自身该效应。如果该生物恢复任何生命值，效应也会终止。鸦群会在发动袭击后分散并消失。 
升环施法。使用的法术位每比四环高一环，伤害就增加1d6。</t>
  </si>
  <si>
    <t>Murder of Crows</t>
  </si>
  <si>
    <t>傀儡掌控</t>
  </si>
  <si>
    <t>一根提线木偶的丝线</t>
  </si>
  <si>
    <t>施法距离内一个你可见的生物必须进行一次感知豁免，豁免失败则在持续时间内陷入魅惑状态。 
魔法性的提线木偶的丝线附着在被魅惑生物的肢体或躯干上。它必须在自己回合内使用动作，对你以精神选择的除自身以外的一个其他生物进行一次近战攻击，如有必要会移动以触及目标。若你未选择其他生物，或目标移动后仍然无法触及所选生物，则目标可在自己回合内正常行动。目标在其每个回合结束时重复该豁免，豁免成功则终止自身该法术。 
在你的后续回合中，你必须使用附赠动作来维持对目标的控制，否则该法术终止。</t>
  </si>
  <si>
    <t>Puppet Master</t>
  </si>
  <si>
    <t>祭献虹吸</t>
  </si>
  <si>
    <t>你触碰另一个生物，并对其施加一道诅咒，汲取其活力转移给自己。目标必须进行一次魅力豁免。若豁免失败，则目标在持续时间内被诅咒。被诅咒期间，目标的攻击检定和属性检定必须减去1d4，并且当目标受到伤害时，你可以使用反应获得10临时生命值。若豁免成功，则你获得5临时生命值，并且目标的属性检定必须减去1d4，直至你的下一回合开始。</t>
  </si>
  <si>
    <t>Sacrificial Siphon</t>
  </si>
  <si>
    <t>牧人圣所</t>
  </si>
  <si>
    <t>价值200+GP的精金粉或钻石粉，作为该法术的耗材</t>
  </si>
  <si>
    <t>你以施法距离内一点为中心，创造出一个闪烁微弱光芒的20尺球状区域。你和你选择的至多等于你施法属性调整值的生物（至少1个其他生物）可以从该球状区域吸收护佑魔法。当任何被选中的生物在该区域内完成一次长休时，球状区域消失，在剩余持续时间内，这些生物的AC会获得+1加值。未在球状区域内完成一次长休的被选中生物不会获得增益。</t>
  </si>
  <si>
    <t>Sanctum of the Shepherd</t>
  </si>
  <si>
    <t>亵渎灵光</t>
  </si>
  <si>
    <t>抗拒生命的能量以你为源头形成半径30尺的灵光，在法术持续时间内，灵光将以你为中心随你移动。当一名生物进入灵光区域或在范围内开始其回合时，其受到1d6暗蚀伤害，你恢复等于灵光造成的伤害数的生命值。</t>
  </si>
  <si>
    <t>Aura of Desecration</t>
  </si>
  <si>
    <t>邪秽武器</t>
  </si>
  <si>
    <t>你为你触碰的武器注入炼狱的祝福。直到法术结束之前，武器都会熄灭半径30尺内的任何普通*光源。此外，用这把武器命中时会造成额外2d6暗蚀伤害。如果该武器原先是非魔法武器，则在法术持续时间内其将暂时转变为魔法武器。
持握此武器期间，在你自己的回合中以一个附赠动作，你可以提前结束这个法术并使武器迸发黑暗能量。每个位于武器30尺内由选择的生物必须进行一次感知豁免检定。豁免失败则生物将受到4d6暗蚀伤害，并陷入恐慌，持续1分钟。豁免成功则只承受一半伤害并不会陷入恐慌。陷入恐慌的生物在其每个回合结束时重复豁免，成功则终止其身上的该效应。</t>
  </si>
  <si>
    <t>Maligned Weapon</t>
  </si>
  <si>
    <t>死灭墙</t>
  </si>
  <si>
    <t>一块玛瑙碎片</t>
  </si>
  <si>
    <t>你在施法距离内一块固体表面上创造出一面暗蚀能量墙。你可以选择创造长不过60尺、高不过20尺、厚不过1尺的直线型能量墙；或是直径不过20尺、高不过20尺、厚不过1尺的环形能量墙。能量墙不透明，且将持续存在至法术终止。
能量墙出现时，所有位于能量墙区域内的生物必须进行一次体质豁免。豁免失败则将受到4d8暗蚀伤害。豁免成功则伤害减半。 
施展该法术时，你选择能量墙的哪一侧会造成伤害。生物在能量墙伤害侧10尺内或在能量墙区域内结束其回合时，将受到5d8暗蚀伤害。在一个回合内首次进入能量墙区域或在能量墙区域内结束其回合时也会受到同样的伤害。能量墙的另一侧不会造成伤害。每当生物受到能量墙伤害时，你能够以反应获得等于墙造成伤害量的临时生命值。</t>
  </si>
  <si>
    <t>Wall of Death</t>
  </si>
  <si>
    <t>御电而行</t>
  </si>
  <si>
    <t>你将自己变为一道闪电，并传送至多60尺至一处你可见的未占据空间。在你的起点和终点之间宽5尺线状范围内的每个生物需进行一次敏捷豁免，豁免失败者受到4d6闪电伤害，豁免成功则所受伤害减半。
升环施法。当你用五或更高环阶的法术位施展该法术时，每比四环高一环，伤害增加1d6，此外，你的最大传送距离增加10尺。</t>
  </si>
  <si>
    <t>Ride the Lightning</t>
  </si>
  <si>
    <t>超神斩</t>
  </si>
  <si>
    <t>在此法术的持续时间内，当你下次使用近战武器攻击一个生物时，你的武器会击碎该生物周围环境的魔法。攻击会造成额外4d6力场伤害。如果该生物正在专注法术，专注会被打破。此外，目标身上任何三环或三环以下的法术都会终止。对于目标身上的每个四环或更高的法术，使用你的施法属性进行一次属性检定。DC等于 10+法术环阶。检定成功时，法术结束。</t>
  </si>
  <si>
    <t>Supernal Smite</t>
  </si>
  <si>
    <t>植物塑形</t>
  </si>
  <si>
    <t>立即（特殊，见正文）</t>
  </si>
  <si>
    <t>你号令温和的自然魔法来改变植物的生长。你可以在5尺的立方区域内看到的任何植物都可以呈现出你想要的任何形状。此外，如果植物是荆棘或能够生长荆棘，你可以将受影响的范围变成困难地形。
在你改变的地形内，目标每移动5尺将受到2d4穿刺伤害。
你也可以增加或减少由你产生的任何形状的植物的花、藤、叶、刺、枝、果实的数量。
一小时后，你的魔法消失，植物恢复正常形状。如果你能使用法术植物交谈 Speak with Plants（或类似的能力）来与植物交流，你也许能会说服它保留其新的形式。不同的植物有不同的情感和态度。
如果变形后的形态与它自然的形态大保留不相符，它保留该形态的兴致会下降。若植物同意，在dm决定下，它将保留该形态。在这种情况下，该法术将造成永久效果。
升环施法。当你使用5环或更高环阶的法术位施展该法术时，你使用的法术位每比4环高一环，就可以多5立方尺影响范围。</t>
  </si>
  <si>
    <t>Shape Plants</t>
  </si>
  <si>
    <t>恒星之躯</t>
  </si>
  <si>
    <t>特殊，见正文</t>
  </si>
  <si>
    <t>你创造出两颗围绕你运转的小星星。它们会在以你为中心的10尺范围内散发出微光光照。星星会保护你，如果你周围5尺内的生物以近战攻击命中你，它必须成功进行一次感知豁免，否则每颗环绕你的星星都会对其造成 1d8的光耀伤害。
每回合一次，在你的回合里，你可以使用你的动作使一颗星星向敌人飞去，让它在刺眼的闪光中爆炸并消耗它的能量。你对120尺内一敌人进行一次远程法术攻击，命中造成 4d8的光耀伤害，然后目标必须成功进行一次体质豁免，否则会陷入目盲，直到你的下一回合开始。
当法术持续时间结束、你陷入昏迷或者你耗尽了所有的星星时法术结束。
升环施法。当你使用5环或更高环阶的法术位施展该法术时，每比4环高1环，你便可额外创造一颗星星，每增加一颗星星会令以你为中心的微光光照半径增加5尺。</t>
  </si>
  <si>
    <t>Stellar Bodies</t>
  </si>
  <si>
    <t>蜘蛛之歌</t>
  </si>
  <si>
    <t>一条唱歌蜘蛛的腿或一把缠绕着蛛网的微型鲁特琴</t>
  </si>
  <si>
    <t>你唱着尖利的曲调，将暗影编织成一张巨大的、不断增长的网。
你选择施法距离内一点，该区域20尺立方的区域充满了暗影，该区域被轻微遮蔽，并为里面的任何生物提供了半身掩护。你可以在专注期间每一轮在施法距离内创造一个新的立方体，在这种情况下，前一个立方体在1轮后消失。立方体可以重叠，但效果不会叠加。
每个进入该区域或在该区域开始其回合的生物必须进行一次敏捷豁免。豁免失败时，除非它停留在该区域或者检定成功否则就会陷入失能。因此失能的生物每轮可以进行一次力量检定对抗你的法术豁免DC，检定成功则不再失能。
昼明术Daylight可以移除一处单一的20尺立方体暗影。</t>
  </si>
  <si>
    <t>Spider Song</t>
  </si>
  <si>
    <t>风暴之门</t>
  </si>
  <si>
    <t>一块闪电熔岩</t>
  </si>
  <si>
    <t>随着噼啪作响的闪电，你传送到120尺内的一处可见未占据空间，距离你离开的起点和目的地5尺内的每个生物都必须进行一次敏捷豁免，豁免失败者受到1d12点闪电伤害，豁免成功伤害减半。
在法术持续时间内你的每个回合里，你都可以使用附赠动作唤起闪电并再次这样打开风暴之门，但每次都要选择不同的地点为目的地。如果你在户外施法，风暴会在一分钟内逐渐发展并跟随你，在这种情况下，法术的伤害会增加到2d12，你可以至多传送240尺。
升环施法。当你使用五环或更高环阶的法术位施展此法术时，你可以选择距离你5尺内的一个生物与你一同传送。同行的生物不会受到闪电伤害。</t>
  </si>
  <si>
    <t>Storm Door</t>
  </si>
  <si>
    <t>德雷弗恩的无能诅咒</t>
  </si>
  <si>
    <t>一滴泪珠</t>
  </si>
  <si>
    <t>你的目标暂时忘记了他自己的技术能力。选择施法距离内一个智力为3或更高的生物。目标必须通过一次智力豁免，否则无法将其熟练加值加到其所进行的任何属性检定、攻击检定或豁免中。受影响的生物可以在其每个回合结束时重复豁免，成功后恢复其熟练加值。
升环施法。当你使用五环法术位施展该法术时，法术持续时间变为专注，至多10分钟；当你使用六环法术位施展该法术时，法术持续时间变为专注，至多1小时；当你使用七环法术位施展该法术时，法术持续时间变为1小时。</t>
  </si>
  <si>
    <t>Drayfn’s Curse of Incompetence</t>
  </si>
  <si>
    <t>火舞术</t>
  </si>
  <si>
    <t>一团燃烧的破布、一对火把或类似的双手火源</t>
  </si>
  <si>
    <t>你快速舞动和旋转两个火源，留下发光的轨迹。你在施法距离内选择的看到你的火舞的生物必须进行一次感知豁免。任何不能被魅惑的生物都会自动豁免成功。 如果你或你的同伴正在与一个生物战斗，它在豁免时具有优势。 豁免失败的目标会在法术持续时间内被魅惑。在被此法术魅惑期间，该生物会陷入失能，速度变为0。
如果受影响的生物受到任何伤害，或者其他生物使用动作将该生物唤醒时，该法术对其终止。 如果你失能，法术也会结束。</t>
  </si>
  <si>
    <t>Fire Dance</t>
  </si>
  <si>
    <t>命运之刃</t>
  </si>
  <si>
    <t>一把银匕首</t>
  </si>
  <si>
    <t>你说出一个束缚命运的词，并用你的匕首指向60尺内一可见生物，其必须进行一次感知豁免，若豁免失败，目标的命运则与其一名随机盟友绑定。目标承受的任何伤害或状态都会施加于其到绑定的盟友身上，反之亦然。一个生物同时只能绑定一个其他生物。该效果会持续到受影响的生物中的任何一个提升等级，或成为医疗术Heal的目标，或参加英雄宴Heroes' Feast 来解除本效果。</t>
  </si>
  <si>
    <t>Knife of Fate</t>
  </si>
  <si>
    <t>月之转移</t>
  </si>
  <si>
    <t>一颗价值500gp的蛋白石，施法时消耗</t>
  </si>
  <si>
    <t xml:space="preserve">此法术可瞬间召唤一道闪耀的月光将你所选择的一个睡眠的生物或物件传送到你选择的目的地。如果你的目标是一名非自愿的生物，则需进行一次感知豁免。 如果豁免成功则法术失败，而施法者将出现在目标位置。 被转移的生物会在到达目的地后立即醒来。如果你的目标是一个物件，则必须能完全容纳在一个10英尺立方体内，而且不能被非自愿的生物持握或携带。你选择的目的地必须是你所知道的，并且必须与你在同一位面上。你对目的地的熟悉程度决定了生物或物件是否成功抵达目的地。DM掷d20并参考下面的月之转移表，以下定义会有所帮助： 
“林地或法阵Grove or Magic Circle” 是指神圣的德鲁伊林地或你所知符文序列的永久的传送法阵。 
“纪念品Memento”是指你持有一件在过去六个月内从目标地点取来的物件，例如某个法师图书馆内的一本书，某个皇家卧室里床上的亚麻线或某巫妖陵墓里的一块大理石。 
“非常熟悉”指的是你常去的地方，你仔细研究过的地方，或是你在施展该法术时能看见的地方。 
“偶尔见过” 指你见过几次的地方，但你不是很熟悉。 
“见过一次”指你只见过一次的地方，包括通过魔法看到的地点 。
“听过描述” 指一个你从别人那里听来位置和外观的地点，比如从地图上看来的地点 。 
“查无此地”指根本不存在的地点。也许你尝试探知敌人的密室但看到的只是幻象，或者是一个你曾经熟悉但如今已不再存在的地点。抵达地点On Target。 你和你的队伍 （或目标物件） 出现在你预期的地点 。 
偏离地点Off Target。 你和你的队伍（或目标物件）出现在目的地随机方向上随机距离的一点。距离误差等于原定移动距离5x1d20里，但不会超过总距离的一半。例如，假设你尝试移动250里而不幸偏离目标，并且在掷距离误差时d20结果为8，那么你的传送距离误差是原定移动位置40里，如果尝试移动20里，则做多误差不超过10里。DM通过掷一次d8 来判误差出现在目的地的哪个方向。1为正北，2为东北，3为正东，依此类推。如果你们想要传送到一个海滨城市但却出现在离岸20里远的海上，那你们可有麻烦了。 
相似地区Similar。你的目标（或目标物件）出现在一个和目的地外观或氛围相似的不同地点。例如，如果你想回你自己的研究室去，则你可能会误打误撞出现在其他法师的研究室里，或是一个陈设有许多和你的研究室里相似工具的炼金用品店。通常你会出现在离目的地最近的相似地区，但由于该法术没有距离限制，你有可能会出现在同一个位面上的任何地点。 
遇难Mishap。该法术的意外魔法效果导致这次旅行特别艰难。尝试传送的生物（或目标物件）受到2d12点力场伤害，随后DM投掷表格并查阅上表来决定你们出现在哪里（你们可能再次遇难，而每次遇难都要承受该伤害）。
D20 林地或法阵 纪念品 非常熟悉 偶尔见过 看过一次 听过描述 查无此地 
1 相似地区 遇难 遇难 遇难 遇难 遇难 遇难 
2-5 偏离地点 相似地区 相似地区 遇难 遇难 遇难 遇难 
6-9 抵达地点 偏离地点 偏离地点 相似地区 相似地区 偏离目标 遇难 
10-13 抵达地点 抵达地点 偏离地点 偏离地点 相似地区 偏离目标 相似地区 
14-17 抵达地点 抵达地点 到达地点 到达地点 偏离地点 抵达地点 相似地区 
18-19 抵达地点 抵达地点 到达地点 到达地点 到达地点 抵达地点 相似地区 
20 抵达地点 抵达地点 到达地点 到达地点 到达地点 抵达地点 相似地区 </t>
  </si>
  <si>
    <t>Lunar Transfer</t>
  </si>
  <si>
    <t>月光遣魔</t>
  </si>
  <si>
    <t>价值至少400gp的宝石、熏香和精油作为祭品，施法时消耗，在一个白玉碗中点燃</t>
  </si>
  <si>
    <t>你怂恿邪魔攻击远方的敌人。在提供祭品后，进行一次法术攻击检定以确定召唤哪个邪魔：
D20 结果 CR 
1-4 献祭失败 —— 
5-8 风魔Wind Demon（见《生物抄本Creature Codex》）或小恶魔Quasit  1-2 
9-12 鼠疴魔Rattok Demon（见生物抄本）或须魔Bearded Devil  3-4 
13-16 次级月魔Lesser Lunar Devil（见第九章）或鹫魔Vrock  4-6 
17-20 月魔Lunar Devil（见万兽图志）或狂蟾魔Hezrou  8 
21+ 阿尔奈蛇魔Alnaar（见生物抄本）或角魔Horned Devil  9-11 
召唤后，你必须强迫邪魔寻找你选择的与你处于同一位面的特定生物。 你必须通过一次DC10的魅力（游说）检定。 成功后，邪魔就会悄悄溜到它的目标处，通常但不总是在晚上。如果检定失败，邪魔会拒绝，祭品和碗会在施法过程中消耗掉。 
召唤出的邪魔可能会发现目标被守护、无法接近或根本难以找到 （无论是因为隐形还是其他原因）。在这种情况下，你必须进行一次DC15的魅力 （游说）检定，如果成功，邪魔会返回以报告失败，不再要求献祭然后消失。 如果检定失败，邪魔会返回并要求你再次献祭。 如果没有立即献祭，它就会攻击你。</t>
  </si>
  <si>
    <t>Moonlight Sending</t>
  </si>
  <si>
    <t>缤纷泡泡</t>
  </si>
  <si>
    <t>一块肥皂和一滴油</t>
  </si>
  <si>
    <t>你在施法距离内的一个大型或更小的生物或物件周围产生一个闪闪发光的五彩气泡。气泡是一个半径5尺的球体，拥有10点生命值和与你的法术豁免DC相等的护甲等级。在你的每个回合开始时，气泡和其内容物会升高10尺，至多30尺。被困在气泡中的生物无法看到或听到气泡外的任何东西。且必须在其回合开始时进行一次感知豁免，否则就会被你和气泡魅惑，直到其下一回合开始，泡泡外的生物攻击泡泡前必须通过一次感知豁免，否则会被你和泡泡魅惑，直到其下一回合开始。
升环施法。当你用五环或更高环阶的法术位施展该法术时，每比四环高一环，便可额外创造一个泡泡。</t>
  </si>
  <si>
    <t>Polychromatic Bubble</t>
  </si>
  <si>
    <t>波尔朵之门</t>
  </si>
  <si>
    <t>价值100gp的银锁扣或钥匙，施法时消耗</t>
  </si>
  <si>
    <t>你召唤出一个传送门或门道，将施法距离内一处可见未占据空间与物质位面或妖精领域fey realms中的精确位置--如米德加德、影域Shadow Realm或盛夏之地Summer Lands——一个你曾经待过的地方。传送门是一个半圆形的开口，直径在5到20尺之间，甚至可以是大树的树根或树枝下。你可以将入口朝向你选择的任何方向。在它出现的每个位面上都有正面和背面。 穿越传送门只能通过它的正面。 这样做的任何东西都会立即传送到另一个位面，出现在离传送门最近的未占据空间里，传送门会持续很长一段时间。
神祗和其他位面统治者可以阻止此法术创建的传送门在他们面前或在其领域内的任何地方开启。
升环施法。当你用五环或更高环阶的法术位施展该法术时可以使传送门在创建后持续一周，如果使用六环级或更高法术位施展的传送门是永久的，直到用法术光耀信标Radiant Beacon（见下文）或祈愿术Wish 解除。</t>
  </si>
  <si>
    <t>Portho’s Portal</t>
  </si>
  <si>
    <t>反冲术</t>
  </si>
  <si>
    <t>反应，当你受到伤害时，作为对该次伤害的回应执行</t>
  </si>
  <si>
    <t>你将破坏性的能量抵御并弹开，令该次你受到的伤害降低4d6+你的施法属性调整值点。
若触发该次反应的伤害来自一名位于施法距离内的生物，则你可以迫使该生物进行一次体质豁免。豁免失败则其受到4d6力场伤害，豁免成功则仅受半伤。
升环施法。你使用的法术位每比四环高一环，法术能减免的伤害量和造成的力场伤害就都增加1d6。</t>
  </si>
  <si>
    <t>Backlash</t>
  </si>
  <si>
    <t>厄难黑潮</t>
  </si>
  <si>
    <t>煤灰或烟灰，以及一片鳗鱼干</t>
  </si>
  <si>
    <t>你指定施法距离内一点，在以该点为中心、半径 20 尺球状区域内，创造一片墨色雾气。黑雾在法术持续时间内维持存在，其区域视为魔法黑暗。但仍会被强风吹散（比如造风术Gust of Wind）并解除法术。
黑雾出现时，每名位于其区域内的生物都进行一次感知豁免，豁免失败者受到5d6点心灵伤害，且在进行豁免检定受1d6减值，直至其下一回合结束。，豁免成功则仅受半伤。每当球状区域移动到一名生物区域内时、一名生物进入球状区域时或是在该区域结束其回合时，该生物同样需要进行一次豁免。一名生物一回合只进行一次该豁免。
在你的每个回合开始时，球状区域会往远离你的方向移动10尺。
结阵施法。将该法术被作为结阵法术施展需要至少五名辅施法者参与。除了通常的法术成分，你还需要提供一项特殊成分（三枚来自喧癫空隧的黑珍珠，串成串），作为该法术的耗材。该法术的施法距离增加至1英里，且持续时间增加为直至被解除（无需维持专注）。如果该法术的任意一名施法者参与施展了另一道作为结阵法术施展的厄难黑潮Doomtide，则该法术会提前结束。
施展该法术时，每一名辅施法者都必须消耗一枚三环及以上的法术位，否则法术失败。</t>
  </si>
  <si>
    <t>Doomtide</t>
  </si>
  <si>
    <t>咒火风暴</t>
  </si>
  <si>
    <t>你咒唤一道咒火光柱，覆盖以施法范围内一点为中心，半径20尺、高20尺柱状区域。该区域内视为明亮光照，且在该区域出现时位于其中的每名生物都进行一次体质豁免，豁免失败则受到4d10光耀伤害，豁免成功则伤害减半。在生物进入法术区域或在其内结束回合时，目标生物也需要进行该体质豁免。一名生物每回合仅需进行一次该豁免检定。
此外，当一名位于区域内的生物施展一道法术时，它必须进行一次体质豁免。豁免失败则法术消散且毫无效果，并且用于施展法术的动作、附赠动作或反应随之浪费。如果那道法术是使用法术位施展的，则法术位并不会被消耗。
你在施展该法术时可以指定哪些生物不受其影响。
结阵施法。除了通常的法术成分，你还需要提供一项特殊成分（一枚价值25,000+GP的星蓝宝石），作为该法术的耗材。该法术的施法距离变为1英里，且无需专注。施展该法术时，每一名辅施法者都必须消耗一枚三环及以上的法术位，否则法术失败。
升环施法。你使用的法术位每比四环高一环，法术的伤害就增加1d10。
辅施法者的数量还能影响此法术的效应区域及持续时间（如下表所示）。如果该法术的任意一名施法者参与施展了另一道作为结阵法术施展的咒火风暴Spellfire Storm，则该法术会提前结束。
辅施法者数量                效应区域                                  持续时间
      1-3              半径40尺、高40尺柱状区域                  1小时
      4-6              半径60尺、高60尺柱状区域                  8小时
      7+              半径100尺、高100尺柱状区域              24小时</t>
  </si>
  <si>
    <t>Spellfire Storm</t>
  </si>
  <si>
    <t>活化物件</t>
  </si>
  <si>
    <t>物件在你的命令下“活”了过来。在施法距离内指定一定数量的未被携带或着装、也未被固定在一处表面的非超巨型非魔法物件作为法术目标。可活化物件的最大数量等于你的施法属性调整值，中型或小型目标计为一个物件，大型目标计为两个物件，巨型目标计为三个物件。
被指定的目标会活化并长出腿来，变成一名构装，并使用活化物件的数据。该生物受到你的控制，直到法术结束或其生命值降低为0。你以该法术活化的每名生物都是你的盟友（对你的其它盟友亦是如此）。它在战斗中使用你的先攻，并在你的回合结束后立即进行其回合。
直至法术结束前，你都可以使用一个附赠动作并以精神命令操纵距离你500 尺内任何你用此法术唤起的生物（如果你操纵多个生物，则你的命令可以同时传达给它们全部或是其中的某几个，不过只能使用同一种命令）。如果你不发令，它将执行回避动作且只会为躲避危险而移动。当活化物件的生命值降低为0时，它将会变回其物件形态，并且该物件将承受由活化物件形态延续而来的所有剩余伤害。
升环施法：使用五环或更高法术位施展该法术时，你使用的法术位每比五环高一环，活化物件生物的猛击Slam造成的伤害提升1d4（中型或更小）、1d6（大型）、1d12（巨型）。
活化物件Animated Object 
巨型（或更小）的构装，无阵营
AC 15
HP 10（中型及更小）、20（大型）、40（巨型）
速度30尺
力量16|+3|+3 敏捷10|+0|+0 体质10|+0|+0
智力3|-4|-4 感知3|-4|-4 魅力1|-5|-5
免疫：毒素、心灵；魅惑、力竭、恐慌、麻痹、中毒
感官：盲视30尺，被动察觉6
语言：理解你会的语言
CR无（XP0；PB等于你的熟练加值）
动作Actions
猛击Slam。近战攻击检定：加值等于你的法术攻击调整值，触及5尺。命中：1d4+3（中型）、2d6+3+你的施法调整值（大型）或2d12+3+你的施法调整值（巨型）的力场伤害。</t>
  </si>
  <si>
    <t>Animate Objects</t>
  </si>
  <si>
    <t>防活物护罩</t>
  </si>
  <si>
    <t>一道灵光从你身上延伸而出并在持续时间内形成10尺光环。这道灵光会阻绝外面除亡灵生物和构装生物之外所有类型的生物，使它们无法穿过或触及内部。一名受影响的生物施展的法术、使用远程武器或触及武器发动的攻击可以穿过屏障。
若你移动迫使受影响生物进入护罩内，则法术随之终止。</t>
  </si>
  <si>
    <t>Antilife Shell</t>
  </si>
  <si>
    <t>启蒙术</t>
  </si>
  <si>
    <t>一块价值1000GP+的玛瑙，作为法术耗材</t>
  </si>
  <si>
    <t>你利用施法的时间引导一块昂贵宝石中的魔法回路，然后触碰目标。该目标必须是一个野兽或植物，且必须是一个智力小于等于3的生物或是一个并非生物的自然植物。
目标的智力会变为 10，且学会说一门你所掌握的语言。如果目标是一株自然植物，则它变为一个植物生物，并且获得使用枝、根、藤、蔓或类似部位移动的能力，和类似于人类的感官。DM 为启蒙植物决定属性数据，例子可参考《怪物图鉴》中的启蒙灌木Awakened Shrub与启蒙树木Awakened Tree 。
被启蒙的目标在 30 日内处于魅惑 状态，或是直到你或你的盟友做出任何伤害它的举动。魅惑终止后，启蒙生物自行决定对你的态度。</t>
  </si>
  <si>
    <t>Awaken</t>
  </si>
  <si>
    <t>放逐斩</t>
  </si>
  <si>
    <t>被该次攻击检定命中的目标会在此次攻击中额外受到5d10力场伤害。如果此次攻击将目标的生命值削减到50点或更低，则目标必须进行一次魅力豁免，豁免失败则会在法术持续期间被转移到一个无害的半位面。身处半位面期间，目标会陷入失能状态。当法术终止时，目标将重新出现在其被放逐前的位置。如果该位置被占据，则目标将出现在距离该位置最近的一个未被占据空间。</t>
  </si>
  <si>
    <t>Banishing Smite</t>
  </si>
  <si>
    <t>毕格比之手</t>
  </si>
  <si>
    <t>一个蛋壳和一只分指手套</t>
  </si>
  <si>
    <r>
      <rPr>
        <sz val="11"/>
        <color theme="1"/>
        <rFont val="仿宋"/>
        <charset val="134"/>
      </rPr>
      <t>你在施法距离内指定一处你能看见且未被占据的空间，并在该处创造出一只闪烁着魔法性微光的大型手掌。这只手会在持续时间内维持存在，并听从你的命令进行移动，模仿你自己手掌的各类动作。
这只手是一个物件，其AC为20，生命值等于你的生命值上限。如果它的生命值降至0则法术将提前终止。这只手不会占据其所处的空间。
施展此法术时，你可以令巨手移动至多60尺并造成下列效应之一。你也可以在自己随后的回合里以一个附赠动作再造成下列效应之一：
　　</t>
    </r>
    <r>
      <rPr>
        <sz val="11"/>
        <color theme="1"/>
        <rFont val="Arial"/>
        <charset val="134"/>
      </rPr>
      <t>•</t>
    </r>
    <r>
      <rPr>
        <sz val="11"/>
        <color theme="1"/>
        <rFont val="仿宋"/>
        <charset val="134"/>
      </rPr>
      <t xml:space="preserve"> 金刚拳Clenched Fist。这只手对自身周围5尺范围内的一名目标发动一次打击。进行一次近战法术攻击。若命中，则该目标受到5d8力场伤害。
　　</t>
    </r>
    <r>
      <rPr>
        <sz val="11"/>
        <color theme="1"/>
        <rFont val="Arial"/>
        <charset val="134"/>
      </rPr>
      <t>•</t>
    </r>
    <r>
      <rPr>
        <sz val="11"/>
        <color theme="1"/>
        <rFont val="仿宋"/>
        <charset val="134"/>
      </rPr>
      <t xml:space="preserve"> 飞击掌Forceful Hand。这只手尝试推撞自身周围5尺范围内的一个体型不超过巨型的生物。目标必须进行一次力量豁免，若失败，这只手会将目标推动至多等于5+你施法属性调整值的五倍的尺数。巨手将随着目标一起移动，保持自己处在目标周围5尺的范围内。
　　</t>
    </r>
    <r>
      <rPr>
        <sz val="11"/>
        <color theme="1"/>
        <rFont val="Arial"/>
        <charset val="134"/>
      </rPr>
      <t>•</t>
    </r>
    <r>
      <rPr>
        <sz val="11"/>
        <color theme="1"/>
        <rFont val="仿宋"/>
        <charset val="134"/>
      </rPr>
      <t xml:space="preserve"> 擒拿掌Grasping Hand。这只手尝试对自身周围5尺范围内的一个体型不超过巨型的生物进行擒抱。目标必须进行一次敏捷豁免，若失败，则目标陷入受擒状态，逃脱DC等于你的法术豁免DC。在这只手擒抱目标期间，你可以使用一个附赠动作命令这只手对其进行挤压，此时目标将受到4d6+你的施法属性调整值点钝击伤害。
　　</t>
    </r>
    <r>
      <rPr>
        <sz val="11"/>
        <color theme="1"/>
        <rFont val="Arial"/>
        <charset val="134"/>
      </rPr>
      <t>•</t>
    </r>
    <r>
      <rPr>
        <sz val="11"/>
        <color theme="1"/>
        <rFont val="仿宋"/>
        <charset val="134"/>
      </rPr>
      <t xml:space="preserve"> 护身掌Interposing Hand。这只手会在你对抗以其所处空间为源点发出攻击或其他效应时，以及需要穿过其所处空间的攻击以及其他效应时给予你半身掩护Half Cover。此外，这只手所处空间对你的敌人来说视作困难地形。
升环施法：使用的法术位每比五环高一环，金刚拳的伤害就会提高2d8点，擒拿掌的伤害就会提高2d6点。</t>
    </r>
  </si>
  <si>
    <t>Bigby's Hand</t>
  </si>
  <si>
    <t>原力法阵</t>
  </si>
  <si>
    <t>你在30尺光环区域内散发灵光。位于灵光范围期间，你和你的盟友为对抗法术或其他魔法效应而进行的豁免检定具有优势。当受该法术效应影响的生物对抗豁免成功受半数伤害的法术或魔法效应时，若其豁免成功则不受伤害。</t>
  </si>
  <si>
    <t>Circle of Power</t>
  </si>
  <si>
    <t>死云术</t>
  </si>
  <si>
    <t>你指定施法距离内一点，在以该点为中心、半径 20 尺球状区域内，创造一片黄绿色剧毒浓雾。雾气在法术持续时间内维持存在，但仍会被强风吹散（比如造风术Gust of Wind）并解除法术。雾气存在区域视为重度遮蔽。
每名位于球状区域内的生物都进行一次体质豁免，豁免失败者受到5d8点毒素伤害，豁免成功则受到一半伤害。每当球状区域移动到一名生物区域内时、一名生物进入球状区域时或是在该区域结束其回合时，该生物同样需要进行一次豁免。一名生物一回合只需要进行一次该豁免。
在你的每个回合开始时，球状区域会往远离你的方向移动10尺。
升环施法： 使用的法术位每比五环高一环，此法术的伤害就增加1d8。</t>
  </si>
  <si>
    <t>Cloudkill</t>
  </si>
  <si>
    <t>通神术</t>
  </si>
  <si>
    <t>焚香</t>
  </si>
  <si>
    <t>你与一名神明或一名神明的代理人进行联系，并询问至多三个能以“是”或“否”回答的问题。你必须在法术结束前完成提问。你会收到每个问题的正确答案。
这些神能存在也并非全知全能，因此当问题涉及的信息超过神的认知范围时，你可能会得到一句“不确定”作为回答。另外当一个单词的回答可能引致误导或者与神的兴致相违背时，DM 可能会提供一句短语作为答案。
若你在完成一次长休前施展两次或更多次的该法术，则法术有一定的几率不给任何答复。此概率从第二次施展起每次累计25％。</t>
  </si>
  <si>
    <t>Commune</t>
  </si>
  <si>
    <t>问道自然</t>
  </si>
  <si>
    <t>你与自然的灵魂沟通并以此获得周围环境的信息。在户外时，该法术可以让你了解3里内大地的状况。在洞穴和其他天然地下场所中，其范围缩小为300尺半径区域内。自然环境中被建筑覆盖的区域里（比如城堡或城镇中）法术无法生效。
你立即获得的自然资讯至多与该地域三个方面的主题相关，在以下项目中进行选择：
聚居地位置
通往其他位面的传送门位置
一个挑战等级10+的类型为天族、妖精、邪魔、元素或亡灵的生物（由DM选择）的位置
区域内最广泛分布的植物、矿物或动物（你选择得知其中一项）
水体的位置
例如，你可以侦测到某个强大怪物在区域中的位置、水体位置以及附近城镇的方位。</t>
  </si>
  <si>
    <t>Commune with Nature</t>
  </si>
  <si>
    <t>寒冰锥</t>
  </si>
  <si>
    <t>一个小水晶或玻璃锥体</t>
  </si>
  <si>
    <t>你释放出一团寒冷的空气。以你为源点的 60 尺锥状区域内的每名生物进行一次体质豁免。豁免失败受到 8d8 寒冷伤害，豁免成功则受到一半伤害。被该法术杀死的生物将成为一尊冰冻塑像直至其被解冻。
升环施法：使用的法术位每比五环高一环，法术伤害就增加1d8。</t>
  </si>
  <si>
    <t>Cone of Cold</t>
  </si>
  <si>
    <t>咒唤元素</t>
  </si>
  <si>
    <t>你将来自元素位面Elemental Planes的大型虚幻精魂咒唤在施法距离内一处未占据空间中。选择精魄的元素类别，这将决定它造成的伤害类型：气元素（闪电）、土元素（雷鸣）、火元素（火焰）或水元素（寒冷）。精魂在持续时间内一直存在。
每当一名你可见的生物进入精魂所在的空间或是在精魂5尺内开始其回合时，若没有生物被精魂束缚，你可以迫使其进行一次敏捷豁免检定。失败则目标受到8d8对应精魂类型的伤害并且直到法术结束为止，目标陷入束缚状态。陷入束缚状态的目标回合开始时，其重新豁免，失败则目标受到4d8对应精魂类型的伤害，豁免成功则目标不再被精魂束缚。
升环施法： 使用的法术位每比五环高一环，法术的伤害就增加2d8。</t>
  </si>
  <si>
    <t>Conjure Elemental</t>
  </si>
  <si>
    <t>万箭齐发</t>
  </si>
  <si>
    <t>你挥舞作为施法材料的武器并选择施法距离内一点。数以百计相似的幽灵武器（或是适合这把武器的弹药）齐射而出，并在之后消失。以那一点为中心，半径40尺、高20尺的柱状区域内的每名由你选择且你可见的生物进行一次敏捷豁免检定，豁免失败者将受到8d8力场伤害，豁免成功则只受一半伤害。</t>
  </si>
  <si>
    <t>Conjure Volley</t>
  </si>
  <si>
    <t>异界探知</t>
  </si>
  <si>
    <t>你与一名半神、一名古老贤者的亡魂或是其他位面的博学实体建立了精神的连接。与超越人智存在的连接可能会破坏你的心智。当你施展该法术时，进行一次 DC15 的智力豁免。豁免成功时，你可以询问该实体最多五个问题。你必须在法术结束前提出你的问题。DM 将以一个单词回答你的每个问题，例如“是Yes”、“不是No”、“可能Maybe”、“不可能Never”、“无关Irrelevant”或“不清楚Unclear”（意味着该实体不知道该问题的答案）。如果一个单词的答案会造成误解，DM可能会用一句短语作为答案。
豁免失败时，你将受到6d6心灵伤害并且直到你完成一次长休为止，你陷入失能状态。对你施展法术高等复原术Greater Restoration 将结束该效应。</t>
  </si>
  <si>
    <t>Contact Other Plane</t>
  </si>
  <si>
    <t>疫病术</t>
  </si>
  <si>
    <t>你的触碰会传染一道魔法疫病。目标必须成功通过一次体质豁免，否则受到11d8暗蚀伤害并陷入中毒状态。此外，当你施展法术时选择一项属性，目标在中毒期间进行所选属性的豁免检定时具有劣势。
目标在其每回合结束时必须重新豁免，直至其累计三次成功或失败。若目标累计三次成功，则结束其身上该法术的效应。若目标累计三次失败，其身上该法术的效应持续7日。
每当中毒目标受到能够结束其中毒状态的效应作用时，目标必须成功通过一次体质豁免，否则其陷入的中毒 状态不会结束。</t>
  </si>
  <si>
    <t>Contagion</t>
  </si>
  <si>
    <t>造物术</t>
  </si>
  <si>
    <t>一支画笔</t>
  </si>
  <si>
    <t>你从堕影冥界Shadowfell取来一些暗影物质，在施法距离内创造一个物件。你可以创造一个植物质（类似纺织品、绳索、木质等）物件，也可以创造一个矿物质（类似石质、水晶、金属等）物件。创造出来的物件大小必须不超过5尺立方区域，且其必须是一种你见过的形态与材质。
法术的持续时间由所创造物件的材质决定，如材质表中所示。如果所创造物件由多种材质组合而成，则其持续时间取其中最短者。施展其他法术时，如果以这些创造物作为其材料成分将会使那道法术失败。
材质Materials 材质 持续时间 
植物 24小时 
岩石或水晶 12小时 
贵金属 1小时 
宝石 10分钟 
精金或秘银 1分钟 
升环施法：使用的法术位每比五环高一环，此法术的立方区域边长就增加5尺。</t>
  </si>
  <si>
    <t>Creation</t>
  </si>
  <si>
    <t>湮灭波</t>
  </si>
  <si>
    <t>毁灭能量从你身上扩散而出，覆盖了30尺光环范围。光环范围内你选择的每个生物进行一次体质豁免。豁免失败者受到5d6点雷鸣伤害和5d6点光耀或暗蚀伤害（由你选择）并且陷入倒地状态。豁免成功只受一半伤害。</t>
  </si>
  <si>
    <t>Destructive Wave</t>
  </si>
  <si>
    <t>驱逐善恶</t>
  </si>
  <si>
    <t>银粉和铁粉</t>
  </si>
  <si>
    <r>
      <rPr>
        <sz val="11"/>
        <color theme="1"/>
        <rFont val="仿宋"/>
        <charset val="134"/>
      </rPr>
      <t>法术持续时间内，天族、元素、妖精、邪魔和亡灵对你的攻击检定具有劣势。你可以使用下述特殊特性之一以提前结束法术。
　　</t>
    </r>
    <r>
      <rPr>
        <sz val="11"/>
        <color theme="1"/>
        <rFont val="Arial"/>
        <charset val="134"/>
      </rPr>
      <t>•</t>
    </r>
    <r>
      <rPr>
        <sz val="11"/>
        <color theme="1"/>
        <rFont val="仿宋"/>
        <charset val="134"/>
      </rPr>
      <t xml:space="preserve"> 破咒Break Enchantment。以一个魔法动作，你触碰一名因上述生物类型的任意生物而被其附身、陷入魅惑或恐慌状态的生物。目标不再被上述生物附身，魅惑或恐慌。
　　</t>
    </r>
    <r>
      <rPr>
        <sz val="11"/>
        <color theme="1"/>
        <rFont val="Arial"/>
        <charset val="134"/>
      </rPr>
      <t>•</t>
    </r>
    <r>
      <rPr>
        <sz val="11"/>
        <color theme="1"/>
        <rFont val="仿宋"/>
        <charset val="134"/>
      </rPr>
      <t xml:space="preserve"> 驱离Dismissal。以一个魔法动作，你选择距你5尺内的一名你可见的生物，其生物类型必须是上述生物类型之一。目标必须成功于一次魅力豁免，否则，若其并未处于家园位面，则被遣送回其家园位面。对于亡灵和妖精，若它们并未处于家园位面，则亡灵会被遣送回堕影冥界Shadowfell，妖精则被遣送回妖精荒野Feywild。</t>
    </r>
  </si>
  <si>
    <t>Dispel Evil and Good</t>
  </si>
  <si>
    <t>支配类人</t>
  </si>
  <si>
    <t>一名法术范围内你可见的类人生物必须成功于一次感知豁免，否则在持续时间内陷入魅惑状态。若你或你的盟友正在与其战斗，则目标在此豁免上具有优势。目标受到伤害时，可以重复进行该豁免，豁免成功则其身上的此法术终止。
该目标被魅惑期间，只要你与其处于同一位面就可以与之保持心灵感应。在你的回合，你可以通过心灵感应命令该生物（无需动作），比如“攻击那个生物”“跑到那个位置”或是“去拿那个物品”。该生物会在其回合内尽其所能以遵守你的指令。目标完成一项指令却未收到你的进一步指示时，将会凭自身喜好行动，尽可能的保护自己。
你可以用自己的反应去要求目标执行一项反应。
升环施法：使用更高环阶法术位施展时，你的专注能持续更长时间：六环至多10分钟，七环至多1小时，八环及以上至多8小时。</t>
  </si>
  <si>
    <t>Dominate Person</t>
  </si>
  <si>
    <t>托梦术</t>
  </si>
  <si>
    <t>一把沙子</t>
  </si>
  <si>
    <t>你指定一名你知道且与你同处一个存在位面的生物。你（或你触碰的一名自愿生物）将作为信使进入出神。出神下，信使陷入失能状态且速度降为0。
如果目标正睡着，则信使可以在法术持续时间内出现在其梦中并在其沉睡期间与之交流。信使能够塑造梦中的环境，创造景观，物件和其他影像。信使可以随时结束出神状态，以此终止法术。目标在醒来后能清楚地记得其梦境的内容。
如果你施法时目标醒着，则信使可以了解到这点。此时信使可以终止出神并结束法术，或是等待目标入睡再进入其梦境。
你可以让信使以可怕的形象出现。但此时信使只能提供不超过十个单词的信息，随后目标必须成功通过一次感知豁免。豁免失败时，目标便无法从休息中获益，并在其醒来时受到3d6点心灵伤害。</t>
  </si>
  <si>
    <t>Dream</t>
  </si>
  <si>
    <t>焰击术</t>
  </si>
  <si>
    <t>一撮硫磺</t>
  </si>
  <si>
    <t>一支辉煌火焰的立柱从上方呼啸着降落。位于以施法范围内一点为中心，半径10尺、高40尺柱状区域内的每个生物必须进行一次敏捷豁免。豁免失败者将受到5d6点火焰伤害和5d6点光耀伤害，豁免成功则只受到一半伤害。
升环施法：使用的法术位每比五环高一环，其火焰伤害和光耀伤害就均增加1d6。</t>
  </si>
  <si>
    <t>Flame Strike</t>
  </si>
  <si>
    <t>指使术</t>
  </si>
  <si>
    <t>你对施法距离内你能看见的一个生物下达一条魔法口头命令，并强迫其执行相应的某种服务或克制某种行为，或者遵照你的要求行动。目标必须成功通过一次感知豁免，否则将在法术持续时间内陷入魅惑状态。目标不能理解你的命令，则其在豁免中自动成功。
被魅惑生物每次做出与你的命令相悖的行为时，即受到5d10点心灵伤害。该伤害一日至多生效一次。
除了涉及导致必死结果的行为外，你向目标下达的任何命令都会生效。如果你发布自杀指令则法术即时终止。
一道移除诅咒Remove Curse，高等复原术Greater Restoration或祈愿术Wish 可以终止该法术。
升环施法：使用七环或八环法术位施展该法术时，持续时间变为365日。使用九环法术位施展该法术时，法术将一直持续至被上文提及的法术所终止。</t>
  </si>
  <si>
    <t>Geas</t>
  </si>
  <si>
    <t>高等复原术</t>
  </si>
  <si>
    <t>价值100GP+的钻石尘，作为法术耗材</t>
  </si>
  <si>
    <r>
      <rPr>
        <sz val="11"/>
        <color theme="1"/>
        <rFont val="仿宋"/>
        <charset val="134"/>
      </rPr>
      <t>你触碰一名生物并魔法性地移除目标身上的下列效应之一：
　　</t>
    </r>
    <r>
      <rPr>
        <sz val="11"/>
        <color theme="1"/>
        <rFont val="Arial"/>
        <charset val="134"/>
      </rPr>
      <t>•</t>
    </r>
    <r>
      <rPr>
        <sz val="11"/>
        <color theme="1"/>
        <rFont val="仿宋"/>
        <charset val="134"/>
      </rPr>
      <t xml:space="preserve"> 1级力竭
　　</t>
    </r>
    <r>
      <rPr>
        <sz val="11"/>
        <color theme="1"/>
        <rFont val="Arial"/>
        <charset val="134"/>
      </rPr>
      <t>•</t>
    </r>
    <r>
      <rPr>
        <sz val="11"/>
        <color theme="1"/>
        <rFont val="仿宋"/>
        <charset val="134"/>
      </rPr>
      <t xml:space="preserve"> 魅惑或石化状态
　　</t>
    </r>
    <r>
      <rPr>
        <sz val="11"/>
        <color theme="1"/>
        <rFont val="Arial"/>
        <charset val="134"/>
      </rPr>
      <t>•</t>
    </r>
    <r>
      <rPr>
        <sz val="11"/>
        <color theme="1"/>
        <rFont val="仿宋"/>
        <charset val="134"/>
      </rPr>
      <t xml:space="preserve"> 一道诅咒，包括目标因与一件被诅咒魔法物品的同调所陷入的诅咒。
　　</t>
    </r>
    <r>
      <rPr>
        <sz val="11"/>
        <color theme="1"/>
        <rFont val="Arial"/>
        <charset val="134"/>
      </rPr>
      <t>•</t>
    </r>
    <r>
      <rPr>
        <sz val="11"/>
        <color theme="1"/>
        <rFont val="仿宋"/>
        <charset val="134"/>
      </rPr>
      <t xml:space="preserve"> 目标某项属性值的减损
　　</t>
    </r>
    <r>
      <rPr>
        <sz val="11"/>
        <color theme="1"/>
        <rFont val="Arial"/>
        <charset val="134"/>
      </rPr>
      <t>•</t>
    </r>
    <r>
      <rPr>
        <sz val="11"/>
        <color theme="1"/>
        <rFont val="仿宋"/>
        <charset val="134"/>
      </rPr>
      <t xml:space="preserve"> 目标生命值上限的降低</t>
    </r>
  </si>
  <si>
    <t>Greater Restoration</t>
  </si>
  <si>
    <t>圣居</t>
  </si>
  <si>
    <t>价值1000GP+的熏香，作为法术耗材</t>
  </si>
  <si>
    <r>
      <rPr>
        <sz val="11"/>
        <color theme="1"/>
        <rFont val="仿宋"/>
        <charset val="134"/>
      </rPr>
      <t>你触碰一点并将神圣（或邪秽）的力量注入该点周围区域。区域半径至多 60 尺，若此区域内包含了已被另一个圣居影响的区域，则此次施法失败。受法术影响的区域具有以下效应。
神圣防护 Hallowed Ward。选择以下生物类型的任何一种：异怪，天族，元素，妖精，邪魔，亡灵。所选类型生物不能自愿进入该区域，任何被这些生物魅惑，恐慌或附身的生物只要在该区域内将不再被他们魅惑，恐慌或附身。
额外效果Extra Effect。你可以为该区域绑定下列其中一种额外效应，：
　　</t>
    </r>
    <r>
      <rPr>
        <sz val="11"/>
        <color theme="1"/>
        <rFont val="Arial"/>
        <charset val="134"/>
      </rPr>
      <t>•</t>
    </r>
    <r>
      <rPr>
        <sz val="11"/>
        <color theme="1"/>
        <rFont val="仿宋"/>
        <charset val="134"/>
      </rPr>
      <t xml:space="preserve"> 无畏 Courage。你选择的任何类型的生物在该区域内时不会陷入恐慌状态。
　　</t>
    </r>
    <r>
      <rPr>
        <sz val="11"/>
        <color theme="1"/>
        <rFont val="Arial"/>
        <charset val="134"/>
      </rPr>
      <t>•</t>
    </r>
    <r>
      <rPr>
        <sz val="11"/>
        <color theme="1"/>
        <rFont val="仿宋"/>
        <charset val="134"/>
      </rPr>
      <t xml:space="preserve"> 黑暗 Darkness。区域内处于黑暗环境，普通光源以及比本法术更低环法术所创造的魔法光源均无法照亮该区域。
　　</t>
    </r>
    <r>
      <rPr>
        <sz val="11"/>
        <color theme="1"/>
        <rFont val="Arial"/>
        <charset val="134"/>
      </rPr>
      <t>•</t>
    </r>
    <r>
      <rPr>
        <sz val="11"/>
        <color theme="1"/>
        <rFont val="仿宋"/>
        <charset val="134"/>
      </rPr>
      <t xml:space="preserve"> 昼明Daylight。区域内处于明亮光照，比本法术更低环法术所创造的魔法黑暗无法掩盖亮光。
　　</t>
    </r>
    <r>
      <rPr>
        <sz val="11"/>
        <color theme="1"/>
        <rFont val="Arial"/>
        <charset val="134"/>
      </rPr>
      <t>•</t>
    </r>
    <r>
      <rPr>
        <sz val="11"/>
        <color theme="1"/>
        <rFont val="仿宋"/>
        <charset val="134"/>
      </rPr>
      <t xml:space="preserve"> 平静长眠 Peaceful Rest。区域内埋葬的尸体不能被转化成亡灵。
　　</t>
    </r>
    <r>
      <rPr>
        <sz val="11"/>
        <color theme="1"/>
        <rFont val="Arial"/>
        <charset val="134"/>
      </rPr>
      <t>•</t>
    </r>
    <r>
      <rPr>
        <sz val="11"/>
        <color theme="1"/>
        <rFont val="仿宋"/>
        <charset val="134"/>
      </rPr>
      <t xml:space="preserve"> 次元干涉Extradimensional Interference。你选择的任何类型的生物均不能通过传送或者位面旅行的方式进入或离开该区域。
　　</t>
    </r>
    <r>
      <rPr>
        <sz val="11"/>
        <color theme="1"/>
        <rFont val="Arial"/>
        <charset val="134"/>
      </rPr>
      <t>•</t>
    </r>
    <r>
      <rPr>
        <sz val="11"/>
        <color theme="1"/>
        <rFont val="仿宋"/>
        <charset val="134"/>
      </rPr>
      <t xml:space="preserve"> 恐惧Fear。你所选择的任何类型的生物在该区域内时陷入恐慌状态。
　　</t>
    </r>
    <r>
      <rPr>
        <sz val="11"/>
        <color theme="1"/>
        <rFont val="Arial"/>
        <charset val="134"/>
      </rPr>
      <t>•</t>
    </r>
    <r>
      <rPr>
        <sz val="11"/>
        <color theme="1"/>
        <rFont val="仿宋"/>
        <charset val="134"/>
      </rPr>
      <t xml:space="preserve"> 抗性Resistance。你所选择的任何类型的生物在该区域内时，对你所选择的一种伤害类型具有抗性。
　　</t>
    </r>
    <r>
      <rPr>
        <sz val="11"/>
        <color theme="1"/>
        <rFont val="Arial"/>
        <charset val="134"/>
      </rPr>
      <t>•</t>
    </r>
    <r>
      <rPr>
        <sz val="11"/>
        <color theme="1"/>
        <rFont val="仿宋"/>
        <charset val="134"/>
      </rPr>
      <t xml:space="preserve"> 沉默Silence。声音无法从区域内发出，区域外的声音也不能传到区域内。
　　</t>
    </r>
    <r>
      <rPr>
        <sz val="11"/>
        <color theme="1"/>
        <rFont val="Arial"/>
        <charset val="134"/>
      </rPr>
      <t>•</t>
    </r>
    <r>
      <rPr>
        <sz val="11"/>
        <color theme="1"/>
        <rFont val="仿宋"/>
        <charset val="134"/>
      </rPr>
      <t xml:space="preserve"> 巧言Tongues。你所选择的任何类型生物与区域内的任何其他生物即使语言不通也可以随意交流。
　　</t>
    </r>
    <r>
      <rPr>
        <sz val="11"/>
        <color theme="1"/>
        <rFont val="Arial"/>
        <charset val="134"/>
      </rPr>
      <t>•</t>
    </r>
    <r>
      <rPr>
        <sz val="11"/>
        <color theme="1"/>
        <rFont val="仿宋"/>
        <charset val="134"/>
      </rPr>
      <t xml:space="preserve"> 易伤Vulnerability。区域内你所选择的任何类型生物具有你所选择的一种伤害类型的易伤。</t>
    </r>
  </si>
  <si>
    <t>Hallow</t>
  </si>
  <si>
    <t>定身怪物</t>
  </si>
  <si>
    <t>指定施法距离内一个你能看见的生物。该目标必须进行一次感知豁免，豁免失败则其在法术持续时间内陷入麻痹状态。目标在其每回合结束时可以重新进行这次豁免，豁免成功则终止其身上该法术的效应。
升环施法：使用的法术位每比五环高一环，你就可以额外指定一个生物作为此法术的目标。</t>
  </si>
  <si>
    <t>Hold Monster</t>
  </si>
  <si>
    <t>疫病虫群</t>
  </si>
  <si>
    <t>一只蝗虫</t>
  </si>
  <si>
    <t>你指定施法距离内一点，并以该点为中心使半径 20 尺球状区域内堆满成群的噬人蝗虫。虫群使整个区域成为困难地形并处于轻度遮蔽，在法术终止前都会持续存在。
当虫群显现时，区域内的每个生物都必须进行一次体质豁免，豁免失败则受到4d10穿刺伤害，成功则受到半数伤害。生物在一个回合内第一次进入该区域内，或者在区域内结束其回合时，也必须进行该豁免。一名生物每回合仅需进行一次该豁免。
升环施法： 使用六环或更高法术位施展该法术时，你使用的法术位每比五环高一环，伤害就增加1d10。</t>
  </si>
  <si>
    <t>Insect Plague</t>
  </si>
  <si>
    <t>贾拉兹光辉风暴</t>
  </si>
  <si>
    <t>一撮磷粉</t>
  </si>
  <si>
    <t>你以施法距离内你能看到的一点为中心，创造出一场闪光和雷鸣交织的风暴，席卷10尺半径、40尺高度的柱状区域。在这片区域内，生物会陷入目盲和耳聋状态，并且不能施展任何含有声音成分的法术。
当风暴出现时，任何处于其中的生物都必须进行一次体质豁免，豁免失败则受到2d10点光耀伤害与2d10点雷鸣伤害，豁免成功受到半数伤害。生物在一个回合内首次进入该区域内，或者在区域内结束其回合时，也必须进行该豁免。一名生物每回合仅需进行一次该豁免。
升环施法：使用的法术位每比五环高一环，此法术的光耀和雷鸣伤害都回增加1d10。</t>
  </si>
  <si>
    <t>Jailarzi's Storm of Radiance</t>
  </si>
  <si>
    <t>通晓传奇</t>
  </si>
  <si>
    <t>价值250+GP的熏香，作为法术耗材。以及每块价值50+GP的四块象牙板</t>
  </si>
  <si>
    <t>点名或描述一个著名的人物，地点，或物件。该法术在你脑海中形成一段由DM描述的关于该事物重要传闻的简单概述。
这些传闻可能包括了重要的细节，有趣的揭秘，也可能是不曾被广泛知晓的秘闻。你掌握目标越多的信息，所得到的信息就越精确细致。你由此得到的信息必定是准确的，但仍可能会以比喻或诗歌来表达，具体将由DM决定。
如果你选的事物其实并不著名，你会听到仿佛由长号演奏而出的悲伤的音符，随后法术失败。</t>
  </si>
  <si>
    <t>Legend Lore</t>
  </si>
  <si>
    <t>群体疗伤术</t>
  </si>
  <si>
    <t>一道治愈能量从施法距离内你指定的一点涤荡而出。你在该点周边30尺半径的球状区域内指定至多六个生物，并使每个目标生物恢复 5d8+你的施法属性调整值 点生命值。
升环施法：使用的法术位每比五环高一环，法术的治疗量就增加1d8。</t>
  </si>
  <si>
    <t>Mass Cure Wounds</t>
  </si>
  <si>
    <t>假象术</t>
  </si>
  <si>
    <t>你获得隐形状态，同时在你站的地方出现一个和你一样的幻象分身。分身会持续存在至法术持续时间结束；但如果你发动攻击、造成伤害或施展法术，则隐形随之结束。
以一个魔法动作，你可以令分身以至多两倍于你的速度移动并可以令其打手势、说话，以及以任何你指定的方式行事。分身无法被触及且无法受伤。
你可以通过分身的眼睛视物，用分身的耳朵聆听，如同你处于它的位置一样。</t>
  </si>
  <si>
    <t>Mislead</t>
  </si>
  <si>
    <t>篡改记忆</t>
  </si>
  <si>
    <t>你尝试重塑另一个生物的记忆。指定施法距离内一个你能看见的生物进行一次感知豁免。如果你正与该生物战斗，则它进行该豁免时具有优势。豁免失败时，该生物会在法术持续时间内陷入魅惑状态。被魅惑的目标陷入失能状态且无法感知周边的事物，但它仍然能听到你的声音。如果它受到任何伤害或者成为另一个法术的目标，则该法术终止且目标的记忆不会被修改。
该魅惑持续时，你可以改变目标关于过去 24 小时内经历的一个持续时间不超过十分钟的事件记忆。你可以永久地消除所有关于该事件的记忆，也可以让目标完美清晰地回忆起该事件的所有细节，还可以改变目标关于该事件记忆细节，或是创造一段关于其他事情的记忆。
你必须通过对目标说话来描述如何改变其记忆，并且目标必须能够听懂你的语言以便你植入被改变后的记忆。目标的意识会将你描述中所有缺失的细节填补完全。如果法术在你描述完被修改的记忆前就结束，则目标的记忆不会被改变。反之修改过的记忆会在法术终止时根植于目标心中。
修改过的记忆不一定会影响生物的行为，特别是当修改后的记忆违背了目标的天性，阵营或信仰时。如果植入一段不合逻辑的记忆（例如给目标灌输它有多么享受在强酸中泡澡的记忆），则目标会将其视为一场噩梦而加以忽视。DM 也可以判定某段修改过的记忆太过荒谬，故而无法影响生物。
对目标施展法术移除诅咒Remove Curse或高等复原术Greater Restoration后即可使目标恢复真实的记忆。
升环施法：使用五环以上的法术位时，你可以改变目标关于过去 7 日内（六环）、30 日内（七环）、1 年内（八环）或者在过去任意时刻（九环）所发生事件的记忆。</t>
  </si>
  <si>
    <t>Modify Memory</t>
  </si>
  <si>
    <t>穿墙术</t>
  </si>
  <si>
    <t>一撮芝麻</t>
  </si>
  <si>
    <t>一处通道在施法距离内木质、泥灰、或岩石表面（如墙壁、天花板、地板）上你可见的一点出现，且持续至法术结束。由你选择开口的大小，其至多宽5尺，高8尺，深20尺。通道不会使其周围的结构变得不稳定。
开口消失时，任何仍旧位于通道中的生物或物件会被安全地弹射到距你施展此法术时选择的表面最近的一处未占据空间中。</t>
  </si>
  <si>
    <t>Passwall</t>
  </si>
  <si>
    <t>异界誓缚</t>
  </si>
  <si>
    <t>一颗价值1000+GP的宝石，作为法术耗材</t>
  </si>
  <si>
    <t>你试图誓缚一名生物类型为天族、元素、妖精或邪魔的生物使其为你服务。生物必须在施法过程中一直位于施法距离内。（通常来说，在施展该法术期间，生物会先被召唤到一道反向作用的防护法阵Magic Circle中困住。）施法完成时，目标必须成功通过一次魅力豁免，否则在持续时间内必须为你服务。如果生物是由另一道法术召唤或创造的，则那道法术的持续时间会被延长到与此法术的持续时间一致。
一名被誓缚的生物必须尽其最大的努力遵循你的命令。你可能命令该生物在你冒险时陪伴你，或守卫一个地点，又或者传递一个信息。如果此生物与你敌对，则它会努力曲解你的字面意思来达到它自己的目标。如果生物在法术终止前完全执行了你的指示而你们仍处于同一位面，则它会当面向你汇报。如果你们处于不同位面，则它会回到与其建立誓约之地，并停留该处直至法术终止。
升环施法：使用更高环法术位施展该法术时，法术持续时间增加：六环10日，七环30日，八环180日，九环366日。</t>
  </si>
  <si>
    <t>Planar Binding</t>
  </si>
  <si>
    <t>死者复活</t>
  </si>
  <si>
    <t>一颗价值500+GP的钻石，作为法术耗材</t>
  </si>
  <si>
    <t>你触碰一名已死，但死亡时间不超过10日，且死亡时并非亡灵Undead的生物，使其回生。
生物以1点生命值重生。该法术同样会中和在该生物死亡时仍在生效的毒素。
该法术能治愈所有致命伤，但无法恢复失去的身体部位。如果该生物缺失了它生存所必要的身体部位或器官（比如头），则该法术自动失败。
死而复生是一个痛苦的体验。目标进行D20检定时具有-4减值。目标每完成一次长休，其减值就减少1，直至减值变为0。</t>
  </si>
  <si>
    <t>Raise Dead</t>
  </si>
  <si>
    <t>拉瑞心灵联结</t>
  </si>
  <si>
    <t>两颗蛋</t>
  </si>
  <si>
    <t>你使得施法距离内你选择的至多八名自愿生物在法术持续时间内建立心灵连线。不能以任何语言进行沟通的生物不受该法术影响。
直到法术终止，所有受术生物都可以通过心灵连线与其他受术生物进行心灵感应，不论他们是否语言相通。该交流方式可以跨越任意距离，但不能跨过存在位面。</t>
  </si>
  <si>
    <t>Rary's Telepathic Bond</t>
  </si>
  <si>
    <t>转生术</t>
  </si>
  <si>
    <t>价值1000GP+的珍稀油，作为法术耗材</t>
  </si>
  <si>
    <t>你触及一名类人生物的遗体或遗体的一部分。若该生物死亡时间不超过10日，则法术会创造出一具新的成年身体，并呼唤该生物的灵魂进入此新身躯。骰1d10，然后参照下表来决定新躯体的种族，或者DM也可以选择其他可选种族。
1d10 种族  1d10 种族 
1 阿斯莫  6 歌利亚 
2 龙裔  7 半身人 
3 矮人  8 人类 
4 精灵  9 兽人 
5 侏儒  10 提夫林 
若种族描述中提供了可选选项，则由被转生的生物做出选择，且其保留其前生记忆。目标保留原形的一切能力，不过其种族特质将以新种族的相应特质做更替。</t>
  </si>
  <si>
    <t>Reincarnate</t>
  </si>
  <si>
    <t>探知</t>
  </si>
  <si>
    <t>一个价值1000GP+的聚焦镜，例如水晶球银镜装满水的圣水池之类的</t>
  </si>
  <si>
    <t>专注，最多10分钟</t>
  </si>
  <si>
    <t>你能看见和听见一个和你处于同一存在位面上的生物。目标生物必须进行一次感知豁免；该豁免的调整值与你对目标的了解程度有关（见下文），也与你和目标之间的物理联系程度有关。目标不知道它进行此豁免在对抗什么，只是会感觉不自在。
你对目标的了解有… 豁免调整值  你对目标的了解有… 豁免调整值 
二手信息（你曾经听说过目标） +5  肖像或其他图像 -2 
直接信息（你曾经见过目标） +0  衣物或其他物品 -4 
熟悉（你对目标很了解） -5  身体部位如头发或指甲 -10 
如果对方豁免成功，则目标不受该法术影响，并且在 24 小时内你无法再次对其施展该法术。
如果对方豁免失败，则你在目标身边 10 尺内创造出一个隐形且不具备实体的传感器。通过传感器，你可以身临其境地看见和听见周围的环境。传感器会跟随目标移动，并在法术持续时间内始终保持在目标 10 尺之内。在能够看到传感器的生物眼中，你的传感器是一个与你的拳头一般大小的光球。
除生物之外，你也可以选择一个你以前见过的地点作为该法术的目标。这种情况下，传感器会出现在目标地点且不会移动。</t>
  </si>
  <si>
    <t>Scrying</t>
  </si>
  <si>
    <t>伪装术</t>
  </si>
  <si>
    <t>你选择施法距离内你能看见的任意数量生物，为他们提供一个虚假外观。不愿意受该法术影响的目标可以进行一次魅力豁免，豁免成功则不受该法术影响。
你可以为不同目标提供同样或不同的外观。法术能改变生物的身体和装备外观。你可以让目标看起来身高有 1 尺的增减，看上去更轻或更重。目标的新形貌的肢体结构必须与目标原形相符，但你可以随意改变其他的外观特征。法术会持续至时间结束。
此法术产生的变化无法应对物理检查。比如，你用此法术为一个生物添了一顶帽子，那么现实物件会穿过帽子。
一个使用研究动作来检查目标的生物可以进行一次智力（调查）检定来对抗你的法术豁免DC。如果它成功了，它会意识到目标进行了伪装。</t>
  </si>
  <si>
    <t>Seeming</t>
  </si>
  <si>
    <t>钢风斩</t>
  </si>
  <si>
    <t>一把价值1P+的近战武器</t>
  </si>
  <si>
    <t>你舞动用于施法的武器，随后忽然消失并如疾风般发起一轮突击。选择施法距离内最多5个你可见的生物。向每个生物分别进行一次近战法术攻击。若命中，目标将受到6d10点力场伤害。
在这之后，你可以传送到法术目标之一周围5尺内一处你可以看见且未占据空间中。</t>
  </si>
  <si>
    <t>Steel Wind Strike</t>
  </si>
  <si>
    <t>天界召唤术</t>
  </si>
  <si>
    <t>一个的金制圣物匣，价值500GP+</t>
  </si>
  <si>
    <t>你唤来一个天界灵魄。其使用下文天界灵魄的数据，并会在施法距离内一处你可见的未被占据的空间中显现。当你施展法术时，从复仇圣灵或守护圣灵选择一个，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天界灵魄Celestial Spirit 
大型天族，绝对中立
AC 11+法术环阶+2（仅守护圣灵）
HP 40+每比5环高的法术环阶10点
速度30尺，飞行40尺
力量16|+3|+3 敏捷14|+2|+2 体质16|+3|+3
智力10|+0|+0 感知14|+2|+2 魅力16|+3|+3
抗性：光耀
免疫：魅惑，恐慌
感官：黑暗视觉60尺，被动察觉12
语言：天界语，理解你的语言
CR无（XP0；PB等于你的熟练加值）
动作Actions
多重攻击Multiattack。灵魄发动等于法术环阶一半次数的攻击（向下取整）。
光耀之弓Radiant Bow（仅复仇圣灵）。远程攻击检定：加值等于你的法术攻击加值，射程600尺。命中：2d6+2+法术环阶的光耀伤害。
光耀之锤Radiant Mace（仅守护圣灵）。近战攻击检定：加值等于你的法术攻击加值，触及5尺。命中：1d10+3+法术环阶的光耀伤害，且灵魄可选择自己或其10尺内可见的另一生物，令其获得1d10临时生命值。
治愈之触Healing Touch（1/日）。灵魄触碰另一生物。目标魔法性地恢复2d8+法术环阶点生命值。</t>
  </si>
  <si>
    <t>Summon Celestial</t>
  </si>
  <si>
    <t>龙类召唤术</t>
  </si>
  <si>
    <t>一件刻有巨龙图案的物品，价值500GP+</t>
  </si>
  <si>
    <t>你唤来一个龙类灵魄。其使用下文巨龙灵魄的数据，并会在施法距离内一处你可见的未被占据的空间中显现。该生物会在生命值降为0或是法术结束时消失。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巨龙灵魄Draconic Spirit 
大型龙类，绝对中立
AC 14+法术环阶
HP 50+每比5环高的法术环阶10点
速度30尺，飞行60尺，游泳30尺
力量19|+4|+4 敏捷14|+2|+2 体质17|+3|+3
智力10|+0|+0 感知14|+2|+2 魅力14|+2|+2
抗性：强酸，冷冻，火焰，闪电，毒素
免疫：魅惑，恐慌，中毒
感官：盲视30尺，黑暗视觉60尺，被动察觉12
语言：龙语，理解你的语言
CR无（XP0；PB等于你的熟练加值）
特质Traits
分享抗性Shared Resistances。当你召唤此灵魄时，选择一项它具有的伤害抗性。直至法术结束前，你也会获得所选伤害的抗性。
动作Actions
多重攻击Multiattack。灵魄发动等于法术环阶一半次数的撕裂攻击（向下取整），并使用其吐息武器。
撕裂Rend。近战攻击检定：加值等于你的法术攻击加值，触及10尺。命中：1d6+4+法术环阶的穿刺伤害。
吐息武器Breath Weapon。敏捷豁免：DC等于你的法术豁免DC，30尺锥状内的每个生物。失败：2d6点伤害（伤害类型由你在施法时从灵魄的伤害抗性中选择）。成功：半伤。</t>
  </si>
  <si>
    <t>Summon Dragon</t>
  </si>
  <si>
    <t>迅捷箭袋</t>
  </si>
  <si>
    <t>一个价值1+GP的箭袋</t>
  </si>
  <si>
    <t>你施展该法术时，可以用一个射出箭矢或弩矢的武器（例如长弓和轻弩）进行两次攻击。随后，在法术结束前你能用附赠动作再次用这种武器发动两次攻击。法术会魔法性地为每次攻击生成所需的弹药。以此法生成的每发箭矢或弩矢如同类非魔法弹药一般造成伤害，且不论是否命中都会在攻击后立即瓦解。</t>
  </si>
  <si>
    <t>Swift Quiver</t>
  </si>
  <si>
    <t>突触静止</t>
  </si>
  <si>
    <t>选择施法距离内的一点，你引爆其间的心灵能量。以那一点为中心，半径20尺球状区域内的每个生物进行一次智力豁免检定。豁免失败的生物受到8d6心灵伤害，成功则只受到一半伤害。
豁免失败的目标还会在接下来的1分钟内思想混乱。在此期间，目标每次进行攻击检定、属性检定和为维持专注而进行体质豁免检定时都获得一枚d6的减值。在目标的每个回合结束时它都可以重新进行智力豁免检定，若成功将结束这个效应对自己的影响。</t>
  </si>
  <si>
    <t>Synaptic Static</t>
  </si>
  <si>
    <t>心灵遥控</t>
  </si>
  <si>
    <r>
      <rPr>
        <sz val="11"/>
        <color theme="1"/>
        <rFont val="仿宋"/>
        <charset val="134"/>
      </rPr>
      <t>你获得以思想移动或操纵生物或物件的能力。当你施展该法术时或于该法术终止前，你在法术施展之后的回合中都可以用一个魔法动作，将你的意志强加于施法距离内你可见的一名生物或一个物件之上，并造成下述对应的效应。你可以一轮接一轮地影响同一个目标，也可以在任何时候选择一个新的目标。如果你改变了目标，则之前的目标将不再受该法术影响。
　　</t>
    </r>
    <r>
      <rPr>
        <sz val="11"/>
        <color theme="1"/>
        <rFont val="Arial"/>
        <charset val="134"/>
      </rPr>
      <t>•</t>
    </r>
    <r>
      <rPr>
        <sz val="11"/>
        <color theme="1"/>
        <rFont val="仿宋"/>
        <charset val="134"/>
      </rPr>
      <t xml:space="preserve"> 生物Creature。你可以尝试移动一名巨型或更小的生物。目标必须成功于一次力量豁免，否则你可以在施法范围内将其往任意方向移动至多30尺。在你的下个回合结束前，该生物陷入束缚状态，而被你举到空中的生物会在半空中悬停。除非你再次对该被举到空中的生物使用此选项且其失败于豁免，否则其会在你的下个回合结束时坠落。
　　</t>
    </r>
    <r>
      <rPr>
        <sz val="11"/>
        <color theme="1"/>
        <rFont val="Arial"/>
        <charset val="134"/>
      </rPr>
      <t>•</t>
    </r>
    <r>
      <rPr>
        <sz val="11"/>
        <color theme="1"/>
        <rFont val="仿宋"/>
        <charset val="134"/>
      </rPr>
      <t xml:space="preserve"> 物件Object。你可以尝试移动一个巨型或更小的物件。如果该物品没有被着装或携带，则你可以自动使它在施法范围内朝任何方向移动至多30尺。
如果该物件已被一名生物着装或携带，则该生物必须成功于一次力量豁免，否则你可以把目标物件从该生物身上驱离，并且使该物体在施法范围内朝任意方向移动至多30尺。
你可以使用心灵遥控对物件进行精密操作，例如操纵一件简单的工具，打开一扇门或一个容器，把东西放进或拿出一个打开的容器中，或是把一个小瓶子里的东西倒出来。</t>
    </r>
  </si>
  <si>
    <t>Telekinesis</t>
  </si>
  <si>
    <t>价值50+GP的珍稀墨水，作为法术耗材</t>
  </si>
  <si>
    <t>施展该法术时，你在地上画出一个半径5尺的圆圈，并在其周围画出印记。这个圆形法阵将你所处的位置与一个你所选择的，与你处在同个位面上的永久传送法阵相连（你必须知道该法阵的印记序列）。圆圈中将打开一个发光的传送门，并持续开启到你的下一回合结束。任何进入传送门的生物将立即出现在目标法阵附近5尺内，如果该空间已被占据，则出现在最靠近目标法阵的未占据空间中。
许多大神殿、公会大厅和其他重要的场所都设有永久的传送法阵。这种法阵各有自己独一无二的印记序列，即按特定顺序排列的一串魔法符文。
你第一次获得施展该法术的能力时，你会习得物质位面上两个永久法阵的印记序列（由DM决定），随后你还可以在旅途中习得更多的印记序列。你只要花一分钟仔细研究一个新的印记序列就能够将其记录下来。
当你每日对同一地点连续施展该法术持续365天之后，将创造出一个永久的传送法阵。</t>
  </si>
  <si>
    <t>Teleportation Circle</t>
  </si>
  <si>
    <t>树跃术</t>
  </si>
  <si>
    <t>你能够进入树木中，并从树木内部移动到距其500尺内的一棵同类树木内。两棵树必须都是活的，且其体型至少要和你一样。你进入一棵树时必须消耗5尺移动力。你将在进入树木后立即知道附近500尺内所有同类树木的位置，且作为进入树木所用移动的一部分，你可以移动到这些同类树木的其中一棵，或走出你所在的树木。你将出现在距作为目的地的树木5尺内你所选择的一点，并因此再消耗5尺移动力。如果你的移动力已经耗尽，则你将出现在距你进入的树木周围5尺内某处。
在你的每个回合内，你仅能使用这样的输送能力一次。而且你必须在树外结束你的回合。</t>
  </si>
  <si>
    <t>Tree Stride</t>
  </si>
  <si>
    <t>力场墙</t>
  </si>
  <si>
    <t>一块玻璃碎片</t>
  </si>
  <si>
    <t>由力场构成的隐形力场墙出现在施法距离内你指定的一点上。这面力场墙的朝向由你决定：你可以使力场墙成为水平或垂直的结界，亦可以使它形成一定倾角。它可以浮在空中，也可以立于某个坚固表面其上。你可以将它塑成半球状或球状（半径最长 10 尺），也可以塑成一个由十个 10 尺×10 尺的方板块构成的平面，而每块板块都必须要和至少一块其他板块相连。不管形状如何，力场墙的厚度总是 1/4 寸。力场墙将持续存在至法术终止。如果力场墙形成时穿过了某个生物所占据的空间，则该生物会被推到力场墙的一侧（由你来决定是哪一侧）。
没有任何事物可以通过物理方式穿过力场墙。力场墙免疫所有伤害，也不能被解除魔法Dispel Magic所解除，但法术解离术Disintegrate可以使其立即摧毁。力场墙能够延伸进以太位面Ethereal Plane ，因此可以阻断进入以太位面穿过墙壁旅行。</t>
  </si>
  <si>
    <t>Wall of Force</t>
  </si>
  <si>
    <t>石墙术</t>
  </si>
  <si>
    <t>一块方形花岗岩</t>
  </si>
  <si>
    <t>一面坚硬的非魔法石墙出现在施法距离内你指定的一点。该石墙厚达6寸，由十个10×10尺的方板块组成。每块板块都必须要和至少一块其他板块相连。另外你也可以选择以十个 10×20 尺的板块组成石墙，但厚度只有3寸。
如果石墙形成时穿过了某生物所占据的空间，则该生物会被推到石墙的一侧（由你决定推到哪一侧）。如果该生物即将被石墙完全包围住（或被石墙和另一个坚硬的平面包围），则它可以进行一次敏捷豁免。若豁免成功，则该生物可以执行一个反应来移动至多等于其速度的距离，从而避免被墙围住。
你可以将石墙塑成你想要的任何形状，但它不能与其他生物或物件同占一处空间。该墙不必垂直于地面，也不需要地基；但它必须从稳固的既有石块中延伸出来。因此，你可以使用该法术创造一条跨越峡谷的桥或是造一个斜坡。
如果你创造的跨度超过了20尺，你必须把每一块的大小减半来创造支撑。你可以对石墙进行粗略塑形，造出城垛等类似的东西。
这个墙是一个可以因受到伤害而被打破的石制物件。每块板块的AC为15，且该板块每有1寸厚度就有30点生命值。其具有对毒素、心灵伤害的免疫。当一块板块的生命值降至0时则该板块被摧毁，而且与它相连的板块也可能会崩塌，具体由DM判断。
如果你在整个法术持续时间内一直保持住该法术的专注，则石墙将永久存在且不能被解除。如果你没能这么做，则石墙在法术终止时随即消失。</t>
  </si>
  <si>
    <t>Wall of Stone</t>
  </si>
  <si>
    <t>悠兰德王者威仪</t>
  </si>
  <si>
    <t>一顶微型皇冠</t>
  </si>
  <si>
    <t>你在自身周围散发出覆盖10尺光环区域的可怖威严，无论何时，当光环进入一名你可见的生物的占据空间，或是一名你可见的生物进入光环或是在光环之中结束自己的回合时，你都可以迫使这名生物进行一次感知豁免。豁免失败的生物将受到4d6点心灵伤害并陷入倒地状态，且你可以将其推离10尺。豁免成功的生物只受一半伤害。一名生物一回合只进行一次此豁免。</t>
  </si>
  <si>
    <t>Yolande's Regal Presence</t>
  </si>
  <si>
    <t>操控风力</t>
  </si>
  <si>
    <t>• 你获得对距离内，你可以看见的，100立方尺的空气的操控能力。当施放此法术时，选择下述效果之一。该效果将在法术的持续时间内始终生效，除非你在稍后的回合中使用一个动作来调整为其他的效果。你也可以使用你的动作来暂停效应或重启一个被暂停的效应。
• 狂风Gusts：你操控的空气中产生了一阵狂风，持续的向一个由你选择的水平方向吹去。你选择风力的强度：微风calm，大风moderate和强风strong。若风力为大风或强风，进入或者离开区域，或者是穿过其中的远程武器攻击在其攻击检定中得到劣势。若风力为强风，逆风而行的生物每移动1尺需要额外消耗1尺的移动力。
• 下沉气流Downdraft：你操控的空气产生了向下的气流，从空间的顶部开始下沉。穿过其中的远程武器攻击，或是对于处于其中的生物进行的远程武器攻击在其攻击检定中得到劣势。生物每回合第一次飞进受影响的空间，或是在飞行状态下于受影响的空间开始其回合，其必须进行一次力量豁免检定。若检定失败，该生物摔落倒地。
• 上升气流Updraft：你操控的空气产生了向上的气流，从空间的底部开始上升。在该空间内结束摔落的生物只会因为该摔落受到一半的伤害。处于该空间内的生物垂直跳跃时，其能比正常情况下跳跃的高度高出10尺。</t>
  </si>
  <si>
    <t>Control Wind</t>
  </si>
  <si>
    <t>骷髅之舞</t>
  </si>
  <si>
    <t>• 黑暗力量的线从你的指尖延伸，刺穿了法术距离内最多5具你可见的小型Small或中型Medium的尸体。每具尸体都立即站起变为亡灵。你自由决定它是僵尸zombie或者骷髅skeleton（僵尸和骷髅的数据参考怪物手册），并且它们在攻击和伤害检定中得到等同你的施法属性调整值的加值。
• 你可以用你的附赠动作精神性地指挥你用该法术创造的生物，并对它们发出同样的命令。生物必须在你60尺内才能接受命令。你决定被操纵的生物下回合的动作和移动。或者，你可以下达宽泛的命令，例如守护某个房间或走廊。如果你不下达命令，生物只会保护自己对抗敌对生物。一旦被下达命令，生物会持续执行命令直到任务完成。
• 你对这些生物的控制持续到法术结束，在那之后它们立即变回无生命状态。
• 升环施法效应：当你使用6环或更高的法术位施放该法术时，使用的法术位每比5环高一环，你就可以活化额外的两具尸体。</t>
  </si>
  <si>
    <t>Danse Macabre</t>
  </si>
  <si>
    <t>拂晓</t>
  </si>
  <si>
    <t>价值至少100gp的旭日坠饰</t>
  </si>
  <si>
    <t>• 拂晓之光落在施法距离内你指定的地点，形成一道30尺半径、40尺高度的明亮光柱。这个光芒被视为阳光。
• 当光柱出现时，每个处于其中的生物都必须进行体质豁免，失败将受到4d10光耀伤害，成功则只承受一半。在光柱中结束回合的生物也必须再次进行这个豁免。
• 如果你在光柱60尺内，你可以在你的回合以一个附赠动作将它移动60尺。</t>
  </si>
  <si>
    <t>Dawn</t>
  </si>
  <si>
    <t>汲能术</t>
  </si>
  <si>
    <t>• 墨色的黑暗触须从你身上延伸，触碰法术距离内你可见的一个生物并汲取它的生命。目标必须进行敏捷豁免检定。若豁免成功，目标将受到2d8黯蚀伤害，随后法术结束。若豁免失败，目标受到4d8黯蚀伤害，并且直到法术结束之前，你在每个自己的回合都可以用你的动作对目标自动造成4d8黯蚀伤害。如果你使用你的动作来做其他任何事情，则法术即刻结束。此外，如果目标位于施法距离外或对你有全身掩护，法术同样会结束。
• 每次法术对目标造成伤害，你都可以恢复目标受到点黯蚀伤害量的一半生命值。
• 升环施法效应：当你使用6环或更高的法术位施放该法术时，使用的法术位每比5环高一环，伤害便增加1d8。</t>
  </si>
  <si>
    <t>Enervation</t>
  </si>
  <si>
    <t>渺远步</t>
  </si>
  <si>
    <t>• 你传送至60尺内一处你可见且未被占据的空间。在法术结束之前你的每个回合，你都可以用附赠动作再次通过这个方法传送。</t>
  </si>
  <si>
    <t>Far Step</t>
  </si>
  <si>
    <t>神圣武器</t>
  </si>
  <si>
    <t>• 你为你触碰的武器注入神圣的力量。直到法术结束之前，武器都会发散出30尺半径的明亮光照和额外30尺的微光光照。此外，用这把武器击中时会造成额外2d8光耀伤害。武器在持续期间转变为魔法武器，如果原本它不是魔法武器。
• 在你自己的回合中，以一个附赠动作，你可以解散该法术并使武器爆发出强光。在你周围30尺内，每个由你选择的可见生物必须进行体质豁免检定。若豁免失败，生物将受到4d8光耀伤害，并且在1分钟内目盲。豁免成功将只承受一半伤害并不会目盲。在被目盲的生物每个回合结束时它都可以重新进行体质豁免检定，若成功将结束效果对自己的影响。</t>
  </si>
  <si>
    <t>Holy Weapon</t>
  </si>
  <si>
    <t>焚烧</t>
  </si>
  <si>
    <t>• 火焰环绕了距离之内，你能看到的一个生物。该目标必须进行一次敏捷豁免检定。若豁免失败，其受到8d6点火焰伤害，豁免成功则只受到上述伤害的一半。若豁免失败，目标同时会在此法术的持续时间内被点燃。燃烧的目标会照亮周围30尺半径的区域，并在外围30尺范围内产生微光照明。在其每个回合的结束时，目标重复进行豁免检定。检定失败则受到4d6点火焰伤害。而豁免成功则刺法术终结。这些魔法火焰无法被非魔法的方式熄灭。
• 若此法术造成的伤害杀死了目标，目标化为灰烬。</t>
  </si>
  <si>
    <t>Immolation</t>
  </si>
  <si>
    <t>地狱呼唤</t>
  </si>
  <si>
    <t>一块价值至少999gp的红宝石</t>
  </si>
  <si>
    <t>• 说出黑暗的咒语，你从九狱之中召唤来魔鬼。你选择挑战等级在6或更低的一种魔鬼的类型，例如猬魔Barbed Devils或须魔Bearded Devils。魔鬼出现在施法距离内你可以看见的一处未被占据的空间。魔鬼在生命值降低至0或法术结束时消失。
• 魔鬼对你和你的同伴是不友好的。你为魔鬼投掷先攻，并且它拥有自己的回合。它处于DM的控制之下并在它的每个回合依据本性来进行行动。如果它认为自己能取胜它有可能会攻击你，或者它会诱惑你承诺一个邪恶行为来交换它的有限服务。DM掌握这个生物的数据。
• 在你的每个回合中，你都可以尝试向魔鬼发出口头命令（不需要任何动作）。如果命令可能产生的结果与它的愿望一致，尤其是可能会让你走向邪恶，魔鬼会遵从命令。否则，你必须进行魅力（欺瞒、威吓或游说）检定对抗它的感知（洞悉）检定。如果你说出这个魔鬼的真名，你在这次检定中具有优势。如果你的检定失败，在法术余下的持续时间中魔鬼将免疫你的口头命令，虽然它仍旧可以选择执行。如果你的检定成功，魔鬼会执行你的命令直到完成，例如“攻击我的敌人”，“探索前面的房间”，或者是“将这个信息带给女王”。在那之后它返回向你报告自己已经完成。
• 如果你的专注在法术到达完整的持续时间之前中断，且魔鬼已经免疫了你的口头命令，那么它不会立即消失，而是在消失之前以它选择任何方式活动3d6分钟。
• 如果你拥有某个特定的魔鬼邪符，并且它的挑战等级在法术允许的适当范围+1里，你可以召唤那个魔鬼，它会遵从你的命令而你无需魅力检定。
• 升环施法效应：当你使用6环或更高的法术位施放该法术时，使用的法术位每比5环高一环，允许召唤的魔鬼挑战等级就+1。</t>
  </si>
  <si>
    <t>Infernal Calling</t>
  </si>
  <si>
    <t>大漩涡</t>
  </si>
  <si>
    <t>漏斗形状的纸张或叶片</t>
  </si>
  <si>
    <t>• 大量的水出现在距离之内，你能看到的一点处，形成了5尺深、30尺半径的大漩涡。该点必须处于地面或者水体表面。直到法术终结，该区域成为困难地形，所有在该区域开始其回合的生物必须通过一次力量豁免检定，否则收到6d6点钝击伤害并被拉向中心10尺。</t>
  </si>
  <si>
    <t>Maelstorm</t>
  </si>
  <si>
    <t>负能量洪流</t>
  </si>
  <si>
    <t>一块破碎的骨头和一块方形的黑色丝绸</t>
  </si>
  <si>
    <t>• 你向距离内一个可见生物发出丝带状的负能量。如果目标不是不死生物，他必须进行一次体质豁免检定，并在豁免失败时受到5d12点黯蚀伤害，若豁免成功则只承受一半。被这个伤害杀死的目标将在你的下回合开始被唤起为一只僵尸zombie。僵尸会追杀距离他最近的、他可以看见的任何生物。僵尸的数据参考怪物图鉴。
• 如果你以不死生物作为目标使用该法术，目标不需要进行豁免检定，取而代之的是目标得到5d12的一半作为临时生命。</t>
  </si>
  <si>
    <t>Negative Energy Flood</t>
  </si>
  <si>
    <t>授予技能</t>
  </si>
  <si>
    <t>• 你的魔法加深了生物对自己才华的理解。你触碰一个自愿生物，并给予它你选择的一项技能的专精；直到法术结束之前，生物每次在使用选择的技能进行属性检定时都可以将它的熟练值加倍。
• 你所选择的技能必须是目标已经熟练的并且没有受益于其他类似将熟练值加倍的效果，例如专精Expertise。</t>
  </si>
  <si>
    <t>Skill Empowerment</t>
  </si>
  <si>
    <t>转化岩石</t>
  </si>
  <si>
    <t>陶土和水</t>
  </si>
  <si>
    <t>• 你选定距离内，你能看到的，不超过40立方尺区域内的岩石或泥土，并选择下述效果之一。
• 化石为泥Transmute Rock to Mud：该区域内任何种类的非魔法石块在法术的持续时间内变成等量的稀薄、可流动的泥浆。
  若你将法术施放在一处区域或地表，其将变得足够瘫软，足以令生物陷入其中。生物穿过泥浆的每尺均消耗4尺的移动力，而在你施法时处于该区域内的生物需要进行一次力量豁免检定。若一个生物在一个回合内第一次进入此区域，或在此区域内结束其回合，其也需要进行此豁免检定。若豁免失败，其将没入泥浆并被束缚，虽然他可以以一个动作来把自己拽出泥浆以结束束缚。
  若你对天花板施放此法术，泥浆会掉落。在泥浆掉落时处于其下方的所有生物必须进行一次敏捷豁免检定。若检定失败则该生物受到4d8点钝击伤害，检定成功者只受到上述伤害的一半。
• 化泥为石Transmute Mud to Rock：在法术的持续时间内，区域内不超过10尺深的非魔法泥土或流沙变为柔软的岩石。在变化的泥土中的生物需要进行一次敏捷豁免检定。若豁免成功，该生物安全的移动到未被占据的一处地表上。若豁免失败，该生物被岩石所束缚。被束缚的生物、或者是其他可以触及到它的生物，可以使用一个动作以试图通过一次力量检定（DC20）来令其脱困。岩石拥有15AC和25点生命值，并且免疫毒素和心灵伤害。</t>
  </si>
  <si>
    <t>Transmute Rock</t>
  </si>
  <si>
    <t>光墙术</t>
  </si>
  <si>
    <t>一面手镜</t>
  </si>
  <si>
    <t>• 明亮的、闪光的墙壁在施法距离内你选择的一点出现。这面光墙的方向由你决定：你可以使墙成为水平或垂直的结界，亦可以使它成一定倾角。它可以浮在空中，也可以立于坚实的表面上。墙壁的长度至多60尺，高度至多10尺，厚度至多5尺。墙会阻挡视线，但是生物和物体可以穿过它。它发出120尺的明亮照明和额外120尺的微光照明。
• 当光墙出现时，在那个区域里的每个生物都必须进行体质豁免检定。若豁免失败，生物受到4d8光耀伤害，并且目盲1分钟。若豁免成功，它只承受一半伤害并且不会被目盲。一个被目盲的生物可以在它的每个回合结束时重新进行体质豁免检定，若成功则结束对自己的目盲效果。在墙壁区域内结束回合的生物也会受到4d8光耀伤害。
• 直到法术结束之前，你可以使用你的动作从墙上发射出一条光辉射线，袭击它60尺内的一个你可以看见的生物。进行一次远程法术攻击检定。若击中，目标承受4d8光耀伤害。无论击中或失手，墙壁的长度都会被减少10尺。如果墙壁的长度被降低至0尺，法术结束。
• 升环施法效应：当你使用6环或更高的法术位施放该法术时，使用的法术位每比5环高一环，伤害便增加1d8。</t>
  </si>
  <si>
    <t>Wall of Light</t>
  </si>
  <si>
    <t>自然之怒</t>
  </si>
  <si>
    <t>• 你唤醒自然界的精魂对抗你的敌人。选择施法距离内你可见的一点，精魂令那一点为中心60尺立方区域内的树木、岩石和草丛被活化，直到法术结束。
• 草丛和灌木Grasses and Undergrowth：立方区域内被草丛或灌木覆盖的地面对你的敌人而言是困难地形。
• 树木Trees：在你的每个回合开始，在立方区域内的任何树木周围10尺范围内的每个你的敌人都必须成功进行敏捷豁免检定，否则会因为树枝的挥打受到4d6挥砍伤害。
• 根与藤Roots and Vines：在你的每个回合结束时，立方区域内站于地面上的一个你选择的生物必须成功进行力量豁免检定，否则会被束缚直到法术结束。被束缚的生物可以使用它的动作来进行一次力量（运动）检定对抗你的施法DC，如果成功将会结束这个效果对自己的影响。
• 投石Rocks：在你的回合中以一个附赠动作，你可以使一块立方区域中的松动岩石投掷向同样在区域里的一个你可见的生物。若击中，目标受到3d8非魔法钝击伤害，并且必须成功进行力量豁免检定否则应击倒地。</t>
  </si>
  <si>
    <t>Wrath of Nature</t>
  </si>
  <si>
    <t>龙类精魄召唤术</t>
  </si>
  <si>
    <t>一件带有巨龙图案的物品，价值至少500gp</t>
  </si>
  <si>
    <t>• 你召唤出一只龙类精魄。它于施法范围内一处未被占据的空间显现。其肉体形态使用龙类精魄的数据。当你施展此法术时，选择一个龙种科目：色彩龙，宝石龙，或金属龙。该生物的长相与你所选择的龙种相似，这会决定其数据中的某些特性。该生物在法术结束或其生命值降至0时消失。
• 该生物对你和你的同伴友善。在战斗中，该生物与你共享先攻，它在你的回合结束后行动。它听从你的口头命令（无需动作）。如果你不发出指令，该生物执行回避动作，并用自己的移动力来回避危险。
• 升环施法效应：当你用6环或更高的法术位施展该法术时，用对应的环阶决定数据栏中与法术环阶有关的数据。
龙类精魂Draconic Spirit
大型龙类，绝对中立
护甲等级：14+法术环阶（天生护甲）
生命值：50+10每比五环高的法术环阶（拥有和法术环阶相等的d10生命骰）
速度 30尺，飞行60尺，游泳30尺
力量19（+4）  敏捷14（+2）  体质17（+3）
智力10（+0)   感知14（+2）  魅力14（+2）
伤害抗性（仅色彩龙与金属龙）：强酸，寒冷，火焰，闪电，毒素
伤害抗性（仅宝石龙）：力场，黯蚀，心灵，光耀，雷鸣
状态免疫：魅惑，恐慌，中毒
感官：盲视30尺，黑暗视觉60尺，被动察觉12
语言：龙语，理解所有你能说的语言
挑战等级 — 
熟练加值：等于你的熟练加值
分享抗性Share Resistances。当你召唤龙时，选择一种它具有的伤害抗性，直至法术结束，你获得该伤害抗性。
动作
多重攻击Multiattack.。龙使用它的吐息武器，并进行一定次数的啃抓攻击，等同于法术环阶的一半（向下取整）。
啃抓Rend。近战武器攻击：命中等同于你的法术攻击命中，触及10尺，单一目标。伤害：1d6+4+法术环阶的穿刺伤害。
吐息武器Breath Weapon。龙吐出一道色彩斑斓的能量并覆盖30尺锥形区域。区域内的每个生物必须进行一次敏捷豁免，否则受到2d6点伤害，伤害类型由你在龙所具有抗性的伤害类型中选择。成功则伤害减半。</t>
  </si>
  <si>
    <t>Summon Draconic Spirit</t>
  </si>
  <si>
    <t>创造法驱魔舵</t>
  </si>
  <si>
    <t>一根价值至少 5000gp 的水晶权杖，在施法时消耗</t>
  </si>
  <si>
    <t>• 持握用于施法成分的那根权杖并触碰一个不超过大型、未被占据的座椅。水晶权杖消失，且这个座椅被转变为法驱魔舵 。</t>
  </si>
  <si>
    <t>Create Spelljamming Helm</t>
  </si>
  <si>
    <t>时流刹转</t>
  </si>
  <si>
    <t>1反应，当你看到一个生物进行一次攻击掷骰或开始施展一个法术时使用</t>
  </si>
  <si>
    <t>• 你以触发法术的生物为目标, 其必须通过一个成功的感知豁免，否则就会消失，被驱逐到时间流的另一个时间点上并导致攻击失手或法术浪费。在目标生物的下个回合开始时，目标重新出现在他刚刚的位置或最近一处未被占据的空间。目标不记得你施展了该法术或自己被该法术影响。
• 升环施法效应：当你使用6环或更高环位的法术位施展该法术时，每比5环高出一环的法术位可以使你多指定一个目标。但所有的目标都需要在互相的30尺内。</t>
  </si>
  <si>
    <t>Temporal Shunt</t>
  </si>
  <si>
    <t>神话通神术</t>
  </si>
  <si>
    <t>？</t>
  </si>
  <si>
    <t>你联络一位克苏鲁神话的神祇。你可以向该实体询问1d6个能以"是"或"否"回答的问题。你必须在法术结束前问完所有问题。你的每个问题都会得到一个正确的答案。旧日支配者并非全知全能，因此，如果一个问题涉及其知识范围之外的信息，你可能会得到"不清楚unclear"的回答。若单字回答可能造成误导或违背其利益，DM可能会用一个短语来代替回答。
当你施展此法术时，掷一枚d20。如果掷骰结果为1，该神祇会出现在最近的未占据空间，并在法术持续时间内攻击区域内的生物（包括你），之后才会返回其领域。</t>
  </si>
  <si>
    <t>Contact Deity</t>
  </si>
  <si>
    <t>送神术</t>
  </si>
  <si>
    <t>你行使宇宙的自然秩序，将一个神话实体强行遣返其来处。选择施法距离内一位你可见的处于浴血的神话生物或神话神祇。目标会被传送至一个与其生物类型相关的位面（由DM选择）中的一个随机位置。</t>
  </si>
  <si>
    <t>Dismiss Deity</t>
  </si>
  <si>
    <t>猫猫大混乱</t>
  </si>
  <si>
    <t>每名目标必须成功通过一次敏捷豁免，否则将在持续时间内受到此法术影响。受影响的目标在其每个回合开始时受到4d6挥砍伤害，且其攻击和属性检定具有劣势。若目标试图移动，其必须进行一次体质豁免，失败则陷入倒地并再受到受惊猫咪的2d6挥砍伤害。受影响生物回合结束时，进行另一次敏捷豁免，成功则结束其身上的此法术效应。
升环施法。使用六环或更高法术位施展该法术时，你使用的法术位每比五环高一环，受影响目标回合开始时受到的伤害就增加2d6。</t>
  </si>
  <si>
    <t>Feline Chaos</t>
  </si>
  <si>
    <t>暗影召唤术</t>
  </si>
  <si>
    <t>你唤来一个暗影灵魄。其使用下文暗影灵魄的数据卡，并会在施法距离内一处你可见的未占据空间中显现为一个纯黑色轮廓。当你施展法术时，从渗透者或暗杀者选择一个，其数据卡中的部分特性也受此影响。该生物会在生命值降为0或是法术结束时消失。
该生物是你和你同伴的盟友。它在战斗中使用你的先攻，并在你回合结束后立即行动。它遵从于你的口头指令（无需任何动作）。如果你未发出任何命令，它将执行回避动作并用移动力远离危险。
升环施法。该生物的数据使用新的法术环阶。
暗影灵魄 Shadow Spirit
中型亡灵，中立
AC 11+法术环阶
HP 50（仅暗杀者）或40（仅渗透者）+每比五环高一法术环阶10
速度 30尺，飞行40尺（仅渗透者）
调整 豁免    调整 豁免    调整 豁免
力量 10 +0 +0  敏捷 20 +5 +5  体质 15 +2 +2
智力 10 +0 +0  感知 10 +0 +0  魅力 12 +1 +1
抗性 暗蚀
免疫 寒冷
感官 黑暗视觉60尺；被动察觉10
CR 无（XP0；PB=你的熟练加值）
特质Traits
虚体通道Incorporeal Passage。灵魄可以移动穿过其他生物或物件，如同穿过困难地形一般。如果灵魄结束其回合时还处于有生物或物件的空间内，其将被移入最近的未占据空间中并受到每被移5尺1d10力场伤害。
幽影隐匿Shadow Stealth。若灵魄身处微光光照或黑暗中，其可以使用附赠动作执行躲藏动作。
动作 Actions
多重攻击Multiattack。灵魄发动等同于法术环数一半的次数的攻击（向下取整）。
颤栗之触Chill Touch（仅渗透者）。近战攻击检定：加值等于你的法术攻击加值，触及5尺。命中：1d8+3+法术环阶的寒冷伤害。
蚀命之箭Deathly Bolt（仅暗杀者）。远程攻击检定：加值等于你的法术攻击加值，射程150尺。命中：2d4+3+法术环阶的寒冷伤害。如果该灵魄在发动攻击时处于躲藏，则该攻击额外造成2d4寒冷伤害。</t>
  </si>
  <si>
    <t>Summon Shadow</t>
  </si>
  <si>
    <t>酸雨术</t>
  </si>
  <si>
    <t>一撮硫磺和一捧磨碎了的煤</t>
  </si>
  <si>
    <t>直到法术结束前，施法距离内以你所选的一点为中心，降下半径 40 尺、高 40 尺的酸雨。该区域将造成轻度遮蔽，且该区域内的一切开放的明火都将被浇熄。
施法区域内的地面将变为化学物质组成的水坑，使之成为困难地形。当一个生物第一次进入法术区域或在法术区域内开始其回合时，其将受到3d6点强酸伤害，并必须进行一次敏捷豁免。若豁免失败，则该生物将会在水坑中倒地，并额外承受3d6强酸伤害。
升环施法效应：使用六环或更高法术位施展该法术时，你使用的法术位每比五环高一环，法术造成的强酸伤害就额外增加1d6。</t>
  </si>
  <si>
    <t>Acid Rain</t>
  </si>
  <si>
    <t>神经毒气</t>
  </si>
  <si>
    <t>磷酸盐样品和混合了一滴纯酒精的氯</t>
  </si>
  <si>
    <t>你在施法距离内由你所选的一点创造一个半径10尺的毒雾球体。这团毒雾会扩散过角落。毒雾会持续存在到法术结束，或直到有一股强风将其吹散以结束此法术。毒雾所在的区域视为重度遮蔽。
当一个生物在其回合内第一次进入毒雾或在毒雾中开始回合时，其必须进行一次智力豁免。若豁免失败则需承受3d6点心灵伤害，并陷入震慑状态直到其下一个回合开始。若豁免检定成功则该生物受到一半伤害且不会被震慑。即使屏住呼吸，或不需要呼吸的生物也会受到此法术的影响。
升环施法效应：使用六环或更高法术位施展该法术时，你使用的法术位每比五环高一环，法术造成的心灵伤害就额外增加1d6。</t>
  </si>
  <si>
    <t>Nerve Gas</t>
  </si>
  <si>
    <t>脓毒休克</t>
  </si>
  <si>
    <t>一片腐烂的肝脏</t>
  </si>
  <si>
    <t>选择范围内你能看到的一个生命值未全满的生物，你用糜烂的细菌将它的伤口感染。该目标必须通过一次体质豁免，如果其生命值已经少于最大生命值的一半，它进行的本次豁免将承受劣势。若豁免失败，则目标需承受10d8点黯蚀伤害，并获得一层力竭。若豁免检定成功，则它只承受一半伤害且不积累任何力竭层数。</t>
  </si>
  <si>
    <t>Septic Shock</t>
  </si>
  <si>
    <t>猛毒弹幕</t>
  </si>
  <si>
    <t>四个已经死去的蘑菇帽</t>
  </si>
  <si>
    <t>你创造出四道纯毒素组成的射线并掷向范围内你能看见的生物。你可以射击同一个或多个目标。
每道射线需要你分别进行一次远程法术攻击。若命中，则目标受到 3d6 点毒素伤害。如果一个生物被一个或多个射线命中，它必须通过一次体质豁免。若豁免检定失败，则该生物陷入中毒状态一分钟。若以此法中毒，该生物可以在它的每个回合结束重新进行一次体质豁免，若豁免成功，则中毒状态终止。
升环施法效应：使用六环或更高法术位施展该法术时，你使用的法术位每比五环高一环，你就额外创造一条射线。</t>
  </si>
  <si>
    <t>Toxic Barrage</t>
  </si>
  <si>
    <t>风之自由</t>
  </si>
  <si>
    <t>一小块破帆布</t>
  </si>
  <si>
    <t>风，环绕着你的躯体，卷起你的头发和衣摆，并将你的双脚托到空中。你获得60尺飞行速度。此外，你为避免被 擒抱Grappled 所作的属性检定，以及避免陷入 束缚Restrained 或 麻痹Paralyzed 所作的豁免检定具有优势。
法术效应期间，若你被选为一道法术或一次攻击的目标，你可以用你的反应传送到至多60尺外的一处未被占据的空间内。如果此行动使你脱离了该法术或该攻击的范围，你便不会受其影响。传送结束后，本法术会立刻结束。</t>
  </si>
  <si>
    <t>Freedom of the Wind</t>
  </si>
  <si>
    <t>灵之列车站</t>
  </si>
  <si>
    <t>一张空白车票和价值至少50金币的高品质墨水，作为该法术的耗材</t>
  </si>
  <si>
    <t>施法时，你在空白车票上书写一个你已熟知站号的永久列车站代码。当游荡之线沿着突然显现的轨道抵达时，你身后会出现一个微光闪烁的站牌和一张小长凳。你的车票允许你和至多八个你选择的生物乘车。无论距离多远，抵达目的地都需要1小时。
在旅程中可能会出现其他停靠站，这由DM决定。如果你或任何友方生物选择在旅行期间进行短休，且在短休结束时通过消耗一个或多个生命骰恢复生命值，你还会额外恢复1d10点生命值。
世界中存在着无数的列车站，每个都有其独特的列车站号。当你首次获得施展此法术的能力时，你会学会两个由DM决定的目的地代码。你可以在冒险过程中学习更多代码。研究新的代码序列1分钟后，你就能将其记忆。</t>
  </si>
  <si>
    <t>Create Spirit Train Stop</t>
  </si>
  <si>
    <t>庆典之王</t>
  </si>
  <si>
    <t>一条小丝带</t>
  </si>
  <si>
    <t>选择施法距离内的一个生物。伴随着铜管乐器的演奏声，一顶华丽的王冠和斗篷出现在目标身上。在持续时间内，目标成为庆典之王，并散发出一种重要人物的气场。任何生物在其回合内首次移动到庆典之王周围20尺范围内，或在该范围内开始其回合时，必须进行一次魅力豁免。不会被魅惑的生物自动通过此豁免。豁免失败的生物将被庆典之王吸引，围绕其欢呼起舞。在法术效应影响下的生物会在其回合开始时将其动作和附赠动作都用来向庆典之王献上全部的关注与崇拜。
如果生物在其回合开始时处于庆典之王光环范围外，则不再受到该法术的影响。</t>
  </si>
  <si>
    <t>Festival King</t>
  </si>
  <si>
    <t>群体浮空术</t>
  </si>
  <si>
    <t>一个小皮圈</t>
  </si>
  <si>
    <t>你选择施法距离内最多六个你能看见的生物或物体，使其垂直升起最多20尺，并在法术持续时间内悬浮于空中。此法术可以使重量不超过500磅的目标浮空。非自愿的生物若通过体质豁免则不受影响。
目标只能通过推拉触及范围内的固定物体或表面（比如墙壁或天花板）来移动，如同在攀爬一般。在你的回合中，你可以在20尺之内改变任意数量目标的高度。如果你是其中一个目标，作为移动的一部分，你可以将目标上下移动。否则，你可以使用你的动作移动这些目标，但目标必须始终保持在施法距离内。
当法术结束时，仍在空中的目标会缓慢飘落至地面。</t>
  </si>
  <si>
    <t>Mass Levitate</t>
  </si>
  <si>
    <t>纸鹤群袭</t>
  </si>
  <si>
    <t>价值10金币的精美纸张，作为该法术的耗材</t>
  </si>
  <si>
    <t>八只纸鹤从施法时消耗的纸张中飞出，朝着施法距离内你能看见的一个生物飞去。如果目标在你施法时位于30尺以内，纸鹤群会与目标相撞，对其造成8d6点挥砍伤害，然后纸鹤消失。
如果目标在你施法时距离你超过30尺，纸鹤群会以每轮30尺的速度朝目标方向飞行，无视困难地形，并可以根据需要绕过生物和其他障碍物。在飞行过程中，纸鹤群会如同一个中型生物一样占据一个5尺边长的立方体空间。
在飞行过程中，纸鹤群可以被攻击。其AC等同于你的法术豁免DC。每当纸鹤群被一次攻击命中，群体中的纸鹤数量就会减少一只。
在纸鹤群到达目标的那一轮，在你回合开始时，目标会因群体中每只剩余的纸鹤受到1d6点挥砍伤害。然后纸鹤消失。
升环施法。使用六环或更高法术位施展该法术时，你使用的法术位每比五环高一环，纸鹤群的数量就增加两只；如果目标在你施法时位于30尺以内，你使用的法术位每比五环高一环，它就额外受到2d6点挥砍伤害。</t>
  </si>
  <si>
    <t>Origami Bird Swarm</t>
  </si>
  <si>
    <t>潜渡术</t>
  </si>
  <si>
    <t>此法术在施法距离内的一处水体与同一存在位面上500英里内的另一处水体之间创造出一道魔法链接。你必须曾经至少见过或接触过目标水体一次。在法术持续时间内，任何生物都可以使用5尺移动力踏入源水体，并从目标水体中现身。
源水体和目标水体都必须足够大，能让试图通过的生物完全没入水中。如果任一水体不足以让生物完全没入，则有25%的几率使该生物从同一存在位面上的随机水体中现身。</t>
  </si>
  <si>
    <t>Submerge</t>
  </si>
  <si>
    <t>召唤南瓜灯</t>
  </si>
  <si>
    <t>南瓜灯碎片</t>
  </si>
  <si>
    <t>在施法距离内你可见的一点，一个巨型南瓜灯迅速生长而出。它可以容纳该点为中心、半径5尺范围内的生物。你可以选择让它容纳范围内最多四个中型或更小的生物，或者一个大型生物。任何不愿被困入南瓜灯中的生物可以进行一次敏捷豁免检定，若检定成功，该生物可以迅速跳离5尺距离，避开南瓜灯的包裹。
在南瓜灯内的生物只能通过你施法时选定的一侧上的眼睛和嘴巴观察外界。生物只能从这一侧使用远程或触及武器进行攻击。南瓜灯外的生物透过其嘴巴或眼睛往里看时，只能看到温暖的发光。在南瓜灯存在期间，无论南瓜灯内外的生物都无法穿过它。
南瓜灯重5,000磅，AC为15，具有100点生命值。南瓜灯每年自然损失20点生命值。当南瓜灯生命值降至0时，它会被摧毁。</t>
  </si>
  <si>
    <t>Summon Jack-O'-Lantern</t>
  </si>
  <si>
    <t>谭冈的盛宴之火</t>
  </si>
  <si>
    <t>一份非普通材料，作为该法术的耗材</t>
  </si>
  <si>
    <t>你以抛洒香料和旋转起舞的华丽仪式将一顿饭菜圣化。享用这顿饭菜的人将获得伟大节日之灵谭冈的咖喱祝福。这顿盛宴需要1小时食用，其效果要等到食用完毕后才会生效。最多十二个生物可以参与这场盛宴。
参与盛宴的生物获得以下好处：该生物的力竭等级降低一级，速度增加10尺，并在敏捷豁免检定上获得+2加值。在盛宴效果持续期间，他还可以使用一次"余烬腹火Ember Belly"法术的效果。盛宴的效果持续24小时。</t>
  </si>
  <si>
    <t>Tamh Gon's Fiery Festival Feast</t>
  </si>
  <si>
    <t>收割场</t>
  </si>
  <si>
    <t>一粒干燥的玉米壳或小麦壳</t>
  </si>
  <si>
    <t>你以施法距离内一点为源点，创造出一个30尺立方的阴影区域，收割流失的生命力。当区域出现时位于其中的与你敌对的生物，或在一个回合内首次进入该区域或在该区域内结束自己回合的生物，都会被诅咒，直至其下一回合结束。在被诅咒期间，当该生物在一个回合内首次受到伤害时，其会额外受到1d6暗蚀伤害，并且区域内一个你选择的未被此诅咒影响的生物，恢复等于所造成暗蚀伤害的生命值。 
升环施法。使用的法术位每比五环高一环，伤害就增加1d6。</t>
  </si>
  <si>
    <t>Field of Reaping</t>
  </si>
  <si>
    <t>幸运符</t>
  </si>
  <si>
    <t>一片四叶草和一块镜子碎片</t>
  </si>
  <si>
    <t>你触碰一个非魔法的微型物件，在持续时间内将你的一部分运气注入其中。当另一个生物携带该物件期间，该生物在D20检定中具有优势，而你在D20检定中具有劣势。</t>
  </si>
  <si>
    <t>镜像痛苦</t>
  </si>
  <si>
    <t>反应，60尺内一个你可见的生物对你的盟友造成伤害时可用</t>
  </si>
  <si>
    <t>一根别针或针</t>
  </si>
  <si>
    <t>触发生物必须进行一次感知豁免。若豁免失败，则其受到等于对你盟友所造成伤害的心灵伤害。若豁免成功，则其受到一半伤害。</t>
  </si>
  <si>
    <t>Mirrored Agony</t>
  </si>
  <si>
    <t>魂灵群</t>
  </si>
  <si>
    <t>你邀请灵魄向目标复仇。施法距离内一可见生物需进行一次魅力豁免。魅力为2或更低的生物不受此法术影响。豁免失败时目标受到8d8心灵伤害，并被你恐慌，直到法术结束。豁免成功则受到的伤害减半且不会被恐慌。</t>
  </si>
  <si>
    <t>Spirit Swarm</t>
  </si>
  <si>
    <t>血肉盛宴</t>
  </si>
  <si>
    <t>一颗动物牙齿和你的一滴血</t>
  </si>
  <si>
    <t>你选择施法距离内的一种生物令其被吞噬同类血肉的欲望所覆盖。目标必须通过一次魅力豁免，否则它的牙齿会变成针状，并且它能通过气味锁定150尺内的同类生物。轮到它的回合时，该生物必须以最快的速度向最近的同类生物移动。如果它在5尺内有着同类型的生物，它必须使用附赠动作对其进行啃咬攻击。目标熟练啃咬攻击，并造成伤害1d6+力量调整值的伤害。如果周围150尺内没有同类型的生物，它必须攻击距离它最近的生物。
在其每个回合结束时，以及每次受到伤害时，目标都可以重新豁免。如果豁免是由伤害触发的，则目标在豁免时具有优势。如果成功，法术结束，目标会中毒1小时。除非它是食人魔或来自食人文化。</t>
  </si>
  <si>
    <t>Feast of Flesh</t>
  </si>
  <si>
    <t>虚构英雄</t>
  </si>
  <si>
    <t>一顶月桂树叶制作的王冠</t>
  </si>
  <si>
    <t>你创造了一个能干大事的生物，就像一名故事书中的勇士，同时让该生物的敌人值得英雄关注。你选择施法距离内一生物，在法术持续时间内，其在所有属性检定、攻击和豁免上具有优势。同时，攻击你目标的生物，或对源自你目标的法术或其他效应进行豁免的生物具有优势。非自愿目标需进行一次魅力豁免抵抗该效果。
升环施法。当你用七环或更高环阶的法术位施展该法术时，每比六环高一环，便可额外增加一个生物为目标。</t>
  </si>
  <si>
    <t>Hero of Fable</t>
  </si>
  <si>
    <t>克拉尔之腐</t>
  </si>
  <si>
    <t>一滴血，一块肉和一撮骨粉</t>
  </si>
  <si>
    <t>你选择施法距离内一可见目标消耗其血肉。你的目标在法术持续期间必须在其每个回合开始时通过一次体质豁免，否则受到3d8点暗蚀伤害。在此法术作用下，生命值降为0的目标在死亡豁免上具有劣势。如果你的目标死亡，你可以在你的回合以附赠动作将其复活为丧尸Zombie，并且只要你在它60尺内，你就可以在随后的每个回合使用一个附赠动作来精神指挥它。如果你因多次施放此法术或类似法术（如活化死尸Animate Dead ）而命令多个亡灵，你可以使用相同的附赠动作同时命令其中任何一个或所有亡灵生物，对每个亡灵生物发出相同的命令。你决定该生物在下一回合将采取什么动作以及它将移动到哪里，或者你可以发出一般命令，例如守卫一个特定的房间或走廊。如果你不发出命令，该生物只会自卫敌对生物。一旦接到命令，这种生物就会继续执行，直到任务完成。
该生物在你的控制下24小时，之后它将不再服从你给它的任何命令。若要继续控制该生物24小时，你必须在当前的24小时时段结束前使用一个五环或更高的法术位。
升环施法。当你用七环或更高环阶的法术位施展该法术时，你的目标在其每个回合开始时受到6d8点暗蚀伤害，如果它死亡，则以食尸鬼Ghoul的形式复活。当你用9环法术位施展该法术时，你的目标在其每个回合开始时受到9d8点暗蚀伤害，如果它死亡，则以妖鬼Ghast的形式复活。</t>
  </si>
  <si>
    <t>Krail’s Rot</t>
  </si>
  <si>
    <t>雷洛赫的长篇大论</t>
  </si>
  <si>
    <t>自身（半径20尺）</t>
  </si>
  <si>
    <t>一张卷轴，包含已经准备好的一段演讲</t>
  </si>
  <si>
    <t>你讲述的故事蜿蜒曲折，充满了旁白和离题，以至于听众都不知道故事的重点在哪里。任何陷入耳聋或无法被魅惑的生物都免疫此法术的效果。
你选择距离你20尺内任意名生物，他们被迫停下手中的工作，聆听你的故事。当他们被你的话所吸引时、它们会在智力（调查）和感知（洞悉和察觉）检定中自动失败，且他们在这些技能上的被动检定结果会变为0。生物可以选择离开你的表演，但必须先通过一次感知豁免，否则会陷入昏迷1分钟。如果你失能或不再说话，此法术就会终止。</t>
  </si>
  <si>
    <t>Leiloch’s Interminable Yarn</t>
  </si>
  <si>
    <t>迷失漫游</t>
  </si>
  <si>
    <t>如同法术迷失Lost（见上文）一样，除了目标会忘记所有导航技能和地标外，目标会被迫四处游荡（仅在自卫时攻击）。16小时后，目标可以 进行另一次感知豁免。 如果失败，生物就会陷入开始一场精疲力竭的长休。
移除诅咒Remove Curse或高等复原术Greater Restoration会终止此效果。
升环施法。当你使用六环或更高的法术位施放此法术时，每比五环高一环便可额外指定一名生物为目标。这些生物必须相距在30尺内。如果你使用了七环或更高的法术位施展该法术，目标会在第二天经历该法术、醒来后进行一次感知豁免继续游荡。 如果你使用九环或更高的法术位，目标会在一周内的每天经历此法术，持续一周。</t>
  </si>
  <si>
    <t>Lost and Wandering</t>
  </si>
  <si>
    <t>光耀信标</t>
  </si>
  <si>
    <t>自身（半径5尺）</t>
  </si>
  <si>
    <t>一片琥珀</t>
  </si>
  <si>
    <t>一道光柱从空中落下，填满你所在的方格周围5尺内的区域。区域内的其他生物都必须进行一次体质豁免，豁免失败的生物会受到4d8点光耀伤害并目盲到你的下一回合开始。豁免成功者所受伤害减半且不会目盲。亡灵和泥怪在此豁免中具有劣势。
法术持续时间内，一道绚丽的光柱会在你周围闪耀，并随你移动。它提供半径10尺的明亮光照和该范围外20尺的微光光照。该光照是阳光。
该法术的光线在夜间可从10里外的地方看到，在黄昏时可从5里外的地方看到。</t>
  </si>
  <si>
    <t>Radiant Beacon</t>
  </si>
  <si>
    <t>艾拉斯卓的月辉之篷</t>
  </si>
  <si>
    <t>一块价值50+GP的月石</t>
  </si>
  <si>
    <t>月光从天而降，在持续时间内以微光光照笼罩源自你的20尺光环区域。你和你的盟友在位于该区域期间获得半身掩护及对寒冷、闪电及光耀伤害的抗性。
在法术持续时间内，你可以使用以下选项之一（但这将令此法术立即结束）：
解放Liberation。当你失败于一次用于避免或结束恐慌、受擒及束缚的豁免时，你可以用一个反应来将本次豁免改为成功。
回春Respite。以一个魔法动作，你或区域内的一名盟友恢复等于4d10+你的施法属性调整值点生命值。</t>
  </si>
  <si>
    <t>Alustriel's Mooncloak</t>
  </si>
  <si>
    <t>桑缟的元灵显圣</t>
  </si>
  <si>
    <t>一枚价值100+GP的珍珠</t>
  </si>
  <si>
    <t>你将属于巨灵的元素之力注入自身。你获得以下增益，直至法术结束：
元素减免Elemental Immunity。当你施展该法术时，选择下列一种伤害类型：强酸、寒冷、火焰、闪电或雷鸣。你获得对所选伤害类型的抗性。
元素波动Elemental Pulse。在你施展该法术时，以及此后你的每个回合开始时，你都会释放出元素能量的爆发，覆盖源自自身的15尺光环区域。区域内每名由你选择的生物都要进行一次敏捷豁免，豁免失败者受到2d6点强酸、寒冷、火焰、闪电或雷鸣伤害（由你选择）并陷入倒地状态，豁免成功则仅受半伤。
翔天Flight。你获得30尺飞行速度且可悬浮。
结阵施法。若该法术被作为结阵法术施展，则其施法时间变为1分钟，且持续时间增加至专注，至多10分钟。每有一名辅施法者参与，你就可以额外选择一名生物（至多额外选择九名生物）。受选择的生物亦会在法术持续时间内获得其增益。
施展该法术时，每一名辅施法者都必须消耗一枚二环及以上的法术位，否则法术失败。</t>
  </si>
  <si>
    <t>Songal's Elemental Suffusion</t>
  </si>
  <si>
    <t>秘法门</t>
  </si>
  <si>
    <t>你创造两个相连的传送门。指定地面上你能看见的两处未被占据的大型空间，其中一点在法术距离内，另一点则在你身边 10 尺内。随后将会开启一个通往两处的圆形传送门，并持续到法术结束。
传送门边缘为闪烁的二维环形，其内布满遮挡视野的迷雾，且整个垂直地悬浮在离地几寸处。传送门单面开启（由你选择），那一面即是传送门生效的一面。
任何进入其中一个传送门的东西将从另一个传送门里出现，如同两个传送门邻接一样。以一个附赠动作，你可以改变其开门的朝向。</t>
  </si>
  <si>
    <t>Arcane Gate</t>
  </si>
  <si>
    <t>剑刃护壁</t>
  </si>
  <si>
    <t>你创造出一面由旋转着的魔法能量剑刃组成的墙壁。墙壁在持续时间内在你的施法距离之内持续存在。你可以选择创造长不过100尺、高不过20尺、厚不过5尺的直墙；或是直径不过60尺、高不过20尺、厚不过5尺的环形墙。墙提供四分之三掩护，而墙体所占据的空间则视为困难地形。
所有处于墙所占据空间的生物必须进行一次敏捷豁免，豁免失败者受到6d10力场伤害，成功则受到一半伤害。生物在进入墙所占据的空间或者在其中结束回合时也需要进行此豁免。一个生物每回合只会进行一次此豁免。</t>
  </si>
  <si>
    <t>Blade Barrier</t>
  </si>
  <si>
    <t>连锁闪电</t>
  </si>
  <si>
    <t>三根银质别针</t>
  </si>
  <si>
    <t>你放出一道闪电，射向施法距离内某个你能看见的指定目标。经过首个目标后，闪电分成三束跳向该目标30尺内至多3个其他目标。闪电的目标可以是生物或物件，但每束闪电必须指定不同的目标。
每个目标必须进行一次敏捷豁免。豁免失败者将受到10d8点闪电伤害，豁免成功受到半数伤害。
升环施法：使用高于六环的法术位施展该法术时，你使用的法术位每比六环高一环，跳跃后闪电就多分出一束射向一个不同的目标。</t>
  </si>
  <si>
    <t>Chain Lightning</t>
  </si>
  <si>
    <t>死亡法阵</t>
  </si>
  <si>
    <t>价值500GP+的研磨黑珍珠粉末</t>
  </si>
  <si>
    <t>一阵负能量波从施法距离内你选择的一点放出，覆盖以该点为中心半径60尺球状区域。每个位于区域内的生物都进行一次体质豁免。豁免失败者受到8d8点暗蚀伤害，豁免成功则受到半数伤害。
升环施法：使用的法术位每比六环高一环，法术的伤害就增加2d8。</t>
  </si>
  <si>
    <t>Circle of Death</t>
  </si>
  <si>
    <t>咒唤妖精</t>
  </si>
  <si>
    <t>你将来自妖精荒野的中型精魂咒唤在施法距离内一处你可见的未占据空间中。精魂在持续时间内一直存在，其外貌看起来像是一名你选择的妖精生物。当精魂显现时，你可以对位于精魂5尺内的一名生物进行一次近战法术攻击。命中则目标受到等于3d12加你施法属性调整值总和的心灵伤害，并且直到你的下个回合开始为止，目标处于恐慌状态，你和精魂均是目标的恐惧源。
在后续的你的回合中，以一个附赠动作，你可以将精魂传送至一处位于其原位置30尺内的你可见的未占据空间，并对位于精魂5尺内的一名生物进行上述攻击。
升环施法： 使用的法术位每比六环高一环，法术造成的伤害就增加2d12。</t>
  </si>
  <si>
    <t>Conjure Fey</t>
  </si>
  <si>
    <t>触发术</t>
  </si>
  <si>
    <t>一尊价值1500+GP的饰宝石自塑像</t>
  </si>
  <si>
    <t>选择一道五环或以下的你能够施展的法术，其施法时间需为动作且能够以你为目标。这道法术被称为凭依法术。你作为施展触发术的一部分施展凭依法术，同时消耗凭依法术与触发术的法术位，但凭依法术并不会立即生效，而是在满足特定触发条件时才生效。你在施展这两道法术的时候描述触发条件。例如，触发术与水下呼吸Water Breathing 一起施展可以确保水下呼吸在你被水或类似液体淹没时触发其效应。
凭依法术的效应在相应状况第一次出现时立即生效，而无论你是否想要这么做，在那之后触发术随即终止。
凭依法术的效应只能作用于你，哪怕它通常可以指定其他目标也无法再作指定。你同一时间只能使用一道触发术。如果你再次施展该法术，则你身上前一道触发术的效应立即终止。另外，当触发术的材料成分不在你身上时，你身上的触发术效应也将立即终止。</t>
  </si>
  <si>
    <t>Contingency</t>
  </si>
  <si>
    <t>唤起亡灵</t>
  </si>
  <si>
    <t>每具尸体一颗价值150+GP的缟玛瑙</t>
  </si>
  <si>
    <t>你只能在夜晚施展这道法术。选择施法距离内至多三具中型或小型类人生物尸体。每具尸体都会变为一只你控制下的食尸鬼Ghoul（数据见《怪物手册》）。
在每个你的回合用一个附赠动作，你能精神性地命令任何距你120尺内以此法术活化的生物（如果你操纵多个生物，则你的命令可以同时传达给它们中的任意成员，不过只能使用同一种命令）。你决定生物下回合使用何种动作并决定它们移动至何处，抑或你可以下达宽泛的命令，例如守护某个房间或某条走廊。没有接受到你命令的生物则只会采取回避 动作并只会为了避免受伤而移动。一旦被下达命令，该生物会持续执行命令直到任务完成。
你只能操纵生物24小时，在那之后它会拒绝执行你曾下达的任何命令。若你在当前的24小时时间段终止前再次施展此法术，则你对该生物的操纵时间再延长24小时。法术的此种用法只能延长你对至多三个你使用此法术所创造生物的控制时间，不会造出新的生物。
升环施法：使用七环法术位施展该法术时，你可以唤起并维持四只食尸鬼。使用八环法术位施展该法术时，你可以唤起并维持五只食尸鬼，也可以改为唤起并维持两只妖鬼Ghast，或两只尸妖Wight。当你使用九环法术位施展该法术时，你可以唤起并维持六只食尸鬼，也可以改为唤起并维持三只妖鬼，或三只尸妖，或两只木乃伊Mummy。生物的数据均见《怪物手册》。</t>
  </si>
  <si>
    <t>Create Undead</t>
  </si>
  <si>
    <t>解离术</t>
  </si>
  <si>
    <t>一块天然磁石和灰尘</t>
  </si>
  <si>
    <t>你向施法距离内一个你能看见的目标射出一道绿色射线。该目标可以是一名生物或一个非魔法物件，或者是魔法力场的造物（例如由力场墙Wall of Force创造的墙壁）。
目标生物必须进行一次敏捷豁免，豁免失败则受10d6+40点力场伤害，若目标生命值因此降至0，则目标连同其穿着和携带的非魔法物品一起化为灰尘。该生物只能通过完全复生术True Resurrection或祈愿术Wish复活。
此法术会直接解离大型或更小的非魔法物件或魔法力场造物。如果目标是巨型或更大的物件或魔法力场造物，则此法术会解离其10尺立方大小的部分。
升环施法效应。使用的法术位每比六环高一环，伤害就提高3d6。</t>
  </si>
  <si>
    <t>Disintegrate</t>
  </si>
  <si>
    <t>卓姆吉瞬间召唤</t>
  </si>
  <si>
    <t>一颗价值1000GP+的蓝宝石</t>
  </si>
  <si>
    <t>你触摸施展法术时使用的蓝宝石与一件最重不超过10磅，最长不超过6尺的物件。法术在物件上留下一个隐形的标记，也在蓝宝石上留下隐形的物件名称。你每次施展该法术时都必须使用不同的蓝宝石作为其材料成分。
在那之后，你可以用一个魔法动作唤出该物件的名称并粉碎这颗蓝宝石，该物件将无视任何距离和位面的限制立即出现在你的手上，法术随即终止。
如果另一个生物正持握或携带着该物件，则粉碎蓝宝石无法将该物品送过来。不过你会知晓是谁占有了该物品，以及其此刻身处何处。</t>
  </si>
  <si>
    <t>Drawmij's Instant Summons</t>
  </si>
  <si>
    <t>摄心目光</t>
  </si>
  <si>
    <r>
      <rPr>
        <sz val="11"/>
        <color theme="1"/>
        <rFont val="仿宋"/>
        <charset val="134"/>
      </rPr>
      <t>在法术持续时间内，你的眼睛变成漆黑虚空。一名你选择的，距离你60尺内且你可见的生物必须成功于进行一次感知豁免，否则将承受由你选择的下列效应之一直到法术结束。
在法术终止前你的每个回合内，你都可以使用一个魔法动作来指定另一个目标。不过你不能指定那些已经通过本次施展的该法术豁免的生物。
　　</t>
    </r>
    <r>
      <rPr>
        <sz val="11"/>
        <color theme="1"/>
        <rFont val="Arial"/>
        <charset val="134"/>
      </rPr>
      <t>•</t>
    </r>
    <r>
      <rPr>
        <sz val="11"/>
        <color theme="1"/>
        <rFont val="仿宋"/>
        <charset val="134"/>
      </rPr>
      <t xml:space="preserve"> 沉睡Asleep。目标陷入昏迷状态。其在受到任何伤害，或另一个生物使用一个动作摇晃它时，即可再次醒来。
　　</t>
    </r>
    <r>
      <rPr>
        <sz val="11"/>
        <color theme="1"/>
        <rFont val="Arial"/>
        <charset val="134"/>
      </rPr>
      <t>•</t>
    </r>
    <r>
      <rPr>
        <sz val="11"/>
        <color theme="1"/>
        <rFont val="仿宋"/>
        <charset val="134"/>
      </rPr>
      <t xml:space="preserve"> 惊慌Panicked。目标陷入恐慌状态，它必须在其每个自己的回合内执行疾走动作并移动，且以最短、最安全的路径尽可能的逃离你，直至其无路可逃为止。如果目标移至一处距你至少60尺远且看不见你的空间，则此效应终止。
　　</t>
    </r>
    <r>
      <rPr>
        <sz val="11"/>
        <color theme="1"/>
        <rFont val="Arial"/>
        <charset val="134"/>
      </rPr>
      <t>•</t>
    </r>
    <r>
      <rPr>
        <sz val="11"/>
        <color theme="1"/>
        <rFont val="仿宋"/>
        <charset val="134"/>
      </rPr>
      <t xml:space="preserve"> 患病Sickened。目标陷入中毒状态。</t>
    </r>
  </si>
  <si>
    <t>Eyebite</t>
  </si>
  <si>
    <t>寻路术</t>
  </si>
  <si>
    <t>一套价值100GP+的预言道具、如纸牌或符文</t>
  </si>
  <si>
    <t>专注，至多1日</t>
  </si>
  <si>
    <t>你魔法性地感知到通往你所陈述地点的最直接的物理路径。你必须熟悉你所描述的地点，如果你寻找的目的地在另一存在位面，或者其会不断移动（例如一座移动堡垒），或者描述不够具体（例如“一条绿龙的巢穴”），则该法术失效。
你在法术持续时间内，只要和目的地在同一位面，就能够知晓目的地的远近和所在方向。向目的地移动并遇到岔路时，你会得知哪一条路能够最直接地通往目的地。</t>
  </si>
  <si>
    <t>Find the Path</t>
  </si>
  <si>
    <t>石化术</t>
  </si>
  <si>
    <t>一根鸡蛇兽羽毛</t>
  </si>
  <si>
    <t>你尝试将施法距离内一名你可见的生物变为石头。目标必须进行一次体质豁免。若豁免失败，则目标在法术持续时间内陷入束缚状态。若豁免成功，则目标的速度直至你的下个回合开始前变为0。构装生物进行此豁免时自动成功。
因该法术陷入束缚的生物必须在其每回合结束时再进行一次体质豁免。在累计三次豁免成功后，该法术终止。在累计三次豁免失败后，该生物被转化为石头并在法术持续时间内陷入石化状态。成功或失败的检定不需要连续；只要记录各情况的次数直至其中一方累计三次为止。
如果你为该法术维持的专注持续至法术最大持续时间，则该生物陷入的石化状态将持续至被一道高等复原术Greater Restoration或类似的魔法移除为止。</t>
  </si>
  <si>
    <t>Flesh to Stone</t>
  </si>
  <si>
    <t>禁制术</t>
  </si>
  <si>
    <t>10分钟或仪式</t>
  </si>
  <si>
    <t>价值1000GP+的红宝石尘</t>
  </si>
  <si>
    <t>1日</t>
  </si>
  <si>
    <t>你创造一个对抗魔法旅行的结界，该结界区域至多覆盖40000平方尺地面及其上30尺高的空间。在法术持续时间内，生物无法传送进区域内或使用传送门（如异界之门 gate法术创造的那种）进入其内。该法术使该区域无法进行位面旅行，因此生物无法通过星光位面Astral Plane，以太位面Ethereal Plane，妖精荒野Feywild，堕影冥界Shadowfell，或是通过位面转移plane shift 法术进入该区域。
此外，该法术可以对你在施法时所选定类别的生物造成伤害。从下列选项中选择一项或多项：异怪、天族、元素、妖精、邪魔、亡灵。所选定生物在一个回合内首次进入法术区域或者在其内结束回合时，将受到5d10点光耀伤害或黯蚀伤害（由你在施法时选择其一）。
施展该法术时，你可以设定一段密语。说出密语的生物即使进入区域也不会受到该法术的伤害。
该法术的效应区域不能与另一道禁制术的区域相重叠。如果你对同一区域连续30日每日施展禁制术，则其效应会持续至被解除，并在最后一次施法时将该法术的材料成分消耗殆尽。</t>
  </si>
  <si>
    <t>Forbiddance</t>
  </si>
  <si>
    <t>法术无效结界</t>
  </si>
  <si>
    <t>一颗玻璃珠</t>
  </si>
  <si>
    <t>一个固定的微光屏障在你周围10尺光环范围内出现并在法术持续时间内维持存在。
任何在屏障外施放的五环或更低环阶的法术无法影响其内的任何东西。此类法术能够以屏障内的生物或物件为目标，但无法对其生效。同样的，屏障内区域也将被排除在此类法术所创造的效应区域之外。
升环施法：使用的法术位每比六环高一环，屏障能阻挡的法术就高一环。</t>
  </si>
  <si>
    <t>Globe of Invulnerability</t>
  </si>
  <si>
    <t>铜墙铁壁</t>
  </si>
  <si>
    <t>一根10+GP的银权杖</t>
  </si>
  <si>
    <r>
      <rPr>
        <sz val="11"/>
        <color theme="1"/>
        <rFont val="仿宋"/>
        <charset val="134"/>
      </rPr>
      <t>你制造一个覆盖至多2500平方尺地面面积的受保护区域。保护区域至高可达20尺，并随你的意愿塑形为一个50尺的方形区域，或一百个相接的5尺方形区域，或二十五个相接的10尺方形区域。
施展该法术时，你可以指明特定个体以让其不受法术效应的影响。你还可以指明一句口令，当在保护区域5尺内并大声说出口令时，即可让说出口令的人对这些效应免疫。
法术在受保护区域内创造出下述效应。解除魔法Dispel Magic对铜墙铁壁本身没有效果，但下述每个效应都能被分别解除。如果所有四个效应均被解除，则本法术结束。如果你365日中每日均对同一区域施展该法术，此法术便会持续至其所有效应均被解除为止。
　　</t>
    </r>
    <r>
      <rPr>
        <sz val="11"/>
        <color theme="1"/>
        <rFont val="Arial"/>
        <charset val="134"/>
      </rPr>
      <t>•</t>
    </r>
    <r>
      <rPr>
        <sz val="11"/>
        <color theme="1"/>
        <rFont val="仿宋"/>
        <charset val="134"/>
      </rPr>
      <t xml:space="preserve"> 过道Corridors。浓雾充斥受保护的过道使其处于重度遮蔽。此外，除你以外的生物在过道上遇到需要选择方向的岔路或交叉路口时，有50%概率误认错的方向为正确的前进方向。
　　</t>
    </r>
    <r>
      <rPr>
        <sz val="11"/>
        <color theme="1"/>
        <rFont val="Arial"/>
        <charset val="134"/>
      </rPr>
      <t>•</t>
    </r>
    <r>
      <rPr>
        <sz val="11"/>
        <color theme="1"/>
        <rFont val="仿宋"/>
        <charset val="134"/>
      </rPr>
      <t xml:space="preserve"> 门Door。所有受保护区域内的门都被魔法性地锁住，如同被秘法锁Arcane Lock封上一般。此外，你还可以用一道幻象掩盖至多十扇门使其看起来有如普通墙面的一部分。
　　</t>
    </r>
    <r>
      <rPr>
        <sz val="11"/>
        <color theme="1"/>
        <rFont val="Arial"/>
        <charset val="134"/>
      </rPr>
      <t>•</t>
    </r>
    <r>
      <rPr>
        <sz val="11"/>
        <color theme="1"/>
        <rFont val="仿宋"/>
        <charset val="134"/>
      </rPr>
      <t xml:space="preserve"> 楼梯Stairs。受保护区域内的楼梯从上到下布满了蛛网，如同受到蛛网术Web的效应一般。铜墙铁壁法术持续期间，这些蛛网即使被摧毁也可以在10分钟后再次生成。
其他法术效应Other Spell Effect。你可以在要塞的保护区域内布置你指定的下列魔法效应之一：
　　</t>
    </r>
    <r>
      <rPr>
        <sz val="11"/>
        <color theme="1"/>
        <rFont val="Arial"/>
        <charset val="134"/>
      </rPr>
      <t>•</t>
    </r>
    <r>
      <rPr>
        <sz val="11"/>
        <color theme="1"/>
        <rFont val="仿宋"/>
        <charset val="134"/>
      </rPr>
      <t xml:space="preserve"> 在四条过道中布置舞光术Dancing Lights。你可以为光点其指定一个简单的程序，使其在铜墙铁壁持续期间重复此程序。
　　</t>
    </r>
    <r>
      <rPr>
        <sz val="11"/>
        <color theme="1"/>
        <rFont val="Arial"/>
        <charset val="134"/>
      </rPr>
      <t>•</t>
    </r>
    <r>
      <rPr>
        <sz val="11"/>
        <color theme="1"/>
        <rFont val="仿宋"/>
        <charset val="134"/>
      </rPr>
      <t xml:space="preserve"> 在两个地点布置魔嘴术Magic Mouth。
　　</t>
    </r>
    <r>
      <rPr>
        <sz val="11"/>
        <color theme="1"/>
        <rFont val="Arial"/>
        <charset val="134"/>
      </rPr>
      <t>•</t>
    </r>
    <r>
      <rPr>
        <sz val="11"/>
        <color theme="1"/>
        <rFont val="仿宋"/>
        <charset val="134"/>
      </rPr>
      <t xml:space="preserve"> 在两个地点布置臭云术Stinking Cloud（在铜墙铁壁法术持续期间，臭气即使被驱散也会在10分钟后重新聚集）
　　</t>
    </r>
    <r>
      <rPr>
        <sz val="11"/>
        <color theme="1"/>
        <rFont val="Arial"/>
        <charset val="134"/>
      </rPr>
      <t>•</t>
    </r>
    <r>
      <rPr>
        <sz val="11"/>
        <color theme="1"/>
        <rFont val="仿宋"/>
        <charset val="134"/>
      </rPr>
      <t xml:space="preserve"> 在一条过道或一个房间中布置一道造风术Gust of Wind（法术持续期间，风会一直吹）
　　</t>
    </r>
    <r>
      <rPr>
        <sz val="11"/>
        <color theme="1"/>
        <rFont val="Arial"/>
        <charset val="134"/>
      </rPr>
      <t>•</t>
    </r>
    <r>
      <rPr>
        <sz val="11"/>
        <color theme="1"/>
        <rFont val="仿宋"/>
        <charset val="134"/>
      </rPr>
      <t xml:space="preserve"> 在一个至多5尺的方形区域布置一道暗示术Suggestion。任何进入该区域的生物将通过精神受到法术的暗示。</t>
    </r>
  </si>
  <si>
    <t>Guards and Wards</t>
  </si>
  <si>
    <t>重伤术</t>
  </si>
  <si>
    <t>你对施法距离内一个你可见的生物降下恶毒致命的魔法。目标必须通过一次体质豁免，豁免失败将受到14d6点暗蚀伤害，并且它的生命值上限会降低等同它所受暗蚀伤害数值点。豁免成功则仅受到一半伤害。此法术不能将目标的生命值上限降至1以下。</t>
  </si>
  <si>
    <t>Harm</t>
  </si>
  <si>
    <t>医疗术</t>
  </si>
  <si>
    <t>指定施法距离内一个你能看见的生物。汹涌澎湃的正能量将充盈该生物，使其恢复 70 点生命值。该法术也会终止正在影响目标的目盲、耳聋以及中毒状态。
升环施法： 使用的法术位每比六环高一环，此法术的治疗量就增加10点。</t>
  </si>
  <si>
    <t>Heal</t>
  </si>
  <si>
    <t>英雄宴</t>
  </si>
  <si>
    <t>一个价值1000GP+的镶饰宝石的碗，作为法术耗材</t>
  </si>
  <si>
    <t>你咒唤一场盛宴出现在你周围地面上未被占据的10尺立方空间。盛宴需要1小时来享用，并会在这段时间结束后消失不见，而且下述增益效应在这1小时结束前不会生效。你可以让至多十二个生物一同分享盛宴。
所有享用了大餐的生物都会获得几种增益。这些生物获得毒素伤害的抗性、中毒状态免疫与恐慌状态免疫，他们的生命值上限也将提高2d10点（并获得等量的生命值）。这些增益将持续 24 小时。</t>
  </si>
  <si>
    <t>Heroes' Feast</t>
  </si>
  <si>
    <t>魔魂壶</t>
  </si>
  <si>
    <t>一块宝石或水晶、或者一个圣物匣、其价值不能低于500GP</t>
  </si>
  <si>
    <t>你的灵魂离开身体进入作为法术材料成分的容器中，而你的身体则陷入失神的状况。灵魂处于容器中时，你可以如同身处容器所在位置一样察觉周边。你不能移动，也不能使用反应，而此时你唯一能做的动作就是将你的灵魂投射出容器至多100 尺的距离，回到你仍活着的身体中去（并终止该法术），或者尝试占据另一个类人生物的身体。
你可以尝试附身于任何距你100尺内你能看见的类人生物（受法术防护善恶Protection from Evil或防护法阵Magic Cricle所保护的生物无法被附身）。该目标必须进行一次魅力豁免。豁免失败，则你的灵魂进入目标的身体，而目标的灵魂被困在容器中；豁免成功，则目标抵抗了你的附身，而随后的 24 小时内你将无法再次尝试附身该生物。
附身成功后，目标生物的身体将由你控制。你的生命值、生命骰、力量、敏捷、体质、速度和感官替换为目标生物的数据，此外将保留你的游戏数据。
附身期间，被附身生物的灵魂可以用它自己的感官从容器内部观察外部，但它不能移动且陷入失能状态。
附身于一具躯体时，如果容器处在你身边 100 尺内，则你可以用一个魔法动作从宿主的身体回到容器中，并让宿主的灵魂回到它自己的身体里。在你处于宿主的身体中时，如果宿主的身体死亡，则宿主生物死亡，且你必须进行一次对抗该法术豁免 DC 的魅力豁免。豁免成功且容器距你不超过 100 尺时，你回归容器内。否则你也随之死亡。
如果容器被毁或者法术终止，则你的灵魂会立即回到你自己身体里。如果你在尝试回到自己身体时，身体距你超过 100 尺或者你的身体已死，则你也随之死亡。如果容器被毁时另一生物的灵魂在容器内，且该生物的身体仍然活着并距它不超过 100 尺，则其灵魂会回到身体里。否则该生物死亡。
该法术终止时，其容器将随之被摧毁。</t>
  </si>
  <si>
    <t>Magic Jar</t>
  </si>
  <si>
    <t>群体暗示术</t>
  </si>
  <si>
    <t>一条蛇的舌头</t>
  </si>
  <si>
    <t>你以魔法影响施法距离内至多十二个你能看见的生物，并对其施以某种行动暗示（至多以25个字的形式）。你指定的受术目标必须能听到并理解你的话语。你的暗示言辞必须是听起来可实现的，且不涉及任何伤害目标或其盟友的内容。例如，你可以说”沿那条路走到村子，并帮那儿的村民收庄稼直到日落。”或者你可以说“现在不是打架的时候。放下你们的武器，跳舞吧！跳上一个小时。”
每个目标必须进行一次感知豁免，豁免失败者将陷入魅惑状态，直到法术持续时间结束为止，如果你或你的盟友对其造成伤害时此状态将提前结束。每个受魅惑的目标将尽其所能地从事你所暗示的行为。暗示的行为可能会在整个法术持续时间内持续进行；而如果你所暗示的活动可以用更短的时间完成，则在完成了活动的目标身上该法术提前终止。
你也可以描述一种在持续时间内发生的特定状况，作为触发特殊行为的条件。例如，你可以暗示一队士兵将所有的钱交给他们遇到的第一个乞丐。如果在法术终止前条件始终没有满足，则指定的行为不会被执行。
如果你或你同伴中的任何人伤害了一个被该法术影响的生物，则该法术对该生物产生的效应随之终止。
升环施法：使用的法术位高于六环时，法术的持续时间增加，七环为10日，八环为30日，九环为366日。</t>
  </si>
  <si>
    <t>Mass Suggestion</t>
  </si>
  <si>
    <t>地动术</t>
  </si>
  <si>
    <t>一个微缩模型的铲子</t>
  </si>
  <si>
    <t>专注，至多2小时</t>
  </si>
  <si>
    <t>指定施法距离内一处在任何方向上都不超过40 尺的地形区域，在法术持续时间内，你可以随意重塑区域内的泥土，沙土或黏土。你可以升高或降低区域内的地面高度，制造或填平一道沟渠，竖起或夷平一道屏障，或是形成一根立柱。上述任何改造的地形范围不得超过整个区域最大边长的一半。例如，如果你影响了 40 尺立方区域，则你可以创造一根至多20尺高的立柱，将地面升高或降低至多 20 尺，挖一条至多 20 尺深的壕沟，等等。这些改变一共需要花10分钟的时间来完成。由于地形的变化发生得很缓慢，区域内的生物通常不会被地面的移动困住或者受伤。
每为法术维持10分钟专注，你都可以选择一片新的地形区域再施以影响。
该法术无法改变天然的岩石或石制建筑。但石头和建筑仍会因适应地形的变化而被改变。如果你改变地形的方式会使得建筑不稳定，则它有可能倒塌。
类似地，该法术也无法直接影响植物生长。而被移走的泥土会带走任何生长在其上的植物。</t>
  </si>
  <si>
    <t>Move Earth</t>
  </si>
  <si>
    <t>欧提路克冰封法球</t>
  </si>
  <si>
    <t>一颗微缩水晶球</t>
  </si>
  <si>
    <t>一颗冰球从你的指尖射向施法距离内你指定的一点，并在该处迸裂为一个半径60尺的球状区域。区域内的每个生物必须进行一次体质豁免。豁免失败者受到10d6点寒冷伤害，豁免成功则只受一半伤害。
如果冰球击中某处水体，水面将在边长30尺的方形区域内凝结出6寸厚的坚冰。任何在其表面上游泳的生物将被冰面所困，陷入束缚状态。受困的生物可以用一个动作进行一次对抗你的法术豁免DC的力量（运动）检定以破冰挣脱。
你可以在施法完毕后不发射冰球。此时你手上将出现一枚投石索子弹大小的触感冰冷的小冰球。你可以选择将冰球交给任意一名生物。持有冰球的生物可以将冰球投出去（射程至多为40尺）或者用投石索将其弹射出去（射程至多为投石索的常规射程）。冰球将在撞击时破碎，产生与正常施法时相同的效应。你还可以将冰球放下而不直接打破它。冰球若在1分钟后仍未被打破，它将自动爆炸。
升环施法：使用的法术位每比六环高一环，其伤害就增加1d6。</t>
  </si>
  <si>
    <t>Otiluke's Freezing Sphere</t>
  </si>
  <si>
    <t>奥图迷舞</t>
  </si>
  <si>
    <t>一名施法距离内你可见的生物必须进行一次感知豁免，豁免成功则目标直到其下个回合结束为止会跳起滑稽的舞蹈，在此期间其必须消耗所有的移动力在原地跳舞。
若豁免失败，目标将在法术持续时间内陷入魅惑状态。处于魅惑状态期间，目标会跳起滑稽的舞蹈，必须使用所有的移动力在原地跳舞，并且进行的敏捷豁免与攻击检定具有劣势，且其他生物以该生物为目标发动的攻击检定具有优势。在目标的每个自己的回合，它可以用一个动作尝试使自己镇定下来并重复豁免，豁免成功则其身上的法术终止。</t>
  </si>
  <si>
    <t>Otto's Irresistible Dance</t>
  </si>
  <si>
    <t>异界誓盟</t>
  </si>
  <si>
    <t>你祈求一名异界实体的援助。你必须对该存在有所了解，它可以是一位神祇，一名恶魔主君，或是其他拥有宇宙级伟力的存在。该实体将派遣一名效忠它的天族生物，元素生物或邪魔生物来援助你，并使该生物显现在施法距离内一处未占空间。如果你知道某个特定生物的名字，则你可以在施展法术时说出其名字来请求指派该生物来援，但是你仍然有可能得到一名不同的生物（由DM选择）。
该生物出现时，它并未被强迫做任何事。你可以用报酬为交换，请求其提供服务，但它并没有为你实现请求的义务。请求的任务可以简单（帮我们飞越峡谷，或协助我们进行一场战斗），也可以复杂（暗中监视我们的敌人，或在我们扫荡地城时保护我们）。你必须能与该生物交流从而为其服务讨价还价。
报酬的形式各式各样。一名天族可能会要求为一座同盟的神殿捐献一份相当可观的金币或魔法物品，而一只邪魔可能会索要一次活祭或一份财宝作为礼物。一些生物可能会要求你进行一个任务来换取它们的服务。
一个可以按分钟计算的任务需要每分钟100GP的报酬。一个可以按小时计算的任务需要每小时1000GP的报酬。一个可以按日计算的任务（至多10日）需要每日10000GP 的报酬。DM可以按你施展该法术时的具体情况调整报酬。如果任务与生物的行为准则一致，则其可能只会索取一半报酬甚至不收取报酬。没有风险的任务一般只需要建议报酬的一半，而特别危险的任务可能会需要更大的赠礼。生物极少接受看上去像自杀的任务。
生物完成任务后，或当提前商定的服务时间结束后，生物会在情况允许时回来向你报告，然后再返回自己的家乡位面。如果你不能就生物的服务价格与之达成共识，该生物将立即返回其家乡位面。</t>
  </si>
  <si>
    <t>Planar Ally</t>
  </si>
  <si>
    <t>预置幻象</t>
  </si>
  <si>
    <t>价值25GP+的翡翠尘</t>
  </si>
  <si>
    <t>你在施法距离内创造一个物件，一名生物，或是其他可视现象的幻象，此幻象在满足特定触发条件时会被激活。该幻象在被激活前无法被察觉。幻象必须不大于30尺立方，且由你决定幻术如何行动和发声。这种按脚本执行的表演可以持续至多5分钟。
当你指定的触发条件发生时，幻象会迅速成型，并以你设定的方式运作。幻术终止运作之后，它消失并休眠10分钟，在休眠结束之后幻象便可再次被激活。
触发条件可以宽泛也可以按你喜好进行细化，但必须是发生在距幻象区域30尺内的能看到或听到的现象。例如，你可以制造一个自己的幻象，在其他人试图打开一扇卡住的门时出现并发出警告。
由于东西可以穿过幻象，任何与该幻象进行的物理互动都会暴露其幻觉本质。一名生物可以用一个研究动作进行一次对抗你法术豁免DC的成功智力（调查）检定以看穿幻象。辨出幻象的生物可以看穿该影像，其产生的声响对该生物而言显得虚假。</t>
  </si>
  <si>
    <t>Programmed Illusion</t>
  </si>
  <si>
    <t>邪魔召唤术</t>
  </si>
  <si>
    <t>一小瓶价值600GP+的的血</t>
  </si>
  <si>
    <t>你唤来一个邪魔灵魄。其使用下文邪魔灵魄的数据，并会在施法距离内一处你可见的未被占据的空间中显现。当你施展法术时，从魔鬼，恶魔，尤格罗斯魔中选择一类，该生物会显现为你所选的那类邪魔中的一员，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邪魔灵魄Fiendish Spirit 
大型邪魔，绝对中立
AC 12+法术环阶
HP 50（仅恶魔）或40（仅魔鬼）或60（仅尤格罗斯魔）+每比6环高的法术环阶15点
速度40尺；攀爬40尺（仅恶魔）；飞行60尺（仅魔鬼）
力量13|+1|+1 敏捷16|+3|+3 体质15|+2|+2
智力10|+0|+0 感知10|+0|+0 魅力16|+3|+3
抗性：火焰
免疫：毒素；中毒
感官：黑暗视觉60尺，被动察觉10
语言：深渊语，炼狱语，心灵感应60尺
CR无（XP0；PB等于你的熟练加值）
特质Traits
焚身爆Death Throes（仅恶魔）。当灵魄生命值降值0时，或是法术结束时，灵魄会爆炸。敏捷豁免：DC等于你的法术豁免DC，以灵魄为源点10尺光环区域内的每个生物。失败：2d10+法术环阶的火焰伤害。成功：半伤。
魔鬼视界Devil‘s Sight（仅魔鬼）。魔法黑暗不会阻碍灵魄的黑暗视觉。
魔法抗性Magical Resistance。灵魄为抵抗法术和其他魔法效应而作的豁免检定具有优势。
动作Actions
多重攻击Multiattack。灵魄发动等于法术环阶一半次数的攻击（向下取整）。
啃咬Bite（仅恶魔）。近战攻击检定：加值等于你的法术攻击加值，触及5尺。命中：1d12+3+法术环阶的暗蚀伤害。
爪击Claws（仅尤格罗斯魔）。近战攻击检定：加值等于你的法术攻击加值，触及5尺。命中：1d8+3+法术环阶的挥砍伤害。不论是否命中，那之后灵魄可以立即魔法性地传送至多30尺至一处它可见且未被占据的空间。
狂焰袭Fiery Strike（仅魔鬼）。近战或远程攻击：加值等于你的法术攻击加值，触及5尺或射程150尺。命中：2d6+3+法术环阶的火焰伤害。</t>
  </si>
  <si>
    <t>Summon Fiend</t>
  </si>
  <si>
    <t>阳炎射线</t>
  </si>
  <si>
    <t>一面放大镜</t>
  </si>
  <si>
    <t>一道阳炎射线从你手中射出并形成一条5尺宽、60尺长的线状区域。所有区域内的生物必须进行一次体质豁免。豁免失败者将受到6d8点光耀伤害，并且在你的下一回合前陷入目盲状态。豁免成功则伤害减半，且不会陷入目盲。
你可以在法术终止前的任一回合内以一个魔法动作重新创造一道线状光芒。
在法术持续时间内，你的手中一点散发出耀眼的光芒。其光耀为周围提供 30 尺的明亮光照，以及该范围外 30 尺的微光光照。这些光芒均视为等同于阳光。</t>
  </si>
  <si>
    <t>Sunbeam</t>
  </si>
  <si>
    <t>塔莎泡泡坩埚</t>
  </si>
  <si>
    <t>一支价值500GP+的镀金长柄勺</t>
  </si>
  <si>
    <t>你咒唤一口充满冒泡液体的爪足大锅。大锅出现在距你5尺内地面上的一处未占空间内且持续存在至法术终止。大锅不能被移动，且在法术结束时与其内的冒泡液体一同消失。
大锅中的液体会复制一种你选择的稀有度为普通或非普通药剂（如一瓶治疗药水Potion of Healing）的词条。用一个附赠动作，你或一名盟友可以从大锅中捞出上述你所选择的一种药水。药水会被装在一个小瓶中，且小瓶会在药水被消耗后消失。大锅能产生药水的瓶数等同于你的施法属性调整值（最小为1）。从大锅中取出最后一瓶药水后，大锅消失，法术终止。
从大锅中取出的药水若在你再次施展此法术时未被消耗，则药水会消失。</t>
  </si>
  <si>
    <t>Tasha's Bubbling Cauldron</t>
  </si>
  <si>
    <t>木遁术</t>
  </si>
  <si>
    <t>该法术在施法距离内一棵体型不超过大型的未活化植物与同位面上任意距离外的另一棵植物之间创造一道魔法连接。施法时，你必须见过或触碰过出口植物至少一次。在持续时间内，任何生物都可以花费5尺移动力进入目标植物内，然后从出口植物处出来。</t>
  </si>
  <si>
    <t>Transport via Plants</t>
  </si>
  <si>
    <t>真知术</t>
  </si>
  <si>
    <t>价值25GP+的蘑菇粉，作为法术耗材</t>
  </si>
  <si>
    <t>法术持续时间内，你触碰的自愿生物具有120尺真实视觉。</t>
  </si>
  <si>
    <t>True Seeing</t>
  </si>
  <si>
    <t>冰墙术</t>
  </si>
  <si>
    <t>一块石英</t>
  </si>
  <si>
    <t>你在施法距离内一块坚实的地面上创造出一面冰墙。你可以将它塑成半球状或球状（半径最长10尺），也可以塑成一个由十个10尺×10尺的方板块构成的平面。每块板块都必须要和至少一块其他板块相连。不管形状如何，冰墙总是厚1尺并持续存在至法术终止。
如果冰墙形成时穿过了某生物所占据的空间，则该生物会被推到冰墙的一侧（由你来决定是哪一侧）且必须进行一次敏捷豁免。豁免失败，受到10d6点冷冻伤害。豁免成功，则只受一半伤害。
作为一个物件，冰墙可以因受到伤害而被打破。冰墙的AC为12，每段10尺长的冰墙有30点生命值，而且冰墙具有寒冷、毒素和心灵伤害的免疫，以及火焰伤害的易伤。当一段10尺长的冰墙的生命值降至0时，这段冰墙就会被摧毁，但原地会留下一片冰冷刺骨的空气。
生物在一个回合内第一次通过这片寒气时，必须进行一次体质豁免。豁免失败，受到5d6点冷冻伤害。豁免成功，则只受一半伤害。
升环施法：使用的法术位每比六环高一环，冰墙产生时造成的伤害就提高2d6，穿越冰冷刺骨的空气造成的伤害就增加1d6。</t>
  </si>
  <si>
    <t>Wall of Ice</t>
  </si>
  <si>
    <t>棘墙术</t>
  </si>
  <si>
    <t>一把荆棘</t>
  </si>
  <si>
    <t>你创造出一面坚韧、纠缠、长满锐利棘刺的灌木之墙。棘墙出现在施法距离内一处固体表面上并且持续存在至法术终止。你可以选择创造长不过60尺、高不过10尺、厚不过5尺的直墙；或是直径不过20尺、高不过20尺、厚不过5尺的环形墙。此外，棘墙还会阻挡视线。
棘墙出现时所有位于其内的生物要进行一次敏捷豁免。豁免失败，受到7d8点穿刺伤害。豁免成功，则只受一半伤害。
生物可以移动穿过棘墙，但这是个十分缓慢且痛苦的过程。生物在棘墙中每移动 1 尺要消耗 4 尺的移动力。另外，生物在一个回合内首次进入棘墙或在棘墙所占据的区域内结束其回合时，必须进行一次敏捷豁免。豁免失败，受到7d8点挥砍伤害。豁免成功，则只受一半伤害。一名生物一回合只进行一次此豁免。
升环施法：使用的法术位每比六环高一环，造成的伤害就提高1d8。</t>
  </si>
  <si>
    <t>Wall of Thorns</t>
  </si>
  <si>
    <t>御风而行</t>
  </si>
  <si>
    <t>一根蜡烛</t>
  </si>
  <si>
    <t>你和施法距离内你能看见的至多十个自愿生物在法术持续时间内变为气化形态，其外观有如一团云雾。处于该云雾形态的生物具有 300 尺的飞行速度且能够悬浮，免疫倒地状态，并且具有钝击、挥砍、穿刺伤害的抗性。该形态下的生物除疾走和使用魔法动作变回原形以外不能执行其他动作。变回原形需要花1分钟的时间，在这段时间内该生物处于震慑状态。在法术终止前，该生物还可以再次变成云雾形态，而再次使用魔法 动作进行变形同样要花1分钟时间。
如果法术终止时受术目标正以云雾形态飞行，则该目标将在1分钟内以每轮60尺的速度降落直至安全着陆。如果该生物降落1分钟后还没着陆，则在余下的距离中它将会如正常情况一样坠落。</t>
  </si>
  <si>
    <t>Wind Walk</t>
  </si>
  <si>
    <t>回返真言</t>
  </si>
  <si>
    <t>你和你身边5尺内的至多五个自愿生物一起瞬间传送到一个你事先设置好的圣殿。你和与你一起传送的生物将出现在你准备圣殿时指定的地点（见下）旁边最近的未被占据位置。如果你在施放法术前没有事先准备好圣殿，则该法术将不产生任何效应。
你必须指定一处地方（例如一座寺庙），在那里施放法术以将其设为圣殿。</t>
  </si>
  <si>
    <t>Word of Recall</t>
  </si>
  <si>
    <t>塔莎超凡形态</t>
  </si>
  <si>
    <t>一件至少价值500gp的镶嵌有外层位面标记的物件</t>
  </si>
  <si>
    <t>• 你念动一段咒语，吸收下层位面或上层位面的魔力（由你选择）并变化自身。你获得以下增益直到法术结束。
→你免疫火焰和毒素伤害（下层位面）或光耀和黯蚀伤害（上层位面）。
→你免疫中毒状态（下层位面）或魅惑状态（上层位面）。
→你背后出现灵体翅膀，赋予你40尺飞行速度。
→你的AC获得+2加值。
→你进行的所有武器攻击都带有魔法，且当你进行一次武器攻击时，你可以用你的施法关键属性代替力量值进行攻击检定和伤害掷骰。
→当你在自己的回合进行攻击动作时，你可以攻击两次而非一次。如果已经有类似的能力给予你额外的攻击次数，例如额外攻击Extra Attack，你无视这项增益。</t>
  </si>
  <si>
    <t>Tasha’s Otherworldly Guise</t>
  </si>
  <si>
    <t>地之骨</t>
  </si>
  <si>
    <t>• 你令距离内你能看见的地面处升起六根石柱。每根石柱为直径5尺，高度至多30尺的圆柱。升起石柱的地表必须具有足以容纳其直径的空间，你可以以一个体型不超过中型的生物的脚下作为目标。每根石柱的AC为5，具有30点生命值。当其生命值被降为0时，石柱将变为碎石，在10尺半径的区域内形成一片困难地形的区域。每块5尺直径的碎石区域都需要至少1分钟来手动清理。
• 若一根石柱在一个生物的脚下升起，该生物必须进行一次敏捷豁免检定，否则会被石柱顶起。生物可以选择在此豁免中失败。
• 若一根石柱因为天花板或其他障碍未能达到其最大高度，在石柱上的生物受到6d6点钝击伤害，并被束缚，在石柱与障碍物间动弹不得。被束缚的生物可以以一个动作来进行一次力量或敏捷检定（由该生物选择），对抗此法术的豁免检定DC。若成功，该生物不再被束缚，必须选择从石柱上移动下来或摔落下来。
• 升环施法效应：当你使用7环或更高的法术位施放该法术时，使用的法术位每比6环高一环，你便能额外升起两根石柱。</t>
  </si>
  <si>
    <t>Bones of the Earth</t>
  </si>
  <si>
    <t>创造造妖</t>
  </si>
  <si>
    <t>黏土，灰尘，曼德拉草根，以上材料在施法时被消耗，以及价值1000gp的镶嵌宝石的匕首</t>
  </si>
  <si>
    <t>• 说出复杂咒语的同时，你用一把镶嵌宝石的匕首刺穿自己，并受到不能被任何方式降低的2d4穿刺伤害。随后你将血液滴落在法术的其他成分上并接触它们，将它们转变为一种名为造妖Homunculus的特殊构装体。
• 造妖的数据参见怪物手册。它是你的忠实伙伴，并且会随着你死亡。每次你完成一次长休，并且此时若造妖与你处于同一位面，你可以选择花费最多一半的生命骰，投掷每个骰子并加上你的体质调整值，之后你的最大生命值降低数字的总和，并且造妖的最大生命值和当前生命值都提升这个数字。这个过程可以让你的生命值降至不低于1点。你和造妖的生命值变化会在你完成下一次长休时还原，在那之前你的最大生命降低效果不能被移除，除非你的造妖死亡。
• 同一时间你只能拥有一只造妖。如果你在你的造妖还存活时施展，法术将会失败。</t>
  </si>
  <si>
    <t>Create Homunculus</t>
  </si>
  <si>
    <t>德鲁伊林地</t>
  </si>
  <si>
    <t>一个在满月之光下以黄金镰刀收割的槲寄生，作为此法术的耗材</t>
  </si>
  <si>
    <t>• 你呼唤自然之灵来守护一块户外区域或者是地底。这片区域最小为边长30尺的立方体，最大则可达边长90尺的立方体。建筑物和其他构造物会被排除在受影响区域外。如果你在一年内每天对同一区域施展该法术，法术将持续到被解除。
• 法术将在区域内产生如下效果。当你施展该法术时，你可以指定生物作为友伴免疫这些效果。你也可以指定一个口令，大声说出口令的人也同样免疫这些效果。
• 整个被保护的区域都辐射着魔法。一道在区域内施展的解除魔法法术若成功，将只移除以下效果之一，而非整块区域。法术的施法者可以选择一个效果结束。只有当所有效果结束时法术才会被解除。
• 重雾Solid Fog：你可以在地面上分布厚雾填充任意数量的5尺方格，使其处于重度隐蔽之下。雾气高达10尺。在穿过雾气时每移动1尺就要花费额外2尺的移动力。在免疫这个效果的生物眼中，雾气什么也不会掩盖，并且看起来像是漂浮在空气中的绿色光点。
• 纠缠灌木Grasping Undergrowth：你可以在没有被填充雾气的地面上分布纠缠的藤蔓和杂草填充任意数量的5尺方格，如同它们受到了纠缠术Entangle的影响。对免疫这个效果的生物而言这些野草和藤蔓都是柔软的，甚至可以重塑形态成为临时的座椅和床铺。
• 林地守卫Grove Guardians：你可以活化区域内最多四棵树木，使它们从地面上拔根而起。这些树木与怪物手册中的启蒙树Awakened tree有相同的数据，除了它们不会说话，并且在它们的表皮上覆盖着德鲁伊符记。如果有任何不免疫这个效果的生物进入被保护的区域，林地守卫会与它们战斗直到入侵者被赶走或被杀死。林地守卫也遵从你在这个区域内发布的口头命令（无需你的动作）。如果你没有给它们命令也没有入侵者，林地守卫不会行动。林地守卫不能从被保护的区域离开。在法术结束时，驱动它们的魔法也会消失，它们会重新生根（如果可能的话）。
• 额外法术效果Additional Spell Effect：你可以从以下魔法效果中选择其一放置在被保护的区域。
• 在你选择的两个位置布置持续的造风术Gust of Wind效果。
• 在你选择的一个位置布置荆棘丛生Spike Growth效果。
• 在你选择的两个位置布置风墙术Wall of Wind效果。
• 对免疫这个效果的生物而言，风是带着芳香的微风，而布置荆棘丛生的区域是无害的。</t>
  </si>
  <si>
    <t>Druid Grove</t>
  </si>
  <si>
    <t>炽焰赋权</t>
  </si>
  <si>
    <t>• 火焰环绕着你的身体，照亮周围30尺半径的区域，并在外围30尺范围内产生微弱的亮光。这些火焰不会伤害到你。直到此法术终结，你得到如下的增益：
• 你免疫火焰伤害并对冷冻伤害具有抗性。
• 任何在回合中第一次进入你周围5尺范围之内，或是在你周围5尺范围之内结束回合的生物受到1d10点火焰伤害。
• 你可以使用你的动作以创造出一条以你为起始点，向由你选择的方向延伸的15尺长、5尺宽的火线。在线中的每个生物都必须进行一次敏捷豁免检定。豁免失败的生物受到4d8点火焰伤害，豁免成功者受到上述伤害的一半。</t>
  </si>
  <si>
    <t>Investiture of Flame</t>
  </si>
  <si>
    <t>寒冰赋权</t>
  </si>
  <si>
    <t>• 直到此法术终结，寒冰浸沐了你的躯体，你得到如下增益：
• 你免疫冷冻伤害，并对火焰伤害具有抗性。
• 你可以在由冰或雪形成的困难地形上移动而无需额外消耗移动力。
• 以你为中心，周围10尺半径的区域被冻结了，对于你之外的生物而言，其被视为困难地形。此范围会随着你移动而移动。
• 你可以使用你的动作以创造出一道15尺的寒风锥，以你张开的手为起始点，向由你选择的任意方向延伸。在锥内的每个生物均必须进行一次体质豁免检定。检定失败则受到4d6点冷冻伤害，若成功则受到上述伤害的一半。在对抗该效应的豁免检定中失败的生物，直到你的下个回合开始，其速度减半。</t>
  </si>
  <si>
    <t>Investiture of Ice</t>
  </si>
  <si>
    <t>磐石赋权</t>
  </si>
  <si>
    <t>• 直到法术终结，岩石颗粒布满了你的躯体，你得到如下增益：
• 你对于来自非魔法攻击的钝击，穿刺和挥砍伤害得到抗性。
• 你可以以一个动作，在以你为中心周围15尺半径的地表创造出一阵小型地震。在地表上的其他生物必须通过一次敏捷豁免检定，否则会摔倒。
• 你可以在由泥土或岩石造成的困难地形上移动而无需额外消耗移动力。你可以穿过固态的泥土或石头，像是穿过空气那样。这并未令穿过的物质变得不再凝固，但你不能在物质中结束你的移动。若你结束了移动，你将被排出到最近的未被占据的空间内，此法术终结，你在直到你下个回合结束前的时间内陷入震慑状态。</t>
  </si>
  <si>
    <t>Investiture of Stone</t>
  </si>
  <si>
    <t>清风赋权</t>
  </si>
  <si>
    <t>• 直到此法术终止，风在你的身旁回旋，而你得到下述增益：
• 对你进行的远程武器攻击，在其攻击检定中具有劣势。
• 你得到60尺的飞行速度。若此法术终止时，你仍处于飞行状态，你会坠落，除非你有其他方法避免坠落。
• 你可以使用你的动作以在你60尺范围内，以你能看到的一点为中心，制造出15立方尺的呼啸之风。每个在该空间内的生物必须进行一次体质豁免检定。豁免失败的生物受到2d10点钝击伤害，豁免成功者受到上述伤害的一半。若体型不超过大型的生物在此豁免中失败。该生物将在远离该空间中心的方向上被推离10尺。</t>
  </si>
  <si>
    <t>Investiture of Wind</t>
  </si>
  <si>
    <t>精神监狱</t>
  </si>
  <si>
    <t>• 你试图将目标生物束缚在一个只有他自己能感知的幻觉牢房中。在距离内你选择的一个可见的生物必须进行一次智力豁免检定。如果目标免疫魅惑，它在这次豁免中自动成功。若豁免成功，目标受到5d10心灵伤害，同时法术结束。若豁免失败，在造成5d10心灵伤害的同时你立即创造出环绕目标所在空间的某种危险区域。你也许会让目标感觉到自己被烈火、被浮动的刀锋、被可怕的獠牙所包围。
• 无论你采用什么形式的幻象，目标都不能越过它看到或听到任何事物，并且在法术持续时间内被束缚。如果目标移动出幻象，穿过它进行一次近战攻击检定，或尝试用身体的任何部分穿过它，目标受到10d10心灵伤害，然后法术结束。</t>
  </si>
  <si>
    <t>Mental Prison</t>
  </si>
  <si>
    <t>散射术</t>
  </si>
  <si>
    <t>• 你选择距离之内最多5个可见生物，震颤的空气将环绕他们周围。一个非自愿的生物必须成功进行感知豁免检定来抵抗该法术。你将每个受影响的生物传送至120尺内任意你可以看见且未被占据的空间。这个空间必须在地面上或在地板上。</t>
  </si>
  <si>
    <t>Scatter</t>
  </si>
  <si>
    <t>灵魂牢笼</t>
  </si>
  <si>
    <t>1反应，于你看见60尺内一个类人生物死去时</t>
  </si>
  <si>
    <t>一个价值至少100gp的银笼子</t>
  </si>
  <si>
    <t>• 该法术攫取一个死去的类人生物的灵魂，并将它关在你用作为法术材料成分的笼子里。被偷窃而来的灵魂在笼子里持续到法术结束或者你摧毁这个笼子，这也会使法术结束。当你的笼子里面有一个灵魂时，你可以用下文描述的任一方法来利用它。一个被困住的灵魂最多被你这样使用6次。一旦你第六次利用这个灵魂，它将会被释放，然后法术结束。在灵魂被困住时，作为灵魂来源的已死类人生物无法被复活。
• 窃取生命Steal Life：你可以用一个附赠动作从灵魂中吸取活力并恢复2d8生命值。
• 灵魂质问Query Soul：你向灵魂提出一个问题（无需动作）并得到一个简短的回答作为心灵感应，无论用什么语言你都可以理解。灵魂只知道它的人生中了解的事物，但它必须如实回答并且尽其所能。回答至多是一两句话，也有可能是有隐藏意义的。
• 借鉴经验Borrow Experience：你可以使用一个附赠动作让灵魂的人生经验来支撑你，令你的下一次攻击检定，能力检定和豁免检定具有优势。如果在你的下个回合开始之前你没有使用这个增益，它将会消失。
• 亡者之眼Eyes of the Dead：你可以使用一个动作来说出这个类人生物在人生中曾见过的地点的名字，如果你和那个地点在同一位面，你可以在那里创造出一个隐形的传感器。这个传感器将维持到你的专注结束，最多10分钟（如同你正专注于一个法术）。你从这个传感器中接受视觉和听觉信息，就如同你在那个地点使用自己的感官。
• 能看到这个传感器的生物（例如使用了识破隐形See Invisibility法术或是拥有真实视觉）将会看到被你关在笼中的受难者半透明的影像。</t>
  </si>
  <si>
    <t>Soul Cage</t>
  </si>
  <si>
    <t>费茨本铂金盾</t>
  </si>
  <si>
    <t>一枚镀上铂金的龙鳞，价值至少500gp</t>
  </si>
  <si>
    <t>• 你创造一道闪着银光的力场，环绕在施法距离内你所选择的一个生物周围（你可以选择你自己）。该力场散发5尺微光光照。被力场保护的生物获得以下增益：
→掩护：该生物具有半身掩护。
→伤害抗性：该生物获得对强酸，冷冻，火焰，闪电以及毒素伤害的抗性。
→反射闪避：如果该生物受到可以由成功通过敏捷豁免来使伤害减半的效应影响，该生物在成功通过豁免时改为不受任何伤害，失败则受到一半伤害。
• 在之后的回合内，你可以以一个附赠动作将该力场移动至力场周围60尺内的另一个生物身上。</t>
  </si>
  <si>
    <t>Fizban's Platinum Shield</t>
  </si>
  <si>
    <t>重力分裂</t>
  </si>
  <si>
    <t>一把铁料</t>
  </si>
  <si>
    <t>• 你以自身为原点咒现出一条长100尺，宽5尺的重力能量。所有在线上的生物需要进行一个体质豁免，若失败，则受到8d8点力场伤害，若豁免成功则受到一半伤害。
• 所有距离这条线10尺或以内但不在线当中的生物需要通过一个体质豁免，若失败则受到8d8点力场伤害并且会被拉向线的区域中。
• 升环施法效应：当你使用7环或更高环位的法术位施展该法术时，每比6环高出一环的法术位能使该法术的伤害增加1d8。</t>
  </si>
  <si>
    <t>Gravity Fissure</t>
  </si>
  <si>
    <t>赤印</t>
  </si>
  <si>
    <t>你将手举过头顶，咒唤蕴含着庞大力量，对周围一切充满敌意的可怖赤印。持续时间内，在你每个回合结束时，位于你30尺内的每个生物（包括你自己）都会受到5d8的暗蚀伤害，此伤害不会终止你的专注。若一个生物的生命值因此降至0，则他连同其穿着和携带的非魔法物品一起化为一滩粘液和内脏。因此而死的生物只能通过完全复生术True Resurrection或祈愿术Wish 复活。</t>
  </si>
  <si>
    <t>Red Sign</t>
  </si>
  <si>
    <t>恶臭蒸汽</t>
  </si>
  <si>
    <t>一小瓶氯气</t>
  </si>
  <si>
    <t>你在施法范围内指定你能看到的一点，用辛辣的粘液泼洒出一片半径20尺的立方区域，粘液会在法术持续时间内始终存在。该区域将成为困难地形，且任何处于该区域内的生物都将陷入目盲状态，且无法使用反应。
一个在该区域内开始其回合的生物必须通过一次体质豁免，否则将承受2d8点毒素伤害和2d8点强酸伤害，并积累一层力竭。
升环施法效应：使用七环或更高法术位施展该法术时，你使用的法术位每比六环高一环，法术就额外造成1d8点强酸伤害和1d8点毒素伤害。</t>
  </si>
  <si>
    <t>Mephitic Vapors</t>
  </si>
  <si>
    <t>恶性坏死</t>
  </si>
  <si>
    <t>一小瓶凝固的血液</t>
  </si>
  <si>
    <t>你用手指指向范围内的一个生物，向其投射出一道苍绿色的削弱能量。对目标进行一次远程法术攻击。若命中则目标需承受12d6点黯蚀伤害，并变得虚弱。
当目标因此法术变得虚弱时，其武器攻击和法术只能造成一半的伤害。
被此法术削弱的生物可以在其每个回合结束时进行一次体质豁免，若豁免检定成功则虚弱状态终止。</t>
  </si>
  <si>
    <t>Vile Necrosis</t>
  </si>
  <si>
    <t>反弹道场</t>
  </si>
  <si>
    <t>40尺的光环以你为中心展开，干扰所有飞弹projectile并使所有远程武器故障。处于光环内，任何远程武器被用于攻击时都会故障，该次攻击被浪费lost。武器故障后将无法被使用，直至有生物用利用动作将武器的故障修理完毕为止。任何武器发动的攻击中，若其飞弹会穿过光环区域，本次攻击就将具有劣势，命中后造成的伤害也将减半。</t>
  </si>
  <si>
    <t>Antiballistic Field</t>
  </si>
  <si>
    <t>命运游戏</t>
  </si>
  <si>
    <t>一副赌具</t>
  </si>
  <si>
    <t>你魔法性地强制施法距离内一个能听见并能理解你的生物参与一场有着至关重要影响的非魔法游戏。非自愿的生物必须进行一次感知豁免，豁免失败则被迫加入游戏。
游戏的输家会受到6d6心灵伤害。如果在法术持续时间结束时无人胜出，则你与目标均受到此伤害。如果你或你的盟友伤害了目标，你将自动认输，反之亦然，如果目标或其盟友伤害你。此外，你和目标生物可以协商更大的赌注。你可以押注更高的心灵伤害（最高12d6），货币，财产，或更抽象的奖励，例如授予贵族头衔。法术会揭示一个生物是否试图押注其无法兑现的赌注。下注会在你与目标最终同意并以握手或类似动作确认后生效。游戏中赌上的财产或货币会在游戏结束时传送到赢家。输家还会被魔法性地强制执行押注时承诺的任何行动（例如授予贵族头衔）。
最后，除你和目标以外，没有任何法术、魔法效应或生物能影响游戏结果。</t>
  </si>
  <si>
    <t>Game of Fate</t>
  </si>
  <si>
    <t>甲壳形态</t>
  </si>
  <si>
    <t>一个旧蟹壳</t>
  </si>
  <si>
    <t>你在身体周围创造出一个巨大的虚体甲壳，它能保护你并在战斗中助你一臂之力。在持续时间内，你的护甲等级变为20（若原本不高于此值），获得40尺游泳速度，以及30尺范围内的盲视。此外，你可以使用附赠动作用你的钳子进行一次近战武器攻击。此攻击使用你的法术攻击加值，命中时造成1d10点钝击伤害。
另外，你的虚体甲壳拥有15点的伤害阈值。伤害阈值使你免疫所有未达到阈值的伤害，只有等于或大于阈值的伤害才能正常对你造成伤害。任何未达到甲壳伤害阈值的伤害都被视为浅层伤害，不会减少任何生命值。</t>
  </si>
  <si>
    <t>Crustacean Form</t>
  </si>
  <si>
    <t>惊怖冲锋</t>
  </si>
  <si>
    <t>一块旗帜碎片</t>
  </si>
  <si>
    <t>你唤起众多已逝骑士之精魂，从你所在之处向前冲锋，形成一条90尺长、20尺宽的线状区域，随后消失。该线状区域内每个你选择的生物都必须进行一次感知豁免。若豁免失败，则目标受到5d12暗蚀伤害，陷入恐慌状态，直至你的下一回合开始，并且其必须立即使用反应（若可用），以最安全的路线尽可能远离你。若豁免成功，则该生物仅受到一半伤害。 
升环施法。使用的法术位每比六环高一环，伤害就增加1d12。</t>
  </si>
  <si>
    <t>Ghastly Charge</t>
  </si>
  <si>
    <t>光耀冠冕</t>
  </si>
  <si>
    <t>一顶圣光燃烧的王冠装饰在你的头上直到法术结束。任何移动进入你20尺内或在你20尺内开始回合的邪魔、妖精或亡灵受到2d8光耀伤害。
光耀冠冕会在其半径30尺内提供明亮光照并在该范围外30尺提供微光光照。</t>
  </si>
  <si>
    <t>Crown of Radiance</t>
  </si>
  <si>
    <t>咒唤巨人</t>
  </si>
  <si>
    <t>你召唤一个挑战等级为7或更低的巨人生物，出现在施法距离内一处可见的未占据空间。当他们的生命值降至0或法术结束时，巨人就会消失。巨人对你和你的同伴友好。巨人需投掷先攻，它有自己的回合，服从你的任何口头命令（不需要你的任何动作），只要这些命令不违背其阵营。如果你不发出任何命令，它会保护自己免受敌对生物的攻击，否则不会采取任何动作。
如果你的专注被打破，巨人不会消失。相反，你失去了对巨人的控制，它变得对你和你的同伴充满敌意，可能会攻击你。不受控制的巨人不能被你解散，它在召唤后1小时消失。巨人的具体数值由DM掌握。
升环施法。当你用七环或更高环阶的法术位施展该法术时，每比六环高一环，可召唤的最高巨人挑战等级加1。</t>
  </si>
  <si>
    <t>Conjure Giant</t>
  </si>
  <si>
    <t>叠石之灾</t>
  </si>
  <si>
    <t>一块花岗鹅卵石</t>
  </si>
  <si>
    <t>当施展该法术时，你和你选择的施法距离内的三名生物必须通过一次体质豁免，并且在该法术生效时，在其每个回合开始时再进行一次体质豁免。豁免失败的生物会被束缚。若三个目标生物之一未能通过此豁免，且另两个初始目标若在豁免失败者30尺内也需再次进行豁免。一个被束缚的目标需在其每个回合继续重复豁免，每次豁免失败都会令其情况恶化： 受影响的回合数 状态 
1（即施法回合） 束缚 
2 失能 
3 震慑 
4 麻痹 
5 石化（变成石头） 
每次豁免失败，就会恶化先前的情况。新的豁免成功时，受影响目标的状况的严重程度降低一级。如果除你以外的目标在被束缚时豁免成功，则对该目标的法术结束。（你必须每轮进行一次豁免。） 
与所有专注法术一样，你可以随时结束该法术（无需任何动作）。如果你被变成石头，则该法术在所有受影响的生物进行豁免后结束。生物在法术结束后立即恢复，但变成石头的生物除外，它们会一直保持这种状态，直到效果被移除。 
变成石头的生物可以正常地看、听和闻，但它们不需要吃东西或呼吸。如果对石化生物施放粉碎音波Shatter，该生物必须通过一次体质豁免对抗施法者的法术豁免DC，否则将被杀死。 
变成石头的生物可以用解除魔法Dispel Magic、高等复原术Greater Restoration或类似的魔法恢复 。</t>
  </si>
  <si>
    <t>Doom of Stacked Stones</t>
  </si>
  <si>
    <t>残酷收割</t>
  </si>
  <si>
    <t>一小撮灰沙和一片骨头碎片</t>
  </si>
  <si>
    <t>你能从垂死的生物身上获取生命力，并用它来增强你施放的下一个法术。你的目标必须生命值为0且濒死，或必须在上一轮中死亡。如果目标濒死，则必须通过一次体质豁免，否则死亡。你下一次施法时，你获得1d10+你的施法属性调整值点临时生命值。你还可以选择以下效果之一，受该法术影响的目标会受到额外效果。如果你在施展该法术后1分钟内没有施放其他法术，该效果就会消失。
笨拙Clumsiness。目标的速度减半，持续1分钟，并在敏捷属性检定和豁免上具有劣势。 在其每个回合结束时，它可以进行一次体质豁免。如果成功，则效果结束。
疲劳Fatiguing。目标必须进行一次体质豁免，若豁免失败则会获得1d4层力竭，若成功则会获得1层力竭。
吸血Vampiric。你恢复相当于你所造成伤害量一半的生命值。如果你对多个生物造成伤害，你将恢复对其中一个目标造成的伤害的一半的生命值。
软弱Weakness。目标近战攻击命中时造成的伤害取最小值，持续1分钟。 在其每个回合结束时，它可以进行一次体质豁免。 如果成功，则效果结束。
凋零Withering。你额外造成4伤害骰的伤害，伤害骰类型与该法术的伤害骰类型一致，且你的法术造成的所有伤害均变为暗蚀伤害。</t>
  </si>
  <si>
    <t>Grim Harvest</t>
  </si>
  <si>
    <t>悲恸挽歌</t>
  </si>
  <si>
    <t>致死的伟力在持续时间内覆盖源自你的60尺光环区域。
你在施展该法术时可以指定哪些生物不受其影响。任何其余的生物在位于光环内期间都无法恢复生命值。当光环进入一名生物的占据空间，或是一名生物进入光环或是在光环之中结束自己的回合时，此生物都要进行一次体质豁免检定。豁免失败则受3d10暗蚀伤害且陷入倒地状态。豁免成功则仅受半伤且速度减半。一名生物一回合只进行一次此豁免。
结阵施法。将该法术被作为结阵法术施展需要至少两名辅施法者参与。此时其持续时间变为专注，至多10分钟。
于对抗此法术的豁免中失败的生物还会再获得1级力竭等级。该生物具有力竭等级期间，其无法通过完成长休恢复失去的生命值或移除其力竭等级。
施展该法术时，每一名辅施法者都必须消耗一枚环阶四环及以上的法术位，否则法术失败。</t>
  </si>
  <si>
    <t>Dirge</t>
  </si>
  <si>
    <t>伊尔明斯特的绚丽光球</t>
  </si>
  <si>
    <t>一块价值1,000+GP的欧珀</t>
  </si>
  <si>
    <t>六枚颜色各异的彩色光球在持续时间内围绕着你旋转。
在这些光球存在期间，你可以消耗一枚光球制造以下一种效应：
吸收能量Absorb Energy。当你受到强酸、寒冷、火焰、闪电或雷鸣伤害时，你可以执行一个反应并消耗其中一枚光球，令你获得对触发此反应的那种伤害的抗性，直至你的下一回合开始。
光能爆Energy Blast。以一个附赠动作，你可以令一枚光球飞向位于你120尺内的一个目标。发动一次远程法术攻击。若命中，则目标受到3d6点强酸、寒冷、火焰、闪电或雷鸣伤害（由你选择）。无论这次攻击命中与否，这枚光球都会被消耗。
此法术会在你消耗完所有光球后提前结束。
升环施法。你使用的法术位每比六环高一环，创造的光球就多一颗。</t>
  </si>
  <si>
    <t>Elminster's Effulgent Spheres</t>
  </si>
  <si>
    <t>咒唤圣光</t>
  </si>
  <si>
    <r>
      <rPr>
        <sz val="11"/>
        <color theme="1"/>
        <rFont val="仿宋"/>
        <charset val="134"/>
      </rPr>
      <t>你将来自上层位面的精魂咒唤，精魂表现为照耀以施法距离内一点为中心半径10尺、高40尺的柱状区域的光之立柱。对位于柱状区域内的你可见的生物，分别选择下列哪种光芒照耀于它。
　　</t>
    </r>
    <r>
      <rPr>
        <sz val="11"/>
        <color theme="1"/>
        <rFont val="Arial"/>
        <charset val="134"/>
      </rPr>
      <t>•</t>
    </r>
    <r>
      <rPr>
        <sz val="11"/>
        <color theme="1"/>
        <rFont val="仿宋"/>
        <charset val="134"/>
      </rPr>
      <t xml:space="preserve"> 治愈之光Healing Light。目标恢复等于 4d12+你的施法属性调整值 点的生命值。
　　</t>
    </r>
    <r>
      <rPr>
        <sz val="11"/>
        <color theme="1"/>
        <rFont val="Arial"/>
        <charset val="134"/>
      </rPr>
      <t>•</t>
    </r>
    <r>
      <rPr>
        <sz val="11"/>
        <color theme="1"/>
        <rFont val="仿宋"/>
        <charset val="134"/>
      </rPr>
      <t xml:space="preserve"> 惩戒之光Searing Light。目标进行一次敏捷豁免检定，豁免失败者将受到6d12的光耀伤害，豁免成功则只受一半伤害。
直到法术结束为止，柱状区域内处于明亮光照，并且当你在你的回合移动时，你可以令柱状区域也移动至多30尺
每当柱状区域在移动中进入了一名你可见的生物区域内时、一名你可见的生物进入柱状区域或是在该区域结束其回合时，你都可以令该生物沐浴其中一种光芒。一名生物一回合只能被该法术影响一次。
升环施法：使用的法术位每比七环高一环，法术产生的治疗和造成的伤害就增加1d12。</t>
    </r>
  </si>
  <si>
    <t>Conjure Celestial</t>
  </si>
  <si>
    <t>延迟爆裂火球</t>
  </si>
  <si>
    <t>一束黄光从你的指尖射向施法距离内你指定的一点，并在法术持续时间内在该点凝结成一颗珠子。法术终止时，珠子将伴着低吼炸裂成四窜的烈焰，位于目标点半径20尺球状区域内的每名生物都必须进行一次敏捷豁免。豁免失败者将承受全部累积的火焰伤害，豁免成功则只受到一半伤害。
该法术的基础伤害为12d6，且若在你回合结束时法术尚未终止，则其伤害增加1d6。
如果珠子爆炸前被生物触碰到，则该生物必须进行一次敏捷豁免。豁免失败则法术立即终止并触发爆炸效应。豁免成功则该生物可将珠子抛开至多40尺。当珠子进入一名生物的空间或撞到某个固态物件时，法术立即终止并且触发爆炸效应。
珠子爆炸时，区域内未被着装或携带的可燃物件会开始燃烧。
升环施法：使用的法术位每比七环高一环，基础伤害就提高1d6点。</t>
  </si>
  <si>
    <t>Delayed Blast Fireball</t>
  </si>
  <si>
    <t xml:space="preserve">你吟诵一句充盈上层位面Upper Planes力量的箴言。施法距离内所有由你指定的生物都必须进行一次魅力豁免。豁免失败者，若其生命值低于50，则基于其当前生命值承受以下效应，如圣言效应表中所示。无论其生命值如何，失败于豁免的天族生物、元素生物、妖精生物、邪魔生物均会被遣送回其起源位面（若其并不在其起源位面）并且除非通过祈愿术Wish ，否则其在24小时内不能以任何方式返回当前位面。
圣言效应Divine Word Effects 生命值 效应 
0~20 目标死亡。 
21~30 目标陷入目盲、耳聋、震慑状态，持续1小时。 
31~40 目标陷入目盲、耳聋状态，持续10分钟。 
41~50 目标陷入耳聋状态，持续1分钟。 </t>
  </si>
  <si>
    <t>Divine Word</t>
  </si>
  <si>
    <t>以太化</t>
  </si>
  <si>
    <t>至多8小时</t>
  </si>
  <si>
    <t>你进入当前所处位面与以太位面Ethereal Plane边缘的重叠空间。你在法术持续时间内一直呆在该以太边界Border Ethereal 。在此期间，你可以向任意方向移动。如果你向上或向下移动，则你移动的每尺距离需要额外消耗一尺的移动力。你可以观察原位面，但是所有事物都以灰度显示，而你也看不到60尺外的东西。
处于以太位面期间，只有同样处在以太位面的其他生物、物件和效应才能被你影响或影响你。不在以太位面的生物无法察觉你，也无法与你互动，除非有一项特性允许他们这么做。
法术终止时，你立刻回到原本所在的位面中与以太边界中你所处位置相对应的空间位置。若你出现于一处被占空间，则你立刻被弹到最靠近的一处未占空间中，并受到两倍于你因此被移动尺数点的力场伤害。
如果你在施展法术时正处于以太位面，或所在位面与以太位面不相连（比如某个外层位面Outer Plane ），则法术立即结束。
升环施法：使用八环施展此法术时，你可以指定至多三名自愿生物（包括你在内）；使用九环时，你可以指定至多六名自愿生物（包括你在内）。所有所选生物在你施法时必须距你10尺内。</t>
  </si>
  <si>
    <t>Etherealness</t>
  </si>
  <si>
    <t>死亡一指</t>
  </si>
  <si>
    <t>你向施法距离内的一个可见生物释放负能量。该生物必须进行一次体质豁免。豁免失败则受到7d8+30点暗蚀伤害，豁免成功则伤害减半。
被该法术杀死的类人生物将在你下一回合开始时被唤起为一只受你操控的丧尸Zombie（见附录B），并在随后尽力遵循你的口头指令。</t>
  </si>
  <si>
    <t>Finger of Death</t>
  </si>
  <si>
    <t>火焰风暴</t>
  </si>
  <si>
    <t>一片烈焰风暴出现在施法距离内。风暴的区域由至多十个10尺立方区域组成。你可以自行安排各立方区域的组合方式。每个立方区域必须至少与一个其他的立方区域相连。区域内每个生物必须进行一次敏捷豁免。豁免失败者将受到7d10点火焰伤害，豁免成功则伤害减半。
区域内所有未被着装或携带的可燃物件会开始燃烧。</t>
  </si>
  <si>
    <t>Fire Storm</t>
  </si>
  <si>
    <t>力场监牢</t>
  </si>
  <si>
    <t>100尺</t>
  </si>
  <si>
    <t>价值1500GP+的红宝石尘，作为法术耗材</t>
  </si>
  <si>
    <t>你围绕施法距离内一处指定地点力场构筑出一个固定的立方状隐形Invisible监牢。你可以选择监牢的形式为笼状或盒状。
笼状监牢为各边长至多20尺的立方体，其墙体由1/2寸粗的力场栅栏杆组成，每根杆子之间相距1/2寸。盒状监牢为各边长至多10尺的立方体，其墙体为由力场墙密封，并阻隔一切物质进出，也会阻挡任何从区域中向外界施展或从外界向区域中施展的法术。
施展该法术时，所有完全在法术区域内的生物将被牢笼困住。部分处于区域内或者体型比区域更大的生物则被从区域中心向外推开，直至其完全离开该区域。
牢笼内的生物不能以非魔法的手段离开。如果该生物试图使用传送或跨位面旅行来离开牢笼，则其必须先进行一次魅力豁免。豁免成功则该生物可以用该魔法离开牢笼。豁免失败者将无法以此离开牢笼并浪费掉该法术或效应。该牢笼同时延伸至以太位面Ethereal Plane 从而屏蔽途经以太位面的旅行。
该法术不能被解除魔法Dispel Magic 解除。</t>
  </si>
  <si>
    <t>Forcecage</t>
  </si>
  <si>
    <t>视野</t>
  </si>
  <si>
    <t>你使至多 1 里方形区域内的地形在视觉、听觉、嗅觉、甚至触觉上都像是某种其它的地形，不过其地形的大致形状仍保持不变。你可以让开阔的平原或者一条路可能变得像一片湿地，一座小山，一个裂谷或是其它困难或无法通行的地形。你还可以让一个池塘变得像一片茂盛的草地，一个悬崖变得像一个缓坡，或者让一个乱石沟变得像一条宽阔平坦的大路。
另外，你还可以改变建筑物的外观，或者在本来没有建筑物的地方添上建筑物。该法术不可以伪装、隐藏或增添生物。
该幻术是听觉、视觉、触觉和嗅觉的综合体，因而其可以把空旷的地面变成困难地形（反之亦然），乃至阻碍区域内的通行。幻象地形的任何一小部分（例如一块石头或者一根树枝）被移动到法术区域外时都会立刻消失不见。
拥有真实视觉的生物可以看穿幻术，洞悉地形的真实形态；然而幻象的所有其它元素仍会得以保留，所以一个意识到这是幻象的生物仍然可以与该幻象进行物理互动。</t>
  </si>
  <si>
    <t>Mirage Arcane</t>
  </si>
  <si>
    <t>魔邓肯豪宅术</t>
  </si>
  <si>
    <t>一个价值15GP+的微缩模型门</t>
  </si>
  <si>
    <t>你在施法距离内召唤一扇微微发光的门，并维持至法术持续时间结束。门宽5尺，高10尺，指向一个异次元居所。只要该门保持开启，你和你施展该法术时指定的任意生物都可以进入该异次元居所中。你可以在距该门不超过 30 尺处开启或关闭之（无需动作）。门在关闭状态下其无法被发现。
门的另一侧是一个连接着众多房间的华丽大厅。整个居所的空气洁净清新而温暖舒适。
你可以随意创造自己喜欢的房间构造，但不得超出50个相连的边长10尺的立方体。空间内依你喜好配置好家具和装饰，其内储备的食材足以制作供至多100人享用的九菜大宴。由该法术创造的家具和其他物品如果被移出豪宅，就会化作烟雾消散。
一组共100名的近乎透明的仆从会招待任何进入房间的人。仆从的外貌着装由你决定，它们无法受伤并服从你的命令。每个仆从都可以完成一个普通人程度的工作，但它们不能攻击或者进行任何直接伤害其他生物的行动。因而仆从可以完成的工作包括：取来物品、清洁、修理、叠衣服、生火、上菜、倒酒等等。仆从不能离开该居所。
该法术终止时，任何仍处于该异次元空间内的生物或物件都将被移出空间内，并出现在距离入口最近未被占据的空间内。</t>
  </si>
  <si>
    <t>Mordenkainen's Magnificent Mansion</t>
  </si>
  <si>
    <t>魔邓肯之剑</t>
  </si>
  <si>
    <t>一把价值250GP+的微缩模型剑</t>
  </si>
  <si>
    <t>你在施法距离内创造出一个悬浮的灵体剑刃，其在法术持续时间内持续存在。
幽灵剑出现时，你可以对该剑 5 尺内的一个目标进行一次近战法术攻击。命中时，目标受到 4d12+你的施法属性调整值 点力场伤害。 
在你的后续回合内，你能够以一个附赠动作将剑移动至多30尺至一处可见位置。随后你可以对相同或不同目标再次发动该攻击。</t>
  </si>
  <si>
    <t>Mordenkainen's Sword</t>
  </si>
  <si>
    <t>位面转移</t>
  </si>
  <si>
    <t>一根与一个存在位面调谐的价值250GP+的分叉金属棒</t>
  </si>
  <si>
    <t>你和至多八名手牵着手形成一个圆圈的自愿生物被输送到一个不同的存在位面。你可以概括地指名一个目的地，比如火元素位面Plane of Fire的黄铜之城City of Brass，或九层地狱Nine Hells第二层迪斯帕特Dispater 的宫殿，按照DM的判断，你将出现在目的地里或其附近。
另外，如果你知道某个处于另一位面的传送法阵的印记序列，则该法术可以把你带到该法阵处。如果该传送法阵太小而装不下所有你输送的生物，则他们会出现在离传送法阵最近的未占据空间中。</t>
  </si>
  <si>
    <t>Plane Shift</t>
  </si>
  <si>
    <t>律令巩固</t>
  </si>
  <si>
    <t>你增强施法距离内你可见的至多六名生物的防御。此法术赋予受术者共计120点临时生命值 ，由你在受术者中任意分配。</t>
  </si>
  <si>
    <t>Power Word Fortify</t>
  </si>
  <si>
    <t>虹光喷射</t>
  </si>
  <si>
    <t xml:space="preserve">八条光线从你的手上闪出，作用于60尺锥形范围。每名位于锥形之中的生物进行一次敏捷豁免。为每个目标掷一次1d8来决定影响到它的射线种类，参照虹光射线表。
虹光射线Prismatic Rays 
1d8 射线 
1 红Red。豁免失败：12d6点火焰伤害。豁免成功：半伤。 
2 橙Orange。豁免失败：12d6点强酸伤害。豁免成功：半伤。 
3 黄Yellow。豁免失败：12d6点闪电伤害。豁免成功：半伤。 
4 绿Green。豁免失败：12d6点毒素伤害。豁免成功：半伤。 
5 蓝Blue。豁免失败：12d6点寒冷伤害。豁免成功：半伤。 
6 靛Indigo。豁免失败：目标陷入束缚状态，且其每个回合结束进行一次体质豁免。在累计三次豁免成功后，状态终止。在累计三次豁免失败后，该生物被转化为石头陷入石化状态，直到此状态被高等复原术Greater Restoration 或类似效应解除为止。成功或失败的检定不需要连续；只要记录各情况的次数直至其中一方累计三次为止。 
7 紫Violet。豁免失败：目标陷入目盲 状态且在下一个你的回合开始时进行一次感知豁免。豁免成功，状态终止。豁免失败，状态终止，且该生物会被传送到另一个存在位面（由DM选择）。 
8 特殊Special。目标被两道射线击中。掷两次骰，若有骰子出目为8则重骰那颗骰子。 </t>
  </si>
  <si>
    <t>Prismatic Spray</t>
  </si>
  <si>
    <t>投影术</t>
  </si>
  <si>
    <t>500里</t>
  </si>
  <si>
    <t>一尊价值5GP+的自塑像</t>
  </si>
  <si>
    <t>你创造一个自己的幻象分身，并使其在法术持续时间内维持存在。该分身可以出现在施法距离内你曾见过的任何地点，而不论中间是否存在障碍物。该幻象看起来和听起来都与你一样，只是没有现实形体。幻象受到伤害时会立即消失，法术终止。
你可以通过分身的眼睛视物，用分身的耳朵聆听，如同你处于它的位置一样。用一个魔法动作，你能使分身移动至多60尺，而其姿态、言语和行为均按照你的指定作表现。幻象可以完美地模仿你的举止。
由于东西可以穿过幻象，任何与该幻象进行的物理互动都会暴露其幻觉本质。一名生物可以采取研究动作进行一次对抗你法术豁免DC的成功智力（调查）检定以看穿幻象。辨出幻象的生物可以看穿该影像，其产生的声响对该生物而言显得虚假。</t>
  </si>
  <si>
    <t>Project Image</t>
  </si>
  <si>
    <t>再生术</t>
  </si>
  <si>
    <t>一个转经筒</t>
  </si>
  <si>
    <t>一名你触及的生物恢复4d8+15点生命值。在持续时间内，目标在其每回合开始时恢复1点生命值，且其失去的任何身体部位都将在2分钟后重新长出。</t>
  </si>
  <si>
    <t>Regenerate</t>
  </si>
  <si>
    <t>复生术</t>
  </si>
  <si>
    <t>一颗价值1000GP+的钻石，作为法术耗材</t>
  </si>
  <si>
    <t>你触碰一名已死，但死亡时间不超过100年，并非死于年老，且死亡时并非亡灵的生物，使其回生。
生物以生命值全满的状态重生。该法术同样会中和在该生物死亡时仍在生效的毒素。该法术能治愈所有致命伤，恢复所有失去的身体部位。
死而复生是一个痛苦的体验。目标进行D20检定时具有-4减值。目标每完成一次长休，其减值就减少1，直至减值变为0。
使用该法术复活一名已死去365日或更久的生物会使你耗费大量精力。在你完成一次长休前，你将无法再施展任何法术，且此时你进行的一切D20检定具有劣势。</t>
  </si>
  <si>
    <t>Resurrection</t>
  </si>
  <si>
    <t>反转重力</t>
  </si>
  <si>
    <t>一颗天然磁石和铁屑</t>
  </si>
  <si>
    <t>该法术以施法距离内一点为中心，创造一个半径50尺、高100尺的重力反转柱状区域。区域内所有未被固定在地面上的生物和物件都会向上落去，直到碰到该区域顶端为止。一名生物可以进行一次敏捷豁免以抓住一件他能触及的固定物件，从而避免向上坠落。
如果目标在坠落过程中撞上任何固体（比如天花板或被固定的物件），则坠落的物件和生物会受到同样情况下正常坠落时所会受到的冲击。如果一个物件或生物到达该区域的顶部并且没有撞到任何东西，则它将在持续时间内悬浮在该处。法术终止时，所有受术物件和受术生物向下坠落。</t>
  </si>
  <si>
    <t>Reverse Gravity</t>
  </si>
  <si>
    <t>隔离术</t>
  </si>
  <si>
    <t>价值5000GP+宝石粉尘，作为法术耗材</t>
  </si>
  <si>
    <t>你触碰一个物件或自愿生物，以魔法将其隔离起来。在法术持续期间，目标具有隐形状态并且不会被预言系法术作为目标，不会被魔法侦测，也不会被魔法远程观察到。
如果目标是一个生物，它会进入静滞。它陷入失能状态，不会衰老，也不需要进食、饮水或呼吸空气。
你可以设置一个让该法术提前终止的条件。该条件由你自由设定，但必须是发生在目标周围 1 里范围内或能在目标周围1里范围内看到的事件。例如：“1000 年以后”或者“当泰拉斯奎巨兽苏醒时”。如果受术者受到任何伤害，则该法术立刻终止。</t>
  </si>
  <si>
    <t>Sequester</t>
  </si>
  <si>
    <t>拟像术</t>
  </si>
  <si>
    <t>12小时</t>
  </si>
  <si>
    <t>价值1500GP+的红宝石粉末，作为法术耗材</t>
  </si>
  <si>
    <t>你创造一个野兽或类人生物的拟像，该生物在整段施法时间内必须一直在你的10尺内。结束施法时，你同时触碰该生物以及和该生物同样体型的一堆冰或者雪，然后冰雪变化为该生物的拟像。拟像是一个生物。它使用拟像对象本体在施法时的游戏数据，但其类别为构装，生命值上限为本体生命值上限的一半，并且它无法施展拟像术。
拟像对你和你所选定的生物态度友善。它服从你的命令并在战斗中你的回合里行动。拟像不能升级，也不能进行短休和长休。
如果拟像受到了伤害，想让其生命值恢复的唯一手段就是为其进行修理（作为长休 的一部分）。而若想要修理一个拟像，拟像必须在长休期间时刻处于你周围5尺内，且每为其恢复一点生命值就需要消耗你价值100GP的法术耗材。
拟像会一直持续到其生命值降至0为止，在生命值降至0时它会变回冰雪并立刻融化。再次施放此法术时，任何你已用此法术创造出来的拟像都会立刻被摧毁。</t>
  </si>
  <si>
    <t>Simulacrum</t>
  </si>
  <si>
    <t>徽记术</t>
  </si>
  <si>
    <t>价值1000GP+的钻石粉末，作为法术耗材</t>
  </si>
  <si>
    <t>直到法术被解除或触发</t>
  </si>
  <si>
    <r>
      <rPr>
        <sz val="11"/>
        <color theme="1"/>
        <rFont val="仿宋"/>
        <charset val="134"/>
      </rPr>
      <t>施展该法术时，你在某个表面（诸如地板或墙的一部分）或某个能被关闭的物件里（诸如书本或宝箱）刻下一个伤害性的符纹。符纹可以覆盖周边不超过 10 尺直径的区域。如果你指定某个物件，则该物件必须待在其所在位置；如果该物件从你施法的位置被移动超过 10 尺，则其符纹被破坏且法术不被触发即告终止。
该符纹近乎隐形，其需要成功以法术的豁免 DC 进行一次智力（调查）检定才能被发现。
你在刻下符文时决定该符纹的触发条件并选择徽记承载的效应：死亡、争斗、恐惧、痛苦、睡眠或震慑。对应效应在下面详述。
设置触发条件Set the Trigger。 你在施法时决定由什么来触发符纹。刻画于表面的符纹其通常的触发条件包括：触碰或站立在符纹上；拿掉覆盖在符纹上的物件；进入符纹一定施法距离。刻画在物件内的符纹其通常的触发条件包括：打开物件；看到该符纹等。
你可以进一步细化触发条件以便特定生物种类才能激活之（例如将符纹设定为影响异怪）。你还可以将符合条件者排除在符纹触发者之外，例如说出特定口令的人。
符纹一旦被触发就会开始变大，使其周围 60 尺半径的球状区域处于微光光照并持续 10 分钟，此后法术即告终止。符纹生效时，所有位于球状区域内的生物即成为法术效应的目标。生物在一个回合内第一次进入该区域内或在其中结束其回合时，也同样会成为符文效应的目标。一个生物每回合只能成为其目标一次。
　　</t>
    </r>
    <r>
      <rPr>
        <sz val="11"/>
        <color theme="1"/>
        <rFont val="Arial"/>
        <charset val="134"/>
      </rPr>
      <t>•</t>
    </r>
    <r>
      <rPr>
        <sz val="11"/>
        <color theme="1"/>
        <rFont val="仿宋"/>
        <charset val="134"/>
      </rPr>
      <t xml:space="preserve"> 死亡Death。每个目标进行一次体质豁免，豁免失败者将受到 10d10 点暗蚀伤害，豁免成功则伤害减半。
　　</t>
    </r>
    <r>
      <rPr>
        <sz val="11"/>
        <color theme="1"/>
        <rFont val="Arial"/>
        <charset val="134"/>
      </rPr>
      <t>•</t>
    </r>
    <r>
      <rPr>
        <sz val="11"/>
        <color theme="1"/>
        <rFont val="仿宋"/>
        <charset val="134"/>
      </rPr>
      <t xml:space="preserve"> 争斗Discord。每个目标进行一次感知豁免。豁免失败者将在接下来的 1 分钟内将不停地与其他生物争吵。期间它无法进行任何有意义的沟通，并且其进行的所有攻击检定和属性检定都具有劣势。
　　</t>
    </r>
    <r>
      <rPr>
        <sz val="11"/>
        <color theme="1"/>
        <rFont val="Arial"/>
        <charset val="134"/>
      </rPr>
      <t>•</t>
    </r>
    <r>
      <rPr>
        <sz val="11"/>
        <color theme="1"/>
        <rFont val="仿宋"/>
        <charset val="134"/>
      </rPr>
      <t xml:space="preserve"> 恐惧Fear。每个目标进行一次感知豁免，豁免失败者将陷入 1 分钟的恐慌状态。被恐慌时，该生物只要可能，就必须在其回合内向远离符文的方向移动至少 30 尺。
　　</t>
    </r>
    <r>
      <rPr>
        <sz val="11"/>
        <color theme="1"/>
        <rFont val="Arial"/>
        <charset val="134"/>
      </rPr>
      <t>•</t>
    </r>
    <r>
      <rPr>
        <sz val="11"/>
        <color theme="1"/>
        <rFont val="仿宋"/>
        <charset val="134"/>
      </rPr>
      <t xml:space="preserve"> 痛苦Pain。每个目标进行一次体质豁免，豁免失败者将陷入 1 分钟的失能状态。
　　</t>
    </r>
    <r>
      <rPr>
        <sz val="11"/>
        <color theme="1"/>
        <rFont val="Arial"/>
        <charset val="134"/>
      </rPr>
      <t>•</t>
    </r>
    <r>
      <rPr>
        <sz val="11"/>
        <color theme="1"/>
        <rFont val="仿宋"/>
        <charset val="134"/>
      </rPr>
      <t xml:space="preserve"> 睡眠Sleep。每个目标进行一次感知豁免，豁免失败者将陷入 10 分钟的昏迷状态。该睡眠者受到伤害时将会被惊醒，也可以被其他人用一个动作摇醒。
　　</t>
    </r>
    <r>
      <rPr>
        <sz val="11"/>
        <color theme="1"/>
        <rFont val="Arial"/>
        <charset val="134"/>
      </rPr>
      <t>•</t>
    </r>
    <r>
      <rPr>
        <sz val="11"/>
        <color theme="1"/>
        <rFont val="仿宋"/>
        <charset val="134"/>
      </rPr>
      <t xml:space="preserve"> 震慑Stunning。每个目标进行一次感知豁免，豁免失败者将陷入 1 分钟的震慑状态。</t>
    </r>
  </si>
  <si>
    <t>Symbol</t>
  </si>
  <si>
    <t>传送术</t>
  </si>
  <si>
    <t>此法术立即将你和至多八名施法距离内你可见的自愿生物，或者施法距离内你可见的一个物件转移至你选择的目的地。如果目标为一个物件，则其必须为大型Large或更小，且不能被一名非自愿生物持握或携带。
你必须知道目的地，且目的地必须与你位于同一个存在位面。你对目的地的熟悉程度决定了你抵达目的地的成功率。DM骰1d100并参照传送结果表和其后的详述。
传送结果Teleportation Outcome 
熟悉程度 遇难 相似区域 偏离地点 抵达地点
永久法阵 - - - 01-00
相关物件 - - - 01-00
非常熟悉 01-05 06-13 14-24 25-00
偶尔见过 01-33 34-43 44-53 54-00
看过一次或听过描述 01-43 44-53 54-73 74-00
查无此地 01-50 51-00 - -
熟悉程度Familiarity。 表中熟悉程度一列的词汇解释如下：
“永久法阵” 指某处你知道其印记序列的永久传送法阵。
“相关物件”指你持有一件在过去六个月内从目标地点取来的物件，例如某个法师图书馆内的一本书。
“非常熟悉” 指你常去的地方，你仔细研究过的地方，或是你在施展该法术时能看见的地方。
“偶尔见过” 指你见过几次的地方，但你不是很熟悉。
“见过一次或听过描述”指你只见过一次的地方，包括通过魔法看到的地点，或你从别人那里听来位置和外观的地点，比如从地图上看来的地点。
“查无此地”指根本不存在的地点。也许你尝试探知敌人的密室但看到的只是幻象，或是你尝试传送至一个如今已不再存在的地点。
遇难Mishap。该法术不可控的魔法效果导致这次旅行特别艰难。尝试传送的所有生物（或目标物件）受到3d10点力场伤害，随后DM重骰d100并查阅上表来决定你们出现在哪里（你们可能再次遇难，而每次遇难都要承受该伤害）。
相似地区Similar Area。你和你的队伍（或目标物件）出现在一个和目的地外观或主题相似的不同地点。你出现在最近的相似地区。例如，如果你想回你自己的研究室去，则你可能会误打误撞出现在同一座城市其他法师的研究室里。
偏离地点Off Target。 你和你的队伍（或目标物件）出现在目的地随机方向上2d12里距离的一点。骰1d8来判误差出现在目的地的哪个方向：1，正东；2，东南；3，正南；4，西南；5，正西；6，西北；7，正北；8，东北。
抵达地点On Target。 你和你的队伍（或目标物件）出现在你欲抵达的地点。</t>
  </si>
  <si>
    <t>Teleport</t>
  </si>
  <si>
    <t>蓝纱一梦</t>
  </si>
  <si>
    <t>源自目标世界的一件魔法物品或一个自愿生物</t>
  </si>
  <si>
    <t>6小时</t>
  </si>
  <si>
    <t>• 你与至多8个自愿生物在法术持续时间内进入昏迷，并梦见物质位面中的另一处世界，比如奥斯、托瑞尔、克莱恩或艾伯伦。如果该法术达到了完整的持续时间，梦境会在你们所有人相遇并拉开一面神秘的蓝色幕帘时停止。该法术随后结束，并将你们在物质和精神上传送到梦境所在的世界。
• 要施展该法术，你必须拥有一件源自目标世界的魔法物品，且你也必须知道这个世界的存在，即便你不知道那个世界的具体名字。你在另一个世界的目的地是该魔法物品创造地点周围1里内的安全地点。此外，如果其中一个受术目标出生在另一个世界，你也可以施展该法术，但目的地变为该生物出生地1里内的安全地点。
• 如果有一个生物受到任何伤害，则此法术在该生物身上提前结束，该生物不会被传送。如果你受到任何伤害，则你和其他所有生物身上的此法术会提前结束，你们都不会被传送。</t>
  </si>
  <si>
    <t>Dream of the Blue Veil</t>
  </si>
  <si>
    <t>众星冠冕</t>
  </si>
  <si>
    <t>• 七个星型的光点在你的头顶浮现并环绕，直到法术结束。你可以使用一个附赠动作消耗一个光点袭向在你120尺内的一个生物或物品。当你这么做时，进行一次远程法术攻击检定。若击中，目标受到4d12光耀伤害。无论你击中与否光点都将被消耗。如果你消耗了最后一枚光点，法术将提前结束。
• 如果你还留存4个或更多的光点，它们会发出30尺半径的明亮照明和额外30尺的微亮照明。如果你还留存1至3个光点，它们只会发出30尺的微光照明。
• 升环施法效应：当你使用8环或更高的法术位施放该法术时，使用的法术位每比7环高一环，你就可以多创造两枚额外的光点。</t>
  </si>
  <si>
    <t>Crown of Stars</t>
  </si>
  <si>
    <t>律令痛苦</t>
  </si>
  <si>
    <t>• 你说出饱含力量的真言，引发距离内一个你可见生物的剧痛。如果目标的生命值为100点或更少，它将遭受强烈的痛苦。否则，法术将对它没有作用。免疫魅惑的生物同样不受该法术影响。
• 如果目标承受了这种痛苦，他所拥有的任何速度都不能超过10尺。目标在攻击检定、属性检定和除了体质豁免以外的豁免检定中承受劣势。最后，如果目标试图施法，它必须先成功进行体质豁免检定，否则它将施法失败，法术会被浪费。
• 承受了这种痛苦的目标在它的每个回合结束都可以进行一次体质豁免检定。如果豁免成功，痛苦将结束。</t>
  </si>
  <si>
    <t>Power Word Pain</t>
  </si>
  <si>
    <t>神庙术</t>
  </si>
  <si>
    <t>一个价值至少5gp的圣徽</t>
  </si>
  <si>
    <t>• 你让一座神庙在闪耀的光辉中出现。选择施法距离内一处你可见的地面，为了容纳神庙这个空间必须是一个未被占用的立方体，每边至少120尺长。神庙维持到法术结束。它被用于供奉施法时所用圣徽体现的神明、众神或是哲学理念。
• 你可以对这座神庙的外观做出所有决定。它的内部被地板、墙壁和屋顶所包围，有一扇作为入口的门扉和任意数量的窗户，如你所愿。只有你或任何你在施法时指定的生物可以开启或关闭这扇门。
• 神庙的内部是个开放性空间，在一端摆放着神像或者是祭坛。你决定神庙是否被照亮，决定照亮神庙的是明亮光照还是微光光照。这里的温度适宜，熏香的气味弥漫在空气中。
• 在你施展该法术的时候，你选择数种生物类型被神庙所敌对。从以下列表中选择一项或更多：天界生物，元素生物，精类生物，邪魔，或是不死生物。如果选定类型的生物试图进入神庙，它必须立即进行一次魅力豁免检定。若豁免失败，他在24小时内不能进入神庙。即使生物能够进入神庙，魔法的力量也会妨碍它；每当它在神庙里进行攻击检定，属性检定或者是豁免检定时，它必须额外骰一个d4骰，把那个数值从d20的结果中减去。
• 此外，预言系法术所创造的传感器不能在神庙中出现，并且神庙里的生物无法被预言系法术定位。
• 最后，每次在神庙里的任何生物从1环或更高环的法术中恢复生命时，它将额外恢复等同于你感知调整值的额外生命值（至少1点）。
• 神庙由不透明的魔法力场所创造并延伸至以太位面，因此会阻碍任何试图从以太旅行中进入神庙内部的行为。没有东西能物理性地穿过神庙的外部。它不会被解除魔法Dispel Magic所解消，也不会受到反魔法力场Antimagic Field的影响。一道解离术Disintegrate能立即摧毁神庙。
• 如果你在一年中每天都对同一地点施展该法术，法术的效果将持续永久。</t>
  </si>
  <si>
    <t>Temple of the Gods</t>
  </si>
  <si>
    <t>旋风</t>
  </si>
  <si>
    <t>一根稻草</t>
  </si>
  <si>
    <t>• 一阵呼啸的旋风出现在你指定的地表上可见的一点。旋风半径为10尺，高度为30尺，是一个以指定点为中心的柱状体。直到此法术终结，你可以使用你的动作来在水平的任何方向上移动至多30尺。旋风会吸入所有固定或未被穿戴或持握的，不大于中型的物体。
• 在回合中第一次进入旋风的生物，或所在空间被旋风进入的生物（包括旋风第一次出现时的）必须进行一次敏捷豁免检定。豁免失败的生物受到10d6点钝击伤害，豁免成功者只受到上述伤害的一半。此外，体型不超过大型的生物若未通过豁免则必须通过一次力量豁免检定，否则会被旋风束缚，直到法术终结。当一个生物在被旋风束缚的条件下开始其回合时，除非其达到了顶点，其将被向上方推动5尺。被束缚的生物会随着旋风移动，而法术终结时其会摔落，除非其具有其他方法保持悬浮。
• 被束缚的生物可以使用一个动作来进行一次力量或敏捷检定，对抗你的法术豁免DC。若成功，该生物不再被旋风束缚，并被向随机方向抛离3d610尺远。</t>
  </si>
  <si>
    <t>Whirlwind</t>
  </si>
  <si>
    <t>龙类变形术</t>
  </si>
  <si>
    <t>一个龙形小雕像，价值至少500gp</t>
  </si>
  <si>
    <t>• 伴随着一声咆哮，你用龙族的魔法变化自身，获得多种龙族特征。直至法术结束，你获得以下增益：
→盲视：你获得30尺盲视。此范围内，任何不处于全身掩护后的东西对于你来说清晰可见，即使你处于目盲状态或黑暗中。此外，你可以看见隐形的生物，除非该生物对你处于躲藏状态。
→吐息武器：当你施展此法术时，以及在法术持续时间内随后的回合内，你能用一个附赠动作呼出闪光能量并覆盖60尺锥形区域。区域内的每个生物都必须成功通过一次敏捷豁免，否则受到6d8点力场伤害，豁免成功则伤害减半。
→飞翼：虚体的飞翼从你背后长出，使你获得60尺飞行速度。</t>
  </si>
  <si>
    <t>Draconic Transformation</t>
  </si>
  <si>
    <t>系结本源</t>
  </si>
  <si>
    <t>一卷至少价值250金币的铂金丝线，在施法时被消耗</t>
  </si>
  <si>
    <t>• 两个施法距离内的你能看见的生物必须进行一次体质豁免，若两者在30尺内，则他们的豁免检定具有劣势。每个生物都能自愿放弃豁免。若两者中有一个豁免成功了，那么法术没有效果。若两人豁免均失败了，那么他们便会在法术持续时间内魔法般地被连接在一起，无论两人间距多少。 若其中一人受到伤害 ，另外一人也会受到等额的伤害。若其中一人恢复了生命值，另外一人也会恢复等额的生命值。
• 如果被系结的双方中任意一方的HP减少到了0，那么该法术结束。该法术在任意一方身上结束时，另外一方的法术也结束。</t>
  </si>
  <si>
    <t>Tether Essence</t>
  </si>
  <si>
    <t>阿撒托斯的恐怖诅咒</t>
  </si>
  <si>
    <t>你念诵阿撒托斯的隐秘名讳，将一个生物引向注定的死亡。该生物在其每个回合结束时获得1诅咒点，当该生物获得3诅咒点时，它立即死亡。这个法术所产生的所有诅咒点将在法术结束时消失。</t>
  </si>
  <si>
    <t>Dread Curse of Azathoth</t>
  </si>
  <si>
    <t>极恶创伤</t>
  </si>
  <si>
    <t>一根注射器和几根缝针</t>
  </si>
  <si>
    <t>选择施法范围内你能看见的一个生物，你暂时地剥夺目标生理上的一切抵抗力，足以让一个小小的划伤变成致命的伤口。直到你的下个回合结束前，目标失去所有伤害类型的抗性和免疫，同时获得所有伤害类型的易伤，在所有豁免检定上获得劣势。</t>
  </si>
  <si>
    <t>Grievous Wounds</t>
  </si>
  <si>
    <t>瘴气术</t>
  </si>
  <si>
    <t>一株刚收割的尸百合</t>
  </si>
  <si>
    <t>你在施法距离内一处固体表面上创造一面恶心的、黄绿色的毒素烟雾墙。你可以选择创造长不过 60 尺、高不过 20 尺、厚不过 1 尺的直线型毒墙；或是直径不过 20 尺、高不过 20 尺、厚不过 1 尺的环形墙。毒气墙不透明，且将持续存在至法术终止。
墙壁出现时，所有位于毒气墙区域内的生物必须进行一次敏捷豁免。豁免失败者将受到10d4点强酸伤害。豁免成功则伤害减半。
当你施展此法术时，由你选择的墙壁的一面会释放出有毒的烟雾。每个在这一侧30尺范围内或在墙壁内结束回合的生物将承受8d8点毒素伤害。当一个生物在他的回合内第一次进入墙壁时，也会承受同样的伤害。墙壁的另一侧不会造成伤害。
当一个生物因墙壁受到毒素伤害时，必须通过一次体质豁免，否则将在法术持续时间内陷入中毒状态。
升环施法效应：使用八环或更高法术位施展该法术时，你使用的法术位每比七环高一环，法术就额外造成2d8点伤害。</t>
  </si>
  <si>
    <t>Miasma</t>
  </si>
  <si>
    <t>神圣箭矢</t>
  </si>
  <si>
    <t>一颗价值100金币的珍珠</t>
  </si>
  <si>
    <t>你从手中显现的光之弓上射出一支天使之箭。对施法距离内的一个生物进行一次远程法术攻击。若命中，目标受到4d10点力场伤害，且直到法术结束前，它将对你选择的下列伤害类型之一变得易伤：强酸、寒冷、火焰、闪电、暗蚀、光耀或雷鸣。若该生物对所选伤害类型免疫，则在持续时间内改为具有该类型的抗性；若该生物对所选伤害类型具有抗性，则在持续时间内失去该抗性。</t>
  </si>
  <si>
    <t>Divine Arrow</t>
  </si>
  <si>
    <t>停灵飨</t>
  </si>
  <si>
    <t>一块丝质手帕</t>
  </si>
  <si>
    <t>此法术能将一片腐肉地变成一场充满力量的盛宴。在持续时间内，你选择的任意生物都可以食用任何生物的腐肉。当法术持续时间结束时，如果一个生物在整个持续时间内都吃了腐肉，其会恢复10d6点生命值，恢复一半已消耗的生命骰（至少1）。移除其一半的力竭等级（至少1）并获得完成一次短休的所有好处。生物必须在法术结束时通过一次体质豁免，否则陷入中毒1小时。
升环施法。如果使用9环法术位施展该法术，受影响的生物会移除所有力竭等级并恢复所有消耗的生命骰。</t>
  </si>
  <si>
    <t>Charnel Banquet</t>
  </si>
  <si>
    <t>夏年厄运</t>
  </si>
  <si>
    <t>一撮来自沙漏的沙子</t>
  </si>
  <si>
    <t>你能迅速降低目标的年龄。选择施法距离内一生物。在施法时，以及在你的每个回合开始时、你的目标必须进行一次体质豁免、若豁免成功，其年龄会减少1d4+1岁，如果失败则减少1岁。目标一旦降到婴儿期，就会停止衰老过程。被减龄的生物会保留其所有记忆、属性值和特性，但每减龄5年就会获得1层力竭，中型生物不能使用带有重型属性的武器。降到婴儿期的中型生物不能挥舞武器或使用工具。 如果法术在1分钟内结束，目标恢复到其真实年龄。否则，目标会永久降为新的年龄。移除诅咒Remove Curse或高等复原术Greater Restoration可将生物恢复到其真实年龄。
如果你失去了对本法术的专注，你就会获得等同于目标从该法术获得的等额力竭等级。</t>
  </si>
  <si>
    <t>Doom of Summer Years</t>
  </si>
  <si>
    <t>黯潮</t>
  </si>
  <si>
    <t>一瓶暗影</t>
  </si>
  <si>
    <t>你选择施法距离内地面上可见一点的，法术持续期间，黑风和暗影物质流以该点为中心，在半径100尺的范围内呼啸着改变地形，有时还会淹没该区域内的生物。
该区域变为困难地形。每个触碰该区域的生物都必须进行一次体质豁免。若豁免失败，则该生物提升一级力竭。当你施展此法术时，以及在专注此法术的每个回合结束时，该区域地面上的每个生物都必须进行一次敏捷豁免。 豁免失败的生物会应击倒地。
黑檀之潮会在法术结束前在你的每个回合开始时对该区域内任何与地面接触的建筑物造成30钝击伤害。如果建筑物的生命值为0，则会沉入地底，被影域吞噬。建筑物内的任何生物必须进行一次体质豁免，豁免失败的生物会受到2d12暗蚀伤害，倒地并陷入目盲一轮。豁免成功者所受伤害减半且不会目盲和倒地。
此法术会根据该区域的地形而产生额外效果，由DM决定。下列效果中，一次施展的“黑檀之潮”的效果不能超过两种。
丘陵和裂谷Hills and Hollows。 在你施法后的你的下一个回合开始时，地面上升或下沉。 这些变化以山丘、断层（新的悬崖）或空洞。一共有 1d4个这样的山丘、断层或凹洞在地点生成。 空洞或断层会导致建筑物自动坍塌（见上文）。空洞或山丘可以改变当地水流，如护城河、溪流或湖泊。
河流、海岸和水域Rivers, Shores, and Waters。 该地区的水流可以沿用原来的河道（如扭弯），或被卷入新的河道。 施法后只能改变一种水的要素。（例如，你不能同时改变一片湖泊和一条溪流）。
暗影泥沼Shadow Mire。 受术范围内的所有地面在法术持续时间内变成暗影泥沼shadow mire（见第五章）。</t>
  </si>
  <si>
    <t>Ebon Tide</t>
  </si>
  <si>
    <t>雷洛赫的踉跄舞步</t>
  </si>
  <si>
    <t>一条灰色缎带</t>
  </si>
  <si>
    <t>以你为中心半径20尺内在你施法时所有生命值低于你的生物都会被魅惑跳起曳步舞。任何无法被魅惑的生物都对该法术的效果免疫。受影响的生物移动速度减半，不能使用反应，且在其回合内只能进行一次武器或法术攻击。在其回合开始时，一个在该区域内的生物可以选择受到1d4级力竭来结束此法术对自身的影响。从该法术中获得力竭等级的生物可以在完成一次短休后清除所有这些力竭。</t>
  </si>
  <si>
    <t>Leiloch’s Arduous Shuffle</t>
  </si>
  <si>
    <t>欣布的法愈秘术</t>
  </si>
  <si>
    <t>你将魔法性的治愈能量注入你触碰的一名生物，持续至法术结束。每当该生物使用法术位施展一道法术时，它都可以立即掷等于该法术位的环阶枚生命骰，并恢复等于掷骰结果+你的施法属性调整值点生命值；这些生命骰将因此消耗。</t>
  </si>
  <si>
    <t>Simbul's Synostodweomer</t>
  </si>
  <si>
    <t>动物形态</t>
  </si>
  <si>
    <t>选择施法距离内任意数量的自愿生物。每个目标都变形为一只挑战等级不超过4，体型不超过大型的野兽。你可以将每个目标变为不同的形态。在法术持续时间内之后的回合中，你可以使用一个魔法 动作将这些目标再度变形。
生物的游戏数据被选择的野兽资料卡替换，但目标保留其生物类型、生命值、生命骰、阵营、交流的能力以及智力、感知、魅力属性值。目标的动作受到新形态身体结构的限制，并且无法施法。目标的装备会融入其新形态，而且处于此形态时无法使用这些被融入的装备。
目标获得等于野兽形态生命值的临时生命值。该变形会在持续时间结束或目标失去所有临时生命值时结束，目标也能以一个附赠动作变回原型以结束此法术。</t>
  </si>
  <si>
    <t>Animal Shapes</t>
  </si>
  <si>
    <t>反魔法场</t>
  </si>
  <si>
    <t>一撮铁粉或铁屑</t>
  </si>
  <si>
    <t>一道反魔法灵光环绕着你形成10尺光环区域。在灵光内部无法施展法术，使用魔法动作或创造魔法效应，并且这些事物也无法以灵光内的任何事物为目标或影响灵光内部的任何事物。魔法物品的魔法属性在灵光内部不起作用，也无法影响处于灵光内部的任何事物。
法术和其他魔法效应产生的效应区域无法延伸至灵光内部。传送无法进出其范围，位面旅行在该范围内无法使用。当传送门处于灵光内部时，传送门会暂时关闭。
正在持续中的法术在区域内会被压制，除非该法术为某个神器或某位神明所施展。压制的魔法效应不会生效，但该魔法效应受压制的时间仍然如常计入其总持续时间。
解除魔法Dispel Magic 对灵光无效，而由不同反魔法场法术所创造的灵光之间也不会相互抵消。</t>
  </si>
  <si>
    <t>Antimagic Field</t>
  </si>
  <si>
    <t>嫌恶术/关怀术</t>
  </si>
  <si>
    <t>醋和蜂蜜的混合</t>
  </si>
  <si>
    <t>10天</t>
  </si>
  <si>
    <r>
      <rPr>
        <sz val="11"/>
        <color theme="1"/>
        <rFont val="仿宋"/>
        <charset val="134"/>
      </rPr>
      <t>当你施展此法术时，选择它是产生嫌恶还是关怀效应，并选择一个巨型或更小体型的生物或物件。然后指定特定类型的生物，比如红龙、地精或吸血鬼。当此类生物进入被选择的生物120尺内时，它必须进行一次感知豁免。你选择的嫌恶或关怀效应会决定当豁免失败时，这个生物身上产生的效应。
　　</t>
    </r>
    <r>
      <rPr>
        <sz val="11"/>
        <color theme="1"/>
        <rFont val="Arial"/>
        <charset val="134"/>
      </rPr>
      <t>•</t>
    </r>
    <r>
      <rPr>
        <sz val="11"/>
        <color theme="1"/>
        <rFont val="仿宋"/>
        <charset val="134"/>
      </rPr>
      <t xml:space="preserve"> 嫌恶术Antipathy。该生物将陷入恐慌 状态。因此陷入恐慌的生物必须在其回合内使用其移动力尽可能远离目标，并沿着最安全的路线移动。
　　</t>
    </r>
    <r>
      <rPr>
        <sz val="11"/>
        <color theme="1"/>
        <rFont val="Arial"/>
        <charset val="134"/>
      </rPr>
      <t>•</t>
    </r>
    <r>
      <rPr>
        <sz val="11"/>
        <color theme="1"/>
        <rFont val="仿宋"/>
        <charset val="134"/>
      </rPr>
      <t xml:space="preserve"> 关怀术Sympathy。该生物将陷入魅惑状态。因此陷入魅惑的生物必须在其回合内使用其移动力尽可能接近目标，并沿着最安全的路线移动。如果该生物位于目标的5尺内，它不能自主远离目标。如果目标伤害陷入魅惑 的生物，该生物能够如下文描述一样进行一次感知豁免来结束这一效应。
结束效应Ending the Effect。如果陷入恐慌或魅惑 的生物在距离目标距离120尺以上结束时结束回合，该生物进行一次感知豁免。豁免成功的情况下，该生物不再被目标影响。在对抗该效应的豁免中成功的生物将不受此法术的效应影响，持续 1 分钟，随后仍可能受到该效应影响。</t>
    </r>
  </si>
  <si>
    <t>AntipathySympathy</t>
  </si>
  <si>
    <t>摧心术</t>
  </si>
  <si>
    <t>一把没有钥匙的钥匙圈</t>
  </si>
  <si>
    <t>你将一个施法距离内你可见的生物的心灵爆破。该目标必须进行一次智力豁免。
若豁免失败，目标受到10d12心灵伤害，并且无法施展法术也无法执行魔法动作。受术生物每过 30 日即可在当日结束时重复进行该豁免，豁免成功则此法术效应终止。此效应也可以被高等复原术Greater Restoration、医疗术Heal、祈愿术Wish 法术终止。
若豁免成功，则目标只会受到一半伤害。</t>
  </si>
  <si>
    <t>Befuddlement</t>
  </si>
  <si>
    <t>克隆术</t>
  </si>
  <si>
    <t>一枚价值1000GP+的钻石作为法术耗材。以及一副价值2000GP+的带密封功能的大容器，其尺寸必须足以存放一个要被克隆的生物</t>
  </si>
  <si>
    <t>法术成分： V、S、M（一枚价值1000GP+的钻石作为法术耗材。以及一副价值2000GP+的带密封功能的大容器，其尺寸必须足以存放一个要被克隆的生物）
持续时间：立即
你触碰一名被生物或其不小于1立方寸的血肉。在施展法术使用的容器中，一具该生物的无生命克隆体成形，你可以选择克隆体是和该生物同龄或是更年轻的版本。在容器未被外界影响时，其中的躯体会一直保持无意识的静止状态。这个克隆体在120日后成熟。
如果本体生物在克隆体成熟后死亡，则其灵魂转移到克隆体中，前提是该灵魂必须保持自由且愿意归来。克隆体的肉体特质与本体相同，并具有相同的个性、记忆和能力，但不具有本体的随身装备。由于灵魂已经转移到别处，该生物原本的遗体（如果依然存在）失去活力，且不能被复活。</t>
  </si>
  <si>
    <t>Clone</t>
  </si>
  <si>
    <t>操控天气</t>
  </si>
  <si>
    <t>燃烧的熏香</t>
  </si>
  <si>
    <t>你在法术持续时间内操控距你5里内的天气。你在施法时必须位于户外，并且若你回到室内，法术会提前终止。
你施展此法术时，可以改变现有的天气状况（由DM决定）。你可以改变降水、气温和风势。新状况需要1d4×10分钟才能起效。一旦新状况起效，你便能再次改变天气状况。法术结束时，天气状况会逐渐回归正常。
改变天气状况时，你可以从下述表格查明与目前状况对应的等级，再选择同一表格中高一级或低一级的状况作为其改变结果。改变风势时，你还可以同时改变其风向。 
降水Precipitation
阶段 状况
1 晴
2 薄云
3 多云或有雾
4 雨、雹或雪
5 倾盆大雨、猛烈冰雹或漫天暴雪
气温Temperature
阶段 状况
1 酷热
2 炎热
3 温暖
4 凉爽
5 寒冷
6 极寒
风势Wind 
阶段 状况
1 无风
2 和风
3 强风
4 大风
5 暴风</t>
  </si>
  <si>
    <t>Control Weather</t>
  </si>
  <si>
    <t>你在施法距离内你可见的一处平坦固体表面上创造一扇中型的通向半位面的虚幻门。这扇门可以被关闭和开启。半位面是一间各边均长30尺，木质或石质（由你选择）的空房间。
法术终止时，门消失不见，任何仍然位于半位面中的物件会留在内部。任何仍然位于半位面中的生物也会留在那里，除非他们选择在门消失的时候被抛出，在距门先前占据的空间中最近的未占空间中落地，陷入倒地状态。
你每次施展此法术时都可以创造一个新的半位面，也可以将门连向你先前用此法术创造的半位面。此外，如果你知晓了某个其他生物用此法术创造的半位面的本质和内容物，则你也可以通过此法术连接到那里。</t>
  </si>
  <si>
    <t>Demiplane</t>
  </si>
  <si>
    <t>支配怪物</t>
  </si>
  <si>
    <t>选择一名法术范围内你可见的生物，该生物必须成功于一次感知豁免，否则在持续时间内陷入魅惑状态。若你或你的盟友正在与其战斗，则目标在此豁免上具有优势。目标受到伤害时，可以重复进行豁免，豁免成功则其身上的此法术终止。
目标被魅惑期间，只要你与其处于同一位面就可以与之保持心灵感应。在你的回合，你可以通过心灵感应命令该生物（无需动作），比如“攻击那个生物”“跑到那个位置”或是“去拿那个物品”。目标完成一项指令却未收到你的进一步指示时，将会凭自身喜好行动，尽可能的保护自己。
你可以用自己的反应去要求目标执行一项反应。
升环施法：使用更高环阶法术位施展时，你的专注能持续更长时间，九环至多8小时。</t>
  </si>
  <si>
    <t>Dominate Monster</t>
  </si>
  <si>
    <t>地震术</t>
  </si>
  <si>
    <t>一块碎岩</t>
  </si>
  <si>
    <r>
      <rPr>
        <sz val="11"/>
        <color theme="1"/>
        <rFont val="仿宋"/>
        <charset val="134"/>
      </rPr>
      <t>选择施法距离内你可见的地面上一点。法术持续时间内，一股强烈的震颤在以震源为中心半径100尺的圆形范围内传递。处于此范围内的地面被视为困难地形 。
你施展此法术时，以及法术持续时间内每个你的回合结束时，区域地面上的每个生物都必须进行一次敏捷豁免，豁免失败则其陷入倒地状态，且其专注被打断。
你也可以应用下述的额外效应：
　　</t>
    </r>
    <r>
      <rPr>
        <sz val="11"/>
        <color theme="1"/>
        <rFont val="Arial"/>
        <charset val="134"/>
      </rPr>
      <t>•</t>
    </r>
    <r>
      <rPr>
        <sz val="11"/>
        <color theme="1"/>
        <rFont val="仿宋"/>
        <charset val="134"/>
      </rPr>
      <t xml:space="preserve"> 裂缝Fissures。在你施展此法术的回合结束时，受法术影响的区域会撕开总计1d6条裂缝。你选择裂缝生成的地点，但裂缝的位置不可位于建筑物之下。每条裂缝深1d10×10尺，宽10尺，并由影响区域的一边向另一边延伸。裂缝撕开时，处于其位置上的生物必须成功通过一次敏捷豁免，否则将坠落其中。豁免成功则该生物在裂缝张开时随之移动到裂缝的边缘。
　　</t>
    </r>
    <r>
      <rPr>
        <sz val="11"/>
        <color theme="1"/>
        <rFont val="Arial"/>
        <charset val="134"/>
      </rPr>
      <t>•</t>
    </r>
    <r>
      <rPr>
        <sz val="11"/>
        <color theme="1"/>
        <rFont val="仿宋"/>
        <charset val="134"/>
      </rPr>
      <t xml:space="preserve"> 建筑Structures。在你施展此法术时及法术终止前你的每个回合结束时，地震对影响区域内的所有与地面有接触的建筑都造成50点钝击伤害。建筑生命值降为0时立即崩塌。
与该建筑距离不大于该建筑高度一半的生物进行一次敏捷豁免。豁免失败则受12d6点钝击伤害并陷入倒地状态且被埋于废墟之下。该生物可用一个动作通过一次DC20的力量（运动）检定来尝试逃离废墟。DM可根据废墟的情况调整DC高低。豁免成功则只受一半伤害。</t>
    </r>
  </si>
  <si>
    <t>Earthquake</t>
  </si>
  <si>
    <t>花言巧语</t>
  </si>
  <si>
    <t>直至法术终止前，你每次进行魅力检定时可以用15代替你掷出的数值。此外，无论你说什么，判断你是否说谎的魔法都会将你的话视为真实。</t>
  </si>
  <si>
    <t>Glibness</t>
  </si>
  <si>
    <t>圣洁灵光</t>
  </si>
  <si>
    <t>一个价值1000+GP的小圣物箱</t>
  </si>
  <si>
    <t>你在持续时间中发出灵光形成半径30尺的光环。你可以指定若干生物，在光环内时，他们进行的所有豁免均具有优势，而其他生物对它们进行的攻击检定具有劣势。另外，当一个邪魔或亡灵生物以近战攻击命中受术生物时，攻击者必须进行一次体质豁免，豁免失败者将陷入目盲状态，持续至它的下一回合结束。</t>
  </si>
  <si>
    <t>Holy Aura</t>
  </si>
  <si>
    <t>焚云术</t>
  </si>
  <si>
    <t>一片充满了炽热灰烬的旋转烟云显现，并以施法距离内一点为中心的蔓延至半径20尺的球状区域。烟云区域被重度遮蔽。烟云会存在直至持续时间结束，或是直至被一阵强风（例如被造风术Gust of Wind 所创造）所吹散。
烟云出现时，每个处在其内的生物都必须通过一次敏捷豁免，豁免失败者将受到10d8点火焰伤害，豁免成功则受到一半伤害。该球状区域移动至生物所占据的空间，或者生物进入球状区域内，或者生物在球状 区域内结束其回合时，该生物也必须进行该豁免。一名生物每回合仅需进行一次该豁免。
在你的每回合开始时，烟云会向你指定的、远离你的方向直线移动10尺。</t>
  </si>
  <si>
    <t>Incendiary Cloud</t>
  </si>
  <si>
    <t>迷宫术</t>
  </si>
  <si>
    <t xml:space="preserve">你将施法距离内一个你能看见的生物放逐到一个迷宫般错综复杂的半位面。目标将一直留在该处直至法术持续时间结束，或者直到它逃出该迷宫。
目标可以使用研究动作尝试逃出迷宫。此时它可以进行一次DC20 （调查 ）的智力检定，检定成功将逃出迷宫，而该法术随之终止。
法术终止时，目标将重新出现在它之前消失的位置。如果该位置被占据，则目标出现在最近的未占据位置。 </t>
  </si>
  <si>
    <t>Maze</t>
  </si>
  <si>
    <t>心灵屏障</t>
  </si>
  <si>
    <t>直到法术终止前，你所触碰的一个自愿生物对下列项目具有免疫：心灵伤害；魅惑状态；任何可以感知到其情绪、阵营或阅读其思想的效应；可以侦测其位置的魔法。任何法术，哪怕是祈愿术Wish，都不能收集目标信息、远程监视之或控制其心智。</t>
  </si>
  <si>
    <t>Mind Blank</t>
  </si>
  <si>
    <t>律令震慑</t>
  </si>
  <si>
    <t>你压垮施法距离内一名你可见生物的心灵。若目标生命值不超过150点，则其陷入震慑状态；否则，目标的速度直至你下个回合开始前变为0。
被震慑目标在每个其回合结束时进行一次体质豁免。豁免成功时其身上的此状态终止。</t>
  </si>
  <si>
    <t>Power Word Stun</t>
  </si>
  <si>
    <t>阳炎爆</t>
  </si>
  <si>
    <t>一块太阳石</t>
  </si>
  <si>
    <t>指定施法距离内一点，以其为中心周围 60 尺半径的球状区域闪耀出灿烂的阳光。所有球状区域中的生物进行一次体质豁免。豁免失败者将受到12d6点光耀伤害，并陷入持续1分钟的目盲状态。豁免成功则仅受到一半伤害。
因该法术陷入目盲的生物在其每回合结束时都可以再进行一次体质豁免。豁免成功则不再目盲。
该法术将驱散法术区域内所有由法术所创造的黑暗。</t>
  </si>
  <si>
    <t>Sunburst</t>
  </si>
  <si>
    <t>一对银连环</t>
  </si>
  <si>
    <t>你与一个你熟识的自愿生物建起心灵连接。该生物可以身处你所在的存在位面的任意位置。一旦你与目标生物不再位于同一位面，则该法术随即终止。
直至法术终止，你可以和目标生物通过心灵连接即时共享任何言语、图像、声音以及其他形式的感官信息，而目标也能够辨认出与之交流的对象正是你本人。该法术可以让目标生物理解你所发送的话语和任何感官信息。</t>
  </si>
  <si>
    <t>Telepathy</t>
  </si>
  <si>
    <t>海啸术</t>
  </si>
  <si>
    <t>专注，至多6轮</t>
  </si>
  <si>
    <t>一面水墙从施法范围内你指定的一点成型。水墙至多长300尺，高300尺，厚50尺，且持续存在至法术终止。
水墙出现时，所有位于范围内的生物进行一次力量豁免。豁免失败者受到6d10点钝击伤害，豁免成功则只受一半伤害。
水墙出现后你的每回合开始时，水墙将带着其内的所有生物一起向远离你的方向移动50尺。当水墙进入一个体型不超过巨型的生物所占据的空间，或他们原本就处于墙内时，该生物必须进行一次力量豁免，豁免失败则受到5d10点钝击伤害。一名生物一轮只能受到一次此伤害。在你的回合结束时，水墙的高度减少50尺，且其随后每轮对生物造成的伤害也减少1d10。当水墙高度变为0尺时，法术终止。
淹没在水墙中的生物可以用游泳的方式移动，由于波涛阻力影响，该生物必须成功于一次对抗你法术豁免DC的力量（运动）检定以决定其能否成功移动。检定失败者无法移动。移动离开水墙区域的生物会直接掉到地上。</t>
  </si>
  <si>
    <t>Tsunami</t>
  </si>
  <si>
    <t>亚比达奇凋死术</t>
  </si>
  <si>
    <t>一小块海绵</t>
  </si>
  <si>
    <t>• 你从以距离内由你指定的一点为中心、30尺立方空间内的每个生物身上抽取水汽。在该区域内的每个生物必须进行一次体质豁免检定。构装生物和不死生物不受影响，而植物和水元素在进行此豁免检定时具有劣势。若豁免失败，生物将受到12d8点黯蚀伤害，而豁免成功则只受到上述伤害的一半。
• 在这个区域内的非魔法、非生物植物，例如树木和灌木，会立即死亡。</t>
  </si>
  <si>
    <t>Abi-Dalzim's Horrid Wilting</t>
  </si>
  <si>
    <t>幻影巨龙</t>
  </si>
  <si>
    <t>• 你汇聚、编织从堕影冥界收集的阴影物质，随后在施法距离内你可见的未占据空间创造出巨型阴影龙。这个幻象会占据所在空间并持续到法术结束，就好像是一个真实生物。
• 当幻象出现时，任何可以看见幻象的你的敌人必须成功进行感知豁免检定，否则将在1分钟内陷入恐惧。如果被恐惧的生物在与幻象没有视觉线相连的位置并结束回合，它可以重新进行豁免检定，成功将终止对自己的恐惧效果。
• 在你的回合中以一个附赠动作，你可以移动幻象最多60尺。选择它进行移动的任意一点，你可以使它以那个位置作为起源点并喷吐出60尺锥形的爆发性能量。在你创造巨龙时选择一种伤害类型：强酸，冷冻，火焰，闪电，黯蚀或者毒素。处于锥形范围内的每个生物必须进行智力豁免检定，若豁免失败会受到7d6点对应类型的伤害，成功只承受一半。
• 幻象是有形的因为它由阴影物质创造而成，不过对它的攻击会自动失手。它会通过所有豁免检定，并且免疫所有的伤害和异常状态。一个生物可以用动作来进行智力（调查）检定对抗你的法术豁免DC来判断巨龙是否为幻影。如果生物识别了幻象的真相，生物可以看穿它并在对抗它的吐息时获得优势。</t>
  </si>
  <si>
    <t>Illusory Dragon</t>
  </si>
  <si>
    <t>疯狂之暗</t>
  </si>
  <si>
    <t>一滴沥青与一滴水银的混合物</t>
  </si>
  <si>
    <t>• 魔法黑暗从范围内你指定的一点延伸至半径60尺的球形范围，直到法术结束。黑暗会蔓延过拐角。生物的黑暗视觉不能看穿这片黑暗。非魔法的光源，以及8环和8环以下法术创造的光亮不能照亮这片区域。
• 尖叫声，低语声，以及疯狂的大笑声时不时能从球形范围内听见。每当一名生物在范围内开始回合，它必须进行一次感知豁免，失败时将受到8d8心灵伤害，成功则只承受一半。</t>
  </si>
  <si>
    <t>Maddening Darkness</t>
  </si>
  <si>
    <t>坚固堡垒</t>
  </si>
  <si>
    <t>一颗价值至少500GP的钻石，作为此法术的耗材</t>
  </si>
  <si>
    <t>• 一座岩石的堡垒从施法距离内你选择的一处可见的方形地面升起。这块区域需要在每一边上有至少120尺，并且必须没有任何建筑或其他构造物立于其上。所有处于区域内的生物在堡垒升起时将会被无害地举起。
• 这座堡垒有4个方形的塔楼，每一个都有20尺的边长和30尺的高度，分布在堡垒的每个角上。塔楼通过每边80尺长的石墙相互连接，创造出一个封闭的区域。每一面墙的厚度都达到1尺，由10尺宽度和20尺高度的石板组成。每块石板都与其他两块石板或是与一块石板和一座塔楼相邻接。你可以在堡垒的外墙放置4面石门。
• 在封闭区域内树立着一座小城堡。城堡拥有50尺边长的方形基座，并且有3层楼，每一层的天花板都有10尺高。每一层都可以以你喜欢的方式划分出许多房间，但每个房间都至少要有5尺的边长。城堡的每一层都由石头楼梯相连，它的墙厚达6英寸，室内房间的门户式样（石门或者开放式拱门）由你选择。城堡内部的家具和装潢以你喜欢的方式布置，它每天可以提供足够100人享用的、包含九道菜肴的盛宴。从堡垒中被带走的家具、食物和其他由该法术创造的物体会立即化为土灰。
• 你在施展法术时可以指定任意生物，有100个隐形的侍从作为堡垒的职工遵从他们的任何命令。每一个侍从都如同隐形仆役法术的造物，有近似的功能。
• 所有由石头创造的城墙、塔楼和城堡都会被损害。每一块10尺x10尺的岩石部件都有15点AC，以及每英寸厚度30点的生命值。它免疫毒素和心灵伤害。将某一部分的岩石生命值降低至0点会摧毁它，并且也许会引起与它连接的部分变形和垮塌，具体由你的DM裁量。
• 在7天之后，或当你在别处再次施展该法术，堡垒会无害地坍塌并沉入地面，把其中的任何生物安全地留在地上。
• 在一年之间，每7天一次在相同的位置施展该法术会让堡垒永久存在。</t>
  </si>
  <si>
    <t>Mighty Fortress</t>
  </si>
  <si>
    <t>暗黑星辰</t>
  </si>
  <si>
    <t>一小块碎玛瑙与一滴施法者的血液，在施法时被消耗</t>
  </si>
  <si>
    <t>• 该法术在施法距离内以你选择的一点为圆心创造一个球形范围。该圆形半径至多为40尺。区域内充斥着魔法黑暗与毁灭性的重力能量。
• 法术持续时间内，球形区域内视为困难地形。一个拥有黑暗视觉的生物没法看透这片魔法黑暗，非魔法的光源无法点亮这片区域。该区域内没法发出声音，声音也没办法穿过该区域。任何完全处于该区域内的生物或物件免疫雷鸣伤害，并且生物完全处于该区域内时处于耳聋状态。在该法术的影响范围内没有办法施展需要语言成分的法术。
• 任何在自己回合中第一次进入该区域的生物或在该区域内开始其回合的生物需要进行一次体质豁免。若豁免失败，该生物受到8d10点力场伤害，成功则只受到一半伤害。当一个生物的HP被该法术降低到0时，该生物被解离。被解离的生物与其身上穿着的，携带着的一切，除了魔法物品外，都会化为一缕灰色的烟尘。</t>
  </si>
  <si>
    <t>Dark Star</t>
  </si>
  <si>
    <t>崩坏现实</t>
  </si>
  <si>
    <t>一个水晶棱镜</t>
  </si>
  <si>
    <t>• 你将现实与时间线之间的壁垒粉碎，使一个生物陷入混沌与疯狂。目标必须通过一个感知豁免，否则将无法执行任何反应直到法术结束。被影响的生物必须在其回合开始时roll一个d10，其结果决定目标身上发生了什么，参照下方表格“崩坏现实效果”。
• 在其回合结束时，受影响的生物能重复其感知豁免，若成功，则法术结束。
崩坏现实效果
d10   效果
1–2   遥远国度之瞥。目标受到6d12点心灵伤害并且陷入震慑到本轮结束。
3–5   崩碎裂缝。目标必须通过一个敏捷豁免，若失败则受到8d12点力场伤害，若豁免成功则受到一半伤害。
6–8   虫洞。该目标与其身上所着装、携带的一切东西被传送到他30尺内你能看到的未被占据的空间。目标受到12d10点力场伤害并倒地。
9–10   暗虚之冻。 目标受到12d10点冷冻伤害并且目盲到本回合结束。</t>
  </si>
  <si>
    <t>Reality Break</t>
  </si>
  <si>
    <t>请神术</t>
  </si>
  <si>
    <t>你只能在你所施展的法术神话通神术Contact Deity的持续时间内施展此法术。你使你所联络的神祇显现在最近的未占据空间。在1小时内，祂会按照自己的意愿行事，但只要你不对祂采取敌对行动，祂便会将你视为盟友。祂不会将此等礼遇延伸至你的盟友，且会将你为保护他人而进行的任何尝试都视为对祂的敌对行动。</t>
  </si>
  <si>
    <t>Call Deity</t>
  </si>
  <si>
    <t>夜影吐息</t>
  </si>
  <si>
    <t>一对已死的致命龙葵花</t>
  </si>
  <si>
    <t>你呼出60尺锥形范围的致命毒药，当你施展此法术时范围内的每个生物都需要进行一次体质豁免。若豁免失败，则生物将陷入中毒状态1小时。当有生物因此法术陷入中毒状态时，其同时陷入麻痹状态。
如果受此法术影响的生物受到任何伤害，其身上的法术随即终止。</t>
  </si>
  <si>
    <t>Breath of Nightshade</t>
  </si>
  <si>
    <t>瘟疫行风</t>
  </si>
  <si>
    <t>来自食尸鬼身上的粘液</t>
  </si>
  <si>
    <t>你召唤出一股汹涌翻滚的狂风，它能将肉体吞噬殆尽，令血液哀嚎着沸腾起来。它将由你散发出来，并席卷120尺范围内的锥形区域。该区域内的生物必须通过一次体质豁免检定。一个豁免检定失败的生物将承受5d8点毒素伤害和5d8点黯蚀伤害，豁免成功则伤害减半。在受到此伤害后，任何生命值小于或等于25的受影响生物将立即死亡，并随着其肉体和软组织随风化作灰烬而变为一具风化的骨架。</t>
  </si>
  <si>
    <t>Plague Wind</t>
  </si>
  <si>
    <t>剥皮术</t>
  </si>
  <si>
    <t>一把手术刀</t>
  </si>
  <si>
    <t>你以施法距离一可见生物为目标，使用死灵之力割开它身上的皮肤。你对该生物进行一次远程法术攻击。被命中的目标必须通过一次体质豁免，否则会受到8d6暗蚀伤害，成功时伤害减半。在持续时间内的每个回合中，你都可以使用动作迫使同一目标再次进行体质豁免，并重复伤害。如果目标离开了法术范围，目标的生命值降为0，或目标对你而言被全掩护，法术也会终止。</t>
  </si>
  <si>
    <t>Flense</t>
  </si>
  <si>
    <t>晦明之子</t>
  </si>
  <si>
    <t>一块来自影域Shadow Realm内被落在太阳下的鹅卵石</t>
  </si>
  <si>
    <t>在法术持续期间，在你的每个回合结束时掷一颗d20。结果为1-10时，你会变成一个由纯粹灼热的光组成的人形生物。结果为11-20时，你会变成一个由刺骨的暗黑组成的人形生物。在这两种形态下，你都免疫非魔法攻击的钝击、穿刺和挥砍伤害，攻击你的生物在攻击检定上具有劣势。无论哪种形态，你都可以获得额外的好处。
在光明形态下：你散发出半径60尺的明亮光照和该范围外60尺的微光光照，你免疫火焰伤害，对光耀伤害具有抗性。每回合一次，以一个附赠动作，你可以传送到你的光照范围内一处可见未占据空间。
在黑暗形态下。你免疫寒冷伤害，对暗蚀伤害具有抗性。每回合一次，以一个附赠动作，你可以选择距离你30尺内至多三名不超过大型的生物。每个目标必须通过一次力量豁免，否则被你直线推离/拉近你20尺（由你选择）。</t>
  </si>
  <si>
    <t>Child of Light and Darkness</t>
  </si>
  <si>
    <t>友尽之灾</t>
  </si>
  <si>
    <t>一片粉玫瑰花瓣</t>
  </si>
  <si>
    <t>你切断了目标之间的友谊和感情。你选择施法距离内两个可以看到你并听到你的生物。每个目标必须进行一次魅力豁免。豁免失败的目标必须使用其移动力和动作向该法术的另一个目标移动并攻击。如果一个未受该法术影响的目标移动到施法距离之外，另一个目标必须尽一切努力找到并攻击它。在目标每个回合结束时，若一个目标看不到另一个目标，则可以重复本豁免，豁免成功则解除控制。</t>
  </si>
  <si>
    <t>Doom of False Friends</t>
  </si>
  <si>
    <t>密斯特拉圣星</t>
  </si>
  <si>
    <t>你创造一枚闪耀的、悬在你上方的能量微尘，持续至法术结束。微尘散发5尺明亮光照及其外5尺微光光照。
当你施展此法术时，以及后续回合中作为一个附赠动作，你可以自微尘释放出一道闪耀能量束，以120尺内的一名生物为目标。你进行一次远程法术攻击，若命中，则目标受到4d10+你的施法属性调整值点力场或光耀伤害（由你选择）。
此外，微尘存在期间你还具有四分之三掩护；若你成功通过一道七环或更低环阶、只以你作为目标、还并不制造效应区域的法术的豁免时，你可以执行反应来将这道法术反射回其施法者；此时该施法者必须对抗其自身的法术豁免DC进行豁免检定。</t>
  </si>
  <si>
    <t>Holy Star of Mystra</t>
  </si>
  <si>
    <t>星界投影</t>
  </si>
  <si>
    <t>你必须为此法术的每个目标准备一枚价值1000GP+的红锆石和一根价值100GP+的银棒，两者都作为此法术耗材</t>
  </si>
  <si>
    <t>你和施法距离内至多八名自愿的生物将星界躯体投影到星光位面Astral Plane（如果你已经在星光位面，则法术立即终止）。每个目标原本的躯体都会被留在原地陷入静止；每个躯体都会具有昏迷状态，但不需要空气、食物，也不会衰老。
目标的星界躯体几乎完美的保持了原本的形态，并保留其本体的游戏资料和随身物。生物的星界躯体与本体有一个显著的区别，那就星界躯体从肩胛骨间向后伸出的一条银线。这条线的可见长度仅有一尺。
如果目标的银线被切断（只有明确注明可以切断这种银线的效应才可以将其切断），目标的身体和星界躯体都会死亡。
目标的星界躯体可以在星光位面任意旅行。当星界躯体离开星光位面时，你的本体和物品将沿着银线被传送，使你以本体的形态到达新位面。
星界躯体承受的伤害或效应不会反映在你的本体上，反之亦然。如果某生物的本体或星界躯体的生命值降至0，则该生物自身的投影效应终止。你可以用魔法 动作消解此法术，以此结束此法术所有目标的星界投影效应。
受术生物身上的法术效应终止时，如果其没有死亡，其会被拉回原本的躯体，并脱离静止。</t>
  </si>
  <si>
    <t>Astral Projection</t>
  </si>
  <si>
    <t>预见术</t>
  </si>
  <si>
    <t>一根蜂鸟羽毛</t>
  </si>
  <si>
    <t>你触碰一名自愿生物，并授予其预见近未来事件的有限能力。法术持续时间内，该目标进行的所有D20检定均具有优势，而其他生物对其进行攻击检定时具有劣势。此法术的效应会在你再次施展此法术时提前终止。</t>
  </si>
  <si>
    <t>Foresight</t>
  </si>
  <si>
    <t>异界之门</t>
  </si>
  <si>
    <t>一颗价值5000GP+的钻石</t>
  </si>
  <si>
    <t>你召唤一扇传送门将施法距离内你能看到的一处未占据空间与一个不同位面的准确地点连接在一起。传送门是你打开的一个直径5到20尺的圆形开口。其开口朝向你指定的任意方向，并持续至法术终止。传送门在法术持续时间内一直存在，且可以透过传送门看见其目的地。
在两个位面上显现的传送门均有明确的正反面，只有穿过传送门的正面才能实现位面旅行。任何穿过传送门正面的事物将被瞬间转移至另一位面，随后显现在离另一道传送门周围最近的未占据空间中。
神祇以及其他位面统治者均可以阻止该法术在其所在或属于其领域的任何地点创造传送门。
施展该法术时，你可以说出某个特定生物的名字（不能是假名、头衔、绰号等）。如果该生物在与你不同的位面，则传送门会紧挨被指名生物打开并将该生物传送至你这一侧，出现在距传送门最近的未占空间。你不会获得任何用来控制被传送生物的特殊能力，而它此时可以自由的作任何DM认为合适的行动。它可能离开，也可以攻击你或协助你。</t>
  </si>
  <si>
    <t>Gate</t>
  </si>
  <si>
    <t>禁锢术</t>
  </si>
  <si>
    <t>一个价值5000GP+的与目标相似的小雕像</t>
  </si>
  <si>
    <r>
      <rPr>
        <sz val="11"/>
        <color theme="1"/>
        <rFont val="仿宋"/>
        <charset val="134"/>
      </rPr>
      <t>你创造一个魔法禁锢之牢，将施法距离内一个你能看见的生物监禁于其内。目标必须通过一次感知豁免，若成功通过豁免，生物将不受此法术影响，并且免疫于此法术24小时。而豁免失败则被该法术禁锢。禁锢期间，目标生物不需要呼吸，不需要吃喝，也不会变老。预言法术无法定位或感知到该目标，并且目标生物不能传送。
直至法术结束前，该生物还将承受下述其中一项你所选择的效应：
　　</t>
    </r>
    <r>
      <rPr>
        <sz val="11"/>
        <color theme="1"/>
        <rFont val="Arial"/>
        <charset val="134"/>
      </rPr>
      <t>•</t>
    </r>
    <r>
      <rPr>
        <sz val="11"/>
        <color theme="1"/>
        <rFont val="仿宋"/>
        <charset val="134"/>
      </rPr>
      <t xml:space="preserve"> 埋葬Burial。目标被深埋在地表以下的球体魔法力场内，其大小刚好能包覆住目标。任何事物都无法进入或离开这个球体魔法力场。
　　</t>
    </r>
    <r>
      <rPr>
        <sz val="11"/>
        <color theme="1"/>
        <rFont val="Arial"/>
        <charset val="134"/>
      </rPr>
      <t>•</t>
    </r>
    <r>
      <rPr>
        <sz val="11"/>
        <color theme="1"/>
        <rFont val="仿宋"/>
        <charset val="134"/>
      </rPr>
      <t xml:space="preserve"> 锁链Chaining。沉重的锁链牢固地深植于大地，将目标禁锢在原地。目标陷入束缚状态，且任何手段都无法使目标被移动。
　　</t>
    </r>
    <r>
      <rPr>
        <sz val="11"/>
        <color theme="1"/>
        <rFont val="Arial"/>
        <charset val="134"/>
      </rPr>
      <t>•</t>
    </r>
    <r>
      <rPr>
        <sz val="11"/>
        <color theme="1"/>
        <rFont val="仿宋"/>
        <charset val="134"/>
      </rPr>
      <t xml:space="preserve"> 避世监牢Hedged Prison。 该法术将目标传送至一个隔绝了传送和位面旅行的小型半位面。该半位面的结构由你选择，它可以是一个迷宫（labyrinth）、一间牢房、一座塔楼、或是其他类似的建筑。
　　</t>
    </r>
    <r>
      <rPr>
        <sz val="11"/>
        <color theme="1"/>
        <rFont val="Arial"/>
        <charset val="134"/>
      </rPr>
      <t>•</t>
    </r>
    <r>
      <rPr>
        <sz val="11"/>
        <color theme="1"/>
        <rFont val="仿宋"/>
        <charset val="134"/>
      </rPr>
      <t xml:space="preserve"> 微缩牢笼Minimus Containment。 目标被缩小到1寸高，并囚禁于一块宝石或是类似的物件中。光线可以正常地穿透宝石（使目标得以看到外面，其他生物也可以看到里面），但其他任何事物仍无法以任何方式出入牢笼。
　　</t>
    </r>
    <r>
      <rPr>
        <sz val="11"/>
        <color theme="1"/>
        <rFont val="Arial"/>
        <charset val="134"/>
      </rPr>
      <t>•</t>
    </r>
    <r>
      <rPr>
        <sz val="11"/>
        <color theme="1"/>
        <rFont val="仿宋"/>
        <charset val="134"/>
      </rPr>
      <t xml:space="preserve"> 沉睡Slumber。 目标陷入昏迷 状态且无法被唤醒。
终止法术Ending the Spell。当你施展此法术时，你需要配置一个使法术终止并释放目标的条件。此条件不论明确还是复杂都按你的意愿决定，但该条件在未来十年内必须有较高可能性发生（由DM判断并同意）。你配置的条件必须是一个可以被观测的行为，例如某人在你信仰神祇的神庙内献上了一份特殊的祭品，某人拯救了你的真爱，或者是击败了某只特定的怪物。
尝试使用法术解除魔法Dispel Magic终止此法术时，施展者必须使用九环法术位，并对监牢或创造监牢效果所用的法术材料施展该法术，才能以此终止此法术。</t>
    </r>
  </si>
  <si>
    <t>Imprisonment</t>
  </si>
  <si>
    <t>群体医疗术</t>
  </si>
  <si>
    <t xml:space="preserve">如泉涌般的治愈能量从你流向周遭的生物。选择施法距离内任意数量的可见生物，你令它们恢复总计至多700点生命值，每个生物的具体治疗量则由你随意分配。受该法术所治疗的生物的目盲、耳聋、中毒状态也一并被移除。 </t>
  </si>
  <si>
    <t>Mass Heal</t>
  </si>
  <si>
    <t>流星爆</t>
  </si>
  <si>
    <t>炽热的焰球坠向地面上你指定的你所能看见的施法距离内四个不同地点。以每个指定点为中心，40尺半径球状 区域内的每个生物必须通过一次敏捷豁免。豁免失败者将受到 20d6 的火焰伤害和 20d6 的钝击伤害，豁免成功则受到一半伤害。即使生物同时处于多个球状火焰内的生物也只会受一次效应影响。
法术区域内的未被着装或携带的非魔法物件也会承受该伤害，若其可燃则也会开始燃烧 。</t>
  </si>
  <si>
    <t>Meteor Swarm</t>
  </si>
  <si>
    <t>律令医疗</t>
  </si>
  <si>
    <t>一股治疗能量冲刷着一名施法距离内你可见的生物。目标恢复其所有生命值。若目标具有魅惑、恐慌、麻痹、中毒、震慑状态，则目标身上的此类状态立刻结束。若目标处于倒地状态，则其还可以用其反应起身。</t>
  </si>
  <si>
    <t>Power Word Heal</t>
  </si>
  <si>
    <t>律令死亡</t>
  </si>
  <si>
    <t>你强迫一名施法距离内你可见的生物死亡。若目标的生命值 为低于或等于100点，目标立即死亡。否则，目标将受到12d12点心灵伤害。</t>
  </si>
  <si>
    <t>Power Word Kill</t>
  </si>
  <si>
    <t>虹光法墙</t>
  </si>
  <si>
    <t xml:space="preserve">以施法距离内你一点为源点，各种色彩的光芒形成光面，再组合构成一道不透明的垂直墙壁。法墙至多长90尺，高30尺，厚1寸。作为另一种选项，你也能以施法距离内你能看到的一点为中心，将法墙塑造成一个直径至多30尺的球体。法墙在持续时间内一直存在。如果你指定法墙生成的空间已被生物占据，则法术立即结束且不产生任何效应。
法墙发出100尺的明亮光照，以及其外100尺的微光光照。施展该法术时你可以指定任意数量的生物，法墙存在期间你与所指定的生物可以穿过法墙或停留在法墙附近而不受伤害。如果其他能看见法墙的生物移动到距墙20尺内或在该处开始其回合，则该生物必须进行一次体质豁免，豁免失败则陷入目盲 状态，持续1分钟。
法墙由七层组成，每层都有不同颜色。生物试图进入或穿过法墙时，将逐层穿过法墙所有的光层。其每穿过一层就必须进行一次敏捷豁免，豁免失败则受虹光光层表中所述特性影响。
法墙的AC为10，可以被摧毁，不过也必须由红到紫的顺序一次一层地按照特定的方式逐层摧毁。某个光层一旦被摧毁则其在法术持续时间内保持被摧毁状态。反魔法场Antimagic Field无法对法墙生效，解除魔法Dispel Magic只对紫墙有效。 
虹光光层Prismatic Layers 
顺序 效应 
1 红Red。豁免失败：12d6点火焰伤害。豁免成功：半伤。
额外效应：非魔法远程攻击无法穿过此层，此层受到累计25点寒冷伤害后被摧毁。 
2 橙Orange。豁免失败：12d6点强酸伤害。豁免成功：半伤。
额外效应：魔法远程攻击无法穿过此层，此层受强风（如造风术Gust of Wind创造的风）吹袭后被摧毁。 
3 黄Yellow。豁免失败：12d6点闪电伤害。豁免成功：半伤。
额外效应：此层受到累计60点力场伤害后被摧毁。 
4 绿Green。豁免失败：12d6点毒素伤害。豁免成功：半伤。
额外效应：此层受穿墙术Passwall影响，或者其它相同或更高环阶法术在固态表面开口的效应影响时被摧毁。 
5 蓝Blue。豁免失败：12d6点寒冷伤害。豁免成功：半伤。
额外效应：此层受到25点火焰伤害后被摧毁。 
6 靛Indigo。豁免失败：目标陷入束缚状态，且其每个回合结束进行一次体质豁免。在累计三次豁免成功后，状态终止。在累计三次豁免失败后，该生物被转化为石头陷入石化状态，直到此状态被高等复原术Greater Restoration或类似效应解除为止。成功或失败的检定不需要连续；只要记录各情况的次数直至其中一方累计三次为止。
额外效应：法术无法穿过此层，此层受到昼明术Daylight的明亮光照照射后被摧毁。 
7 紫Violet。豁免失败：目标陷入目盲状态且在下一个你的回合开始时需要再进行一次感知豁免。若豁免成功，状态终止。若豁免失败，状态终止，且该生物会被传送到另一个存在位面（由DM选择）。
额外效应：此层受解除魔法Dispel Magic解除后被摧毁。 </t>
  </si>
  <si>
    <t>Prismatic Wall</t>
  </si>
  <si>
    <t>形体变化</t>
  </si>
  <si>
    <t>一只价值1500GP+的玉环</t>
  </si>
  <si>
    <t>在法术持续时间内，你变形为另一个生物。你还可以使用魔法动作来变形为另一个符合条件的形态。新形态生物的挑战等级必须不高于你的等级或挑战等级的生物。你必须在之前见过该类生物至少一次，并且该生物不能是构装生物或亡灵生物。
当你变形时，你获得数值等于新形态生命值的临时生命值。此法术会在你已不具有任意来源的临时生命值时提前结束。
你的游戏资料卡替换为所选择形态的资料卡，但你保留你的生物类型、阵营、人格，智力、感知与魅力属性值、生命值、生命骰、熟练以及交流的能力。如果你具有施法特性，你同样保留它。
进行变形的途中，你可以决定你的装备是落到地上，还是改变其尺寸和形状来适应你的新形态。</t>
  </si>
  <si>
    <t>Shapechange</t>
  </si>
  <si>
    <t>复仇风暴</t>
  </si>
  <si>
    <t>以施法距离内一点为中心，一团翻腾搅动的乌云在法术时间内成形，并扩散至半径300尺的区域。当云团出现时，所有位于云团下的生物必须进行一次体质豁免。豁免失败者将受到2d6点雷鸣伤害且在持续时间内陷入耳聋 状态。
在持续时间内。后续的每个你的回合开始时，风暴会在产生一道不同的效应，如下所示：
第2回合。 云层中降下酸雨。所有位于云团下方的生物和物件受到4d6点强酸伤害。
第3回合。 你从云中召下六束闪电束击向六个位于云团下的不同生物/物件。这些目标必须通过一次敏捷豁免，豁免失败者将受到10d6点闪电伤害，豁免成功者受到一半伤害。
第4回合。 冰雹从云团中倾泻而下。所有位于云团下方的生物将受到2d6点钝击伤害。
第5回合~第10回合。狂风和冰雨冲袭着云团下的区域，该区域内的所有生物受到1d6点寒冷伤害。在法术结束前，使该区域变为困难地形、形成重度遮蔽 ，并刮起强风。该区域内无法使用武器发动远程攻击。</t>
  </si>
  <si>
    <t>Storm of Vengeance</t>
  </si>
  <si>
    <t>时间停止</t>
  </si>
  <si>
    <t>你短暂地停止其他所有人的时间流。你一次性进行1d4+1个回合，在此期间，时间对于其他生物而言是静止的，但你可以像正常一样移动和使用动作。
在此期间，若你的一个动作或任何你创造出来的效应影响到除你之外的任何生物，或影响到其他生物着装或携带的物件时，法术将终止。此外，如果你在施法后移动到了距施法时位置1000尺以外的地方，则法术也将终止。</t>
  </si>
  <si>
    <t>Time Stop</t>
  </si>
  <si>
    <t>完全变形术</t>
  </si>
  <si>
    <t>一滴汞、一团阿拉伯胶和一缕烟</t>
  </si>
  <si>
    <r>
      <rPr>
        <sz val="11"/>
        <color theme="1"/>
        <rFont val="仿宋"/>
        <charset val="134"/>
      </rPr>
      <t>选择施法距离内你可见的一名生物或一个非魔法物件，你将那名生物变形成一名不同的生物或一个非魔法物件，或者那个物件变形成一名生物（物件必须并未被着装或携带）。这一转变会一直持续到持续时间结束或目标死亡/被摧毁为止；如果你为此法术维持了最长时间的专注，则法术的持续时间会延长为直至被解除。
一名非自愿生物可以进行一次感知豁免，若豁免成功则不会受此法术影响。
　　</t>
    </r>
    <r>
      <rPr>
        <sz val="11"/>
        <color theme="1"/>
        <rFont val="Arial"/>
        <charset val="134"/>
      </rPr>
      <t>•</t>
    </r>
    <r>
      <rPr>
        <sz val="11"/>
        <color theme="1"/>
        <rFont val="仿宋"/>
        <charset val="134"/>
      </rPr>
      <t xml:space="preserve"> 生物变生物Creature into Creature。如果你将生物变成另一种生物，则其新形态可以是你选择的挑战等级小于等于目标挑战等级或等级的任何种类。目标的游戏数据被新形态的数据所替代，但目标保留其生命值、生命骰 、阵营、性格。
目标获得等同于新形态生命值的临时生命值 。此法术会在目标已不具有任意来源的临时生命值时提前结束。
该生物只可做出其新形态的生理结构所允许的动作，不能说话也不能施法。
目标的装备融入新形态中。目标不能使用装备或者通过其他方式从装备中获得增益。
　　</t>
    </r>
    <r>
      <rPr>
        <sz val="11"/>
        <color theme="1"/>
        <rFont val="Arial"/>
        <charset val="134"/>
      </rPr>
      <t>•</t>
    </r>
    <r>
      <rPr>
        <sz val="11"/>
        <color theme="1"/>
        <rFont val="仿宋"/>
        <charset val="134"/>
      </rPr>
      <t xml:space="preserve"> 物件变生物Object into Creature。你可以将一个物件变成任何一种符合下列要求的生物：生物的体型不能大于原物件，且生物的挑战等级必须小于等于9。变形出的生物对你和你的同伴保持友善 。而战斗中它将会在你的回合之后立刻进行其回合，且遵循你的命令。
如果该法术持续时间超过1小时，则你将不再控制该生物。此后，该生物将根据你对待它的方式决定是否对你保持友善 。
　　</t>
    </r>
    <r>
      <rPr>
        <sz val="11"/>
        <color theme="1"/>
        <rFont val="Arial"/>
        <charset val="134"/>
      </rPr>
      <t>•</t>
    </r>
    <r>
      <rPr>
        <sz val="11"/>
        <color theme="1"/>
        <rFont val="仿宋"/>
        <charset val="134"/>
      </rPr>
      <t xml:space="preserve"> 生物变物件Creature into Object。 如果你将一名生物变形成一个物件，则它连同其穿着与携带物一起变成新的形态。变成物件的体型不能大于原生物。受术者的数据变成和该物件一样，在法术终止而受术者变回原形后，它将不会记得在变成物件时所发生的任何事情。</t>
    </r>
  </si>
  <si>
    <t>True Polymorph</t>
  </si>
  <si>
    <t>完全复生术</t>
  </si>
  <si>
    <t>一颗价值25000GP+的钻石，作为法术耗材</t>
  </si>
  <si>
    <t>你触碰一名已死，但死亡时间不超过200年，并非死于年老的生物，使其以生命值全满的状态回生。
此法术将治愈该生物身上的所有伤口，中和所有该生物身上的毒素，结束所有该生物身上的魔法疫病，也会移除该生物死亡时仍在生效的所有诅咒。此法术能替换所有受损或失去的器官和肢体。若生物曾是亡灵生物，则其还会恢复到其成为亡灵前的形态。
此法术还能为遗体已不存在的生物使用，并能为它再造一个新的身体。在这种情况下，你必须喊出该生物的名字。之后，该生物将出现在你指定的距你10尺内一处未占据空间中。</t>
  </si>
  <si>
    <t>True Resurrection</t>
  </si>
  <si>
    <t>怪影杀手</t>
  </si>
  <si>
    <t>你尝试在他人的心中创造出虚幻的恐怖之物。以法术范围内你所选择的一点为中心，半径30尺球状区域内的每一个生物进行一次感知豁免。豁免失败时，目标受到10d10点心灵伤害并陷入恐慌状态，持续直至法术结束为止。豁免成功时，目标仅受到一半伤害。
在受恐慌的生物自己的每个回合结束时，该生物可以再进行一次感知豁免。若再次豁免失败，它将受到5d10点心灵伤害。豁免成功时，法术对该目标的效应终止。</t>
  </si>
  <si>
    <t>Weird</t>
  </si>
  <si>
    <t>祈愿术</t>
  </si>
  <si>
    <r>
      <rPr>
        <sz val="11"/>
        <color theme="1"/>
        <rFont val="仿宋"/>
        <charset val="134"/>
      </rPr>
      <t>祈愿术是凡间生物所能施展的最强大法术。你只需要大声说出自己的愿望就能改变现实世界本身。
法术最基础的用法是用来模仿任意一个八环或更低环阶的法术。如果你以此种方式使用该法术，你不需要满足目标法术所需的任何前提条件（包括有价值的材料成分）就可以让该法术生效。
作为另一种方式，你也可以选择让法术创造下列效应之一：
　　</t>
    </r>
    <r>
      <rPr>
        <sz val="11"/>
        <color theme="1"/>
        <rFont val="Arial"/>
        <charset val="134"/>
      </rPr>
      <t>•</t>
    </r>
    <r>
      <rPr>
        <sz val="11"/>
        <color theme="1"/>
        <rFont val="仿宋"/>
        <charset val="134"/>
      </rPr>
      <t xml:space="preserve"> 创造物件Object Creation。 你创造出一个价值不超过 25000GP 的物件，令其出现在地面上你能看见的一处未占据空间中。该物件不能是魔法物品，其在任意方向上的长度都不能超过300尺。
　　</t>
    </r>
    <r>
      <rPr>
        <sz val="11"/>
        <color theme="1"/>
        <rFont val="Arial"/>
        <charset val="134"/>
      </rPr>
      <t>•</t>
    </r>
    <r>
      <rPr>
        <sz val="11"/>
        <color theme="1"/>
        <rFont val="仿宋"/>
        <charset val="134"/>
      </rPr>
      <t xml:space="preserve"> 即刻治疗Instant Health。你让你自己和至多二十个你可见的生物恢复全部生命值，并且终止它们身上一切在高等复原术greater restoration中列举过的所有效应。
　　</t>
    </r>
    <r>
      <rPr>
        <sz val="11"/>
        <color theme="1"/>
        <rFont val="Arial"/>
        <charset val="134"/>
      </rPr>
      <t>•</t>
    </r>
    <r>
      <rPr>
        <sz val="11"/>
        <color theme="1"/>
        <rFont val="仿宋"/>
        <charset val="134"/>
      </rPr>
      <t xml:space="preserve"> 伤害抗性Resistance。你让至多十个你能看见的生物获得你所指定的一种伤害类型的抗性。此抗性是永久存在的。
　　</t>
    </r>
    <r>
      <rPr>
        <sz val="11"/>
        <color theme="1"/>
        <rFont val="Arial"/>
        <charset val="134"/>
      </rPr>
      <t>•</t>
    </r>
    <r>
      <rPr>
        <sz val="11"/>
        <color theme="1"/>
        <rFont val="仿宋"/>
        <charset val="134"/>
      </rPr>
      <t xml:space="preserve"> 免疫法术Spell Immunity。 你让最多十个你能看见的生物免疫于某道法术或某种其他魔法效应，持续8小时。
　　</t>
    </r>
    <r>
      <rPr>
        <sz val="11"/>
        <color theme="1"/>
        <rFont val="Arial"/>
        <charset val="134"/>
      </rPr>
      <t>•</t>
    </r>
    <r>
      <rPr>
        <sz val="11"/>
        <color theme="1"/>
        <rFont val="仿宋"/>
        <charset val="134"/>
      </rPr>
      <t xml:space="preserve"> 突来学识Sudden Learning。 你将你的一个专长替换为符合条件的另一个专长。你失去旧专长带来的全部好处，并获得新专长的好处。你无法取代作为你其他专长或特性先决条件的专长。
　　</t>
    </r>
    <r>
      <rPr>
        <sz val="11"/>
        <color theme="1"/>
        <rFont val="Arial"/>
        <charset val="134"/>
      </rPr>
      <t>•</t>
    </r>
    <r>
      <rPr>
        <sz val="11"/>
        <color theme="1"/>
        <rFont val="仿宋"/>
        <charset val="134"/>
      </rPr>
      <t xml:space="preserve"> 重新掷骰Roll Redo。你改变一件刚刚发生的事件。重掷前一轮（包括你的上一个回合）到现在期间的任意一次掷骰，并让现实随着你的新掷骰结果改变。例如，祈愿术Wish可以撤销队友的失败豁免或敌人的重击。你可以迫使重新进行的掷骰具有优势或劣势 ，并且可以选择是使用重投后的结果还是使用原来的结果。
　　</t>
    </r>
    <r>
      <rPr>
        <sz val="11"/>
        <color theme="1"/>
        <rFont val="Arial"/>
        <charset val="134"/>
      </rPr>
      <t>•</t>
    </r>
    <r>
      <rPr>
        <sz val="11"/>
        <color theme="1"/>
        <rFont val="仿宋"/>
        <charset val="134"/>
      </rPr>
      <t xml:space="preserve"> 重塑现实Reshape Reality。你可能会许愿一些没有包含在上述效应中的东西。为了做到这样的效果，请尽可能准确地向地下城主描述你的愿望。在这种情况下，地下城主有极高的自由来裁决究竟会发生什么。不过愿望越大，出错的概率就越大。法术可能会直接失败，也可能部分的达成你想要的结果，还有可能因表述愿望时措辞不当而遭到意想不到的结果。例如，许愿让一个坏人死去可能会让你穿越到多年后该人已死的一个时间段，使你相当于离开了游戏一样。此外，许愿获取一件传说中的魔法物品或神器可能会立即将你传送到该物品当前的持有者身边。如果你许的愿望太过庞大，其效应影响到了社群、区域或是世界，你可能会引来强大的敌人。如果你的愿望会影响神，这名神的神仆会立刻干涉，阻止它或是鼓励你以一种特殊的方式许愿。如果你的愿望将会撤销多元宇宙本身，或是威胁到了印记城City of Sigil，或是以某种方式影响到了痛苦女士Lady of Pain ，你的心灵中就会浮现出一段她的影像：她摇了摇自己的脑袋，然后你的愿望失效了。
除了模仿其他法术外，施展该法术以达成的任何其他目的都会使你的身躯承受极大的负担，令你变得无比虚弱。承受负担后，直到你完成长休之前，你每次施展法术时都将受到一定伤害（伤害数值取决于你施展的法术的环阶，每环阶1d10点的暗蚀伤害），此伤害无法被任何方式减免。此外，你的力量属性值将变为3，持续2d4日。这段时间内，你每花一整日休息（不从事轻度活动以外的行为），恢复需要的日数就减少 2 日。最后，承受负担时，你将有33%的概率永远也无法再次施放祈愿术Wish 。</t>
    </r>
  </si>
  <si>
    <t>Wish</t>
  </si>
  <si>
    <t>无敌术</t>
  </si>
  <si>
    <t>一小块价值至少500GP的精金，作为本法术的耗材</t>
  </si>
  <si>
    <t>• 你免疫所有伤害直到法术结束。</t>
  </si>
  <si>
    <t>Invulnerability</t>
  </si>
  <si>
    <t>群体变形术</t>
  </si>
  <si>
    <t>一个毛毛虫的茧</t>
  </si>
  <si>
    <t>• 你可以转变施法距离内最多10个由你选择的可见生物。非自愿的目标必须通过一次感知豁免检定来对抗变形。非自愿的变形者（shapechanger）在这次豁免中自动成功。
• 每一个目标都获得由你选择的、相同或是不同的野兽形态。新的形态可以是你曾见过的、挑战等级低于或等于目标挑战等级任意野兽（如果目标没有挑战等级，那么上限是目标等级的一半）。这些目标的游戏数据，包括心智属性值，将被你所选择的野兽数据所取代，但仍然保留他们的生命值、阵营和人格。
• 每一个目标都得到等同于新形态生命值的临时生命值。这些临时生命值不能被其他来源的临时生命值替换。生物会在失去这些临时生命值或者死亡时变回原本的形态。如果法术在这之前结束，这些临时生命值也会失去且生物变回原形。
• 生物能进行的动作被它新形态的特质所限制。它将不能说话、施展法术、或是做其他需要用到手或言语的事情。
• 目标的装备融合进新形态，目标生物不能启动，使用，挥舞或其他方式从它的装备上获得增益。</t>
  </si>
  <si>
    <t>Mass Polymorph</t>
  </si>
  <si>
    <t>心灵尖啸</t>
  </si>
  <si>
    <t>• 你释放你的心灵力量，轰击施法距离内至多10个由你选择的可见生物的心智。智力值为2或更低的生物不受影响。
• 每个目标都必须进行一次智力豁免检定。若豁免失败，目标受到14d6心灵伤害并且被震慑。豁免成功则只承受一半且不被震慑。如果一个有头的目标被这个伤害杀死，它的头会爆炸。
• 一个被震慑的生物可以在它每个回合结束时重新进行智力豁免。若豁免成功，震慑效果将结束。</t>
  </si>
  <si>
    <t>Psychic Scream</t>
  </si>
  <si>
    <t>饕餮虚空</t>
  </si>
  <si>
    <t>1000尺</t>
  </si>
  <si>
    <t>一只铁制的小九芒星</t>
  </si>
  <si>
    <t>• 你以施法距离内你可见的一点为源点创造一个半径20尺的毁灭性球形力场。在法术持续时间内，球形力场与其100尺范围内的空间视为困难地形，且完全处于力场内的未被着装与携带的非魔法物件会被摧毁。
• 当力场出现时或者在你的每回合开始时，力场的100尺范围内未被着装的物件将被直直拉向力场的中心，并在距离力场中心最近的未被占据的空间停止。
• 当一个生物在力场的100尺范围内开始其回合时，其必须进行一个力量豁免，若失败则将被直直拉向力场的中心，并在距离力场中心最近的未被占据的空间停止。一个在当前回合内第一次进入力场的生物或在力场内开始其回合的生物会受到5d10点力场伤害并且被束缚，直到其离开力场范围。若力场位于空中，那么被束缚的生物将会在力场中悬浮。一个生物能以其动作进行一个对抗你的法术豁免DC的力量检定，若成功则能解除其自己或者另一个在其触及范围内的力场内的生物的束缚状态。若一个生物的HP被该法术降低至0，他与他身上携带的所有非魔法物件都会被湮灭。</t>
  </si>
  <si>
    <t>Ravenous Void</t>
  </si>
  <si>
    <t>时光蹂躏</t>
  </si>
  <si>
    <t>一个装满了钻石粉尘的沙漏，其价值至少为5000金币, 会在施法时消耗</t>
  </si>
  <si>
    <r>
      <rPr>
        <sz val="11"/>
        <color theme="1"/>
        <rFont val="Courier New"/>
        <charset val="134"/>
      </rPr>
      <t>•</t>
    </r>
    <r>
      <rPr>
        <sz val="11"/>
        <color theme="1"/>
        <rFont val="仿宋"/>
        <charset val="134"/>
      </rPr>
      <t xml:space="preserve"> 你选定一个施法距离内的目标，使他的身体形态受到飞速衰老的破坏。目标必须进行一个体质豁免并在豁免失败时受到12d10点黯蚀伤害, 或在豁免成功时只受到一半的伤害。若其豁免失败，目标还会快速老化至离老死只有三十天的时间点。在这个年龄段, 目标在攻击检定, 属性检定与豁免检定上承受劣势，其步行速度也减少一半。只有祈愿术Wish或以九环法术位施展的高等复原术Greater Restoration才能使这些效果消除并使其恢复原先的年龄。</t>
    </r>
  </si>
  <si>
    <t>Time Ravage</t>
  </si>
  <si>
    <t>忘却之波</t>
  </si>
  <si>
    <t>你创造出覆盖30尺锥状区域的湮灭能量，区域内每个浴血生物必须进行一次体质豁免。豁免失败者立即死亡，且连同其穿着和携带的非魔法物品一起化为灰尘。因此而死的生物只能通过完全复生术True Resurrection或祈愿术Wish 复活。</t>
  </si>
  <si>
    <t>Wave of Oblivion</t>
  </si>
  <si>
    <t>大瘟疫</t>
  </si>
  <si>
    <t>一只瘟疫鼠的恶臭尸体</t>
  </si>
  <si>
    <t>你使范围内你能看见的一个生物感染一种致命且有强传染力的疾病，这种疾病会在该生物身上始终持续，直到它被高等复原术Greater Restoration，医疗术Heal或许愿术Wish治疗。其他可以移除疾病的法术或魔法效果无法治愈此法术造成的传染病。
被感染时，该生物必须在它的每个回合开始时进行一次体质豁免。若豁免检定失败则它需要承受10d8点黯蚀伤害，并且陷入失能状态直到它的下个回合开始。若豁免检定成功则其只承受一半伤害，且不会陷入失能。受感染的生物必须在它的每个回合开始进行豁免，直到它死亡或被治愈。
一个在受此法术感染的生物身边10尺范围内开始回合的生物，其必须进行一次体质豁免。若豁免检定失败，则该生物也被感染。
当你施展此法术时，你可以选择自己和至多八个其他生物免受此施展法术所带来的传染病的影响。</t>
  </si>
  <si>
    <t>Pandemic</t>
  </si>
  <si>
    <t>死亡之触</t>
  </si>
  <si>
    <t>一根鬼婆的手指</t>
  </si>
  <si>
    <t>对你5尺范围内的一个生物进行一次近战法术攻击。若命中，该生物将承受200点毒素伤害。此伤害无视该生物所拥有的毒素伤害的任何抗性或免疫，并且无法被任何方式减少或预防。
这强有力的毒素会始终在目标体内徘徊并将其引至死亡。被此法术造成的毒素伤害减少生命值至0的目标，其自动在死亡豁免上失败，直到完成一次长休。对目标施展法术医疗术Heal和高等复原术Greater Restoration也可以结束此效果。</t>
  </si>
  <si>
    <t>Touch of Death</t>
  </si>
  <si>
    <t>悖论</t>
  </si>
  <si>
    <t>通过将时间流扭曲成结，你可以撤销一个你选择的，发生在施法距离内上一轮的动作。现实随后重新校准，从被抹除的事件所造成的创伤中回退。该动作的直接效应，例如攻击或法术造成的伤害，会被撤销；但间接效应，例如生物选择移动到不同位置，则不会。 执行该动作的生物会因其历史被修改而受到10d8心灵伤害。</t>
  </si>
  <si>
    <t>Paradox</t>
  </si>
  <si>
    <t>凤焰</t>
  </si>
  <si>
    <t>你沉入火海，让灼热的圣焰中吞噬自己的身躯。你周围20尺内的所有生物都必须通过一次体质豁免，否则受到30d6光耀伤害并提高一级力竭。成功者所受伤害减半且不会提高力竭。 如果生物被此法术杀死，其身躯会被焚化。
10分钟后，你会从最初施法的灰烬处中复活。你会完全恢复生命，就像被法术完全复生术true resurrection复活一样。</t>
  </si>
  <si>
    <t>Phoenix Flames</t>
  </si>
  <si>
    <t>灾厄之刃</t>
  </si>
  <si>
    <t>你创造一道形如剑刃的位面裂隙，持续直至法术结束。裂隙出现在施法距离内由你选择的一处空间，且你可以立即发动两次近战法术攻击，每次攻击都要指定裂隙5尺内的一名生物或物件。若命中，则目标受到10d6力场伤害。该攻击在d20投出18或更高即算作掷出重击。
在你的后续回合中，你可以用一个附赠动作让裂隙移动至多60尺，再发动两次攻击，每次攻击依旧要指定裂隙5尺内的一名生物或物件。
该剑刃可以无害地通过任何屏障，包括由类似法术力场墙Wall of Force所创造的那些。</t>
  </si>
  <si>
    <t>Blade of Disaster</t>
  </si>
  <si>
    <t xml:space="preserve"> </t>
  </si>
  <si>
    <t>额外法术</t>
  </si>
  <si>
    <t>自身10尺类，如灵光，触及武器，守护之风</t>
  </si>
  <si>
    <t>自身15尺类，如灵体卫士，黑暗术</t>
  </si>
  <si>
    <t>源点5尺球、柱类，如月华之光</t>
  </si>
  <si>
    <t>直线类，如闪电束</t>
  </si>
  <si>
    <t>45尺</t>
  </si>
  <si>
    <t>75尺</t>
  </si>
  <si>
    <t>以5-10-5移动力的方式计算范围</t>
  </si>
  <si>
    <t>一律作图：DM裁定</t>
  </si>
  <si>
    <t>·</t>
  </si>
  <si>
    <t>锥形类，如燃烧之手，龙息术</t>
  </si>
  <si>
    <t>源点10尺球、柱类，如力场墙</t>
  </si>
  <si>
    <t>大型自身10尺类</t>
  </si>
  <si>
    <t>源点20尺球类，如火球术</t>
  </si>
  <si>
    <t>自身30尺类，如18级灵光</t>
  </si>
  <si>
    <t>源点15尺球类，如黑暗术</t>
  </si>
  <si>
    <t>巨型自身10尺类</t>
  </si>
  <si>
    <t>人物卡导入，基本适合全部骰娘</t>
  </si>
  <si>
    <t>→</t>
  </si>
  <si>
    <t>适用于绝大部分骰娘包括：海豹、OlivaDice、Dice!、MDice、塔骰等体系的骰子。（应该除了梨骰都行）</t>
  </si>
  <si>
    <t>角色姓名导入</t>
  </si>
  <si>
    <t>右键下格，点击“复制”，并在下方的TXT栏“粘贴”就可以导出文本，然后再选中文本，复制到最上方显示框，然后再剪切进QQ可以避免黏贴的是图片的问题。
也可以直接复制下格，复制进一个TXT文本。</t>
  </si>
  <si>
    <t>“复制”下格发送给骰娘</t>
  </si>
  <si>
    <r>
      <rPr>
        <b/>
        <sz val="12"/>
        <color theme="0"/>
        <rFont val="宋体"/>
        <charset val="134"/>
      </rPr>
      <t>额外法术</t>
    </r>
    <r>
      <rPr>
        <b/>
        <sz val="12"/>
        <color theme="0"/>
        <rFont val="Times New Roman"/>
        <charset val="134"/>
      </rPr>
      <t xml:space="preserve"> Additional Spell</t>
    </r>
  </si>
  <si>
    <r>
      <rPr>
        <b/>
        <sz val="12"/>
        <color theme="0"/>
        <rFont val="宋体"/>
        <charset val="134"/>
      </rPr>
      <t>武器工坊</t>
    </r>
  </si>
  <si>
    <r>
      <rPr>
        <sz val="8"/>
        <color theme="1" tint="0.499984740745262"/>
        <rFont val="宋体"/>
        <charset val="134"/>
      </rPr>
      <t>环阶</t>
    </r>
  </si>
  <si>
    <r>
      <rPr>
        <sz val="8"/>
        <color theme="1" tint="0.499984740745262"/>
        <rFont val="宋体"/>
        <charset val="134"/>
      </rPr>
      <t>名称</t>
    </r>
  </si>
  <si>
    <r>
      <rPr>
        <sz val="8"/>
        <color theme="1" tint="0.499984740745262"/>
        <rFont val="宋体"/>
        <charset val="134"/>
      </rPr>
      <t>施法距离</t>
    </r>
  </si>
  <si>
    <r>
      <rPr>
        <sz val="8"/>
        <color theme="1" tint="0.499984740745262"/>
        <rFont val="宋体"/>
        <charset val="134"/>
      </rPr>
      <t>学派</t>
    </r>
  </si>
  <si>
    <r>
      <rPr>
        <sz val="8"/>
        <color theme="1" tint="0.499984740745262"/>
        <rFont val="宋体"/>
        <charset val="134"/>
      </rPr>
      <t>施法时间</t>
    </r>
  </si>
  <si>
    <r>
      <rPr>
        <sz val="8"/>
        <color theme="0" tint="-0.499984740745262"/>
        <rFont val="宋体"/>
        <charset val="134"/>
      </rPr>
      <t>材料</t>
    </r>
  </si>
  <si>
    <r>
      <rPr>
        <sz val="8"/>
        <color theme="1" tint="0.499984740745262"/>
        <rFont val="宋体"/>
        <charset val="134"/>
      </rPr>
      <t>持续时间</t>
    </r>
  </si>
  <si>
    <r>
      <rPr>
        <sz val="8"/>
        <color theme="0" tint="-0.349986266670736"/>
        <rFont val="宋体"/>
        <charset val="134"/>
      </rPr>
      <t>效果描述</t>
    </r>
  </si>
  <si>
    <r>
      <rPr>
        <sz val="8"/>
        <color theme="1" tint="0.499984740745262"/>
        <rFont val="宋体"/>
        <charset val="134"/>
      </rPr>
      <t>专注</t>
    </r>
  </si>
  <si>
    <r>
      <rPr>
        <sz val="8"/>
        <color theme="1" tint="0.499984740745262"/>
        <rFont val="宋体"/>
        <charset val="134"/>
      </rPr>
      <t>仪式</t>
    </r>
  </si>
  <si>
    <t>使用属性</t>
  </si>
  <si>
    <r>
      <rPr>
        <sz val="10"/>
        <color theme="1"/>
        <rFont val="宋体"/>
        <charset val="134"/>
      </rPr>
      <t>自定义武器</t>
    </r>
    <r>
      <rPr>
        <sz val="10"/>
        <color theme="1"/>
        <rFont val="Times New Roman"/>
        <charset val="134"/>
      </rPr>
      <t>1</t>
    </r>
  </si>
  <si>
    <r>
      <rPr>
        <sz val="10"/>
        <color theme="1"/>
        <rFont val="宋体"/>
        <charset val="134"/>
      </rPr>
      <t>力量</t>
    </r>
  </si>
  <si>
    <r>
      <rPr>
        <sz val="10"/>
        <color theme="1"/>
        <rFont val="宋体"/>
        <charset val="134"/>
      </rPr>
      <t>自定义武器</t>
    </r>
    <r>
      <rPr>
        <sz val="10"/>
        <color theme="1"/>
        <rFont val="Times New Roman"/>
        <charset val="134"/>
      </rPr>
      <t>2</t>
    </r>
  </si>
  <si>
    <r>
      <rPr>
        <sz val="10"/>
        <color theme="1"/>
        <rFont val="宋体"/>
        <charset val="134"/>
      </rPr>
      <t>自定义武器</t>
    </r>
    <r>
      <rPr>
        <sz val="10"/>
        <color theme="1"/>
        <rFont val="Times New Roman"/>
        <charset val="134"/>
      </rPr>
      <t>3</t>
    </r>
  </si>
  <si>
    <r>
      <rPr>
        <b/>
        <sz val="12"/>
        <color theme="0"/>
        <rFont val="Times New Roman"/>
        <charset val="134"/>
      </rPr>
      <t>BUY</t>
    </r>
    <r>
      <rPr>
        <b/>
        <sz val="12"/>
        <color theme="0"/>
        <rFont val="宋体"/>
        <charset val="134"/>
      </rPr>
      <t>点计算器</t>
    </r>
  </si>
  <si>
    <t>值</t>
  </si>
  <si>
    <t>COST</t>
  </si>
  <si>
    <t>点数总额</t>
  </si>
  <si>
    <t>剩余点数</t>
  </si>
  <si>
    <r>
      <rPr>
        <b/>
        <sz val="12"/>
        <color theme="0"/>
        <rFont val="宋体"/>
        <charset val="134"/>
      </rPr>
      <t>专长与战风</t>
    </r>
  </si>
  <si>
    <r>
      <rPr>
        <sz val="10"/>
        <color theme="1"/>
        <rFont val="宋体"/>
        <charset val="134"/>
      </rPr>
      <t>自定义专长</t>
    </r>
    <r>
      <rPr>
        <sz val="10"/>
        <color theme="1"/>
        <rFont val="Times New Roman"/>
        <charset val="134"/>
      </rPr>
      <t>1</t>
    </r>
  </si>
  <si>
    <r>
      <rPr>
        <sz val="10"/>
        <color theme="1"/>
        <rFont val="宋体"/>
        <charset val="134"/>
      </rPr>
      <t>自定义专长</t>
    </r>
    <r>
      <rPr>
        <sz val="10"/>
        <color theme="1"/>
        <rFont val="Times New Roman"/>
        <charset val="134"/>
      </rPr>
      <t>2</t>
    </r>
  </si>
  <si>
    <r>
      <rPr>
        <sz val="10"/>
        <color theme="1"/>
        <rFont val="宋体"/>
        <charset val="134"/>
      </rPr>
      <t>自定义专长</t>
    </r>
    <r>
      <rPr>
        <sz val="10"/>
        <color theme="1"/>
        <rFont val="Times New Roman"/>
        <charset val="134"/>
      </rPr>
      <t>3</t>
    </r>
  </si>
  <si>
    <r>
      <rPr>
        <sz val="10"/>
        <color theme="1"/>
        <rFont val="宋体"/>
        <charset val="134"/>
      </rPr>
      <t>自定义战风</t>
    </r>
    <r>
      <rPr>
        <sz val="10"/>
        <color theme="1"/>
        <rFont val="Times New Roman"/>
        <charset val="134"/>
      </rPr>
      <t>1</t>
    </r>
  </si>
  <si>
    <r>
      <rPr>
        <sz val="10"/>
        <color theme="1"/>
        <rFont val="宋体"/>
        <charset val="134"/>
      </rPr>
      <t>自定义战风</t>
    </r>
    <r>
      <rPr>
        <sz val="10"/>
        <color theme="1"/>
        <rFont val="Times New Roman"/>
        <charset val="134"/>
      </rPr>
      <t>2</t>
    </r>
  </si>
  <si>
    <r>
      <rPr>
        <b/>
        <sz val="12"/>
        <color theme="0"/>
        <rFont val="宋体"/>
        <charset val="134"/>
      </rPr>
      <t>背景</t>
    </r>
  </si>
  <si>
    <t>自定义背景1</t>
  </si>
  <si>
    <r>
      <rPr>
        <sz val="10"/>
        <color theme="1"/>
        <rFont val="宋体"/>
        <charset val="134"/>
      </rPr>
      <t>组合一套价值</t>
    </r>
    <r>
      <rPr>
        <sz val="10"/>
        <color theme="1"/>
        <rFont val="Times New Roman"/>
        <charset val="134"/>
      </rPr>
      <t>50GP</t>
    </r>
    <r>
      <rPr>
        <sz val="10"/>
        <color theme="1"/>
        <rFont val="宋体"/>
        <charset val="134"/>
      </rPr>
      <t>的装备（购买完毕后多余的钱也会包含在其内）。不要将包含军用武器和护甲包含在背景给予的装备中，角色会从其职业中获得这两样装备。</t>
    </r>
  </si>
  <si>
    <t>自定义背景2</t>
  </si>
  <si>
    <r>
      <rPr>
        <b/>
        <sz val="12"/>
        <color theme="0"/>
        <rFont val="宋体"/>
        <charset val="134"/>
      </rPr>
      <t>更新记录</t>
    </r>
  </si>
  <si>
    <r>
      <rPr>
        <b/>
        <sz val="12"/>
        <color theme="0"/>
        <rFont val="Times New Roman"/>
        <charset val="134"/>
      </rPr>
      <t>5E2024</t>
    </r>
    <r>
      <rPr>
        <b/>
        <sz val="12"/>
        <color theme="0"/>
        <rFont val="宋体"/>
        <charset val="134"/>
      </rPr>
      <t>更新记录</t>
    </r>
    <r>
      <rPr>
        <b/>
        <sz val="12"/>
        <color theme="0"/>
        <rFont val="宋体"/>
        <charset val="134"/>
      </rPr>
      <t>（</t>
    </r>
    <r>
      <rPr>
        <b/>
        <sz val="12"/>
        <color theme="0"/>
        <rFont val="Times New Roman"/>
        <charset val="134"/>
      </rPr>
      <t>1.0</t>
    </r>
    <r>
      <rPr>
        <b/>
        <sz val="12"/>
        <color theme="0"/>
        <rFont val="宋体"/>
        <charset val="134"/>
      </rPr>
      <t>正式版前）</t>
    </r>
  </si>
  <si>
    <r>
      <rPr>
        <b/>
        <sz val="11"/>
        <color theme="0"/>
        <rFont val="Times New Roman"/>
        <charset val="134"/>
      </rPr>
      <t>5E2014</t>
    </r>
    <r>
      <rPr>
        <b/>
        <sz val="11"/>
        <color theme="0"/>
        <rFont val="宋体"/>
        <charset val="134"/>
      </rPr>
      <t>更新记录</t>
    </r>
  </si>
  <si>
    <r>
      <rPr>
        <sz val="11"/>
        <color theme="1"/>
        <rFont val="Times New Roman"/>
        <charset val="134"/>
      </rPr>
      <t>1.0.0</t>
    </r>
    <r>
      <rPr>
        <sz val="11"/>
        <color theme="1"/>
        <rFont val="宋体"/>
        <charset val="134"/>
      </rPr>
      <t>先导版：</t>
    </r>
    <r>
      <rPr>
        <sz val="11"/>
        <color theme="1"/>
        <rFont val="Times New Roman"/>
        <charset val="134"/>
      </rPr>
      <t xml:space="preserve">
</t>
    </r>
    <r>
      <rPr>
        <sz val="11"/>
        <color theme="1"/>
        <rFont val="宋体"/>
        <charset val="134"/>
      </rPr>
      <t>艾伯伦：奇械锻炉，惊奇一发：节日包，拳斗士收录，</t>
    </r>
    <r>
      <rPr>
        <sz val="11"/>
        <color theme="1"/>
        <rFont val="Times New Roman"/>
        <charset val="134"/>
      </rPr>
      <t>FR</t>
    </r>
    <r>
      <rPr>
        <sz val="11"/>
        <color theme="1"/>
        <rFont val="宋体"/>
        <charset val="134"/>
      </rPr>
      <t>预录入内容校对完成</t>
    </r>
    <r>
      <rPr>
        <sz val="11"/>
        <color theme="1"/>
        <rFont val="Times New Roman"/>
        <charset val="134"/>
      </rPr>
      <t xml:space="preserve">
</t>
    </r>
    <r>
      <rPr>
        <sz val="11"/>
        <color theme="1"/>
        <rFont val="宋体"/>
        <charset val="134"/>
      </rPr>
      <t>邪狱使</t>
    </r>
    <r>
      <rPr>
        <sz val="11"/>
        <color theme="1"/>
        <rFont val="Times New Roman"/>
        <charset val="134"/>
      </rPr>
      <t>BUG</t>
    </r>
    <r>
      <rPr>
        <sz val="11"/>
        <color theme="1"/>
        <rFont val="宋体"/>
        <charset val="134"/>
      </rPr>
      <t>修复</t>
    </r>
    <r>
      <rPr>
        <sz val="11"/>
        <color theme="1"/>
        <rFont val="Times New Roman"/>
        <charset val="134"/>
      </rPr>
      <t xml:space="preserve">
</t>
    </r>
    <r>
      <rPr>
        <sz val="11"/>
        <color theme="1"/>
        <rFont val="宋体"/>
        <charset val="134"/>
      </rPr>
      <t>补录部分</t>
    </r>
    <r>
      <rPr>
        <sz val="11"/>
        <color theme="1"/>
        <rFont val="Times New Roman"/>
        <charset val="134"/>
      </rPr>
      <t>UA</t>
    </r>
    <r>
      <rPr>
        <sz val="11"/>
        <color theme="1"/>
        <rFont val="宋体"/>
        <charset val="134"/>
      </rPr>
      <t>内容，并修复可能出现的</t>
    </r>
    <r>
      <rPr>
        <sz val="11"/>
        <color theme="1"/>
        <rFont val="Times New Roman"/>
        <charset val="134"/>
      </rPr>
      <t>bug</t>
    </r>
    <r>
      <rPr>
        <sz val="11"/>
        <color theme="1"/>
        <rFont val="宋体"/>
        <charset val="134"/>
      </rPr>
      <t>后将正式进入</t>
    </r>
    <r>
      <rPr>
        <sz val="11"/>
        <color theme="1"/>
        <rFont val="Times New Roman"/>
        <charset val="134"/>
      </rPr>
      <t>1.0.0</t>
    </r>
    <r>
      <rPr>
        <sz val="11"/>
        <color theme="1"/>
        <rFont val="宋体"/>
        <charset val="134"/>
      </rPr>
      <t>版本</t>
    </r>
    <r>
      <rPr>
        <sz val="11"/>
        <color theme="1"/>
        <rFont val="Times New Roman"/>
        <charset val="134"/>
      </rPr>
      <t xml:space="preserve">
1.0.0</t>
    </r>
    <r>
      <rPr>
        <sz val="11"/>
        <color theme="1"/>
        <rFont val="宋体"/>
        <charset val="134"/>
      </rPr>
      <t>正式版：</t>
    </r>
    <r>
      <rPr>
        <sz val="11"/>
        <color theme="1"/>
        <rFont val="Times New Roman"/>
        <charset val="134"/>
      </rPr>
      <t xml:space="preserve">
</t>
    </r>
    <r>
      <rPr>
        <sz val="11"/>
        <color theme="1"/>
        <rFont val="宋体"/>
        <charset val="134"/>
      </rPr>
      <t>修复录入数据时未正确检索的</t>
    </r>
    <r>
      <rPr>
        <sz val="11"/>
        <color theme="1"/>
        <rFont val="Times New Roman"/>
        <charset val="134"/>
      </rPr>
      <t>BUG</t>
    </r>
    <r>
      <rPr>
        <sz val="11"/>
        <color theme="1"/>
        <rFont val="宋体"/>
        <charset val="134"/>
      </rPr>
      <t>；施法者准备法术数量速查更改为具体职业显示，以适配各种</t>
    </r>
    <r>
      <rPr>
        <sz val="11"/>
        <color theme="1"/>
        <rFont val="Times New Roman"/>
        <charset val="134"/>
      </rPr>
      <t>1/3</t>
    </r>
    <r>
      <rPr>
        <sz val="11"/>
        <color theme="1"/>
        <rFont val="宋体"/>
        <charset val="134"/>
      </rPr>
      <t>施法者；灵能</t>
    </r>
    <r>
      <rPr>
        <sz val="11"/>
        <color theme="1"/>
        <rFont val="Times New Roman"/>
        <charset val="134"/>
      </rPr>
      <t>UA</t>
    </r>
    <r>
      <rPr>
        <sz val="11"/>
        <color theme="1"/>
        <rFont val="宋体"/>
        <charset val="134"/>
      </rPr>
      <t>更新至</t>
    </r>
    <r>
      <rPr>
        <sz val="11"/>
        <color theme="1"/>
        <rFont val="Times New Roman"/>
        <charset val="134"/>
      </rPr>
      <t>2</t>
    </r>
    <r>
      <rPr>
        <sz val="11"/>
        <color theme="1"/>
        <rFont val="宋体"/>
        <charset val="134"/>
      </rPr>
      <t>期，删除法术与裂空使子职；收录浩劫子职与神秘子职</t>
    </r>
    <r>
      <rPr>
        <sz val="11"/>
        <color theme="1"/>
        <rFont val="Times New Roman"/>
        <charset val="134"/>
      </rPr>
      <t xml:space="preserve">UA
</t>
    </r>
    <r>
      <rPr>
        <sz val="11"/>
        <color theme="1"/>
        <rFont val="宋体"/>
        <charset val="134"/>
      </rPr>
      <t>（由于个人喜恶，阿斯代伦书暂且不准备收录）</t>
    </r>
    <r>
      <rPr>
        <sz val="11"/>
        <color theme="1"/>
        <rFont val="Times New Roman"/>
        <charset val="134"/>
      </rPr>
      <t xml:space="preserve">
1.0.1</t>
    </r>
    <r>
      <rPr>
        <sz val="11"/>
        <color theme="1"/>
        <rFont val="宋体"/>
        <charset val="134"/>
      </rPr>
      <t>：补上了灵能的裂空使子职</t>
    </r>
  </si>
  <si>
    <r>
      <rPr>
        <sz val="11"/>
        <color theme="1"/>
        <rFont val="Times New Roman"/>
        <charset val="134"/>
      </rPr>
      <t>5E2024</t>
    </r>
    <r>
      <rPr>
        <sz val="11"/>
        <color theme="1"/>
        <rFont val="宋体"/>
        <charset val="134"/>
      </rPr>
      <t>更新：</t>
    </r>
    <r>
      <rPr>
        <sz val="11"/>
        <color theme="1"/>
        <rFont val="Times New Roman"/>
        <charset val="134"/>
      </rPr>
      <t xml:space="preserve">
</t>
    </r>
    <r>
      <rPr>
        <sz val="11"/>
        <color theme="1"/>
        <rFont val="宋体"/>
        <charset val="134"/>
      </rPr>
      <t>收录内容更改为</t>
    </r>
    <r>
      <rPr>
        <sz val="11"/>
        <color theme="1"/>
        <rFont val="Times New Roman"/>
        <charset val="134"/>
      </rPr>
      <t>5E2024</t>
    </r>
    <r>
      <rPr>
        <sz val="11"/>
        <color theme="1"/>
        <rFont val="宋体"/>
        <charset val="134"/>
      </rPr>
      <t>（目前仅</t>
    </r>
    <r>
      <rPr>
        <sz val="11"/>
        <color theme="1"/>
        <rFont val="Times New Roman"/>
        <charset val="134"/>
      </rPr>
      <t>PHB</t>
    </r>
    <r>
      <rPr>
        <sz val="11"/>
        <color theme="1"/>
        <rFont val="宋体"/>
        <charset val="134"/>
      </rPr>
      <t>内容）</t>
    </r>
    <r>
      <rPr>
        <sz val="11"/>
        <color theme="1"/>
        <rFont val="Times New Roman"/>
        <charset val="134"/>
      </rPr>
      <t xml:space="preserve">
</t>
    </r>
    <r>
      <rPr>
        <sz val="11"/>
        <color theme="1"/>
        <rFont val="宋体"/>
        <charset val="134"/>
      </rPr>
      <t>特性等级自动显示，仅显示已达到等级的特性，已选择的特性不会出现于下拉栏中，法术位自动计算，增加法术值显示，主页面增加法术简易速查</t>
    </r>
    <r>
      <rPr>
        <sz val="11"/>
        <color theme="1"/>
        <rFont val="Times New Roman"/>
        <charset val="134"/>
      </rPr>
      <t xml:space="preserve">
</t>
    </r>
    <r>
      <rPr>
        <sz val="11"/>
        <color theme="1"/>
        <rFont val="宋体"/>
        <charset val="134"/>
      </rPr>
      <t>新增据点页面（据点回合后续再补）</t>
    </r>
    <r>
      <rPr>
        <sz val="11"/>
        <color theme="1"/>
        <rFont val="Times New Roman"/>
        <charset val="134"/>
      </rPr>
      <t xml:space="preserve">
</t>
    </r>
    <r>
      <rPr>
        <sz val="11"/>
        <color theme="1"/>
        <rFont val="宋体"/>
        <charset val="134"/>
      </rPr>
      <t>背包页增加工具操作、制造的查询</t>
    </r>
    <r>
      <rPr>
        <sz val="11"/>
        <color theme="1"/>
        <rFont val="Times New Roman"/>
        <charset val="134"/>
      </rPr>
      <t xml:space="preserve">
</t>
    </r>
    <r>
      <rPr>
        <sz val="11"/>
        <color theme="1"/>
        <rFont val="宋体"/>
        <charset val="134"/>
      </rPr>
      <t>新增盟友页面，魔宠数据移至此页面</t>
    </r>
    <r>
      <rPr>
        <sz val="11"/>
        <color theme="1"/>
        <rFont val="Times New Roman"/>
        <charset val="134"/>
      </rPr>
      <t xml:space="preserve">
0.2.5</t>
    </r>
    <r>
      <rPr>
        <sz val="11"/>
        <color theme="1"/>
        <rFont val="宋体"/>
        <charset val="134"/>
      </rPr>
      <t>：</t>
    </r>
    <r>
      <rPr>
        <sz val="11"/>
        <color theme="1"/>
        <rFont val="Times New Roman"/>
        <charset val="134"/>
      </rPr>
      <t xml:space="preserve">
</t>
    </r>
    <r>
      <rPr>
        <sz val="11"/>
        <color theme="1"/>
        <rFont val="宋体"/>
        <charset val="134"/>
      </rPr>
      <t>重新加入无消耗法术以便于区分</t>
    </r>
    <r>
      <rPr>
        <sz val="11"/>
        <color theme="1"/>
        <rFont val="Times New Roman"/>
        <charset val="134"/>
      </rPr>
      <t xml:space="preserve">
bug</t>
    </r>
    <r>
      <rPr>
        <sz val="11"/>
        <color theme="1"/>
        <rFont val="宋体"/>
        <charset val="134"/>
      </rPr>
      <t>修复</t>
    </r>
    <r>
      <rPr>
        <sz val="11"/>
        <color theme="1"/>
        <rFont val="Times New Roman"/>
        <charset val="134"/>
      </rPr>
      <t xml:space="preserve">
</t>
    </r>
    <r>
      <rPr>
        <sz val="11"/>
        <color theme="1"/>
        <rFont val="宋体"/>
        <charset val="134"/>
      </rPr>
      <t>是否具有万事通单独列出，不必一个个技能选择过去</t>
    </r>
    <r>
      <rPr>
        <sz val="11"/>
        <color theme="1"/>
        <rFont val="Times New Roman"/>
        <charset val="134"/>
      </rPr>
      <t xml:space="preserve">
</t>
    </r>
    <r>
      <rPr>
        <sz val="11"/>
        <color theme="1"/>
        <rFont val="宋体"/>
        <charset val="134"/>
      </rPr>
      <t xml:space="preserve">各个界面增加主题颜色
</t>
    </r>
    <r>
      <rPr>
        <sz val="11"/>
        <color theme="1"/>
        <rFont val="Times New Roman"/>
        <charset val="134"/>
      </rPr>
      <t>0.2.6</t>
    </r>
    <r>
      <rPr>
        <sz val="11"/>
        <color theme="1"/>
        <rFont val="宋体"/>
        <charset val="134"/>
      </rPr>
      <t>：扩展法术补完</t>
    </r>
    <r>
      <rPr>
        <sz val="11"/>
        <color theme="1"/>
        <rFont val="Times New Roman"/>
        <charset val="134"/>
      </rPr>
      <t xml:space="preserve">
0.2.7</t>
    </r>
    <r>
      <rPr>
        <sz val="11"/>
        <color theme="1"/>
        <rFont val="宋体"/>
        <charset val="134"/>
      </rPr>
      <t>：职业特性栏位增加，主页面布局更改（有一处空白不知道该放什么，于是塞了张</t>
    </r>
    <r>
      <rPr>
        <sz val="11"/>
        <color theme="1"/>
        <rFont val="Times New Roman"/>
        <charset val="134"/>
      </rPr>
      <t>Mortis</t>
    </r>
    <r>
      <rPr>
        <sz val="11"/>
        <color theme="1"/>
        <rFont val="宋体"/>
        <charset val="134"/>
      </rPr>
      <t xml:space="preserve">）
</t>
    </r>
    <r>
      <rPr>
        <sz val="11"/>
        <color theme="1"/>
        <rFont val="Times New Roman"/>
        <charset val="134"/>
      </rPr>
      <t>0.2.8</t>
    </r>
    <r>
      <rPr>
        <sz val="11"/>
        <color theme="1"/>
        <rFont val="宋体"/>
        <charset val="134"/>
      </rPr>
      <t>：骰娘导入修复，种族重新移回主要界面，攻击属性等选择栏移回对应小标题处</t>
    </r>
    <r>
      <rPr>
        <sz val="11"/>
        <color theme="1"/>
        <rFont val="Times New Roman"/>
        <charset val="134"/>
      </rPr>
      <t xml:space="preserve">
0.2.9</t>
    </r>
    <r>
      <rPr>
        <sz val="11"/>
        <color theme="1"/>
        <rFont val="宋体"/>
        <charset val="134"/>
      </rPr>
      <t>：
主页面的法术的仪式施法与专注的变色效果修复
以上由</t>
    </r>
    <r>
      <rPr>
        <b/>
        <sz val="11"/>
        <color theme="1"/>
        <rFont val="Times New Roman"/>
        <charset val="134"/>
      </rPr>
      <t>MadMax</t>
    </r>
    <r>
      <rPr>
        <sz val="11"/>
        <color theme="1"/>
        <rFont val="宋体"/>
        <charset val="134"/>
      </rPr>
      <t xml:space="preserve">完成
</t>
    </r>
    <r>
      <rPr>
        <sz val="11"/>
        <color theme="1"/>
        <rFont val="Times New Roman"/>
        <charset val="134"/>
      </rPr>
      <t>PHB</t>
    </r>
    <r>
      <rPr>
        <sz val="11"/>
        <color theme="1"/>
        <rFont val="宋体"/>
        <charset val="134"/>
      </rPr>
      <t xml:space="preserve">法术校对完成
</t>
    </r>
    <r>
      <rPr>
        <sz val="11"/>
        <color theme="1"/>
        <rFont val="Times New Roman"/>
        <charset val="134"/>
      </rPr>
      <t>1.</t>
    </r>
    <r>
      <rPr>
        <sz val="11"/>
        <color theme="1"/>
        <rFont val="宋体"/>
        <charset val="134"/>
      </rPr>
      <t xml:space="preserve">诸如光亮术、护盾术、庇护术、炽焰斩、异界誓盟等法术的职业分类错误
</t>
    </r>
    <r>
      <rPr>
        <sz val="11"/>
        <color theme="1"/>
        <rFont val="Times New Roman"/>
        <charset val="134"/>
      </rPr>
      <t>2.</t>
    </r>
    <r>
      <rPr>
        <sz val="11"/>
        <color theme="1"/>
        <rFont val="宋体"/>
        <charset val="134"/>
      </rPr>
      <t>死亡法阵的法术遗漏
以上由</t>
    </r>
    <r>
      <rPr>
        <b/>
        <sz val="11"/>
        <color theme="1"/>
        <rFont val="宋体"/>
        <charset val="134"/>
      </rPr>
      <t>小小苏</t>
    </r>
    <r>
      <rPr>
        <sz val="11"/>
        <color theme="1"/>
        <rFont val="宋体"/>
        <charset val="134"/>
      </rPr>
      <t xml:space="preserve">完成
</t>
    </r>
    <r>
      <rPr>
        <sz val="11"/>
        <color theme="1"/>
        <rFont val="Times New Roman"/>
        <charset val="134"/>
      </rPr>
      <t>0.3.0</t>
    </r>
    <r>
      <rPr>
        <sz val="11"/>
        <color theme="1"/>
        <rFont val="宋体"/>
        <charset val="134"/>
      </rPr>
      <t>：
主页面武器部分显示优化（</t>
    </r>
    <r>
      <rPr>
        <sz val="11"/>
        <color theme="1"/>
        <rFont val="Times New Roman"/>
        <charset val="134"/>
      </rPr>
      <t>Mortis</t>
    </r>
    <r>
      <rPr>
        <sz val="11"/>
        <color theme="1"/>
        <rFont val="宋体"/>
        <charset val="134"/>
      </rPr>
      <t>没了</t>
    </r>
    <r>
      <rPr>
        <sz val="11"/>
        <color theme="1"/>
        <rFont val="Times New Roman"/>
        <charset val="134"/>
      </rPr>
      <t>#</t>
    </r>
    <r>
      <rPr>
        <sz val="11"/>
        <color theme="1"/>
        <rFont val="宋体"/>
        <charset val="134"/>
      </rPr>
      <t>悲）
背包页面增加一键填入套组宏
以上由</t>
    </r>
    <r>
      <rPr>
        <b/>
        <sz val="11"/>
        <color theme="1"/>
        <rFont val="Times New Roman"/>
        <charset val="134"/>
      </rPr>
      <t>MadMax</t>
    </r>
    <r>
      <rPr>
        <sz val="11"/>
        <color theme="1"/>
        <rFont val="宋体"/>
        <charset val="134"/>
      </rPr>
      <t>完成
额外法术界面更名为自定义调整栏，新增自定义武器功能，背景界面布局小改
以上由</t>
    </r>
    <r>
      <rPr>
        <b/>
        <sz val="11"/>
        <color theme="1"/>
        <rFont val="宋体"/>
        <charset val="134"/>
      </rPr>
      <t>悲灵</t>
    </r>
    <r>
      <rPr>
        <sz val="11"/>
        <color theme="1"/>
        <rFont val="宋体"/>
        <charset val="134"/>
      </rPr>
      <t xml:space="preserve">完成
</t>
    </r>
    <r>
      <rPr>
        <sz val="11"/>
        <color theme="1"/>
        <rFont val="Times New Roman"/>
        <charset val="134"/>
      </rPr>
      <t>0.3.1</t>
    </r>
    <r>
      <rPr>
        <sz val="11"/>
        <color theme="1"/>
        <rFont val="宋体"/>
        <charset val="134"/>
      </rPr>
      <t xml:space="preserve">：盾牌着装选项移动至特性旁边
</t>
    </r>
    <r>
      <rPr>
        <sz val="11"/>
        <color theme="1"/>
        <rFont val="Times New Roman"/>
        <charset val="134"/>
      </rPr>
      <t>0.3.2</t>
    </r>
    <r>
      <rPr>
        <sz val="11"/>
        <color theme="1"/>
        <rFont val="宋体"/>
        <charset val="134"/>
      </rPr>
      <t>：</t>
    </r>
    <r>
      <rPr>
        <sz val="11"/>
        <color theme="1"/>
        <rFont val="Times New Roman"/>
        <charset val="134"/>
      </rPr>
      <t>BUG</t>
    </r>
    <r>
      <rPr>
        <sz val="11"/>
        <color theme="1"/>
        <rFont val="宋体"/>
        <charset val="134"/>
      </rPr>
      <t xml:space="preserve">修复，删除宏组件
</t>
    </r>
    <r>
      <rPr>
        <sz val="11"/>
        <color theme="1"/>
        <rFont val="Times New Roman"/>
        <charset val="134"/>
      </rPr>
      <t>0.3.3</t>
    </r>
    <r>
      <rPr>
        <sz val="11"/>
        <color theme="1"/>
        <rFont val="宋体"/>
        <charset val="134"/>
      </rPr>
      <t>：录入</t>
    </r>
    <r>
      <rPr>
        <sz val="11"/>
        <color theme="1"/>
        <rFont val="Times New Roman"/>
        <charset val="134"/>
      </rPr>
      <t>UA</t>
    </r>
    <r>
      <rPr>
        <sz val="11"/>
        <color theme="1"/>
        <rFont val="宋体"/>
        <charset val="134"/>
      </rPr>
      <t>内容（</t>
    </r>
    <r>
      <rPr>
        <sz val="11"/>
        <color theme="1"/>
        <rFont val="Times New Roman"/>
        <charset val="134"/>
      </rPr>
      <t>25.4.21</t>
    </r>
    <r>
      <rPr>
        <sz val="11"/>
        <color theme="1"/>
        <rFont val="宋体"/>
        <charset val="134"/>
      </rPr>
      <t xml:space="preserve">版不全书，遗忘国度子职与艾伯伦奇械师与龙纹专长）
降低了「法术书」页面的专注与仪式提示颜色的饱和度，「背包」页面布局小调
新增「圆形效应范围」页面
</t>
    </r>
    <r>
      <rPr>
        <sz val="11"/>
        <color theme="1"/>
        <rFont val="Times New Roman"/>
        <charset val="134"/>
      </rPr>
      <t>0.3.4</t>
    </r>
    <r>
      <rPr>
        <sz val="11"/>
        <color theme="1"/>
        <rFont val="宋体"/>
        <charset val="134"/>
      </rPr>
      <t>：重新将特性栏缩减，修复</t>
    </r>
    <r>
      <rPr>
        <sz val="11"/>
        <color theme="1"/>
        <rFont val="Times New Roman"/>
        <charset val="134"/>
      </rPr>
      <t>BUG
0.3.5</t>
    </r>
    <r>
      <rPr>
        <sz val="11"/>
        <color theme="1"/>
        <rFont val="宋体"/>
        <charset val="134"/>
      </rPr>
      <t>：背景页面布局小调，左三页面边框改成深灰，灵能</t>
    </r>
    <r>
      <rPr>
        <sz val="11"/>
        <color theme="1"/>
        <rFont val="Times New Roman"/>
        <charset val="134"/>
      </rPr>
      <t>UA</t>
    </r>
    <r>
      <rPr>
        <sz val="11"/>
        <color theme="1"/>
        <rFont val="宋体"/>
        <charset val="134"/>
      </rPr>
      <t>收录</t>
    </r>
    <r>
      <rPr>
        <sz val="11"/>
        <color theme="1"/>
        <rFont val="Times New Roman"/>
        <charset val="134"/>
      </rPr>
      <t xml:space="preserve">
0.4.2beta</t>
    </r>
    <r>
      <rPr>
        <sz val="11"/>
        <color theme="1"/>
        <rFont val="宋体"/>
        <charset val="134"/>
      </rPr>
      <t>：
不全书非合作方职业、专长、背景扩展收录完成，种族暂未收录，加了点私货占位
注：没有收录</t>
    </r>
    <r>
      <rPr>
        <sz val="11"/>
        <color theme="1"/>
        <rFont val="Times New Roman"/>
        <charset val="134"/>
      </rPr>
      <t>SCAG</t>
    </r>
    <r>
      <rPr>
        <sz val="11"/>
        <color theme="1"/>
        <rFont val="宋体"/>
        <charset val="134"/>
      </rPr>
      <t>（剑湾冒险者指南）的子职与种族
背景页面调整，为兼容</t>
    </r>
    <r>
      <rPr>
        <sz val="11"/>
        <color theme="1"/>
        <rFont val="Times New Roman"/>
        <charset val="134"/>
      </rPr>
      <t>14</t>
    </r>
    <r>
      <rPr>
        <sz val="11"/>
        <color theme="1"/>
        <rFont val="宋体"/>
        <charset val="134"/>
      </rPr>
      <t>背景的描述
魔契师祈唤按等级显示
增加全局修正技能加值
总等级不足</t>
    </r>
    <r>
      <rPr>
        <sz val="11"/>
        <color theme="1"/>
        <rFont val="Times New Roman"/>
        <charset val="134"/>
      </rPr>
      <t>19</t>
    </r>
    <r>
      <rPr>
        <sz val="11"/>
        <color theme="1"/>
        <rFont val="宋体"/>
        <charset val="134"/>
      </rPr>
      <t>级时不显示传奇恩惠专长
被遗忘国度书</t>
    </r>
    <r>
      <rPr>
        <sz val="11"/>
        <color theme="1"/>
        <rFont val="Times New Roman"/>
        <charset val="134"/>
      </rPr>
      <t>UA</t>
    </r>
    <r>
      <rPr>
        <sz val="11"/>
        <color theme="1"/>
        <rFont val="宋体"/>
        <charset val="134"/>
      </rPr>
      <t>内容删除，艾伯伦与灵能</t>
    </r>
    <r>
      <rPr>
        <sz val="11"/>
        <color theme="1"/>
        <rFont val="Times New Roman"/>
        <charset val="134"/>
      </rPr>
      <t>1</t>
    </r>
    <r>
      <rPr>
        <sz val="11"/>
        <color theme="1"/>
        <rFont val="宋体"/>
        <charset val="134"/>
      </rPr>
      <t>期</t>
    </r>
    <r>
      <rPr>
        <sz val="11"/>
        <color theme="1"/>
        <rFont val="Times New Roman"/>
        <charset val="134"/>
      </rPr>
      <t>UA</t>
    </r>
    <r>
      <rPr>
        <sz val="11"/>
        <color theme="1"/>
        <rFont val="宋体"/>
        <charset val="134"/>
      </rPr>
      <t>保留占位，但不参与选择</t>
    </r>
  </si>
  <si>
    <r>
      <rPr>
        <sz val="11"/>
        <color theme="1"/>
        <rFont val="Times New Roman"/>
        <charset val="134"/>
      </rPr>
      <t>3.0</t>
    </r>
    <r>
      <rPr>
        <sz val="11"/>
        <color theme="1"/>
        <rFont val="宋体"/>
        <charset val="134"/>
      </rPr>
      <t>之前：排版修改成横板</t>
    </r>
    <r>
      <rPr>
        <sz val="11"/>
        <color theme="1"/>
        <rFont val="Times New Roman"/>
        <charset val="134"/>
      </rPr>
      <t xml:space="preserve">
————————————
3.1</t>
    </r>
    <r>
      <rPr>
        <sz val="11"/>
        <color theme="1"/>
        <rFont val="宋体"/>
        <charset val="134"/>
      </rPr>
      <t>：塔莎书法术及子职加入。</t>
    </r>
    <r>
      <rPr>
        <sz val="11"/>
        <color theme="1"/>
        <rFont val="Times New Roman"/>
        <charset val="134"/>
      </rPr>
      <t xml:space="preserve">
3.2.0</t>
    </r>
    <r>
      <rPr>
        <sz val="11"/>
        <color theme="1"/>
        <rFont val="宋体"/>
        <charset val="134"/>
      </rPr>
      <t>：生命骰显示总数（但依旧没有分大小）。</t>
    </r>
    <r>
      <rPr>
        <sz val="11"/>
        <color theme="1"/>
        <rFont val="Times New Roman"/>
        <charset val="134"/>
      </rPr>
      <t xml:space="preserve">
3.2.1</t>
    </r>
    <r>
      <rPr>
        <sz val="11"/>
        <color theme="1"/>
        <rFont val="宋体"/>
        <charset val="134"/>
      </rPr>
      <t>：背景与语言增加下拉栏。</t>
    </r>
    <r>
      <rPr>
        <sz val="11"/>
        <color theme="1"/>
        <rFont val="Times New Roman"/>
        <charset val="134"/>
      </rPr>
      <t xml:space="preserve">
3.2.2</t>
    </r>
    <r>
      <rPr>
        <sz val="11"/>
        <color theme="1"/>
        <rFont val="宋体"/>
        <charset val="134"/>
      </rPr>
      <t>：武器增加枪械可选项，伤害骰与伤害类型增加公式，攻击骰显示最终数值而非算式。</t>
    </r>
    <r>
      <rPr>
        <sz val="11"/>
        <color theme="1"/>
        <rFont val="Times New Roman"/>
        <charset val="134"/>
      </rPr>
      <t xml:space="preserve">
3.2.3</t>
    </r>
    <r>
      <rPr>
        <sz val="11"/>
        <color theme="1"/>
        <rFont val="宋体"/>
        <charset val="134"/>
      </rPr>
      <t>：护甲增加法师护甲以及两种无甲防御。</t>
    </r>
    <r>
      <rPr>
        <sz val="11"/>
        <color theme="1"/>
        <rFont val="Times New Roman"/>
        <charset val="134"/>
      </rPr>
      <t xml:space="preserve">
3.2.4</t>
    </r>
    <r>
      <rPr>
        <sz val="11"/>
        <color theme="1"/>
        <rFont val="宋体"/>
        <charset val="134"/>
      </rPr>
      <t>：背景对应特性增加下拉栏。</t>
    </r>
    <r>
      <rPr>
        <sz val="11"/>
        <color theme="1"/>
        <rFont val="Times New Roman"/>
        <charset val="134"/>
      </rPr>
      <t xml:space="preserve">
3.2.5</t>
    </r>
    <r>
      <rPr>
        <sz val="11"/>
        <color theme="1"/>
        <rFont val="宋体"/>
        <charset val="134"/>
      </rPr>
      <t>：合并法术书与法术查询界面，法术书扩充到</t>
    </r>
    <r>
      <rPr>
        <sz val="11"/>
        <color theme="1"/>
        <rFont val="Times New Roman"/>
        <charset val="134"/>
      </rPr>
      <t>150</t>
    </r>
    <r>
      <rPr>
        <sz val="11"/>
        <color theme="1"/>
        <rFont val="宋体"/>
        <charset val="134"/>
      </rPr>
      <t>道。</t>
    </r>
    <r>
      <rPr>
        <sz val="11"/>
        <color theme="1"/>
        <rFont val="Times New Roman"/>
        <charset val="134"/>
      </rPr>
      <t xml:space="preserve">
3.2.6</t>
    </r>
    <r>
      <rPr>
        <sz val="11"/>
        <color theme="1"/>
        <rFont val="宋体"/>
        <charset val="134"/>
      </rPr>
      <t>：护甲增加分隔栏。</t>
    </r>
    <r>
      <rPr>
        <sz val="11"/>
        <color theme="1"/>
        <rFont val="Times New Roman"/>
        <charset val="134"/>
      </rPr>
      <t xml:space="preserve">
————————————
3.3.0</t>
    </r>
    <r>
      <rPr>
        <sz val="11"/>
        <color theme="1"/>
        <rFont val="宋体"/>
        <charset val="134"/>
      </rPr>
      <t>：修改排版，删除主界面查询已准备法术效果的功能（毕竟可以直接在法术书中查询），新增已知戏法与无消耗法术，合并法术</t>
    </r>
    <r>
      <rPr>
        <sz val="11"/>
        <color theme="1"/>
        <rFont val="Times New Roman"/>
        <charset val="134"/>
      </rPr>
      <t>DC</t>
    </r>
    <r>
      <rPr>
        <sz val="11"/>
        <color theme="1"/>
        <rFont val="宋体"/>
        <charset val="134"/>
      </rPr>
      <t>与攻击骰速查；增加个人总资产计数；准备法术数量按照主职</t>
    </r>
    <r>
      <rPr>
        <sz val="11"/>
        <color theme="1"/>
        <rFont val="Times New Roman"/>
        <charset val="134"/>
      </rPr>
      <t>/</t>
    </r>
    <r>
      <rPr>
        <sz val="11"/>
        <color theme="1"/>
        <rFont val="宋体"/>
        <charset val="134"/>
      </rPr>
      <t>兼职区分；技能熟练增加专精与万事通选择。</t>
    </r>
    <r>
      <rPr>
        <sz val="11"/>
        <color theme="1"/>
        <rFont val="Times New Roman"/>
        <charset val="134"/>
      </rPr>
      <t xml:space="preserve">
3.3.1</t>
    </r>
    <r>
      <rPr>
        <sz val="11"/>
        <color theme="1"/>
        <rFont val="宋体"/>
        <charset val="134"/>
      </rPr>
      <t>：将法术查询的数据替换为太易的法术大全，法术大全新增专注分栏。法术书增加仪式标注。（法术大全个人是更倾向于在第一页就能看到职业栏，所以法术详情等栏的长度没拉长）</t>
    </r>
    <r>
      <rPr>
        <sz val="11"/>
        <color theme="1"/>
        <rFont val="Times New Roman"/>
        <charset val="134"/>
      </rPr>
      <t xml:space="preserve">
3.3.2</t>
    </r>
    <r>
      <rPr>
        <sz val="11"/>
        <color theme="1"/>
        <rFont val="宋体"/>
        <charset val="134"/>
      </rPr>
      <t>：不全书除</t>
    </r>
    <r>
      <rPr>
        <sz val="11"/>
        <color theme="1"/>
        <rFont val="Times New Roman"/>
        <charset val="134"/>
      </rPr>
      <t>ua</t>
    </r>
    <r>
      <rPr>
        <sz val="11"/>
        <color theme="1"/>
        <rFont val="宋体"/>
        <charset val="134"/>
      </rPr>
      <t>及第三方子职与专长收录完成，收录依据为玩家速查。</t>
    </r>
    <r>
      <rPr>
        <sz val="11"/>
        <color theme="1"/>
        <rFont val="Times New Roman"/>
        <charset val="134"/>
      </rPr>
      <t xml:space="preserve">
3.3.3</t>
    </r>
    <r>
      <rPr>
        <sz val="11"/>
        <color theme="1"/>
        <rFont val="宋体"/>
        <charset val="134"/>
      </rPr>
      <t>：新增魅力项无甲防御，增加武器攻击属性值选择。</t>
    </r>
    <r>
      <rPr>
        <sz val="11"/>
        <color theme="1"/>
        <rFont val="Times New Roman"/>
        <charset val="134"/>
      </rPr>
      <t xml:space="preserve">
3.3.4</t>
    </r>
    <r>
      <rPr>
        <sz val="11"/>
        <color theme="1"/>
        <rFont val="宋体"/>
        <charset val="134"/>
      </rPr>
      <t>：背景熟练项增加两种载具</t>
    </r>
    <r>
      <rPr>
        <sz val="11"/>
        <color theme="1"/>
        <rFont val="Times New Roman"/>
        <charset val="134"/>
      </rPr>
      <t xml:space="preserve">
3.3.5</t>
    </r>
    <r>
      <rPr>
        <sz val="11"/>
        <color theme="1"/>
        <rFont val="宋体"/>
        <charset val="134"/>
      </rPr>
      <t>：部分名称修改</t>
    </r>
    <r>
      <rPr>
        <sz val="11"/>
        <color theme="1"/>
        <rFont val="Times New Roman"/>
        <charset val="134"/>
      </rPr>
      <t xml:space="preserve">
3.3.6</t>
    </r>
    <r>
      <rPr>
        <sz val="11"/>
        <color theme="1"/>
        <rFont val="宋体"/>
        <charset val="134"/>
      </rPr>
      <t>：修复</t>
    </r>
    <r>
      <rPr>
        <sz val="11"/>
        <color theme="1"/>
        <rFont val="Times New Roman"/>
        <charset val="134"/>
      </rPr>
      <t>bug</t>
    </r>
    <r>
      <rPr>
        <sz val="11"/>
        <color theme="1"/>
        <rFont val="宋体"/>
        <charset val="134"/>
      </rPr>
      <t>，增加部分个人房规选用项（游侠改为准备施法者）</t>
    </r>
    <r>
      <rPr>
        <sz val="11"/>
        <color theme="1"/>
        <rFont val="Times New Roman"/>
        <charset val="134"/>
      </rPr>
      <t xml:space="preserve">
3.3.7</t>
    </r>
    <r>
      <rPr>
        <sz val="11"/>
        <color theme="1"/>
        <rFont val="宋体"/>
        <charset val="134"/>
      </rPr>
      <t>：修复当属性调整值为负时武器伤害计算出错的</t>
    </r>
    <r>
      <rPr>
        <sz val="11"/>
        <color theme="1"/>
        <rFont val="Times New Roman"/>
        <charset val="134"/>
      </rPr>
      <t>bug</t>
    </r>
    <r>
      <rPr>
        <sz val="11"/>
        <color theme="1"/>
        <rFont val="宋体"/>
        <charset val="134"/>
      </rPr>
      <t>。</t>
    </r>
    <r>
      <rPr>
        <sz val="11"/>
        <color theme="1"/>
        <rFont val="Times New Roman"/>
        <charset val="134"/>
      </rPr>
      <t xml:space="preserve">
3.3.8</t>
    </r>
    <r>
      <rPr>
        <sz val="11"/>
        <color theme="1"/>
        <rFont val="宋体"/>
        <charset val="134"/>
      </rPr>
      <t>：种族补充完成，种族特性增加自动选取（待校对）。</t>
    </r>
    <r>
      <rPr>
        <sz val="11"/>
        <color theme="1"/>
        <rFont val="Times New Roman"/>
        <charset val="134"/>
      </rPr>
      <t xml:space="preserve">
3.3.9</t>
    </r>
    <r>
      <rPr>
        <sz val="11"/>
        <color theme="1"/>
        <rFont val="宋体"/>
        <charset val="134"/>
      </rPr>
      <t>：专长校对完成（依据为</t>
    </r>
    <r>
      <rPr>
        <sz val="11"/>
        <color theme="1"/>
        <rFont val="Times New Roman"/>
        <charset val="134"/>
      </rPr>
      <t>24.6.1</t>
    </r>
    <r>
      <rPr>
        <sz val="11"/>
        <color theme="1"/>
        <rFont val="宋体"/>
        <charset val="134"/>
      </rPr>
      <t>版不全书），补上了奇械学徒，法术书查询部分增加下拉栏，增加房规武器</t>
    </r>
    <r>
      <rPr>
        <sz val="11"/>
        <color theme="1"/>
        <rFont val="Times New Roman"/>
        <charset val="134"/>
      </rPr>
      <t>-</t>
    </r>
    <r>
      <rPr>
        <sz val="11"/>
        <color theme="1"/>
        <rFont val="宋体"/>
        <charset val="134"/>
      </rPr>
      <t>巨镰与蛮子无甲防御计算公式，修改部分主要界面布局（护甲与武器类型格拉长）。特殊词条武器在特性中增加注释</t>
    </r>
    <r>
      <rPr>
        <sz val="11"/>
        <color theme="1"/>
        <rFont val="Times New Roman"/>
        <charset val="134"/>
      </rPr>
      <t xml:space="preserve">
————————————
3.4.0</t>
    </r>
    <r>
      <rPr>
        <sz val="11"/>
        <color theme="1"/>
        <rFont val="宋体"/>
        <charset val="134"/>
      </rPr>
      <t xml:space="preserve">：
各处外观布局更改。法术书扩位，法术大全的职业归属校对完成。增加技能熟练与专精的区分度（熟练为变蓝加粗，专精额外斜体，诗人万事通不改变），主要页面增加城主激励获取指示（也可以用来指示诗人激励）。
</t>
    </r>
    <r>
      <rPr>
        <sz val="11"/>
        <color theme="1"/>
        <rFont val="Times New Roman"/>
        <charset val="134"/>
      </rPr>
      <t>3.4.1</t>
    </r>
    <r>
      <rPr>
        <sz val="11"/>
        <color theme="1"/>
        <rFont val="宋体"/>
        <charset val="134"/>
      </rPr>
      <t>：
种族特性校对完成（依据为</t>
    </r>
    <r>
      <rPr>
        <sz val="11"/>
        <color theme="1"/>
        <rFont val="Times New Roman"/>
        <charset val="134"/>
      </rPr>
      <t>24.6.25</t>
    </r>
    <r>
      <rPr>
        <sz val="11"/>
        <color theme="1"/>
        <rFont val="宋体"/>
        <charset val="134"/>
      </rPr>
      <t>版不全书），增加</t>
    </r>
    <r>
      <rPr>
        <sz val="11"/>
        <color theme="1"/>
        <rFont val="Times New Roman"/>
        <charset val="134"/>
      </rPr>
      <t xml:space="preserve"> </t>
    </r>
    <r>
      <rPr>
        <sz val="11"/>
        <color theme="1"/>
        <rFont val="宋体"/>
        <charset val="134"/>
      </rPr>
      <t>生物种类</t>
    </r>
    <r>
      <rPr>
        <sz val="11"/>
        <color theme="1"/>
        <rFont val="Times New Roman"/>
        <charset val="134"/>
      </rPr>
      <t xml:space="preserve"> </t>
    </r>
    <r>
      <rPr>
        <sz val="11"/>
        <color theme="1"/>
        <rFont val="宋体"/>
        <charset val="134"/>
      </rPr>
      <t>选项。主页下方布局修改，魔宠熟练计算更改为</t>
    </r>
    <r>
      <rPr>
        <sz val="11"/>
        <color theme="1"/>
        <rFont val="Times New Roman"/>
        <charset val="134"/>
      </rPr>
      <t>CR</t>
    </r>
    <r>
      <rPr>
        <sz val="11"/>
        <color theme="1"/>
        <rFont val="宋体"/>
        <charset val="134"/>
      </rPr>
      <t xml:space="preserve">而非等级，合并属性、动作、特性栏。新增骰娘导入页面，增加快速录卡功能。
</t>
    </r>
    <r>
      <rPr>
        <sz val="11"/>
        <color theme="1"/>
        <rFont val="Times New Roman"/>
        <charset val="134"/>
      </rPr>
      <t>3.4.2</t>
    </r>
    <r>
      <rPr>
        <sz val="11"/>
        <color theme="1"/>
        <rFont val="宋体"/>
        <charset val="134"/>
      </rPr>
      <t xml:space="preserve">：
</t>
    </r>
    <r>
      <rPr>
        <sz val="11"/>
        <color theme="1"/>
        <rFont val="Times New Roman"/>
        <charset val="134"/>
      </rPr>
      <t>bug</t>
    </r>
    <r>
      <rPr>
        <sz val="11"/>
        <color theme="1"/>
        <rFont val="宋体"/>
        <charset val="134"/>
      </rPr>
      <t>修复，部分公式优化，增加职业主子职区分，自动化优化</t>
    </r>
    <r>
      <rPr>
        <sz val="11"/>
        <color theme="1"/>
        <rFont val="Times New Roman"/>
        <charset val="134"/>
      </rPr>
      <t>(</t>
    </r>
    <r>
      <rPr>
        <sz val="11"/>
        <color theme="1"/>
        <rFont val="宋体"/>
        <charset val="134"/>
      </rPr>
      <t>增加自动计算生命骰期望</t>
    </r>
    <r>
      <rPr>
        <sz val="11"/>
        <color theme="1"/>
        <rFont val="Times New Roman"/>
        <charset val="134"/>
      </rPr>
      <t>),</t>
    </r>
    <r>
      <rPr>
        <sz val="11"/>
        <color theme="1"/>
        <rFont val="宋体"/>
        <charset val="134"/>
      </rPr>
      <t>主要页面法术的仪式与专注标识可视化优化（由于发现灰灰卡似乎是</t>
    </r>
    <r>
      <rPr>
        <sz val="11"/>
        <color theme="1"/>
        <rFont val="Times New Roman"/>
        <charset val="134"/>
      </rPr>
      <t>bug</t>
    </r>
    <r>
      <rPr>
        <sz val="11"/>
        <color theme="1"/>
        <rFont val="宋体"/>
        <charset val="134"/>
      </rPr>
      <t>在运行，所以发挥了一点犟人精神），职业特性缓慢校对进行中（依据为</t>
    </r>
    <r>
      <rPr>
        <sz val="11"/>
        <color theme="1"/>
        <rFont val="Times New Roman"/>
        <charset val="134"/>
      </rPr>
      <t>24.6.25</t>
    </r>
    <r>
      <rPr>
        <sz val="11"/>
        <color theme="1"/>
        <rFont val="宋体"/>
        <charset val="134"/>
      </rPr>
      <t>版不全书）。</t>
    </r>
    <r>
      <rPr>
        <sz val="11"/>
        <color theme="1"/>
        <rFont val="Times New Roman"/>
        <charset val="134"/>
      </rPr>
      <t xml:space="preserve">
3.4.3</t>
    </r>
    <r>
      <rPr>
        <sz val="11"/>
        <color theme="1"/>
        <rFont val="宋体"/>
        <charset val="134"/>
      </rPr>
      <t>：
法术书页面法术查询方式优化，在下拉栏中选择法术时，左侧会直接显示法术详情。（注：在其余地方修改单元格内容后，速查这里会显示为空）
护甲增加属性查询（无甲防御公式与隐匿劣势和力量需求）。
主要界面单元格大小与部分单元格内容对齐修改。
武器增加徒手攻击选项，敏捷魅力无甲选项改名为舞蹈诗。</t>
    </r>
    <r>
      <rPr>
        <sz val="11"/>
        <color theme="1"/>
        <rFont val="Times New Roman"/>
        <charset val="134"/>
      </rPr>
      <t xml:space="preserve">
3.4.4</t>
    </r>
    <r>
      <rPr>
        <sz val="11"/>
        <color theme="1"/>
        <rFont val="宋体"/>
        <charset val="134"/>
      </rPr>
      <t>：职业特性增加等级选项，修复</t>
    </r>
    <r>
      <rPr>
        <sz val="11"/>
        <color theme="1"/>
        <rFont val="Times New Roman"/>
        <charset val="134"/>
      </rPr>
      <t>bug</t>
    </r>
    <r>
      <rPr>
        <sz val="11"/>
        <color theme="1"/>
        <rFont val="宋体"/>
        <charset val="134"/>
      </rPr>
      <t xml:space="preserve">，增加法力值变体说明，额外法术的下拉栏内容优化。
</t>
    </r>
    <r>
      <rPr>
        <sz val="11"/>
        <color theme="1"/>
        <rFont val="Times New Roman"/>
        <charset val="134"/>
      </rPr>
      <t>3.4.5</t>
    </r>
    <r>
      <rPr>
        <sz val="11"/>
        <color theme="1"/>
        <rFont val="宋体"/>
        <charset val="134"/>
      </rPr>
      <t>：属性豁免熟练的选职责更改为下拉栏而非勾选框，以适配不同的软件。
（这可能是最后一次更新，之后会改为</t>
    </r>
    <r>
      <rPr>
        <sz val="11"/>
        <color theme="1"/>
        <rFont val="Times New Roman"/>
        <charset val="134"/>
      </rPr>
      <t>2024</t>
    </r>
    <r>
      <rPr>
        <sz val="11"/>
        <color theme="1"/>
        <rFont val="宋体"/>
        <charset val="134"/>
      </rPr>
      <t>版本内容）</t>
    </r>
  </si>
  <si>
    <r>
      <rPr>
        <b/>
        <sz val="11"/>
        <color theme="0"/>
        <rFont val="宋体"/>
        <charset val="134"/>
      </rPr>
      <t>修订者</t>
    </r>
  </si>
  <si>
    <t>辅助修订者</t>
  </si>
  <si>
    <r>
      <rPr>
        <b/>
        <sz val="11"/>
        <color theme="1"/>
        <rFont val="宋体"/>
        <charset val="134"/>
      </rPr>
      <t>似雨悲灵</t>
    </r>
  </si>
  <si>
    <r>
      <rPr>
        <sz val="11"/>
        <color theme="1"/>
        <rFont val="宋体"/>
        <charset val="134"/>
      </rPr>
      <t>特别鸣谢</t>
    </r>
    <r>
      <rPr>
        <b/>
        <sz val="11"/>
        <color theme="1"/>
        <rFont val="Times New Roman"/>
        <charset val="134"/>
      </rPr>
      <t>MadMax</t>
    </r>
    <r>
      <rPr>
        <sz val="11"/>
        <color theme="1"/>
        <rFont val="宋体"/>
        <charset val="134"/>
      </rPr>
      <t>，</t>
    </r>
    <r>
      <rPr>
        <b/>
        <sz val="11"/>
        <color theme="1"/>
        <rFont val="宋体"/>
        <charset val="134"/>
      </rPr>
      <t>小小苏</t>
    </r>
    <r>
      <rPr>
        <sz val="11"/>
        <color theme="1"/>
        <rFont val="宋体"/>
        <charset val="134"/>
      </rPr>
      <t>，</t>
    </r>
    <r>
      <rPr>
        <b/>
        <sz val="11"/>
        <color theme="1"/>
        <rFont val="宋体"/>
        <charset val="134"/>
      </rPr>
      <t>泉</t>
    </r>
    <r>
      <rPr>
        <sz val="11"/>
        <color theme="1"/>
        <rFont val="宋体"/>
        <charset val="134"/>
      </rPr>
      <t>，</t>
    </r>
    <r>
      <rPr>
        <b/>
        <sz val="11"/>
        <color theme="1"/>
        <rFont val="Times New Roman"/>
        <charset val="134"/>
      </rPr>
      <t>Ejectam719</t>
    </r>
    <r>
      <rPr>
        <sz val="11"/>
        <color theme="1"/>
        <rFont val="Times New Roman"/>
        <charset val="134"/>
      </rPr>
      <t xml:space="preserve"> </t>
    </r>
    <r>
      <rPr>
        <sz val="11"/>
        <color theme="1"/>
        <rFont val="宋体"/>
        <charset val="134"/>
      </rPr>
      <t>几位辅助修订者在自动卡体验优化，录入数据等等方面上的帮助，排名仅代表时间顺序</t>
    </r>
  </si>
  <si>
    <r>
      <rPr>
        <sz val="11"/>
        <color theme="1"/>
        <rFont val="Times New Roman"/>
        <charset val="134"/>
      </rPr>
      <t>QQ</t>
    </r>
    <r>
      <rPr>
        <sz val="11"/>
        <color theme="1"/>
        <rFont val="宋体"/>
        <charset val="134"/>
      </rPr>
      <t>：</t>
    </r>
    <r>
      <rPr>
        <sz val="11"/>
        <color theme="1"/>
        <rFont val="Times New Roman"/>
        <charset val="134"/>
      </rPr>
      <t>763369713</t>
    </r>
  </si>
  <si>
    <r>
      <rPr>
        <sz val="11"/>
        <color theme="1"/>
        <rFont val="宋体"/>
        <charset val="134"/>
      </rPr>
      <t>反馈兼交流群：</t>
    </r>
    <r>
      <rPr>
        <sz val="11"/>
        <color theme="1"/>
        <rFont val="Times New Roman"/>
        <charset val="134"/>
      </rPr>
      <t>712629131</t>
    </r>
  </si>
  <si>
    <r>
      <rPr>
        <b/>
        <sz val="14"/>
        <color theme="1"/>
        <rFont val="宋体"/>
        <charset val="134"/>
      </rPr>
      <t>这张卡不禁止二次修改</t>
    </r>
  </si>
  <si>
    <r>
      <rPr>
        <b/>
        <sz val="14"/>
        <color theme="1"/>
        <rFont val="宋体"/>
        <charset val="134"/>
      </rPr>
      <t>也欢迎联系我反馈</t>
    </r>
    <r>
      <rPr>
        <b/>
        <sz val="14"/>
        <color theme="1"/>
        <rFont val="Times New Roman"/>
        <charset val="134"/>
      </rPr>
      <t>bug</t>
    </r>
    <r>
      <rPr>
        <b/>
        <sz val="14"/>
        <color theme="1"/>
        <rFont val="宋体"/>
        <charset val="134"/>
      </rPr>
      <t>或增加新功能</t>
    </r>
  </si>
  <si>
    <r>
      <rPr>
        <sz val="11"/>
        <color theme="1"/>
        <rFont val="Times New Roman"/>
        <charset val="134"/>
      </rPr>
      <t>0.5.1</t>
    </r>
    <r>
      <rPr>
        <sz val="11"/>
        <color theme="1"/>
        <rFont val="宋体"/>
        <charset val="134"/>
      </rPr>
      <t>：
种族由</t>
    </r>
    <r>
      <rPr>
        <b/>
        <sz val="11"/>
        <color theme="1"/>
        <rFont val="Times New Roman"/>
        <charset val="134"/>
      </rPr>
      <t>MadMax</t>
    </r>
    <r>
      <rPr>
        <sz val="11"/>
        <color theme="1"/>
        <rFont val="宋体"/>
        <charset val="134"/>
      </rPr>
      <t>收录完成（目前已收录不全书除</t>
    </r>
    <r>
      <rPr>
        <sz val="11"/>
        <color theme="1"/>
        <rFont val="Times New Roman"/>
        <charset val="134"/>
      </rPr>
      <t>SCAG</t>
    </r>
    <r>
      <rPr>
        <sz val="11"/>
        <color theme="1"/>
        <rFont val="宋体"/>
        <charset val="134"/>
      </rPr>
      <t>、合作方与</t>
    </r>
    <r>
      <rPr>
        <sz val="11"/>
        <color theme="1"/>
        <rFont val="Times New Roman"/>
        <charset val="134"/>
      </rPr>
      <t>UA</t>
    </r>
    <r>
      <rPr>
        <sz val="11"/>
        <color theme="1"/>
        <rFont val="宋体"/>
        <charset val="134"/>
      </rPr>
      <t>全部扩展！）
克苏鲁扩展由</t>
    </r>
    <r>
      <rPr>
        <b/>
        <sz val="11"/>
        <color theme="1"/>
        <rFont val="宋体"/>
        <charset val="134"/>
      </rPr>
      <t>泉</t>
    </r>
    <r>
      <rPr>
        <sz val="11"/>
        <color theme="1"/>
        <rFont val="宋体"/>
        <charset val="134"/>
      </rPr>
      <t xml:space="preserve">收录完成
做了一些细节优化
</t>
    </r>
    <r>
      <rPr>
        <sz val="11"/>
        <color theme="1"/>
        <rFont val="Times New Roman"/>
        <charset val="134"/>
      </rPr>
      <t>0.5.2</t>
    </r>
    <r>
      <rPr>
        <sz val="11"/>
        <color theme="1"/>
        <rFont val="宋体"/>
        <charset val="134"/>
      </rPr>
      <t>：
新增扩展内容包含资源的注释
血猎手职业收录
荒洲探险家指南收录（除种族）</t>
    </r>
    <r>
      <rPr>
        <sz val="11"/>
        <color theme="1"/>
        <rFont val="Times New Roman"/>
        <charset val="134"/>
      </rPr>
      <t xml:space="preserve">
0.5.3</t>
    </r>
    <r>
      <rPr>
        <sz val="11"/>
        <color theme="1"/>
        <rFont val="宋体"/>
        <charset val="134"/>
      </rPr>
      <t xml:space="preserve">：德拉肯海姆扩展收录（未收录污染法术）；主要界面布局修改，私货再次删除
</t>
    </r>
    <r>
      <rPr>
        <sz val="11"/>
        <color theme="1"/>
        <rFont val="Times New Roman"/>
        <charset val="134"/>
      </rPr>
      <t>0.5.4</t>
    </r>
    <r>
      <rPr>
        <sz val="11"/>
        <color theme="1"/>
        <rFont val="宋体"/>
        <charset val="134"/>
      </rPr>
      <t xml:space="preserve">：自定义新增专长、战风与背景
</t>
    </r>
    <r>
      <rPr>
        <sz val="11"/>
        <color theme="1"/>
        <rFont val="Times New Roman"/>
        <charset val="134"/>
      </rPr>
      <t>0.5.5</t>
    </r>
    <r>
      <rPr>
        <sz val="11"/>
        <color theme="1"/>
        <rFont val="宋体"/>
        <charset val="134"/>
      </rPr>
      <t>：塔尔多雷扩展收录，</t>
    </r>
    <r>
      <rPr>
        <sz val="11"/>
        <color theme="1"/>
        <rFont val="Times New Roman"/>
        <charset val="134"/>
      </rPr>
      <t>BUG</t>
    </r>
    <r>
      <rPr>
        <sz val="11"/>
        <color theme="1"/>
        <rFont val="宋体"/>
        <charset val="134"/>
      </rPr>
      <t xml:space="preserve">修复，部分区域的公式调整，背包速查增加价格显示
</t>
    </r>
    <r>
      <rPr>
        <sz val="11"/>
        <color theme="1"/>
        <rFont val="Times New Roman"/>
        <charset val="134"/>
      </rPr>
      <t>0.5.6</t>
    </r>
    <r>
      <rPr>
        <sz val="11"/>
        <color theme="1"/>
        <rFont val="宋体"/>
        <charset val="134"/>
      </rPr>
      <t xml:space="preserve">：将部分注释更换为输入信息，减少红色角标数量
</t>
    </r>
    <r>
      <rPr>
        <sz val="11"/>
        <color theme="1"/>
        <rFont val="Times New Roman"/>
        <charset val="134"/>
      </rPr>
      <t>0.5.7</t>
    </r>
    <r>
      <rPr>
        <sz val="11"/>
        <color theme="1"/>
        <rFont val="宋体"/>
        <charset val="134"/>
      </rPr>
      <t>：
秘密尖塔、歪曲之月和胧忆岛扩展收录，法术大全颜色区分完善
以上由</t>
    </r>
    <r>
      <rPr>
        <b/>
        <sz val="11"/>
        <color theme="1"/>
        <rFont val="Times New Roman"/>
        <charset val="134"/>
      </rPr>
      <t>MadMax</t>
    </r>
    <r>
      <rPr>
        <sz val="11"/>
        <color theme="1"/>
        <rFont val="宋体"/>
        <charset val="134"/>
      </rPr>
      <t xml:space="preserve">完成
主要页面装备区块布局修改，完善了部分公式
</t>
    </r>
    <r>
      <rPr>
        <sz val="11"/>
        <color theme="1"/>
        <rFont val="Times New Roman"/>
        <charset val="134"/>
      </rPr>
      <t>0.5.8</t>
    </r>
    <r>
      <rPr>
        <sz val="11"/>
        <color theme="1"/>
        <rFont val="宋体"/>
        <charset val="134"/>
      </rPr>
      <t xml:space="preserve">：主要界面布局修改，增加特殊能力计数，删除劣势格
</t>
    </r>
    <r>
      <rPr>
        <sz val="11"/>
        <color theme="1"/>
        <rFont val="Times New Roman"/>
        <charset val="134"/>
      </rPr>
      <t>0.5.9</t>
    </r>
    <r>
      <rPr>
        <sz val="11"/>
        <color theme="1"/>
        <rFont val="宋体"/>
        <charset val="134"/>
      </rPr>
      <t>：邪狱使，鬼魅幽谷收录完成，据点页面加入设施速查与规则描述</t>
    </r>
    <r>
      <rPr>
        <sz val="11"/>
        <color theme="1"/>
        <rFont val="Times New Roman"/>
        <charset val="134"/>
      </rPr>
      <t xml:space="preserve">
0.6.0</t>
    </r>
    <r>
      <rPr>
        <sz val="11"/>
        <color theme="1"/>
        <rFont val="宋体"/>
        <charset val="134"/>
      </rPr>
      <t xml:space="preserve">：被偷偷吃掉了
</t>
    </r>
    <r>
      <rPr>
        <sz val="11"/>
        <color theme="1"/>
        <rFont val="Times New Roman"/>
        <charset val="134"/>
      </rPr>
      <t>———————
0.7.0</t>
    </r>
    <r>
      <rPr>
        <sz val="11"/>
        <color theme="1"/>
        <rFont val="宋体"/>
        <charset val="134"/>
      </rPr>
      <t xml:space="preserve">：谦卑林，狮鹫的鞍中珍宝以及黯潮之术收录完成，法术大全部分学派颜色更改
</t>
    </r>
    <r>
      <rPr>
        <b/>
        <sz val="11"/>
        <color theme="1"/>
        <rFont val="宋体"/>
        <charset val="134"/>
      </rPr>
      <t>除去</t>
    </r>
    <r>
      <rPr>
        <b/>
        <sz val="11"/>
        <color theme="1"/>
        <rFont val="Times New Roman"/>
        <charset val="134"/>
      </rPr>
      <t>FR</t>
    </r>
    <r>
      <rPr>
        <b/>
        <sz val="11"/>
        <color theme="1"/>
        <rFont val="宋体"/>
        <charset val="134"/>
      </rPr>
      <t xml:space="preserve">和艾伯伦以外的资源已全部收录！
</t>
    </r>
    <r>
      <rPr>
        <sz val="11"/>
        <color theme="1"/>
        <rFont val="Times New Roman"/>
        <charset val="134"/>
      </rPr>
      <t>0.7.1</t>
    </r>
    <r>
      <rPr>
        <sz val="11"/>
        <color theme="1"/>
        <rFont val="宋体"/>
        <charset val="134"/>
      </rPr>
      <t xml:space="preserve">：主要界面职业特性布局恢复
</t>
    </r>
    <r>
      <rPr>
        <sz val="11"/>
        <color theme="1"/>
        <rFont val="Times New Roman"/>
        <charset val="134"/>
      </rPr>
      <t>0.7.2</t>
    </r>
    <r>
      <rPr>
        <sz val="11"/>
        <color theme="1"/>
        <rFont val="宋体"/>
        <charset val="134"/>
      </rPr>
      <t>：补上了消失的</t>
    </r>
    <r>
      <rPr>
        <sz val="11"/>
        <color theme="1"/>
        <rFont val="Times New Roman"/>
        <charset val="134"/>
      </rPr>
      <t>0.6</t>
    </r>
    <r>
      <rPr>
        <sz val="11"/>
        <color theme="1"/>
        <rFont val="宋体"/>
        <charset val="134"/>
      </rPr>
      <t xml:space="preserve">版本的描述，修改了此页面的布局（这种事情也算一个小版本更新吗，哈基灵你这家伙）
</t>
    </r>
    <r>
      <rPr>
        <sz val="11"/>
        <color theme="1"/>
        <rFont val="Times New Roman"/>
        <charset val="134"/>
      </rPr>
      <t>0.7.3</t>
    </r>
    <r>
      <rPr>
        <sz val="11"/>
        <color theme="1"/>
        <rFont val="宋体"/>
        <charset val="134"/>
      </rPr>
      <t xml:space="preserve">：法术大全按照环位排序，被遗忘的国度：费伦英雄收录
</t>
    </r>
    <r>
      <rPr>
        <sz val="11"/>
        <color theme="1"/>
        <rFont val="Times New Roman"/>
        <charset val="134"/>
      </rPr>
      <t>0.7.3.1</t>
    </r>
    <r>
      <rPr>
        <sz val="11"/>
        <color theme="1"/>
        <rFont val="宋体"/>
        <charset val="134"/>
      </rPr>
      <t xml:space="preserve">：洛温：初光收录
</t>
    </r>
    <r>
      <rPr>
        <sz val="11"/>
        <color theme="1"/>
        <rFont val="Times New Roman"/>
        <charset val="134"/>
      </rPr>
      <t>0.7.4</t>
    </r>
    <r>
      <rPr>
        <sz val="11"/>
        <color theme="1"/>
        <rFont val="宋体"/>
        <charset val="134"/>
      </rPr>
      <t xml:space="preserve">：增加生命骰自动显示（无兼职情况显示主职业，有兼职时不显示）
</t>
    </r>
    <r>
      <rPr>
        <sz val="11"/>
        <color theme="1"/>
        <rFont val="Times New Roman"/>
        <charset val="134"/>
      </rPr>
      <t>0.7.4.1</t>
    </r>
    <r>
      <rPr>
        <sz val="11"/>
        <color theme="1"/>
        <rFont val="宋体"/>
        <charset val="134"/>
      </rPr>
      <t>：魔契师职业选取</t>
    </r>
    <r>
      <rPr>
        <sz val="11"/>
        <color theme="1"/>
        <rFont val="Times New Roman"/>
        <charset val="134"/>
      </rPr>
      <t>bug</t>
    </r>
    <r>
      <rPr>
        <sz val="11"/>
        <color theme="1"/>
        <rFont val="宋体"/>
        <charset val="134"/>
      </rPr>
      <t xml:space="preserve">修复，经验条进度更改为下一级
</t>
    </r>
    <r>
      <rPr>
        <sz val="11"/>
        <color theme="1"/>
        <rFont val="Times New Roman"/>
        <charset val="134"/>
      </rPr>
      <t>0.7.4.2</t>
    </r>
    <r>
      <rPr>
        <sz val="11"/>
        <color theme="1"/>
        <rFont val="宋体"/>
        <charset val="134"/>
      </rPr>
      <t>：删除辅助修订者的</t>
    </r>
    <r>
      <rPr>
        <sz val="11"/>
        <color theme="1"/>
        <rFont val="Times New Roman"/>
        <charset val="134"/>
      </rPr>
      <t>QQ</t>
    </r>
    <r>
      <rPr>
        <sz val="11"/>
        <color theme="1"/>
        <rFont val="宋体"/>
        <charset val="134"/>
      </rPr>
      <t xml:space="preserve">号记录，优化经验条选项
</t>
    </r>
    <r>
      <rPr>
        <sz val="11"/>
        <color theme="1"/>
        <rFont val="Times New Roman"/>
        <charset val="134"/>
      </rPr>
      <t>0.7.5</t>
    </r>
    <r>
      <rPr>
        <sz val="11"/>
        <color theme="1"/>
        <rFont val="宋体"/>
        <charset val="134"/>
      </rPr>
      <t>：在自定义页面增加了</t>
    </r>
    <r>
      <rPr>
        <sz val="11"/>
        <color theme="1"/>
        <rFont val="Times New Roman"/>
        <charset val="134"/>
      </rPr>
      <t>27buy</t>
    </r>
    <r>
      <rPr>
        <sz val="11"/>
        <color theme="1"/>
        <rFont val="宋体"/>
        <charset val="134"/>
      </rPr>
      <t>计算器，把部分公式回退以支持移动端更改自动卡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</si>
</sst>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quot;尺&quot;"/>
    <numFmt numFmtId="177" formatCode="0&quot;LB&quot;"/>
    <numFmt numFmtId="178" formatCode="General&quot;gp&quot;"/>
  </numFmts>
  <fonts count="143">
    <font>
      <sz val="11"/>
      <color theme="1"/>
      <name val="宋体"/>
      <charset val="134"/>
      <scheme val="minor"/>
    </font>
    <font>
      <sz val="11"/>
      <color theme="1"/>
      <name val="Times New Roman"/>
      <charset val="134"/>
    </font>
    <font>
      <b/>
      <sz val="12"/>
      <color theme="0"/>
      <name val="Times New Roman"/>
      <charset val="134"/>
    </font>
    <font>
      <b/>
      <sz val="11"/>
      <color theme="0"/>
      <name val="Times New Roman"/>
      <charset val="134"/>
    </font>
    <font>
      <b/>
      <sz val="11"/>
      <color theme="1"/>
      <name val="Times New Roman"/>
      <charset val="134"/>
    </font>
    <font>
      <b/>
      <sz val="14"/>
      <color theme="1"/>
      <name val="Times New Roman"/>
      <charset val="134"/>
    </font>
    <font>
      <b/>
      <sz val="11"/>
      <color theme="0"/>
      <name val="宋体"/>
      <charset val="134"/>
    </font>
    <font>
      <sz val="11"/>
      <color theme="1"/>
      <name val="Times New Roman"/>
      <charset val="134"/>
    </font>
    <font>
      <sz val="10"/>
      <color theme="1"/>
      <name val="Times New Roman"/>
      <charset val="134"/>
    </font>
    <font>
      <sz val="8"/>
      <color theme="1" tint="0.499984740745262"/>
      <name val="Times New Roman"/>
      <charset val="134"/>
    </font>
    <font>
      <sz val="8"/>
      <color theme="0" tint="-0.499984740745262"/>
      <name val="Times New Roman"/>
      <charset val="134"/>
    </font>
    <font>
      <sz val="8"/>
      <color theme="0" tint="-0.349986266670736"/>
      <name val="Times New Roman"/>
      <charset val="134"/>
    </font>
    <font>
      <sz val="10"/>
      <name val="Times New Roman"/>
      <charset val="134"/>
    </font>
    <font>
      <sz val="10"/>
      <color theme="0" tint="-0.499984740745262"/>
      <name val="微软雅黑"/>
      <charset val="134"/>
    </font>
    <font>
      <sz val="12"/>
      <color theme="1"/>
      <name val="微软雅黑"/>
      <charset val="134"/>
    </font>
    <font>
      <sz val="12"/>
      <color theme="1"/>
      <name val="Times New Roman"/>
      <charset val="134"/>
    </font>
    <font>
      <sz val="10"/>
      <color theme="1"/>
      <name val="宋体"/>
      <charset val="134"/>
    </font>
    <font>
      <sz val="11"/>
      <color theme="1"/>
      <name val="宋体"/>
      <charset val="134"/>
      <scheme val="minor"/>
    </font>
    <font>
      <b/>
      <sz val="11"/>
      <color theme="0"/>
      <name val="宋体"/>
      <charset val="134"/>
      <scheme val="minor"/>
    </font>
    <font>
      <sz val="12"/>
      <color theme="1"/>
      <name val="宋体"/>
      <charset val="134"/>
      <scheme val="minor"/>
    </font>
    <font>
      <sz val="36"/>
      <color theme="1"/>
      <name val="宋体"/>
      <charset val="134"/>
      <scheme val="minor"/>
    </font>
    <font>
      <sz val="11"/>
      <color rgb="FF000000"/>
      <name val="宋体"/>
      <charset val="134"/>
    </font>
    <font>
      <sz val="11"/>
      <name val="宋体"/>
      <charset val="134"/>
    </font>
    <font>
      <sz val="11"/>
      <color theme="1"/>
      <name val="仿宋"/>
      <charset val="134"/>
    </font>
    <font>
      <sz val="11"/>
      <color theme="1"/>
      <name val="微软雅黑"/>
      <charset val="134"/>
    </font>
    <font>
      <sz val="24"/>
      <color theme="1"/>
      <name val="微软雅黑"/>
      <charset val="134"/>
    </font>
    <font>
      <b/>
      <sz val="11"/>
      <color theme="1"/>
      <name val="微软雅黑"/>
      <charset val="134"/>
    </font>
    <font>
      <sz val="10"/>
      <color theme="1"/>
      <name val="微软雅黑"/>
      <charset val="134"/>
    </font>
    <font>
      <sz val="10"/>
      <color theme="0"/>
      <name val="微软雅黑"/>
      <charset val="134"/>
    </font>
    <font>
      <b/>
      <sz val="10"/>
      <color theme="0"/>
      <name val="微软雅黑"/>
      <charset val="134"/>
    </font>
    <font>
      <b/>
      <sz val="8"/>
      <color theme="0" tint="-0.499984740745262"/>
      <name val="微软雅黑"/>
      <charset val="134"/>
    </font>
    <font>
      <sz val="9"/>
      <color theme="1"/>
      <name val="微软雅黑"/>
      <charset val="134"/>
    </font>
    <font>
      <b/>
      <sz val="10"/>
      <color rgb="FFFEEF00"/>
      <name val="微软雅黑"/>
      <charset val="134"/>
    </font>
    <font>
      <b/>
      <sz val="10"/>
      <color theme="0" tint="-0.0499893185216834"/>
      <name val="微软雅黑"/>
      <charset val="134"/>
    </font>
    <font>
      <b/>
      <sz val="10"/>
      <color theme="1"/>
      <name val="微软雅黑"/>
      <charset val="134"/>
    </font>
    <font>
      <b/>
      <sz val="10"/>
      <color rgb="FFB87333"/>
      <name val="微软雅黑"/>
      <charset val="134"/>
    </font>
    <font>
      <b/>
      <sz val="10"/>
      <color rgb="FFFFFCEB"/>
      <name val="微软雅黑"/>
      <charset val="134"/>
    </font>
    <font>
      <b/>
      <sz val="10"/>
      <color theme="7" tint="-0.249977111117893"/>
      <name val="微软雅黑"/>
      <charset val="134"/>
    </font>
    <font>
      <sz val="8"/>
      <color theme="0" tint="-0.499984740745262"/>
      <name val="微软雅黑"/>
      <charset val="134"/>
    </font>
    <font>
      <sz val="10"/>
      <color theme="1"/>
      <name val="宋体"/>
      <charset val="134"/>
      <scheme val="minor"/>
    </font>
    <font>
      <b/>
      <sz val="10"/>
      <color theme="4" tint="-0.249977111117893"/>
      <name val="微软雅黑"/>
      <charset val="134"/>
    </font>
    <font>
      <sz val="10"/>
      <color theme="0" tint="-0.349986266670736"/>
      <name val="微软雅黑"/>
      <charset val="134"/>
    </font>
    <font>
      <sz val="12"/>
      <color theme="0" tint="-0.499984740745262"/>
      <name val="微软雅黑"/>
      <charset val="134"/>
    </font>
    <font>
      <sz val="10"/>
      <name val="微软雅黑"/>
      <charset val="134"/>
    </font>
    <font>
      <b/>
      <sz val="11"/>
      <color theme="0"/>
      <name val="微软雅黑"/>
      <charset val="134"/>
    </font>
    <font>
      <sz val="11"/>
      <color theme="0" tint="-0.499984740745262"/>
      <name val="微软雅黑"/>
      <charset val="134"/>
    </font>
    <font>
      <sz val="11"/>
      <name val="微软雅黑"/>
      <charset val="134"/>
    </font>
    <font>
      <b/>
      <sz val="11"/>
      <color theme="0" tint="-0.0499893185216834"/>
      <name val="微软雅黑"/>
      <charset val="134"/>
    </font>
    <font>
      <sz val="9"/>
      <color theme="0"/>
      <name val="微软雅黑"/>
      <charset val="134"/>
    </font>
    <font>
      <sz val="11"/>
      <color theme="4"/>
      <name val="微软雅黑"/>
      <charset val="134"/>
    </font>
    <font>
      <sz val="11"/>
      <color theme="5" tint="-0.249977111117893"/>
      <name val="微软雅黑"/>
      <charset val="134"/>
    </font>
    <font>
      <sz val="11"/>
      <color theme="1"/>
      <name val="宋体"/>
      <charset val="134"/>
      <scheme val="major"/>
    </font>
    <font>
      <sz val="11"/>
      <color theme="1"/>
      <name val="宋体"/>
      <charset val="134"/>
    </font>
    <font>
      <sz val="11"/>
      <color theme="1"/>
      <name val="宋体"/>
      <charset val="134"/>
    </font>
    <font>
      <b/>
      <sz val="11"/>
      <color theme="1"/>
      <name val="宋体"/>
      <charset val="134"/>
      <scheme val="minor"/>
    </font>
    <font>
      <b/>
      <sz val="11"/>
      <name val="宋体"/>
      <charset val="134"/>
    </font>
    <font>
      <sz val="11"/>
      <name val="宋体"/>
      <charset val="134"/>
      <scheme val="minor"/>
    </font>
    <font>
      <b/>
      <i/>
      <u/>
      <sz val="11"/>
      <color rgb="FFFF0000"/>
      <name val="宋体"/>
      <charset val="134"/>
    </font>
    <font>
      <b/>
      <sz val="11"/>
      <color theme="1"/>
      <name val="宋体"/>
      <charset val="134"/>
    </font>
    <font>
      <sz val="10"/>
      <color theme="1"/>
      <name val="宋体"/>
      <charset val="134"/>
    </font>
    <font>
      <sz val="10"/>
      <color rgb="FF000000"/>
      <name val="宋体"/>
      <charset val="134"/>
    </font>
    <font>
      <sz val="10"/>
      <name val="宋体"/>
      <charset val="134"/>
    </font>
    <font>
      <sz val="10"/>
      <color theme="1"/>
      <name val="Times New Roman"/>
      <charset val="134"/>
    </font>
    <font>
      <sz val="10"/>
      <color theme="0"/>
      <name val="Times New Roman"/>
      <charset val="134"/>
    </font>
    <font>
      <sz val="11"/>
      <color theme="0"/>
      <name val="宋体"/>
      <charset val="134"/>
    </font>
    <font>
      <sz val="10"/>
      <color theme="0"/>
      <name val="宋体"/>
      <charset val="134"/>
    </font>
    <font>
      <sz val="11"/>
      <name val="Times New Roman"/>
      <charset val="134"/>
    </font>
    <font>
      <sz val="11"/>
      <color rgb="FF00B050"/>
      <name val="Times New Roman"/>
      <charset val="134"/>
    </font>
    <font>
      <sz val="10"/>
      <color theme="8" tint="-0.499984740745262"/>
      <name val="Times New Roman"/>
      <charset val="134"/>
    </font>
    <font>
      <sz val="11"/>
      <name val="宋体"/>
      <charset val="134"/>
    </font>
    <font>
      <sz val="11"/>
      <color rgb="FF000000"/>
      <name val="Times New Roman"/>
      <charset val="134"/>
    </font>
    <font>
      <sz val="10"/>
      <color theme="1"/>
      <name val="微软雅黑"/>
      <charset val="134"/>
    </font>
    <font>
      <sz val="9"/>
      <color theme="1"/>
      <name val="宋体"/>
      <charset val="134"/>
    </font>
    <font>
      <b/>
      <sz val="10"/>
      <color theme="0" tint="-0.499984740745262"/>
      <name val="微软雅黑"/>
      <charset val="134"/>
    </font>
    <font>
      <b/>
      <sz val="10"/>
      <color theme="4"/>
      <name val="微软雅黑"/>
      <charset val="134"/>
    </font>
    <font>
      <sz val="8"/>
      <color theme="1"/>
      <name val="微软雅黑"/>
      <charset val="134"/>
    </font>
    <font>
      <b/>
      <sz val="9"/>
      <color theme="1"/>
      <name val="微软雅黑"/>
      <charset val="134"/>
    </font>
    <font>
      <b/>
      <sz val="8"/>
      <color theme="0" tint="-0.349986266670736"/>
      <name val="微软雅黑"/>
      <charset val="134"/>
    </font>
    <font>
      <b/>
      <sz val="10"/>
      <color theme="0" tint="-0.349986266670736"/>
      <name val="微软雅黑"/>
      <charset val="134"/>
    </font>
    <font>
      <b/>
      <sz val="11"/>
      <color theme="7" tint="-0.249977111117893"/>
      <name val="微软雅黑"/>
      <charset val="134"/>
    </font>
    <font>
      <b/>
      <sz val="12"/>
      <color theme="0" tint="-0.499984740745262"/>
      <name val="微软雅黑"/>
      <charset val="134"/>
    </font>
    <font>
      <sz val="5"/>
      <color rgb="FFF7F7EB"/>
      <name val="微软雅黑"/>
      <charset val="134"/>
    </font>
    <font>
      <b/>
      <sz val="12"/>
      <color theme="7" tint="-0.249977111117893"/>
      <name val="微软雅黑"/>
      <charset val="134"/>
    </font>
    <font>
      <b/>
      <sz val="8.5"/>
      <color theme="0"/>
      <name val="微软雅黑"/>
      <charset val="134"/>
    </font>
    <font>
      <sz val="10"/>
      <color theme="0" tint="-0.249977111117893"/>
      <name val="微软雅黑"/>
      <charset val="134"/>
    </font>
    <font>
      <sz val="10"/>
      <color theme="1"/>
      <name val="Segoe UI Symbol"/>
      <charset val="134"/>
    </font>
    <font>
      <b/>
      <sz val="11"/>
      <color theme="4"/>
      <name val="微软雅黑"/>
      <charset val="134"/>
    </font>
    <font>
      <b/>
      <sz val="12"/>
      <color theme="0"/>
      <name val="微软雅黑"/>
      <charset val="134"/>
    </font>
    <font>
      <b/>
      <sz val="16"/>
      <color theme="9"/>
      <name val="微软雅黑"/>
      <charset val="134"/>
    </font>
    <font>
      <b/>
      <sz val="14"/>
      <color theme="9"/>
      <name val="微软雅黑"/>
      <charset val="134"/>
    </font>
    <font>
      <sz val="12"/>
      <color theme="0" tint="-0.249977111117893"/>
      <name val="微软雅黑"/>
      <charset val="134"/>
    </font>
    <font>
      <b/>
      <sz val="12"/>
      <color theme="4"/>
      <name val="微软雅黑"/>
      <charset val="134"/>
    </font>
    <font>
      <sz val="8.5"/>
      <color theme="1"/>
      <name val="微软雅黑"/>
      <charset val="134"/>
    </font>
    <font>
      <sz val="10"/>
      <color theme="7" tint="-0.249977111117893"/>
      <name val="微软雅黑"/>
      <charset val="134"/>
    </font>
    <font>
      <b/>
      <sz val="16"/>
      <color theme="4" tint="-0.249977111117893"/>
      <name val="微软雅黑"/>
      <charset val="134"/>
    </font>
    <font>
      <b/>
      <sz val="12"/>
      <color theme="4" tint="-0.249977111117893"/>
      <name val="微软雅黑"/>
      <charset val="134"/>
    </font>
    <font>
      <b/>
      <sz val="9"/>
      <color theme="0"/>
      <name val="微软雅黑"/>
      <charset val="134"/>
    </font>
    <font>
      <b/>
      <sz val="12"/>
      <color theme="1"/>
      <name val="微软雅黑"/>
      <charset val="134"/>
    </font>
    <font>
      <b/>
      <sz val="10"/>
      <name val="微软雅黑"/>
      <charset val="134"/>
    </font>
    <font>
      <b/>
      <sz val="11"/>
      <color theme="0" tint="-0.499984740745262"/>
      <name val="微软雅黑"/>
      <charset val="134"/>
    </font>
    <font>
      <b/>
      <sz val="9"/>
      <color theme="4"/>
      <name val="微软雅黑"/>
      <charset val="134"/>
    </font>
    <font>
      <b/>
      <sz val="11"/>
      <color theme="0" tint="-0.349986266670736"/>
      <name val="微软雅黑"/>
      <charset val="134"/>
    </font>
    <font>
      <sz val="10"/>
      <color rgb="FFF7F7EB"/>
      <name val="微软雅黑"/>
      <charset val="134"/>
    </font>
    <font>
      <sz val="8"/>
      <color theme="0"/>
      <name val="微软雅黑"/>
      <charset val="134"/>
    </font>
    <font>
      <sz val="9"/>
      <name val="微软雅黑"/>
      <charset val="134"/>
    </font>
    <font>
      <u/>
      <sz val="10"/>
      <color theme="1"/>
      <name val="微软雅黑"/>
      <charset val="134"/>
    </font>
    <font>
      <b/>
      <sz val="18"/>
      <color theme="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theme="1" tint="0.499984740745262"/>
      <name val="宋体"/>
      <charset val="134"/>
    </font>
    <font>
      <b/>
      <sz val="14"/>
      <color theme="1"/>
      <name val="宋体"/>
      <charset val="134"/>
    </font>
    <font>
      <sz val="11"/>
      <color theme="1"/>
      <name val="Arial"/>
      <charset val="134"/>
    </font>
    <font>
      <b/>
      <sz val="11"/>
      <color theme="1"/>
      <name val="仿宋"/>
      <charset val="134"/>
    </font>
    <font>
      <b/>
      <sz val="11"/>
      <color theme="1"/>
      <name val="Arial"/>
      <charset val="134"/>
    </font>
    <font>
      <sz val="10"/>
      <color theme="1"/>
      <name val="微软雅黑"/>
      <charset val="134"/>
    </font>
    <font>
      <sz val="8"/>
      <color theme="0" tint="-0.499984740745262"/>
      <name val="宋体"/>
      <charset val="134"/>
    </font>
    <font>
      <sz val="8"/>
      <color theme="0" tint="-0.349986266670736"/>
      <name val="宋体"/>
      <charset val="134"/>
    </font>
    <font>
      <b/>
      <sz val="12"/>
      <color theme="0"/>
      <name val="宋体"/>
      <charset val="134"/>
    </font>
    <font>
      <sz val="11"/>
      <color rgb="FF00B050"/>
      <name val="宋体"/>
      <charset val="134"/>
    </font>
    <font>
      <sz val="11"/>
      <color theme="1"/>
      <name val="微软雅黑"/>
      <charset val="134"/>
    </font>
    <font>
      <b/>
      <sz val="12"/>
      <color theme="0"/>
      <name val="宋体"/>
      <charset val="134"/>
    </font>
    <font>
      <sz val="11"/>
      <color theme="1"/>
      <name val="Courier New"/>
      <charset val="134"/>
    </font>
    <font>
      <sz val="10"/>
      <color theme="8" tint="-0.499984740745262"/>
      <name val="宋体"/>
      <charset val="134"/>
    </font>
    <font>
      <sz val="10"/>
      <name val="宋体"/>
      <charset val="134"/>
    </font>
    <font>
      <b/>
      <sz val="10"/>
      <name val="宋体"/>
      <charset val="134"/>
    </font>
    <font>
      <sz val="9"/>
      <name val="宋体"/>
      <charset val="134"/>
    </font>
  </fonts>
  <fills count="91">
    <fill>
      <patternFill patternType="none"/>
    </fill>
    <fill>
      <patternFill patternType="gray125"/>
    </fill>
    <fill>
      <patternFill patternType="solid">
        <fgColor rgb="FF00B0F0"/>
        <bgColor indexed="64"/>
      </patternFill>
    </fill>
    <fill>
      <patternFill patternType="solid">
        <fgColor theme="0" tint="-0.14996795556505"/>
        <bgColor indexed="64"/>
      </patternFill>
    </fill>
    <fill>
      <patternFill patternType="solid">
        <fgColor theme="6" tint="0.399945066682943"/>
        <bgColor indexed="64"/>
      </patternFill>
    </fill>
    <fill>
      <patternFill patternType="solid">
        <fgColor rgb="FFF7F7EB"/>
        <bgColor indexed="64"/>
      </patternFill>
    </fill>
    <fill>
      <patternFill patternType="solid">
        <fgColor theme="0" tint="-0.249977111117893"/>
        <bgColor indexed="64"/>
      </patternFill>
    </fill>
    <fill>
      <patternFill patternType="solid">
        <fgColor theme="0"/>
        <bgColor indexed="64"/>
      </patternFill>
    </fill>
    <fill>
      <patternFill patternType="solid">
        <fgColor theme="0" tint="-0.0499893185216834"/>
        <bgColor indexed="64"/>
      </patternFill>
    </fill>
    <fill>
      <patternFill patternType="solid">
        <fgColor theme="2"/>
        <bgColor indexed="64"/>
      </patternFill>
    </fill>
    <fill>
      <patternFill patternType="solid">
        <fgColor theme="5" tint="-0.249977111117893"/>
        <bgColor indexed="64"/>
      </patternFill>
    </fill>
    <fill>
      <patternFill patternType="solid">
        <fgColor theme="5" tint="0.399945066682943"/>
        <bgColor indexed="64"/>
      </patternFill>
    </fill>
    <fill>
      <patternFill patternType="solid">
        <fgColor rgb="FFE5DFEC"/>
        <bgColor indexed="64"/>
      </patternFill>
    </fill>
    <fill>
      <patternFill patternType="solid">
        <fgColor rgb="FFFFFF00"/>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rgb="FFFFCFAF"/>
        <bgColor indexed="64"/>
      </patternFill>
    </fill>
    <fill>
      <patternFill patternType="solid">
        <fgColor rgb="FFFEDEAB"/>
        <bgColor indexed="64"/>
      </patternFill>
    </fill>
    <fill>
      <patternFill patternType="solid">
        <fgColor rgb="FFDDD9C4"/>
        <bgColor indexed="64"/>
      </patternFill>
    </fill>
    <fill>
      <patternFill patternType="solid">
        <fgColor rgb="FFABD7FF"/>
        <bgColor indexed="64"/>
      </patternFill>
    </fill>
    <fill>
      <patternFill patternType="solid">
        <fgColor rgb="FFFDE9D9"/>
        <bgColor indexed="64"/>
      </patternFill>
    </fill>
    <fill>
      <patternFill patternType="solid">
        <fgColor rgb="FFF5D7F1"/>
        <bgColor indexed="64"/>
      </patternFill>
    </fill>
    <fill>
      <patternFill patternType="solid">
        <fgColor rgb="FFFAFEC2"/>
        <bgColor indexed="64"/>
      </patternFill>
    </fill>
    <fill>
      <patternFill patternType="solid">
        <fgColor theme="4" tint="0.799981688894314"/>
        <bgColor indexed="64"/>
      </patternFill>
    </fill>
    <fill>
      <patternFill patternType="solid">
        <fgColor theme="0" tint="-0.149998474074526"/>
        <bgColor indexed="64"/>
      </patternFill>
    </fill>
    <fill>
      <patternFill patternType="solid">
        <fgColor rgb="FFDCE6F1"/>
        <bgColor indexed="64"/>
      </patternFill>
    </fill>
    <fill>
      <patternFill patternType="solid">
        <fgColor theme="9" tint="-0.249977111117893"/>
        <bgColor indexed="64"/>
      </patternFill>
    </fill>
    <fill>
      <patternFill patternType="solid">
        <fgColor theme="0" tint="-0.499984740745262"/>
        <bgColor indexed="64"/>
      </patternFill>
    </fill>
    <fill>
      <patternFill patternType="solid">
        <fgColor rgb="FFFFD071"/>
        <bgColor indexed="64"/>
      </patternFill>
    </fill>
    <fill>
      <patternFill patternType="solid">
        <fgColor rgb="FFEAEAEA"/>
        <bgColor indexed="64"/>
      </patternFill>
    </fill>
    <fill>
      <patternFill patternType="solid">
        <fgColor rgb="FFE3A99D"/>
        <bgColor indexed="64"/>
      </patternFill>
    </fill>
    <fill>
      <patternFill patternType="solid">
        <fgColor rgb="FFDDE4EF"/>
        <bgColor indexed="64"/>
      </patternFill>
    </fill>
    <fill>
      <patternFill patternType="solid">
        <fgColor theme="7" tint="0.799951170384838"/>
        <bgColor indexed="64"/>
      </patternFill>
    </fill>
    <fill>
      <patternFill patternType="solid">
        <fgColor theme="2" tint="-0.499984740745262"/>
        <bgColor indexed="64"/>
      </patternFill>
    </fill>
    <fill>
      <patternFill patternType="solid">
        <fgColor theme="4" tint="0.799951170384838"/>
        <bgColor indexed="64"/>
      </patternFill>
    </fill>
    <fill>
      <patternFill patternType="solid">
        <fgColor theme="7" tint="0.399945066682943"/>
        <bgColor indexed="64"/>
      </patternFill>
    </fill>
    <fill>
      <patternFill patternType="solid">
        <fgColor theme="5" tint="0.799981688894314"/>
        <bgColor indexed="64"/>
      </patternFill>
    </fill>
    <fill>
      <patternFill patternType="solid">
        <fgColor theme="2" tint="-0.0999786370433668"/>
        <bgColor indexed="64"/>
      </patternFill>
    </fill>
    <fill>
      <patternFill patternType="solid">
        <fgColor theme="9" tint="0.79995117038483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EEEEEE"/>
        <bgColor indexed="64"/>
      </patternFill>
    </fill>
    <fill>
      <patternFill patternType="solid">
        <fgColor rgb="FFFFF2CC"/>
        <bgColor indexed="64"/>
      </patternFill>
    </fill>
    <fill>
      <patternFill patternType="solid">
        <fgColor rgb="FFFFD966"/>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92D050"/>
        <bgColor indexed="64"/>
      </patternFill>
    </fill>
    <fill>
      <patternFill patternType="solid">
        <fgColor theme="8" tint="0.799951170384838"/>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4B177B"/>
        <bgColor indexed="64"/>
      </patternFill>
    </fill>
    <fill>
      <patternFill patternType="solid">
        <fgColor theme="4" tint="-0.249977111117893"/>
        <bgColor indexed="64"/>
      </patternFill>
    </fill>
    <fill>
      <patternFill patternType="solid">
        <fgColor rgb="FFFFC000"/>
        <bgColor indexed="64"/>
      </patternFill>
    </fill>
    <fill>
      <patternFill patternType="solid">
        <fgColor theme="9" tint="0.799981688894314"/>
        <bgColor indexed="64"/>
      </patternFill>
    </fill>
    <fill>
      <patternFill patternType="solid">
        <fgColor rgb="FFE0E5C2"/>
        <bgColor indexed="64"/>
      </patternFill>
    </fill>
    <fill>
      <patternFill patternType="solid">
        <fgColor theme="8" tint="0.399945066682943"/>
        <bgColor indexed="64"/>
      </patternFill>
    </fill>
    <fill>
      <patternFill patternType="solid">
        <fgColor theme="0" tint="-0.34998626667073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8">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auto="1"/>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theme="0" tint="-0.249946592608417"/>
      </left>
      <right style="thin">
        <color theme="0" tint="-0.249946592608417"/>
      </right>
      <top style="thin">
        <color theme="0" tint="-0.249946592608417"/>
      </top>
      <bottom/>
      <diagonal/>
    </border>
    <border>
      <left style="thin">
        <color auto="1"/>
      </left>
      <right style="thin">
        <color theme="0" tint="-0.249946592608417"/>
      </right>
      <top style="thin">
        <color auto="1"/>
      </top>
      <bottom style="thin">
        <color theme="0" tint="-0.249946592608417"/>
      </bottom>
      <diagonal/>
    </border>
    <border>
      <left style="thin">
        <color theme="0" tint="-0.249946592608417"/>
      </left>
      <right style="thin">
        <color theme="0" tint="-0.249946592608417"/>
      </right>
      <top style="thin">
        <color auto="1"/>
      </top>
      <bottom style="thin">
        <color theme="0" tint="-0.249946592608417"/>
      </bottom>
      <diagonal/>
    </border>
    <border>
      <left style="thin">
        <color auto="1"/>
      </left>
      <right style="thin">
        <color theme="0" tint="-0.249946592608417"/>
      </right>
      <top style="thin">
        <color theme="0" tint="-0.249946592608417"/>
      </top>
      <bottom style="thin">
        <color theme="0" tint="-0.249946592608417"/>
      </bottom>
      <diagonal/>
    </border>
    <border>
      <left style="thin">
        <color theme="0" tint="-0.249946592608417"/>
      </left>
      <right style="thin">
        <color auto="1"/>
      </right>
      <top style="thin">
        <color auto="1"/>
      </top>
      <bottom style="thin">
        <color theme="0" tint="-0.249946592608417"/>
      </bottom>
      <diagonal/>
    </border>
    <border>
      <left/>
      <right style="thin">
        <color theme="0" tint="-0.249946592608417"/>
      </right>
      <top style="thin">
        <color theme="0" tint="-0.249946592608417"/>
      </top>
      <bottom style="thin">
        <color theme="0" tint="-0.249946592608417"/>
      </bottom>
      <diagonal/>
    </border>
    <border>
      <left style="thin">
        <color theme="0" tint="-0.249946592608417"/>
      </left>
      <right style="thin">
        <color auto="1"/>
      </right>
      <top style="thin">
        <color theme="0" tint="-0.249946592608417"/>
      </top>
      <bottom style="thin">
        <color theme="0" tint="-0.249946592608417"/>
      </bottom>
      <diagonal/>
    </border>
    <border>
      <left style="thin">
        <color auto="1"/>
      </left>
      <right style="thin">
        <color theme="0" tint="-0.249946592608417"/>
      </right>
      <top style="thin">
        <color theme="0" tint="-0.249946592608417"/>
      </top>
      <bottom style="thin">
        <color auto="1"/>
      </bottom>
      <diagonal/>
    </border>
    <border>
      <left style="thin">
        <color theme="0" tint="-0.249946592608417"/>
      </left>
      <right style="thin">
        <color theme="0" tint="-0.249946592608417"/>
      </right>
      <top style="thin">
        <color theme="0" tint="-0.249946592608417"/>
      </top>
      <bottom style="thin">
        <color auto="1"/>
      </bottom>
      <diagonal/>
    </border>
    <border>
      <left style="thin">
        <color theme="0" tint="-0.249946592608417"/>
      </left>
      <right style="thin">
        <color theme="0" tint="-0.249946592608417"/>
      </right>
      <top/>
      <bottom style="thin">
        <color theme="0" tint="-0.249946592608417"/>
      </bottom>
      <diagonal/>
    </border>
    <border>
      <left style="thin">
        <color theme="0" tint="-0.249946592608417"/>
      </left>
      <right style="thin">
        <color auto="1"/>
      </right>
      <top style="thin">
        <color theme="0" tint="-0.249946592608417"/>
      </top>
      <bottom style="thin">
        <color auto="1"/>
      </bottom>
      <diagonal/>
    </border>
    <border diagonalDown="1">
      <left/>
      <right/>
      <top/>
      <bottom/>
      <diagonal style="thin">
        <color auto="1"/>
      </diagonal>
    </border>
    <border>
      <left/>
      <right/>
      <top style="thin">
        <color auto="1"/>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right/>
      <top style="thin">
        <color theme="0" tint="-0.249977111117893"/>
      </top>
      <bottom style="thin">
        <color auto="1"/>
      </bottom>
      <diagonal/>
    </border>
    <border>
      <left style="thin">
        <color theme="0" tint="-0.499984740745262"/>
      </left>
      <right style="thin">
        <color theme="0" tint="-0.499984740745262"/>
      </right>
      <top style="thin">
        <color theme="0" tint="-0.499984740745262"/>
      </top>
      <bottom style="thin">
        <color auto="1"/>
      </bottom>
      <diagonal/>
    </border>
    <border>
      <left style="thin">
        <color theme="0" tint="-0.499984740745262"/>
      </left>
      <right style="thin">
        <color theme="0" tint="-0.499984740745262"/>
      </right>
      <top style="thin">
        <color auto="1"/>
      </top>
      <bottom style="thin">
        <color theme="0" tint="-0.499984740745262"/>
      </bottom>
      <diagonal/>
    </border>
    <border>
      <left style="thin">
        <color auto="1"/>
      </left>
      <right style="thin">
        <color auto="1"/>
      </right>
      <top style="thin">
        <color auto="1"/>
      </top>
      <bottom/>
      <diagonal/>
    </border>
    <border>
      <left style="thin">
        <color theme="0" tint="-0.499984740745262"/>
      </left>
      <right style="thin">
        <color theme="0" tint="-0.249946592608417"/>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249946592608417"/>
      </bottom>
      <diagonal/>
    </border>
    <border>
      <left style="thin">
        <color theme="0" tint="-0.499984740745262"/>
      </left>
      <right style="thin">
        <color theme="0" tint="-0.499984740745262"/>
      </right>
      <top style="thin">
        <color theme="0" tint="-0.249946592608417"/>
      </top>
      <bottom style="thin">
        <color theme="0" tint="-0.249946592608417"/>
      </bottom>
      <diagonal/>
    </border>
    <border>
      <left style="thin">
        <color theme="0" tint="-0.499984740745262"/>
      </left>
      <right style="thin">
        <color theme="0" tint="-0.499984740745262"/>
      </right>
      <top style="thin">
        <color theme="0" tint="-0.249946592608417"/>
      </top>
      <bottom style="thin">
        <color theme="0" tint="-0.499984740745262"/>
      </bottom>
      <diagonal/>
    </border>
    <border>
      <left style="thin">
        <color theme="0" tint="-0.249946592608417"/>
      </left>
      <right style="thin">
        <color theme="0" tint="-0.249946592608417"/>
      </right>
      <top style="thin">
        <color theme="0" tint="-0.499984740745262"/>
      </top>
      <bottom style="thin">
        <color theme="0" tint="-0.499984740745262"/>
      </bottom>
      <diagonal/>
    </border>
    <border>
      <left style="thin">
        <color theme="0" tint="-0.249946592608417"/>
      </left>
      <right style="thin">
        <color theme="0" tint="-0.499984740745262"/>
      </right>
      <top style="thin">
        <color theme="0" tint="-0.499984740745262"/>
      </top>
      <bottom style="thin">
        <color theme="0" tint="-0.499984740745262"/>
      </bottom>
      <diagonal/>
    </border>
    <border>
      <left style="thin">
        <color auto="1"/>
      </left>
      <right style="thin">
        <color auto="1"/>
      </right>
      <top/>
      <bottom/>
      <diagonal/>
    </border>
    <border>
      <left/>
      <right/>
      <top/>
      <bottom style="medium">
        <color auto="1"/>
      </bottom>
      <diagonal/>
    </border>
    <border>
      <left/>
      <right/>
      <top style="medium">
        <color auto="1"/>
      </top>
      <bottom/>
      <diagonal/>
    </border>
    <border>
      <left/>
      <right style="medium">
        <color auto="1"/>
      </right>
      <top/>
      <bottom/>
      <diagonal/>
    </border>
    <border>
      <left style="medium">
        <color auto="1"/>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theme="0" tint="-0.499984740745262"/>
      </left>
      <right style="dashed">
        <color theme="0" tint="-0.499984740745262"/>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style="thin">
        <color auto="1"/>
      </bottom>
      <diagonal/>
    </border>
    <border>
      <left style="thin">
        <color auto="1"/>
      </left>
      <right style="thin">
        <color auto="1"/>
      </right>
      <top style="thin">
        <color theme="0" tint="-0.499984740745262"/>
      </top>
      <bottom style="thin">
        <color auto="1"/>
      </bottom>
      <diagonal/>
    </border>
    <border>
      <left style="thin">
        <color theme="0" tint="-0.499984740745262"/>
      </left>
      <right style="thin">
        <color auto="1"/>
      </right>
      <top style="thin">
        <color auto="1"/>
      </top>
      <bottom style="thin">
        <color theme="0" tint="-0.499984740745262"/>
      </bottom>
      <diagonal/>
    </border>
    <border>
      <left style="thin">
        <color auto="1"/>
      </left>
      <right style="thin">
        <color auto="1"/>
      </right>
      <top style="thin">
        <color auto="1"/>
      </top>
      <bottom style="thin">
        <color theme="0" tint="-0.499984740745262"/>
      </bottom>
      <diagonal/>
    </border>
    <border>
      <left style="thin">
        <color auto="1"/>
      </left>
      <right style="thin">
        <color theme="0" tint="-0.499984740745262"/>
      </right>
      <top style="thin">
        <color theme="0" tint="-0.499984740745262"/>
      </top>
      <bottom style="thin">
        <color auto="1"/>
      </bottom>
      <diagonal/>
    </border>
    <border>
      <left style="thin">
        <color auto="1"/>
      </left>
      <right style="thin">
        <color theme="0" tint="-0.499984740745262"/>
      </right>
      <top style="thin">
        <color auto="1"/>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249946592608417"/>
      </top>
      <bottom style="thin">
        <color theme="0" tint="-0.249946592608417"/>
      </bottom>
      <diagonal/>
    </border>
    <border>
      <left/>
      <right/>
      <top style="thin">
        <color theme="0" tint="-0.249946592608417"/>
      </top>
      <bottom style="thin">
        <color theme="0" tint="-0.249946592608417"/>
      </bottom>
      <diagonal/>
    </border>
    <border>
      <left/>
      <right style="thin">
        <color theme="0" tint="-0.499984740745262"/>
      </right>
      <top style="thin">
        <color theme="0" tint="-0.249946592608417"/>
      </top>
      <bottom style="thin">
        <color theme="0" tint="-0.249946592608417"/>
      </bottom>
      <diagonal/>
    </border>
    <border>
      <left style="thin">
        <color theme="0" tint="-0.499984740745262"/>
      </left>
      <right/>
      <top style="thin">
        <color theme="0" tint="-0.249946592608417"/>
      </top>
      <bottom style="thin">
        <color theme="0" tint="-0.499984740745262"/>
      </bottom>
      <diagonal/>
    </border>
    <border>
      <left/>
      <right/>
      <top style="thin">
        <color theme="0" tint="-0.249946592608417"/>
      </top>
      <bottom style="thin">
        <color theme="0" tint="-0.499984740745262"/>
      </bottom>
      <diagonal/>
    </border>
    <border>
      <left/>
      <right style="thin">
        <color theme="0" tint="-0.499984740745262"/>
      </right>
      <top style="thin">
        <color theme="0" tint="-0.249946592608417"/>
      </top>
      <bottom style="thin">
        <color theme="0" tint="-0.499984740745262"/>
      </bottom>
      <diagonal/>
    </border>
    <border>
      <left style="dashed">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249946592608417"/>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7"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0" fillId="60" borderId="90" applyNumberFormat="0" applyFont="0" applyAlignment="0" applyProtection="0">
      <alignment vertical="center"/>
    </xf>
    <xf numFmtId="0" fontId="109"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2" fillId="0" borderId="91" applyNumberFormat="0" applyFill="0" applyAlignment="0" applyProtection="0">
      <alignment vertical="center"/>
    </xf>
    <xf numFmtId="0" fontId="113" fillId="0" borderId="91" applyNumberFormat="0" applyFill="0" applyAlignment="0" applyProtection="0">
      <alignment vertical="center"/>
    </xf>
    <xf numFmtId="0" fontId="114" fillId="0" borderId="92" applyNumberFormat="0" applyFill="0" applyAlignment="0" applyProtection="0">
      <alignment vertical="center"/>
    </xf>
    <xf numFmtId="0" fontId="114" fillId="0" borderId="0" applyNumberFormat="0" applyFill="0" applyBorder="0" applyAlignment="0" applyProtection="0">
      <alignment vertical="center"/>
    </xf>
    <xf numFmtId="0" fontId="115" fillId="61" borderId="93" applyNumberFormat="0" applyAlignment="0" applyProtection="0">
      <alignment vertical="center"/>
    </xf>
    <xf numFmtId="0" fontId="116" fillId="62" borderId="94" applyNumberFormat="0" applyAlignment="0" applyProtection="0">
      <alignment vertical="center"/>
    </xf>
    <xf numFmtId="0" fontId="117" fillId="62" borderId="93" applyNumberFormat="0" applyAlignment="0" applyProtection="0">
      <alignment vertical="center"/>
    </xf>
    <xf numFmtId="0" fontId="118" fillId="63" borderId="95" applyNumberFormat="0" applyAlignment="0" applyProtection="0">
      <alignment vertical="center"/>
    </xf>
    <xf numFmtId="0" fontId="119" fillId="0" borderId="96" applyNumberFormat="0" applyFill="0" applyAlignment="0" applyProtection="0">
      <alignment vertical="center"/>
    </xf>
    <xf numFmtId="0" fontId="120" fillId="0" borderId="97" applyNumberFormat="0" applyFill="0" applyAlignment="0" applyProtection="0">
      <alignment vertical="center"/>
    </xf>
    <xf numFmtId="0" fontId="121" fillId="64" borderId="0" applyNumberFormat="0" applyBorder="0" applyAlignment="0" applyProtection="0">
      <alignment vertical="center"/>
    </xf>
    <xf numFmtId="0" fontId="122" fillId="65" borderId="0" applyNumberFormat="0" applyBorder="0" applyAlignment="0" applyProtection="0">
      <alignment vertical="center"/>
    </xf>
    <xf numFmtId="0" fontId="123" fillId="66" borderId="0" applyNumberFormat="0" applyBorder="0" applyAlignment="0" applyProtection="0">
      <alignment vertical="center"/>
    </xf>
    <xf numFmtId="0" fontId="124" fillId="67" borderId="0" applyNumberFormat="0" applyBorder="0" applyAlignment="0" applyProtection="0">
      <alignment vertical="center"/>
    </xf>
    <xf numFmtId="0" fontId="125" fillId="68" borderId="0" applyNumberFormat="0" applyBorder="0" applyAlignment="0" applyProtection="0">
      <alignment vertical="center"/>
    </xf>
    <xf numFmtId="0" fontId="125" fillId="69" borderId="0" applyNumberFormat="0" applyBorder="0" applyAlignment="0" applyProtection="0">
      <alignment vertical="center"/>
    </xf>
    <xf numFmtId="0" fontId="124" fillId="70" borderId="0" applyNumberFormat="0" applyBorder="0" applyAlignment="0" applyProtection="0">
      <alignment vertical="center"/>
    </xf>
    <xf numFmtId="0" fontId="124" fillId="71" borderId="0" applyNumberFormat="0" applyBorder="0" applyAlignment="0" applyProtection="0">
      <alignment vertical="center"/>
    </xf>
    <xf numFmtId="0" fontId="125" fillId="72" borderId="0" applyNumberFormat="0" applyBorder="0" applyAlignment="0" applyProtection="0">
      <alignment vertical="center"/>
    </xf>
    <xf numFmtId="0" fontId="125" fillId="73" borderId="0" applyNumberFormat="0" applyBorder="0" applyAlignment="0" applyProtection="0">
      <alignment vertical="center"/>
    </xf>
    <xf numFmtId="0" fontId="124" fillId="74" borderId="0" applyNumberFormat="0" applyBorder="0" applyAlignment="0" applyProtection="0">
      <alignment vertical="center"/>
    </xf>
    <xf numFmtId="0" fontId="124" fillId="75" borderId="0" applyNumberFormat="0" applyBorder="0" applyAlignment="0" applyProtection="0">
      <alignment vertical="center"/>
    </xf>
    <xf numFmtId="0" fontId="125" fillId="76" borderId="0" applyNumberFormat="0" applyBorder="0" applyAlignment="0" applyProtection="0">
      <alignment vertical="center"/>
    </xf>
    <xf numFmtId="0" fontId="125" fillId="77" borderId="0" applyNumberFormat="0" applyBorder="0" applyAlignment="0" applyProtection="0">
      <alignment vertical="center"/>
    </xf>
    <xf numFmtId="0" fontId="124" fillId="78" borderId="0" applyNumberFormat="0" applyBorder="0" applyAlignment="0" applyProtection="0">
      <alignment vertical="center"/>
    </xf>
    <xf numFmtId="0" fontId="124" fillId="79" borderId="0" applyNumberFormat="0" applyBorder="0" applyAlignment="0" applyProtection="0">
      <alignment vertical="center"/>
    </xf>
    <xf numFmtId="0" fontId="125" fillId="80" borderId="0" applyNumberFormat="0" applyBorder="0" applyAlignment="0" applyProtection="0">
      <alignment vertical="center"/>
    </xf>
    <xf numFmtId="0" fontId="125" fillId="81" borderId="0" applyNumberFormat="0" applyBorder="0" applyAlignment="0" applyProtection="0">
      <alignment vertical="center"/>
    </xf>
    <xf numFmtId="0" fontId="124" fillId="82" borderId="0" applyNumberFormat="0" applyBorder="0" applyAlignment="0" applyProtection="0">
      <alignment vertical="center"/>
    </xf>
    <xf numFmtId="0" fontId="124" fillId="83" borderId="0" applyNumberFormat="0" applyBorder="0" applyAlignment="0" applyProtection="0">
      <alignment vertical="center"/>
    </xf>
    <xf numFmtId="0" fontId="125" fillId="84" borderId="0" applyNumberFormat="0" applyBorder="0" applyAlignment="0" applyProtection="0">
      <alignment vertical="center"/>
    </xf>
    <xf numFmtId="0" fontId="125" fillId="85" borderId="0" applyNumberFormat="0" applyBorder="0" applyAlignment="0" applyProtection="0">
      <alignment vertical="center"/>
    </xf>
    <xf numFmtId="0" fontId="124" fillId="86" borderId="0" applyNumberFormat="0" applyBorder="0" applyAlignment="0" applyProtection="0">
      <alignment vertical="center"/>
    </xf>
    <xf numFmtId="0" fontId="124" fillId="87" borderId="0" applyNumberFormat="0" applyBorder="0" applyAlignment="0" applyProtection="0">
      <alignment vertical="center"/>
    </xf>
    <xf numFmtId="0" fontId="125" fillId="88" borderId="0" applyNumberFormat="0" applyBorder="0" applyAlignment="0" applyProtection="0">
      <alignment vertical="center"/>
    </xf>
    <xf numFmtId="0" fontId="125" fillId="89" borderId="0" applyNumberFormat="0" applyBorder="0" applyAlignment="0" applyProtection="0">
      <alignment vertical="center"/>
    </xf>
    <xf numFmtId="0" fontId="124" fillId="90" borderId="0" applyNumberFormat="0" applyBorder="0" applyAlignment="0" applyProtection="0">
      <alignment vertical="center"/>
    </xf>
    <xf numFmtId="0" fontId="22" fillId="0" borderId="0">
      <alignment vertical="center"/>
    </xf>
    <xf numFmtId="0" fontId="17" fillId="0" borderId="0">
      <alignment vertical="center"/>
    </xf>
  </cellStyleXfs>
  <cellXfs count="1075">
    <xf numFmtId="0" fontId="0" fillId="0" borderId="0" xfId="0">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3" fillId="2" borderId="1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4" fillId="0" borderId="11" xfId="0" applyFont="1" applyBorder="1" applyAlignment="1">
      <alignment horizontal="center" vertical="center"/>
    </xf>
    <xf numFmtId="0" fontId="7" fillId="0" borderId="8" xfId="0" applyFont="1" applyBorder="1" applyAlignment="1">
      <alignment vertical="center" wrapText="1"/>
    </xf>
    <xf numFmtId="0" fontId="1" fillId="0" borderId="9" xfId="0" applyFont="1" applyBorder="1" applyAlignment="1">
      <alignment vertical="center" wrapText="1"/>
    </xf>
    <xf numFmtId="0" fontId="1" fillId="0" borderId="8" xfId="0" applyFont="1" applyBorder="1" applyAlignment="1">
      <alignment vertical="center" wrapText="1"/>
    </xf>
    <xf numFmtId="0" fontId="1" fillId="0" borderId="11" xfId="0" applyFont="1" applyBorder="1" applyAlignment="1">
      <alignment horizontal="center" vertical="center"/>
    </xf>
    <xf numFmtId="0" fontId="5" fillId="0" borderId="11"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0" borderId="12" xfId="0" applyFont="1" applyBorder="1" applyAlignment="1">
      <alignment horizontal="lef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13" xfId="0" applyFont="1" applyBorder="1" applyAlignment="1">
      <alignment horizontal="left" vertical="center" wrapText="1"/>
    </xf>
    <xf numFmtId="0" fontId="1" fillId="0" borderId="5" xfId="0" applyFont="1" applyBorder="1" applyAlignment="1">
      <alignment vertical="center" wrapText="1"/>
    </xf>
    <xf numFmtId="0" fontId="1" fillId="0" borderId="0" xfId="0" applyFont="1" applyAlignment="1">
      <alignment vertical="center" wrapText="1"/>
    </xf>
    <xf numFmtId="0" fontId="1" fillId="0" borderId="14" xfId="0" applyFont="1" applyBorder="1" applyAlignment="1">
      <alignment horizontal="left" vertical="center" wrapText="1"/>
    </xf>
    <xf numFmtId="0" fontId="6" fillId="2" borderId="10" xfId="0" applyFont="1" applyFill="1" applyBorder="1" applyAlignment="1">
      <alignment horizontal="center" vertical="center"/>
    </xf>
    <xf numFmtId="0" fontId="1" fillId="0" borderId="11"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2" fillId="3" borderId="10"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1" fillId="0" borderId="12" xfId="0" applyFont="1" applyBorder="1" applyAlignment="1">
      <alignmen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3" fillId="4" borderId="12" xfId="0" applyFont="1" applyFill="1" applyBorder="1" applyAlignment="1">
      <alignment horizontal="center" vertical="center"/>
    </xf>
    <xf numFmtId="0" fontId="3" fillId="4" borderId="14" xfId="0" applyFont="1" applyFill="1" applyBorder="1" applyAlignment="1">
      <alignment horizontal="center" vertical="center"/>
    </xf>
    <xf numFmtId="0" fontId="1" fillId="0" borderId="11" xfId="0" applyFont="1" applyBorder="1" applyAlignment="1">
      <alignment horizontal="left" vertical="center" wrapText="1"/>
    </xf>
    <xf numFmtId="0" fontId="8" fillId="5" borderId="0" xfId="0" applyFont="1" applyFill="1" applyAlignment="1">
      <alignment horizontal="center" vertical="center"/>
    </xf>
    <xf numFmtId="0" fontId="2" fillId="6" borderId="0" xfId="0" applyFont="1" applyFill="1" applyAlignment="1">
      <alignment horizontal="center" vertical="center" wrapText="1"/>
    </xf>
    <xf numFmtId="0" fontId="9" fillId="5" borderId="0" xfId="0" applyFont="1" applyFill="1" applyAlignment="1">
      <alignment horizontal="center" vertical="center"/>
    </xf>
    <xf numFmtId="0" fontId="9" fillId="5" borderId="7" xfId="0" applyFont="1" applyFill="1" applyBorder="1" applyAlignment="1">
      <alignment horizontal="center" vertical="center"/>
    </xf>
    <xf numFmtId="0" fontId="10" fillId="5" borderId="0" xfId="0" applyFont="1" applyFill="1" applyAlignment="1">
      <alignment horizontal="center" vertical="center" wrapText="1"/>
    </xf>
    <xf numFmtId="0" fontId="8" fillId="5" borderId="0" xfId="0" applyFont="1" applyFill="1" applyAlignment="1">
      <alignment horizontal="center" vertical="center" wrapText="1"/>
    </xf>
    <xf numFmtId="0" fontId="8" fillId="7" borderId="1" xfId="0" applyFont="1" applyFill="1" applyBorder="1" applyAlignment="1" applyProtection="1">
      <alignment horizontal="center" vertical="center" wrapText="1"/>
      <protection locked="0"/>
    </xf>
    <xf numFmtId="0" fontId="8" fillId="7" borderId="15" xfId="0" applyFont="1" applyFill="1" applyBorder="1" applyAlignment="1" applyProtection="1">
      <alignment horizontal="center" vertical="center" wrapText="1"/>
      <protection locked="0"/>
    </xf>
    <xf numFmtId="0" fontId="8" fillId="7" borderId="15" xfId="0" applyFont="1" applyFill="1" applyBorder="1" applyAlignment="1" applyProtection="1">
      <alignment horizontal="center" vertical="top" wrapText="1"/>
      <protection locked="0"/>
    </xf>
    <xf numFmtId="0" fontId="8" fillId="7" borderId="15" xfId="0" applyFont="1" applyFill="1" applyBorder="1" applyAlignment="1" applyProtection="1">
      <alignment horizontal="center" vertical="center"/>
      <protection locked="0"/>
    </xf>
    <xf numFmtId="0" fontId="8" fillId="8" borderId="1" xfId="0" applyFont="1" applyFill="1" applyBorder="1" applyAlignment="1" applyProtection="1">
      <alignment horizontal="center" vertical="center" wrapText="1"/>
      <protection locked="0"/>
    </xf>
    <xf numFmtId="0" fontId="8" fillId="8" borderId="15" xfId="0" applyFont="1" applyFill="1" applyBorder="1" applyAlignment="1" applyProtection="1">
      <alignment horizontal="center" vertical="center" wrapText="1"/>
      <protection locked="0"/>
    </xf>
    <xf numFmtId="0" fontId="8" fillId="8" borderId="15" xfId="0" applyFont="1" applyFill="1" applyBorder="1" applyAlignment="1" applyProtection="1">
      <alignment horizontal="center" vertical="top" wrapText="1"/>
      <protection locked="0"/>
    </xf>
    <xf numFmtId="0" fontId="8" fillId="8" borderId="15" xfId="0" applyFont="1" applyFill="1" applyBorder="1" applyAlignment="1" applyProtection="1">
      <alignment horizontal="center" vertical="center"/>
      <protection locked="0"/>
    </xf>
    <xf numFmtId="0" fontId="11" fillId="5" borderId="0" xfId="0" applyFont="1" applyFill="1" applyAlignment="1">
      <alignment horizontal="center" vertical="center" wrapText="1"/>
    </xf>
    <xf numFmtId="0" fontId="8" fillId="7" borderId="15" xfId="0" applyFont="1" applyFill="1" applyBorder="1" applyAlignment="1" applyProtection="1">
      <alignment horizontal="left" vertical="top" wrapText="1"/>
      <protection locked="0"/>
    </xf>
    <xf numFmtId="0" fontId="12" fillId="5" borderId="0" xfId="0" applyFont="1" applyFill="1" applyAlignment="1">
      <alignment horizontal="center" vertical="center"/>
    </xf>
    <xf numFmtId="0" fontId="8" fillId="8" borderId="15" xfId="0" applyFont="1" applyFill="1" applyBorder="1" applyAlignment="1" applyProtection="1">
      <alignment horizontal="left" vertical="top" wrapText="1"/>
      <protection locked="0"/>
    </xf>
    <xf numFmtId="0" fontId="2" fillId="6" borderId="0" xfId="0" applyFont="1" applyFill="1" applyAlignment="1">
      <alignment horizontal="center" vertical="center"/>
    </xf>
    <xf numFmtId="0" fontId="13" fillId="5" borderId="0" xfId="0" applyFont="1" applyFill="1" applyAlignment="1">
      <alignment horizontal="center" wrapText="1"/>
    </xf>
    <xf numFmtId="0" fontId="14" fillId="9" borderId="15" xfId="0" applyFont="1" applyFill="1" applyBorder="1" applyAlignment="1">
      <alignment horizontal="center" vertical="center" wrapText="1"/>
    </xf>
    <xf numFmtId="0" fontId="15" fillId="7" borderId="15" xfId="0" applyFont="1" applyFill="1" applyBorder="1" applyAlignment="1" applyProtection="1">
      <alignment horizontal="center" vertical="center"/>
      <protection locked="0"/>
    </xf>
    <xf numFmtId="0" fontId="15" fillId="8" borderId="15" xfId="0" applyFont="1" applyFill="1" applyBorder="1" applyAlignment="1" applyProtection="1">
      <alignment horizontal="center" vertical="center"/>
      <protection locked="0"/>
    </xf>
    <xf numFmtId="0" fontId="8" fillId="7" borderId="1" xfId="0" applyFont="1" applyFill="1" applyBorder="1" applyAlignment="1" applyProtection="1">
      <alignment horizontal="center" vertical="center"/>
      <protection locked="0"/>
    </xf>
    <xf numFmtId="0" fontId="8" fillId="7" borderId="2" xfId="0" applyFont="1" applyFill="1" applyBorder="1" applyAlignment="1" applyProtection="1">
      <alignment horizontal="center" vertical="center"/>
      <protection locked="0"/>
    </xf>
    <xf numFmtId="0" fontId="8" fillId="7" borderId="10" xfId="0" applyFont="1" applyFill="1" applyBorder="1" applyAlignment="1" applyProtection="1">
      <alignment horizontal="center" vertical="center"/>
      <protection locked="0"/>
    </xf>
    <xf numFmtId="0" fontId="2" fillId="6" borderId="15" xfId="0" applyFont="1" applyFill="1" applyBorder="1" applyAlignment="1">
      <alignment horizontal="center" vertical="center"/>
    </xf>
    <xf numFmtId="0" fontId="16" fillId="7" borderId="15" xfId="0" applyFont="1" applyFill="1" applyBorder="1" applyAlignment="1" applyProtection="1">
      <alignment horizontal="center" vertical="center" wrapText="1"/>
      <protection locked="0"/>
    </xf>
    <xf numFmtId="0" fontId="17" fillId="5" borderId="0" xfId="0" applyFont="1" applyFill="1">
      <alignment vertical="center"/>
    </xf>
    <xf numFmtId="0" fontId="18" fillId="10" borderId="16" xfId="0" applyFont="1" applyFill="1" applyBorder="1" applyAlignment="1">
      <alignment horizontal="center" vertical="center"/>
    </xf>
    <xf numFmtId="0" fontId="19" fillId="11" borderId="16" xfId="0" applyFont="1" applyFill="1" applyBorder="1" applyAlignment="1">
      <alignment vertical="center" wrapText="1"/>
    </xf>
    <xf numFmtId="0" fontId="17" fillId="7" borderId="17" xfId="0" applyFont="1" applyFill="1" applyBorder="1" applyAlignment="1">
      <alignment vertical="center" wrapText="1"/>
    </xf>
    <xf numFmtId="0" fontId="17" fillId="7" borderId="18" xfId="0" applyFont="1" applyFill="1" applyBorder="1" applyAlignment="1">
      <alignment vertical="center" wrapText="1"/>
    </xf>
    <xf numFmtId="0" fontId="17" fillId="7" borderId="19" xfId="0" applyFont="1" applyFill="1" applyBorder="1" applyAlignment="1">
      <alignment vertical="center" wrapText="1"/>
    </xf>
    <xf numFmtId="0" fontId="17" fillId="7" borderId="20" xfId="0" applyFont="1" applyFill="1" applyBorder="1" applyAlignment="1">
      <alignment vertical="center" wrapText="1"/>
    </xf>
    <xf numFmtId="0" fontId="17" fillId="7" borderId="0" xfId="0" applyFont="1" applyFill="1" applyAlignment="1">
      <alignment vertical="center" wrapText="1"/>
    </xf>
    <xf numFmtId="0" fontId="17" fillId="7" borderId="21" xfId="0" applyFont="1" applyFill="1" applyBorder="1" applyAlignment="1">
      <alignment vertical="center" wrapText="1"/>
    </xf>
    <xf numFmtId="0" fontId="17" fillId="7" borderId="22" xfId="0" applyFont="1" applyFill="1" applyBorder="1" applyAlignment="1">
      <alignment vertical="center" wrapText="1"/>
    </xf>
    <xf numFmtId="0" fontId="17" fillId="7" borderId="23" xfId="0" applyFont="1" applyFill="1" applyBorder="1" applyAlignment="1">
      <alignment vertical="center" wrapText="1"/>
    </xf>
    <xf numFmtId="0" fontId="17" fillId="7" borderId="24" xfId="0" applyFont="1" applyFill="1" applyBorder="1" applyAlignment="1">
      <alignment vertical="center" wrapText="1"/>
    </xf>
    <xf numFmtId="0" fontId="17" fillId="5" borderId="0" xfId="0" applyFont="1" applyFill="1" applyProtection="1">
      <alignment vertical="center"/>
      <protection locked="0"/>
    </xf>
    <xf numFmtId="0" fontId="20" fillId="5" borderId="20" xfId="0" applyFont="1" applyFill="1" applyBorder="1">
      <alignment vertical="center"/>
    </xf>
    <xf numFmtId="0" fontId="17" fillId="7" borderId="16" xfId="0" applyFont="1" applyFill="1" applyBorder="1" applyAlignment="1">
      <alignment vertical="center" wrapText="1"/>
    </xf>
    <xf numFmtId="0" fontId="18" fillId="10" borderId="25" xfId="0" applyFont="1" applyFill="1" applyBorder="1" applyAlignment="1">
      <alignment horizontal="center" vertical="center"/>
    </xf>
    <xf numFmtId="0" fontId="18" fillId="10" borderId="26" xfId="0" applyFont="1" applyFill="1" applyBorder="1" applyAlignment="1">
      <alignment horizontal="center" vertical="center"/>
    </xf>
    <xf numFmtId="0" fontId="18" fillId="10" borderId="27" xfId="0" applyFont="1" applyFill="1" applyBorder="1" applyAlignment="1">
      <alignment horizontal="center" vertical="center"/>
    </xf>
    <xf numFmtId="0" fontId="17" fillId="7" borderId="17" xfId="0" applyFont="1" applyFill="1" applyBorder="1">
      <alignment vertical="center"/>
    </xf>
    <xf numFmtId="0" fontId="17" fillId="7" borderId="18" xfId="0" applyFont="1" applyFill="1" applyBorder="1">
      <alignment vertical="center"/>
    </xf>
    <xf numFmtId="0" fontId="17" fillId="7" borderId="19" xfId="0" applyFont="1" applyFill="1" applyBorder="1">
      <alignment vertical="center"/>
    </xf>
    <xf numFmtId="0" fontId="17" fillId="7" borderId="22" xfId="0" applyFont="1" applyFill="1" applyBorder="1">
      <alignment vertical="center"/>
    </xf>
    <xf numFmtId="0" fontId="17" fillId="7" borderId="23" xfId="0" applyFont="1" applyFill="1" applyBorder="1">
      <alignment vertical="center"/>
    </xf>
    <xf numFmtId="0" fontId="17" fillId="7" borderId="24" xfId="0" applyFont="1" applyFill="1" applyBorder="1">
      <alignment vertical="center"/>
    </xf>
    <xf numFmtId="0" fontId="21" fillId="0" borderId="0" xfId="49" applyFont="1" applyAlignment="1">
      <alignment horizontal="center" vertical="center"/>
    </xf>
    <xf numFmtId="0" fontId="21" fillId="12" borderId="16" xfId="49" applyFont="1" applyFill="1" applyBorder="1" applyAlignment="1">
      <alignment horizontal="center" vertical="center"/>
    </xf>
    <xf numFmtId="0" fontId="21" fillId="0" borderId="16" xfId="49" applyFont="1" applyBorder="1" applyAlignment="1">
      <alignment horizontal="center" vertical="center" wrapText="1"/>
    </xf>
    <xf numFmtId="0" fontId="21" fillId="13" borderId="0" xfId="49" applyFont="1" applyFill="1" applyAlignment="1">
      <alignment horizontal="center" vertical="center"/>
    </xf>
    <xf numFmtId="0" fontId="22" fillId="0" borderId="0" xfId="49" applyAlignment="1">
      <alignment horizontal="center" vertical="center"/>
    </xf>
    <xf numFmtId="0" fontId="21" fillId="13" borderId="16" xfId="49" applyFont="1" applyFill="1" applyBorder="1" applyAlignment="1">
      <alignment horizontal="center" vertical="center"/>
    </xf>
    <xf numFmtId="0" fontId="21" fillId="14" borderId="16" xfId="49" applyFont="1" applyFill="1" applyBorder="1" applyAlignment="1">
      <alignment horizontal="center" vertical="center"/>
    </xf>
    <xf numFmtId="0" fontId="21" fillId="15" borderId="16" xfId="49" applyFont="1" applyFill="1" applyBorder="1" applyAlignment="1">
      <alignment horizontal="center" vertical="center"/>
    </xf>
    <xf numFmtId="0" fontId="21" fillId="16" borderId="16" xfId="49" applyFont="1" applyFill="1" applyBorder="1" applyAlignment="1">
      <alignment horizontal="center" vertical="center"/>
    </xf>
    <xf numFmtId="0" fontId="21" fillId="17" borderId="16" xfId="49" applyFont="1" applyFill="1" applyBorder="1" applyAlignment="1">
      <alignment horizontal="center" vertical="center"/>
    </xf>
    <xf numFmtId="0" fontId="21" fillId="18" borderId="16" xfId="49" applyFont="1" applyFill="1" applyBorder="1" applyAlignment="1">
      <alignment horizontal="center" vertical="center"/>
    </xf>
    <xf numFmtId="0" fontId="23" fillId="0" borderId="28" xfId="0" applyFont="1" applyBorder="1" applyAlignment="1">
      <alignment horizontal="center" vertical="center"/>
    </xf>
    <xf numFmtId="0" fontId="23" fillId="0" borderId="28" xfId="0" applyFont="1" applyBorder="1" applyAlignment="1">
      <alignment horizontal="left" vertical="center"/>
    </xf>
    <xf numFmtId="0" fontId="23" fillId="0" borderId="28" xfId="0" applyFont="1" applyBorder="1" applyAlignment="1">
      <alignment horizontal="center" vertical="top" wrapText="1"/>
    </xf>
    <xf numFmtId="0" fontId="23" fillId="0" borderId="28" xfId="0" applyFont="1" applyBorder="1" applyAlignment="1">
      <alignment vertical="top" wrapText="1"/>
    </xf>
    <xf numFmtId="0" fontId="23" fillId="0" borderId="28" xfId="0" applyFont="1" applyBorder="1">
      <alignment vertical="center"/>
    </xf>
    <xf numFmtId="0" fontId="23" fillId="0" borderId="28" xfId="0" applyFont="1" applyBorder="1" applyAlignment="1">
      <alignment horizontal="left" vertical="top" wrapText="1"/>
    </xf>
    <xf numFmtId="0" fontId="23" fillId="19" borderId="28" xfId="0" applyFont="1" applyFill="1" applyBorder="1" applyAlignment="1">
      <alignment horizontal="center" vertical="center"/>
    </xf>
    <xf numFmtId="0" fontId="23" fillId="19" borderId="28" xfId="0" applyFont="1" applyFill="1" applyBorder="1" applyAlignment="1">
      <alignment horizontal="center" vertical="top" wrapText="1"/>
    </xf>
    <xf numFmtId="0" fontId="23" fillId="20" borderId="28" xfId="0" applyFont="1" applyFill="1" applyBorder="1" applyAlignment="1">
      <alignment horizontal="center" vertical="center"/>
    </xf>
    <xf numFmtId="0" fontId="23" fillId="20" borderId="28" xfId="0" applyFont="1" applyFill="1" applyBorder="1" applyAlignment="1">
      <alignment horizontal="center" vertical="top" wrapText="1"/>
    </xf>
    <xf numFmtId="0" fontId="23" fillId="21" borderId="28" xfId="0" applyFont="1" applyFill="1" applyBorder="1" applyAlignment="1">
      <alignment horizontal="center" vertical="center"/>
    </xf>
    <xf numFmtId="0" fontId="23" fillId="21" borderId="28" xfId="0" applyFont="1" applyFill="1" applyBorder="1" applyAlignment="1">
      <alignment horizontal="center" vertical="top" wrapText="1"/>
    </xf>
    <xf numFmtId="0" fontId="23" fillId="22" borderId="28" xfId="0" applyFont="1" applyFill="1" applyBorder="1" applyAlignment="1">
      <alignment horizontal="center" vertical="center"/>
    </xf>
    <xf numFmtId="0" fontId="23" fillId="22" borderId="28" xfId="0" applyFont="1" applyFill="1" applyBorder="1" applyAlignment="1">
      <alignment horizontal="center" vertical="top" wrapText="1"/>
    </xf>
    <xf numFmtId="0" fontId="23" fillId="23" borderId="28" xfId="0" applyFont="1" applyFill="1" applyBorder="1" applyAlignment="1">
      <alignment horizontal="center" vertical="center"/>
    </xf>
    <xf numFmtId="0" fontId="23" fillId="23" borderId="28" xfId="0" applyFont="1" applyFill="1" applyBorder="1" applyAlignment="1">
      <alignment horizontal="center" vertical="top" wrapText="1"/>
    </xf>
    <xf numFmtId="0" fontId="23" fillId="24" borderId="28" xfId="0" applyFont="1" applyFill="1" applyBorder="1" applyAlignment="1">
      <alignment horizontal="center" vertical="center"/>
    </xf>
    <xf numFmtId="0" fontId="23" fillId="24" borderId="28" xfId="0" applyFont="1" applyFill="1" applyBorder="1" applyAlignment="1">
      <alignment horizontal="center" vertical="top" wrapText="1"/>
    </xf>
    <xf numFmtId="0" fontId="23" fillId="25" borderId="28" xfId="0" applyFont="1" applyFill="1" applyBorder="1" applyAlignment="1">
      <alignment horizontal="center" vertical="center"/>
    </xf>
    <xf numFmtId="0" fontId="23" fillId="25" borderId="28" xfId="0" applyFont="1" applyFill="1" applyBorder="1" applyAlignment="1">
      <alignment horizontal="center" vertical="top" wrapText="1"/>
    </xf>
    <xf numFmtId="0" fontId="23" fillId="26" borderId="28" xfId="0" applyFont="1" applyFill="1" applyBorder="1" applyAlignment="1">
      <alignment horizontal="center" vertical="center"/>
    </xf>
    <xf numFmtId="0" fontId="23" fillId="26" borderId="28" xfId="0" applyFont="1" applyFill="1" applyBorder="1" applyAlignment="1">
      <alignment horizontal="center" vertical="top" wrapText="1"/>
    </xf>
    <xf numFmtId="0" fontId="23" fillId="19" borderId="28" xfId="0" applyFont="1" applyFill="1" applyBorder="1" applyAlignment="1">
      <alignment horizontal="left" vertical="center"/>
    </xf>
    <xf numFmtId="0" fontId="23" fillId="0" borderId="28" xfId="0" applyFont="1" applyBorder="1" applyAlignment="1">
      <alignment horizontal="center" vertical="top"/>
    </xf>
    <xf numFmtId="0" fontId="23" fillId="19" borderId="28" xfId="0" applyFont="1" applyFill="1" applyBorder="1" applyAlignment="1">
      <alignment horizontal="left" vertical="top" wrapText="1"/>
    </xf>
    <xf numFmtId="0" fontId="23" fillId="20" borderId="28" xfId="0" applyFont="1" applyFill="1" applyBorder="1" applyAlignment="1">
      <alignment horizontal="left" vertical="top" wrapText="1"/>
    </xf>
    <xf numFmtId="0" fontId="23" fillId="20" borderId="28" xfId="0" applyFont="1" applyFill="1" applyBorder="1" applyAlignment="1">
      <alignment horizontal="left" vertical="center"/>
    </xf>
    <xf numFmtId="0" fontId="23" fillId="21" borderId="28" xfId="0" applyFont="1" applyFill="1" applyBorder="1" applyAlignment="1">
      <alignment horizontal="left" vertical="top" wrapText="1"/>
    </xf>
    <xf numFmtId="0" fontId="23" fillId="21" borderId="28" xfId="0" applyFont="1" applyFill="1" applyBorder="1" applyAlignment="1">
      <alignment horizontal="left" vertical="center"/>
    </xf>
    <xf numFmtId="0" fontId="23" fillId="22" borderId="28" xfId="0" applyFont="1" applyFill="1" applyBorder="1" applyAlignment="1">
      <alignment horizontal="left" vertical="top" wrapText="1"/>
    </xf>
    <xf numFmtId="0" fontId="23" fillId="22" borderId="28" xfId="0" applyFont="1" applyFill="1" applyBorder="1" applyAlignment="1">
      <alignment horizontal="left" vertical="center"/>
    </xf>
    <xf numFmtId="0" fontId="23" fillId="23" borderId="28" xfId="0" applyFont="1" applyFill="1" applyBorder="1" applyAlignment="1">
      <alignment horizontal="left" vertical="top" wrapText="1"/>
    </xf>
    <xf numFmtId="0" fontId="23" fillId="23" borderId="28" xfId="0" applyFont="1" applyFill="1" applyBorder="1" applyAlignment="1">
      <alignment horizontal="left" vertical="center"/>
    </xf>
    <xf numFmtId="0" fontId="23" fillId="24" borderId="28" xfId="0" applyFont="1" applyFill="1" applyBorder="1" applyAlignment="1">
      <alignment horizontal="left" vertical="top" wrapText="1"/>
    </xf>
    <xf numFmtId="0" fontId="23" fillId="24" borderId="28" xfId="0" applyFont="1" applyFill="1" applyBorder="1" applyAlignment="1">
      <alignment horizontal="left" vertical="center"/>
    </xf>
    <xf numFmtId="0" fontId="23" fillId="25" borderId="28" xfId="0" applyFont="1" applyFill="1" applyBorder="1" applyAlignment="1">
      <alignment horizontal="left" vertical="top" wrapText="1"/>
    </xf>
    <xf numFmtId="0" fontId="23" fillId="25" borderId="28" xfId="0" applyFont="1" applyFill="1" applyBorder="1" applyAlignment="1">
      <alignment horizontal="left" vertical="center"/>
    </xf>
    <xf numFmtId="0" fontId="23" fillId="26" borderId="28" xfId="0" applyFont="1" applyFill="1" applyBorder="1" applyAlignment="1">
      <alignment horizontal="left" vertical="top" wrapText="1"/>
    </xf>
    <xf numFmtId="0" fontId="23" fillId="26" borderId="28" xfId="0" applyFont="1" applyFill="1" applyBorder="1" applyAlignment="1">
      <alignment horizontal="left" vertical="center"/>
    </xf>
    <xf numFmtId="0" fontId="23" fillId="19" borderId="28" xfId="0" applyFont="1" applyFill="1" applyBorder="1" applyAlignment="1">
      <alignment horizontal="left" vertical="top"/>
    </xf>
    <xf numFmtId="0" fontId="23" fillId="26" borderId="28" xfId="0" applyFont="1" applyFill="1" applyBorder="1" applyAlignment="1">
      <alignment horizontal="left" vertical="top"/>
    </xf>
    <xf numFmtId="0" fontId="23" fillId="19" borderId="28" xfId="0" applyFont="1" applyFill="1" applyBorder="1" applyAlignment="1">
      <alignment horizontal="left" vertical="center" wrapText="1"/>
    </xf>
    <xf numFmtId="0" fontId="23" fillId="23" borderId="28" xfId="0" applyFont="1" applyFill="1" applyBorder="1" applyAlignment="1">
      <alignment horizontal="left" vertical="top"/>
    </xf>
    <xf numFmtId="0" fontId="23" fillId="24" borderId="28" xfId="0" applyFont="1" applyFill="1" applyBorder="1" applyAlignment="1">
      <alignment horizontal="left" vertical="top"/>
    </xf>
    <xf numFmtId="0" fontId="23" fillId="21" borderId="28" xfId="0" applyFont="1" applyFill="1" applyBorder="1" applyAlignment="1">
      <alignment horizontal="left" vertical="center" wrapText="1"/>
    </xf>
    <xf numFmtId="0" fontId="23" fillId="0" borderId="28" xfId="0" applyFont="1" applyBorder="1" applyAlignment="1"/>
    <xf numFmtId="0" fontId="23" fillId="20" borderId="28" xfId="0" applyFont="1" applyFill="1" applyBorder="1" applyAlignment="1">
      <alignment horizontal="left" vertical="top"/>
    </xf>
    <xf numFmtId="0" fontId="23" fillId="25" borderId="28" xfId="0" applyFont="1" applyFill="1" applyBorder="1" applyAlignment="1">
      <alignment horizontal="left" vertical="top"/>
    </xf>
    <xf numFmtId="0" fontId="23" fillId="21" borderId="28" xfId="0" applyFont="1" applyFill="1" applyBorder="1" applyAlignment="1">
      <alignment horizontal="left" vertical="top"/>
    </xf>
    <xf numFmtId="0" fontId="23" fillId="22" borderId="28" xfId="0" applyFont="1" applyFill="1" applyBorder="1" applyAlignment="1">
      <alignment horizontal="left" vertical="top"/>
    </xf>
    <xf numFmtId="0" fontId="23" fillId="25" borderId="28" xfId="0" applyFont="1" applyFill="1" applyBorder="1" applyAlignment="1">
      <alignment horizontal="left" vertical="center" wrapText="1"/>
    </xf>
    <xf numFmtId="0" fontId="23" fillId="23" borderId="28" xfId="0" applyFont="1" applyFill="1" applyBorder="1" applyAlignment="1">
      <alignment horizontal="left" vertical="center" wrapText="1"/>
    </xf>
    <xf numFmtId="0" fontId="23" fillId="24" borderId="28" xfId="0" applyFont="1" applyFill="1" applyBorder="1" applyAlignment="1">
      <alignment vertical="top" wrapText="1"/>
    </xf>
    <xf numFmtId="0" fontId="23" fillId="26" borderId="28" xfId="0" applyFont="1" applyFill="1" applyBorder="1" applyAlignment="1">
      <alignment horizontal="left" vertical="center" wrapText="1"/>
    </xf>
    <xf numFmtId="0" fontId="23" fillId="26" borderId="28" xfId="0" applyFont="1" applyFill="1" applyBorder="1" applyAlignment="1">
      <alignment vertical="top" wrapText="1"/>
    </xf>
    <xf numFmtId="0" fontId="23" fillId="23" borderId="28" xfId="0" applyFont="1" applyFill="1" applyBorder="1" applyAlignment="1">
      <alignment vertical="top" wrapText="1"/>
    </xf>
    <xf numFmtId="0" fontId="23" fillId="26" borderId="28" xfId="0" applyFont="1" applyFill="1" applyBorder="1" applyAlignment="1">
      <alignment horizontal="center" vertical="center" wrapText="1"/>
    </xf>
    <xf numFmtId="0" fontId="23" fillId="24" borderId="28" xfId="0" applyFont="1" applyFill="1" applyBorder="1" applyAlignment="1">
      <alignment horizontal="center" vertical="center" wrapText="1"/>
    </xf>
    <xf numFmtId="0" fontId="23" fillId="20" borderId="28" xfId="0" applyFont="1" applyFill="1" applyBorder="1" applyAlignment="1">
      <alignment vertical="top" wrapText="1"/>
    </xf>
    <xf numFmtId="0" fontId="23" fillId="26" borderId="28" xfId="0" applyFont="1" applyFill="1" applyBorder="1" applyAlignment="1">
      <alignment horizontal="center"/>
    </xf>
    <xf numFmtId="0" fontId="23" fillId="0" borderId="28" xfId="0" applyFont="1" applyBorder="1" applyAlignment="1">
      <alignment wrapText="1"/>
    </xf>
    <xf numFmtId="0" fontId="23" fillId="23" borderId="28" xfId="0" applyFont="1" applyFill="1" applyBorder="1" applyAlignment="1">
      <alignment horizontal="center" vertical="center" wrapText="1"/>
    </xf>
    <xf numFmtId="0" fontId="23" fillId="0" borderId="29" xfId="0" applyFont="1" applyBorder="1" applyAlignment="1">
      <alignment horizontal="center" vertical="center"/>
    </xf>
    <xf numFmtId="0" fontId="23" fillId="0" borderId="29" xfId="0" applyFont="1" applyBorder="1" applyAlignment="1">
      <alignment horizontal="center" vertical="top" wrapText="1"/>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3" fillId="0" borderId="31" xfId="0" applyFont="1" applyBorder="1" applyAlignment="1">
      <alignment horizontal="center" vertical="top" wrapText="1"/>
    </xf>
    <xf numFmtId="0" fontId="23" fillId="0" borderId="32" xfId="0" applyFont="1" applyBorder="1" applyAlignment="1">
      <alignment horizontal="center" vertical="center"/>
    </xf>
    <xf numFmtId="0" fontId="23" fillId="0" borderId="29" xfId="0" applyFont="1" applyBorder="1" applyAlignment="1">
      <alignment horizontal="left" vertical="top" wrapText="1"/>
    </xf>
    <xf numFmtId="0" fontId="23" fillId="0" borderId="29" xfId="0" applyFont="1" applyBorder="1" applyAlignment="1">
      <alignment horizontal="left" vertical="center"/>
    </xf>
    <xf numFmtId="0" fontId="23" fillId="0" borderId="31" xfId="0" applyFont="1" applyBorder="1" applyAlignment="1">
      <alignment vertical="top" wrapText="1"/>
    </xf>
    <xf numFmtId="0" fontId="23" fillId="0" borderId="31" xfId="0" applyFont="1" applyBorder="1">
      <alignment vertical="center"/>
    </xf>
    <xf numFmtId="0" fontId="23" fillId="0" borderId="31" xfId="0" applyFont="1" applyBorder="1" applyAlignment="1">
      <alignment horizontal="left" vertical="top" wrapText="1"/>
    </xf>
    <xf numFmtId="0" fontId="23" fillId="0" borderId="33" xfId="0" applyFont="1" applyBorder="1" applyAlignment="1">
      <alignment horizontal="left" vertical="center"/>
    </xf>
    <xf numFmtId="0" fontId="23" fillId="0" borderId="34" xfId="0" applyFont="1" applyBorder="1">
      <alignment vertical="center"/>
    </xf>
    <xf numFmtId="0" fontId="23" fillId="0" borderId="35" xfId="0" applyFont="1" applyBorder="1" applyAlignment="1">
      <alignment horizontal="left" vertical="center"/>
    </xf>
    <xf numFmtId="0" fontId="23" fillId="0" borderId="36" xfId="0" applyFont="1" applyBorder="1" applyAlignment="1">
      <alignment horizontal="center" vertical="center"/>
    </xf>
    <xf numFmtId="0" fontId="23" fillId="0" borderId="37" xfId="0" applyFont="1" applyBorder="1" applyAlignment="1">
      <alignment horizontal="center" vertical="center"/>
    </xf>
    <xf numFmtId="0" fontId="23" fillId="0" borderId="37" xfId="0" applyFont="1" applyBorder="1" applyAlignment="1">
      <alignment horizontal="center" vertical="top" wrapText="1"/>
    </xf>
    <xf numFmtId="0" fontId="23" fillId="0" borderId="38" xfId="0" applyFont="1" applyBorder="1" applyAlignment="1">
      <alignment horizontal="center" vertical="center"/>
    </xf>
    <xf numFmtId="0" fontId="23" fillId="0" borderId="38" xfId="0" applyFont="1" applyBorder="1" applyAlignment="1">
      <alignment horizontal="center" vertical="top" wrapText="1"/>
    </xf>
    <xf numFmtId="0" fontId="23" fillId="0" borderId="37" xfId="0" applyFont="1" applyBorder="1" applyAlignment="1">
      <alignment vertical="top" wrapText="1"/>
    </xf>
    <xf numFmtId="0" fontId="23" fillId="0" borderId="37" xfId="0" applyFont="1" applyBorder="1">
      <alignment vertical="center"/>
    </xf>
    <xf numFmtId="0" fontId="23" fillId="0" borderId="37" xfId="0" applyFont="1" applyBorder="1" applyAlignment="1">
      <alignment horizontal="left" vertical="top" wrapText="1"/>
    </xf>
    <xf numFmtId="0" fontId="23" fillId="0" borderId="38" xfId="0" applyFont="1" applyBorder="1" applyAlignment="1">
      <alignment vertical="top" wrapText="1"/>
    </xf>
    <xf numFmtId="0" fontId="23" fillId="0" borderId="38" xfId="0" applyFont="1" applyBorder="1">
      <alignment vertical="center"/>
    </xf>
    <xf numFmtId="0" fontId="23" fillId="0" borderId="38" xfId="0" applyFont="1" applyBorder="1" applyAlignment="1">
      <alignment horizontal="left" vertical="top" wrapText="1"/>
    </xf>
    <xf numFmtId="0" fontId="23" fillId="0" borderId="39" xfId="0" applyFont="1" applyBorder="1" applyAlignment="1">
      <alignment horizontal="left" vertical="center"/>
    </xf>
    <xf numFmtId="0" fontId="23" fillId="0" borderId="38" xfId="0" applyFont="1" applyBorder="1" applyAlignment="1">
      <alignment horizontal="left" vertical="center"/>
    </xf>
    <xf numFmtId="0" fontId="24" fillId="5" borderId="0" xfId="0" applyFont="1" applyFill="1" applyAlignment="1">
      <alignment horizontal="center" vertical="center"/>
    </xf>
    <xf numFmtId="0" fontId="24" fillId="5" borderId="0" xfId="0" applyFont="1" applyFill="1" applyAlignment="1">
      <alignment horizontal="center" vertical="center" wrapText="1"/>
    </xf>
    <xf numFmtId="1" fontId="24" fillId="5" borderId="0" xfId="0" applyNumberFormat="1" applyFont="1" applyFill="1" applyAlignment="1">
      <alignment horizontal="center" vertical="center" wrapText="1"/>
    </xf>
    <xf numFmtId="0" fontId="24" fillId="27" borderId="17" xfId="0" applyFont="1" applyFill="1" applyBorder="1" applyAlignment="1">
      <alignment horizontal="center" vertical="center" wrapText="1"/>
    </xf>
    <xf numFmtId="0" fontId="24" fillId="27" borderId="26" xfId="0" applyFont="1" applyFill="1" applyBorder="1" applyAlignment="1">
      <alignment horizontal="center" vertical="center" wrapText="1"/>
    </xf>
    <xf numFmtId="0" fontId="24" fillId="27" borderId="18" xfId="0" applyFont="1" applyFill="1" applyBorder="1" applyAlignment="1">
      <alignment horizontal="center" vertical="center" wrapText="1"/>
    </xf>
    <xf numFmtId="0" fontId="24" fillId="27" borderId="20" xfId="0" applyFont="1" applyFill="1" applyBorder="1" applyAlignment="1">
      <alignment horizontal="center" vertical="center" wrapText="1"/>
    </xf>
    <xf numFmtId="0" fontId="25" fillId="7" borderId="17" xfId="0" applyFont="1" applyFill="1" applyBorder="1" applyAlignment="1">
      <alignment horizontal="center" vertical="center" wrapText="1"/>
    </xf>
    <xf numFmtId="0" fontId="25" fillId="7" borderId="18" xfId="0" applyFont="1" applyFill="1" applyBorder="1" applyAlignment="1">
      <alignment horizontal="center" vertical="center" wrapText="1"/>
    </xf>
    <xf numFmtId="0" fontId="25" fillId="7" borderId="20" xfId="0" applyFont="1" applyFill="1" applyBorder="1" applyAlignment="1">
      <alignment horizontal="center" vertical="center" wrapText="1"/>
    </xf>
    <xf numFmtId="0" fontId="25" fillId="7" borderId="0" xfId="0" applyFont="1" applyFill="1" applyAlignment="1">
      <alignment horizontal="center" vertical="center" wrapText="1"/>
    </xf>
    <xf numFmtId="0" fontId="25" fillId="7" borderId="22" xfId="0" applyFont="1" applyFill="1" applyBorder="1" applyAlignment="1">
      <alignment horizontal="center" vertical="center" wrapText="1"/>
    </xf>
    <xf numFmtId="0" fontId="25" fillId="7" borderId="23" xfId="0" applyFont="1" applyFill="1" applyBorder="1" applyAlignment="1">
      <alignment horizontal="center" vertical="center" wrapText="1"/>
    </xf>
    <xf numFmtId="0" fontId="24" fillId="27" borderId="0" xfId="0" applyFont="1" applyFill="1" applyAlignment="1">
      <alignment horizontal="center" vertical="center" wrapText="1"/>
    </xf>
    <xf numFmtId="0" fontId="26" fillId="27" borderId="17" xfId="0" applyFont="1" applyFill="1" applyBorder="1" applyAlignment="1">
      <alignment horizontal="center" vertical="center" wrapText="1"/>
    </xf>
    <xf numFmtId="0" fontId="26" fillId="27" borderId="18" xfId="0" applyFont="1" applyFill="1" applyBorder="1" applyAlignment="1">
      <alignment horizontal="center" vertical="center" wrapText="1"/>
    </xf>
    <xf numFmtId="0" fontId="26" fillId="7" borderId="16" xfId="0" applyFont="1" applyFill="1" applyBorder="1" applyAlignment="1">
      <alignment horizontal="center" vertical="center"/>
    </xf>
    <xf numFmtId="0" fontId="24" fillId="7" borderId="17" xfId="0" applyFont="1" applyFill="1" applyBorder="1" applyAlignment="1">
      <alignment horizontal="center" vertical="center" wrapText="1"/>
    </xf>
    <xf numFmtId="0" fontId="24" fillId="7" borderId="18" xfId="0" applyFont="1" applyFill="1" applyBorder="1" applyAlignment="1">
      <alignment horizontal="center" vertical="center" wrapText="1"/>
    </xf>
    <xf numFmtId="0" fontId="24" fillId="7" borderId="22" xfId="0" applyFont="1" applyFill="1" applyBorder="1" applyAlignment="1">
      <alignment horizontal="center" vertical="center" wrapText="1"/>
    </xf>
    <xf numFmtId="0" fontId="24" fillId="7" borderId="23" xfId="0" applyFont="1" applyFill="1" applyBorder="1" applyAlignment="1">
      <alignment horizontal="center" vertical="center" wrapText="1"/>
    </xf>
    <xf numFmtId="0" fontId="14" fillId="7" borderId="16" xfId="0" applyFont="1" applyFill="1" applyBorder="1" applyAlignment="1">
      <alignment horizontal="center" vertical="center" wrapText="1"/>
    </xf>
    <xf numFmtId="0" fontId="27" fillId="7" borderId="16" xfId="0" applyFont="1" applyFill="1" applyBorder="1" applyAlignment="1">
      <alignment horizontal="center" vertical="center" wrapText="1"/>
    </xf>
    <xf numFmtId="0" fontId="24" fillId="7" borderId="16" xfId="0" applyFont="1" applyFill="1" applyBorder="1" applyAlignment="1">
      <alignment horizontal="left" vertical="center" wrapText="1"/>
    </xf>
    <xf numFmtId="0" fontId="24" fillId="27" borderId="40" xfId="0" applyFont="1" applyFill="1" applyBorder="1" applyAlignment="1">
      <alignment horizontal="center" vertical="center" wrapText="1"/>
    </xf>
    <xf numFmtId="0" fontId="24" fillId="7" borderId="17" xfId="0" applyFont="1" applyFill="1" applyBorder="1" applyAlignment="1">
      <alignment horizontal="left" vertical="top" wrapText="1"/>
    </xf>
    <xf numFmtId="0" fontId="24" fillId="7" borderId="18" xfId="0" applyFont="1" applyFill="1" applyBorder="1" applyAlignment="1">
      <alignment horizontal="left" vertical="top" wrapText="1"/>
    </xf>
    <xf numFmtId="0" fontId="24" fillId="7" borderId="20" xfId="0" applyFont="1" applyFill="1" applyBorder="1" applyAlignment="1">
      <alignment horizontal="left" vertical="top" wrapText="1"/>
    </xf>
    <xf numFmtId="0" fontId="24" fillId="7" borderId="0" xfId="0" applyFont="1" applyFill="1" applyAlignment="1">
      <alignment horizontal="left" vertical="top" wrapText="1"/>
    </xf>
    <xf numFmtId="0" fontId="24" fillId="7" borderId="22" xfId="0" applyFont="1" applyFill="1" applyBorder="1" applyAlignment="1">
      <alignment horizontal="left" vertical="top" wrapText="1"/>
    </xf>
    <xf numFmtId="0" fontId="24" fillId="7" borderId="23" xfId="0" applyFont="1" applyFill="1" applyBorder="1" applyAlignment="1">
      <alignment horizontal="left" vertical="top" wrapText="1"/>
    </xf>
    <xf numFmtId="0" fontId="24" fillId="27" borderId="22" xfId="0" applyFont="1" applyFill="1" applyBorder="1" applyAlignment="1">
      <alignment horizontal="center" vertical="center" wrapText="1"/>
    </xf>
    <xf numFmtId="0" fontId="24" fillId="27" borderId="23" xfId="0" applyFont="1" applyFill="1" applyBorder="1" applyAlignment="1">
      <alignment horizontal="center" vertical="center" wrapText="1"/>
    </xf>
    <xf numFmtId="0" fontId="26" fillId="27" borderId="23" xfId="0" applyFont="1" applyFill="1" applyBorder="1" applyAlignment="1">
      <alignment horizontal="center" vertical="center" wrapText="1"/>
    </xf>
    <xf numFmtId="0" fontId="24" fillId="27" borderId="23" xfId="0" applyFont="1" applyFill="1" applyBorder="1" applyAlignment="1">
      <alignment horizontal="center" vertical="center"/>
    </xf>
    <xf numFmtId="0" fontId="24" fillId="7" borderId="19" xfId="0" applyFont="1" applyFill="1" applyBorder="1" applyAlignment="1">
      <alignment horizontal="center" vertical="center" wrapText="1"/>
    </xf>
    <xf numFmtId="0" fontId="24" fillId="7" borderId="16" xfId="0" applyFont="1" applyFill="1" applyBorder="1" applyAlignment="1">
      <alignment horizontal="center" vertical="center" wrapText="1"/>
    </xf>
    <xf numFmtId="0" fontId="24" fillId="7" borderId="24" xfId="0" applyFont="1" applyFill="1" applyBorder="1" applyAlignment="1">
      <alignment horizontal="center" vertical="center" wrapText="1"/>
    </xf>
    <xf numFmtId="1" fontId="24" fillId="5" borderId="0" xfId="0" applyNumberFormat="1" applyFont="1" applyFill="1" applyAlignment="1">
      <alignment horizontal="center" vertical="center"/>
    </xf>
    <xf numFmtId="0" fontId="24" fillId="27" borderId="19" xfId="0" applyFont="1" applyFill="1" applyBorder="1" applyAlignment="1">
      <alignment horizontal="center" vertical="center" wrapText="1"/>
    </xf>
    <xf numFmtId="0" fontId="24" fillId="27" borderId="41" xfId="0" applyFont="1" applyFill="1" applyBorder="1" applyAlignment="1">
      <alignment horizontal="center" vertical="center" wrapText="1"/>
    </xf>
    <xf numFmtId="0" fontId="25" fillId="7" borderId="19" xfId="0" applyFont="1" applyFill="1" applyBorder="1" applyAlignment="1">
      <alignment horizontal="center" vertical="center" wrapText="1"/>
    </xf>
    <xf numFmtId="0" fontId="25" fillId="27" borderId="21" xfId="0" applyFont="1" applyFill="1" applyBorder="1" applyAlignment="1">
      <alignment horizontal="center" vertical="center" wrapText="1"/>
    </xf>
    <xf numFmtId="49" fontId="13" fillId="28" borderId="42" xfId="0" applyNumberFormat="1" applyFont="1" applyFill="1" applyBorder="1" applyAlignment="1">
      <alignment horizontal="center" vertical="center" wrapText="1"/>
    </xf>
    <xf numFmtId="1" fontId="13" fillId="7" borderId="43" xfId="0" applyNumberFormat="1" applyFont="1" applyFill="1" applyBorder="1" applyAlignment="1">
      <alignment horizontal="center" vertical="center" wrapText="1"/>
    </xf>
    <xf numFmtId="1" fontId="28" fillId="7" borderId="44" xfId="0" applyNumberFormat="1" applyFont="1" applyFill="1" applyBorder="1" applyAlignment="1">
      <alignment horizontal="center" vertical="center" wrapText="1"/>
    </xf>
    <xf numFmtId="0" fontId="13" fillId="7" borderId="44" xfId="0" applyFont="1" applyFill="1" applyBorder="1" applyAlignment="1" applyProtection="1">
      <alignment horizontal="center" vertical="center"/>
      <protection locked="0"/>
    </xf>
    <xf numFmtId="0" fontId="25" fillId="7" borderId="21" xfId="0" applyFont="1" applyFill="1" applyBorder="1" applyAlignment="1">
      <alignment horizontal="center" vertical="center" wrapText="1"/>
    </xf>
    <xf numFmtId="0" fontId="25" fillId="7" borderId="24" xfId="0" applyFont="1" applyFill="1" applyBorder="1" applyAlignment="1">
      <alignment horizontal="center" vertical="center" wrapText="1"/>
    </xf>
    <xf numFmtId="0" fontId="24" fillId="7" borderId="19" xfId="0" applyFont="1" applyFill="1" applyBorder="1" applyAlignment="1">
      <alignment horizontal="left" vertical="top" wrapText="1"/>
    </xf>
    <xf numFmtId="0" fontId="24" fillId="7" borderId="21" xfId="0" applyFont="1" applyFill="1" applyBorder="1" applyAlignment="1">
      <alignment horizontal="left" vertical="top" wrapText="1"/>
    </xf>
    <xf numFmtId="1" fontId="28" fillId="7" borderId="45" xfId="0" applyNumberFormat="1" applyFont="1" applyFill="1" applyBorder="1" applyAlignment="1">
      <alignment horizontal="center" vertical="center" wrapText="1"/>
    </xf>
    <xf numFmtId="0" fontId="24" fillId="7" borderId="24" xfId="0" applyFont="1" applyFill="1" applyBorder="1" applyAlignment="1">
      <alignment horizontal="left" vertical="top" wrapText="1"/>
    </xf>
    <xf numFmtId="0" fontId="24" fillId="27" borderId="24" xfId="0" applyFont="1" applyFill="1" applyBorder="1" applyAlignment="1">
      <alignment horizontal="center" vertical="center" wrapText="1"/>
    </xf>
    <xf numFmtId="1" fontId="24" fillId="27" borderId="23" xfId="0" applyNumberFormat="1" applyFont="1" applyFill="1" applyBorder="1" applyAlignment="1">
      <alignment horizontal="center" vertical="center" wrapText="1"/>
    </xf>
    <xf numFmtId="0" fontId="24" fillId="27" borderId="41" xfId="0" applyFont="1" applyFill="1" applyBorder="1" applyAlignment="1">
      <alignment horizontal="center" vertical="center"/>
    </xf>
    <xf numFmtId="1" fontId="28" fillId="7" borderId="43" xfId="0" applyNumberFormat="1" applyFont="1" applyFill="1" applyBorder="1" applyAlignment="1">
      <alignment horizontal="center" vertical="center" wrapText="1"/>
    </xf>
    <xf numFmtId="1" fontId="13" fillId="7" borderId="42" xfId="0" applyNumberFormat="1" applyFont="1" applyFill="1" applyBorder="1" applyAlignment="1">
      <alignment horizontal="center" vertical="center" wrapText="1"/>
    </xf>
    <xf numFmtId="49" fontId="13" fillId="28" borderId="43" xfId="0" applyNumberFormat="1" applyFont="1" applyFill="1" applyBorder="1" applyAlignment="1">
      <alignment horizontal="center" vertical="center" wrapText="1"/>
    </xf>
    <xf numFmtId="0" fontId="13" fillId="28" borderId="42" xfId="0" applyFont="1" applyFill="1" applyBorder="1" applyAlignment="1">
      <alignment horizontal="center" vertical="center" wrapText="1"/>
    </xf>
    <xf numFmtId="0" fontId="13" fillId="28" borderId="46" xfId="0" applyFont="1" applyFill="1" applyBorder="1" applyAlignment="1">
      <alignment horizontal="center" vertical="center" wrapText="1"/>
    </xf>
    <xf numFmtId="0" fontId="24" fillId="27" borderId="47" xfId="0" applyFont="1" applyFill="1" applyBorder="1" applyAlignment="1">
      <alignment horizontal="center" vertical="center" wrapText="1"/>
    </xf>
    <xf numFmtId="0" fontId="24" fillId="27" borderId="21" xfId="0" applyFont="1" applyFill="1" applyBorder="1" applyAlignment="1">
      <alignment horizontal="center" vertical="center" wrapText="1"/>
    </xf>
    <xf numFmtId="0" fontId="24" fillId="5" borderId="0" xfId="50" applyFont="1" applyFill="1" applyAlignment="1">
      <alignment horizontal="center" vertical="center" wrapText="1"/>
    </xf>
    <xf numFmtId="0" fontId="29" fillId="29" borderId="0" xfId="50" applyFont="1" applyFill="1" applyAlignment="1">
      <alignment horizontal="center" vertical="center" wrapText="1"/>
    </xf>
    <xf numFmtId="0" fontId="29" fillId="30" borderId="0" xfId="50" applyFont="1" applyFill="1" applyAlignment="1">
      <alignment horizontal="center" vertical="center" wrapText="1"/>
    </xf>
    <xf numFmtId="0" fontId="30" fillId="5" borderId="0" xfId="50" applyFont="1" applyFill="1" applyAlignment="1">
      <alignment horizontal="center"/>
    </xf>
    <xf numFmtId="0" fontId="27" fillId="7" borderId="15" xfId="50" applyFont="1" applyFill="1" applyBorder="1" applyAlignment="1" applyProtection="1">
      <alignment horizontal="center" vertical="center"/>
      <protection locked="0"/>
    </xf>
    <xf numFmtId="0" fontId="27" fillId="7" borderId="3" xfId="50" applyFont="1" applyFill="1" applyBorder="1" applyAlignment="1">
      <alignment horizontal="left" vertical="top" wrapText="1"/>
    </xf>
    <xf numFmtId="0" fontId="27" fillId="7" borderId="4" xfId="50" applyFont="1" applyFill="1" applyBorder="1" applyAlignment="1">
      <alignment horizontal="left" vertical="top" wrapText="1"/>
    </xf>
    <xf numFmtId="0" fontId="27" fillId="7" borderId="5" xfId="50" applyFont="1" applyFill="1" applyBorder="1" applyAlignment="1">
      <alignment horizontal="left" vertical="top" wrapText="1"/>
    </xf>
    <xf numFmtId="0" fontId="27" fillId="7" borderId="0" xfId="50" applyFont="1" applyFill="1" applyAlignment="1">
      <alignment horizontal="left" vertical="top" wrapText="1"/>
    </xf>
    <xf numFmtId="0" fontId="27" fillId="7" borderId="6" xfId="50" applyFont="1" applyFill="1" applyBorder="1" applyAlignment="1">
      <alignment horizontal="left" vertical="top" wrapText="1"/>
    </xf>
    <xf numFmtId="0" fontId="27" fillId="7" borderId="7" xfId="50" applyFont="1" applyFill="1" applyBorder="1" applyAlignment="1">
      <alignment horizontal="left" vertical="top" wrapText="1"/>
    </xf>
    <xf numFmtId="0" fontId="29" fillId="30" borderId="1" xfId="50" applyFont="1" applyFill="1" applyBorder="1" applyAlignment="1">
      <alignment horizontal="center" vertical="center"/>
    </xf>
    <xf numFmtId="0" fontId="29" fillId="30" borderId="2" xfId="50" applyFont="1" applyFill="1" applyBorder="1" applyAlignment="1">
      <alignment horizontal="center" vertical="center"/>
    </xf>
    <xf numFmtId="0" fontId="27" fillId="7" borderId="1" xfId="0" applyFont="1" applyFill="1" applyBorder="1" applyAlignment="1">
      <alignment vertical="center" wrapText="1"/>
    </xf>
    <xf numFmtId="0" fontId="27" fillId="7" borderId="2" xfId="0" applyFont="1" applyFill="1" applyBorder="1" applyAlignment="1">
      <alignment vertical="center" wrapText="1"/>
    </xf>
    <xf numFmtId="0" fontId="27" fillId="7" borderId="15" xfId="50" applyFont="1" applyFill="1" applyBorder="1" applyAlignment="1">
      <alignment horizontal="center" vertical="center"/>
    </xf>
    <xf numFmtId="0" fontId="27" fillId="7" borderId="12" xfId="50" applyFont="1" applyFill="1" applyBorder="1" applyAlignment="1">
      <alignment horizontal="left" vertical="top" wrapText="1"/>
    </xf>
    <xf numFmtId="0" fontId="27" fillId="7" borderId="13" xfId="50" applyFont="1" applyFill="1" applyBorder="1" applyAlignment="1">
      <alignment horizontal="left" vertical="top" wrapText="1"/>
    </xf>
    <xf numFmtId="0" fontId="27" fillId="7" borderId="14" xfId="50" applyFont="1" applyFill="1" applyBorder="1" applyAlignment="1">
      <alignment horizontal="left" vertical="top" wrapText="1"/>
    </xf>
    <xf numFmtId="0" fontId="29" fillId="30" borderId="10" xfId="50" applyFont="1" applyFill="1" applyBorder="1" applyAlignment="1">
      <alignment horizontal="center" vertical="center"/>
    </xf>
    <xf numFmtId="0" fontId="27" fillId="7" borderId="10" xfId="0" applyFont="1" applyFill="1" applyBorder="1" applyAlignment="1">
      <alignment vertical="center" wrapText="1"/>
    </xf>
    <xf numFmtId="0" fontId="27" fillId="7" borderId="48" xfId="50" applyFont="1" applyFill="1" applyBorder="1" applyAlignment="1" applyProtection="1">
      <alignment horizontal="center" vertical="center"/>
      <protection locked="0"/>
    </xf>
    <xf numFmtId="0" fontId="27" fillId="7" borderId="49" xfId="50" applyFont="1" applyFill="1" applyBorder="1" applyAlignment="1" applyProtection="1">
      <alignment horizontal="center" vertical="center"/>
      <protection locked="0"/>
    </xf>
    <xf numFmtId="0" fontId="27" fillId="8" borderId="15" xfId="50" applyFont="1" applyFill="1" applyBorder="1" applyAlignment="1" applyProtection="1">
      <alignment horizontal="center" vertical="center"/>
      <protection locked="0"/>
    </xf>
    <xf numFmtId="0" fontId="30" fillId="5" borderId="0" xfId="0" applyFont="1" applyFill="1" applyAlignment="1">
      <alignment horizontal="center" wrapText="1"/>
    </xf>
    <xf numFmtId="0" fontId="31" fillId="7" borderId="15" xfId="0" applyFont="1" applyFill="1" applyBorder="1" applyAlignment="1" applyProtection="1">
      <alignment horizontal="center" vertical="top"/>
      <protection locked="0"/>
    </xf>
    <xf numFmtId="0" fontId="27" fillId="7" borderId="15" xfId="0" applyFont="1" applyFill="1" applyBorder="1" applyAlignment="1" applyProtection="1">
      <alignment horizontal="left" vertical="top" wrapText="1"/>
      <protection locked="0"/>
    </xf>
    <xf numFmtId="0" fontId="31" fillId="8" borderId="15" xfId="0" applyFont="1" applyFill="1" applyBorder="1" applyAlignment="1" applyProtection="1">
      <alignment horizontal="center" vertical="top"/>
      <protection locked="0"/>
    </xf>
    <xf numFmtId="0" fontId="27" fillId="8" borderId="15" xfId="0" applyFont="1" applyFill="1" applyBorder="1" applyAlignment="1" applyProtection="1">
      <alignment horizontal="left" vertical="top" wrapText="1"/>
      <protection locked="0"/>
    </xf>
    <xf numFmtId="0" fontId="27" fillId="7" borderId="48" xfId="50" applyFont="1" applyFill="1" applyBorder="1" applyAlignment="1" applyProtection="1">
      <alignment horizontal="left" vertical="center" wrapText="1"/>
      <protection locked="0"/>
    </xf>
    <xf numFmtId="0" fontId="27" fillId="7" borderId="49" xfId="50" applyFont="1" applyFill="1" applyBorder="1" applyAlignment="1" applyProtection="1">
      <alignment horizontal="left" vertical="center" wrapText="1"/>
      <protection locked="0"/>
    </xf>
    <xf numFmtId="0" fontId="30" fillId="5" borderId="2" xfId="50" applyFont="1" applyFill="1" applyBorder="1" applyAlignment="1">
      <alignment horizontal="center"/>
    </xf>
    <xf numFmtId="0" fontId="27" fillId="7" borderId="1" xfId="50" applyFont="1" applyFill="1" applyBorder="1" applyAlignment="1" applyProtection="1">
      <alignment horizontal="center" vertical="center"/>
      <protection locked="0"/>
    </xf>
    <xf numFmtId="0" fontId="27" fillId="7" borderId="2" xfId="50" applyFont="1" applyFill="1" applyBorder="1" applyAlignment="1" applyProtection="1">
      <alignment horizontal="center" vertical="center"/>
      <protection locked="0"/>
    </xf>
    <xf numFmtId="0" fontId="27" fillId="7" borderId="10" xfId="50" applyFont="1" applyFill="1" applyBorder="1" applyAlignment="1" applyProtection="1">
      <alignment horizontal="center" vertical="center"/>
      <protection locked="0"/>
    </xf>
    <xf numFmtId="0" fontId="27" fillId="8" borderId="1" xfId="50" applyFont="1" applyFill="1" applyBorder="1" applyAlignment="1" applyProtection="1">
      <alignment horizontal="center" vertical="center"/>
      <protection locked="0"/>
    </xf>
    <xf numFmtId="0" fontId="27" fillId="8" borderId="2" xfId="50" applyFont="1" applyFill="1" applyBorder="1" applyAlignment="1" applyProtection="1">
      <alignment horizontal="center" vertical="center"/>
      <protection locked="0"/>
    </xf>
    <xf numFmtId="0" fontId="27" fillId="8" borderId="10" xfId="50" applyFont="1" applyFill="1" applyBorder="1" applyAlignment="1" applyProtection="1">
      <alignment horizontal="center" vertical="center"/>
      <protection locked="0"/>
    </xf>
    <xf numFmtId="0" fontId="30" fillId="5" borderId="4" xfId="50" applyFont="1" applyFill="1" applyBorder="1" applyAlignment="1">
      <alignment horizontal="center"/>
    </xf>
    <xf numFmtId="0" fontId="32" fillId="6" borderId="15" xfId="0" applyFont="1" applyFill="1" applyBorder="1" applyAlignment="1">
      <alignment horizontal="center" vertical="center" wrapText="1"/>
    </xf>
    <xf numFmtId="0" fontId="29" fillId="31" borderId="15" xfId="0" applyFont="1" applyFill="1" applyBorder="1" applyAlignment="1" applyProtection="1">
      <alignment horizontal="center" vertical="center" wrapText="1"/>
      <protection locked="0"/>
    </xf>
    <xf numFmtId="0" fontId="33" fillId="6" borderId="15" xfId="0" applyFont="1" applyFill="1" applyBorder="1" applyAlignment="1">
      <alignment horizontal="center" vertical="center" wrapText="1"/>
    </xf>
    <xf numFmtId="0" fontId="34" fillId="7" borderId="15" xfId="0" applyFont="1" applyFill="1" applyBorder="1" applyAlignment="1" applyProtection="1">
      <alignment horizontal="center" vertical="center" wrapText="1"/>
      <protection locked="0"/>
    </xf>
    <xf numFmtId="0" fontId="29" fillId="6" borderId="15" xfId="0" applyFont="1" applyFill="1" applyBorder="1" applyAlignment="1">
      <alignment horizontal="center" vertical="center" wrapText="1"/>
    </xf>
    <xf numFmtId="0" fontId="34" fillId="32" borderId="15" xfId="0" applyFont="1" applyFill="1" applyBorder="1" applyAlignment="1" applyProtection="1">
      <alignment horizontal="center" vertical="center" wrapText="1"/>
      <protection locked="0"/>
    </xf>
    <xf numFmtId="0" fontId="35" fillId="6" borderId="15" xfId="0" applyFont="1" applyFill="1" applyBorder="1" applyAlignment="1">
      <alignment horizontal="center" vertical="center" wrapText="1"/>
    </xf>
    <xf numFmtId="0" fontId="34" fillId="33" borderId="15" xfId="0" applyFont="1" applyFill="1" applyBorder="1" applyAlignment="1" applyProtection="1">
      <alignment horizontal="center" vertical="center" wrapText="1"/>
      <protection locked="0"/>
    </xf>
    <xf numFmtId="0" fontId="36" fillId="6" borderId="15" xfId="0" applyFont="1" applyFill="1" applyBorder="1" applyAlignment="1">
      <alignment horizontal="center" vertical="center" wrapText="1"/>
    </xf>
    <xf numFmtId="0" fontId="34" fillId="34" borderId="15" xfId="0" applyFont="1" applyFill="1" applyBorder="1" applyAlignment="1" applyProtection="1">
      <alignment horizontal="center" vertical="center" wrapText="1"/>
      <protection locked="0"/>
    </xf>
    <xf numFmtId="0" fontId="29" fillId="30" borderId="15" xfId="0" applyFont="1" applyFill="1" applyBorder="1" applyAlignment="1">
      <alignment horizontal="center" vertical="center" wrapText="1"/>
    </xf>
    <xf numFmtId="0" fontId="37" fillId="35" borderId="15" xfId="0" applyFont="1" applyFill="1" applyBorder="1" applyAlignment="1">
      <alignment horizontal="center" vertical="center" wrapText="1"/>
    </xf>
    <xf numFmtId="0" fontId="27" fillId="7" borderId="15" xfId="0" applyFont="1" applyFill="1" applyBorder="1" applyAlignment="1" applyProtection="1">
      <alignment horizontal="center" vertical="center" wrapText="1"/>
      <protection locked="0"/>
    </xf>
    <xf numFmtId="0" fontId="27" fillId="8" borderId="15" xfId="0" applyFont="1" applyFill="1" applyBorder="1" applyAlignment="1" applyProtection="1">
      <alignment horizontal="center" vertical="center" wrapText="1"/>
      <protection locked="0"/>
    </xf>
    <xf numFmtId="0" fontId="17" fillId="5" borderId="0" xfId="50" applyFill="1">
      <alignment vertical="center"/>
    </xf>
    <xf numFmtId="0" fontId="29" fillId="10" borderId="0" xfId="50" applyFont="1" applyFill="1" applyAlignment="1">
      <alignment horizontal="center" vertical="center"/>
    </xf>
    <xf numFmtId="0" fontId="29" fillId="30" borderId="25" xfId="50" applyFont="1" applyFill="1" applyBorder="1" applyAlignment="1">
      <alignment horizontal="center" vertical="center" wrapText="1"/>
    </xf>
    <xf numFmtId="0" fontId="29" fillId="30" borderId="26" xfId="50" applyFont="1" applyFill="1" applyBorder="1" applyAlignment="1">
      <alignment horizontal="center" vertical="center" wrapText="1"/>
    </xf>
    <xf numFmtId="0" fontId="29" fillId="30" borderId="27" xfId="50" applyFont="1" applyFill="1" applyBorder="1" applyAlignment="1">
      <alignment horizontal="center" vertical="center" wrapText="1"/>
    </xf>
    <xf numFmtId="0" fontId="27" fillId="7" borderId="25" xfId="50" applyFont="1" applyFill="1" applyBorder="1" applyAlignment="1" applyProtection="1">
      <alignment horizontal="center" vertical="center" wrapText="1"/>
      <protection locked="0"/>
    </xf>
    <xf numFmtId="0" fontId="27" fillId="7" borderId="26" xfId="50" applyFont="1" applyFill="1" applyBorder="1" applyAlignment="1" applyProtection="1">
      <alignment horizontal="center" vertical="center" wrapText="1"/>
      <protection locked="0"/>
    </xf>
    <xf numFmtId="0" fontId="27" fillId="8" borderId="25" xfId="50" applyFont="1" applyFill="1" applyBorder="1" applyAlignment="1" applyProtection="1">
      <alignment horizontal="center" vertical="center" wrapText="1"/>
      <protection locked="0"/>
    </xf>
    <xf numFmtId="0" fontId="27" fillId="8" borderId="26" xfId="50" applyFont="1" applyFill="1" applyBorder="1" applyAlignment="1" applyProtection="1">
      <alignment horizontal="center" vertical="center" wrapText="1"/>
      <protection locked="0"/>
    </xf>
    <xf numFmtId="0" fontId="27" fillId="0" borderId="25" xfId="50" applyFont="1" applyBorder="1" applyAlignment="1" applyProtection="1">
      <alignment horizontal="center" vertical="center" wrapText="1"/>
      <protection locked="0"/>
    </xf>
    <xf numFmtId="0" fontId="27" fillId="0" borderId="26" xfId="50" applyFont="1" applyBorder="1" applyAlignment="1" applyProtection="1">
      <alignment horizontal="center" vertical="center" wrapText="1"/>
      <protection locked="0"/>
    </xf>
    <xf numFmtId="0" fontId="29" fillId="36" borderId="16" xfId="50" applyFont="1" applyFill="1" applyBorder="1" applyAlignment="1">
      <alignment horizontal="center" vertical="center"/>
    </xf>
    <xf numFmtId="0" fontId="27" fillId="7" borderId="16" xfId="50" applyFont="1" applyFill="1" applyBorder="1" applyAlignment="1" applyProtection="1">
      <alignment horizontal="left" vertical="top"/>
      <protection locked="0"/>
    </xf>
    <xf numFmtId="0" fontId="27" fillId="7" borderId="50" xfId="50" applyFont="1" applyFill="1" applyBorder="1" applyAlignment="1" applyProtection="1">
      <alignment horizontal="left" vertical="top"/>
      <protection locked="0"/>
    </xf>
    <xf numFmtId="0" fontId="17" fillId="7" borderId="16" xfId="50" applyFill="1" applyBorder="1" applyAlignment="1" applyProtection="1">
      <alignment horizontal="center" vertical="center"/>
      <protection locked="0"/>
    </xf>
    <xf numFmtId="0" fontId="27" fillId="7" borderId="27" xfId="50" applyFont="1" applyFill="1" applyBorder="1" applyAlignment="1" applyProtection="1">
      <alignment horizontal="center" vertical="center" wrapText="1"/>
      <protection locked="0"/>
    </xf>
    <xf numFmtId="0" fontId="27" fillId="5" borderId="0" xfId="50" applyFont="1" applyFill="1" applyAlignment="1">
      <alignment horizontal="center" vertical="center" wrapText="1"/>
    </xf>
    <xf numFmtId="0" fontId="29" fillId="30" borderId="16" xfId="50" applyFont="1" applyFill="1" applyBorder="1" applyAlignment="1">
      <alignment horizontal="center" vertical="center" wrapText="1"/>
    </xf>
    <xf numFmtId="0" fontId="27" fillId="7" borderId="16" xfId="50" applyFont="1" applyFill="1" applyBorder="1" applyAlignment="1" applyProtection="1">
      <alignment horizontal="center" vertical="center"/>
      <protection locked="0"/>
    </xf>
    <xf numFmtId="0" fontId="27" fillId="8" borderId="27" xfId="50" applyFont="1" applyFill="1" applyBorder="1" applyAlignment="1" applyProtection="1">
      <alignment horizontal="center" vertical="center" wrapText="1"/>
      <protection locked="0"/>
    </xf>
    <xf numFmtId="0" fontId="27" fillId="8" borderId="16" xfId="50" applyFont="1" applyFill="1" applyBorder="1" applyAlignment="1" applyProtection="1">
      <alignment horizontal="center" vertical="center" wrapText="1"/>
      <protection locked="0"/>
    </xf>
    <xf numFmtId="0" fontId="27" fillId="0" borderId="27" xfId="50" applyFont="1" applyBorder="1" applyAlignment="1" applyProtection="1">
      <alignment horizontal="center" vertical="center" wrapText="1"/>
      <protection locked="0"/>
    </xf>
    <xf numFmtId="0" fontId="27" fillId="0" borderId="16" xfId="50" applyFont="1" applyBorder="1" applyAlignment="1" applyProtection="1">
      <alignment horizontal="center" vertical="center" wrapText="1"/>
      <protection locked="0"/>
    </xf>
    <xf numFmtId="176" fontId="27" fillId="0" borderId="25" xfId="50" applyNumberFormat="1" applyFont="1" applyBorder="1" applyAlignment="1" applyProtection="1">
      <alignment horizontal="left" vertical="top"/>
      <protection locked="0"/>
    </xf>
    <xf numFmtId="176" fontId="27" fillId="0" borderId="26" xfId="50" applyNumberFormat="1" applyFont="1" applyBorder="1" applyAlignment="1" applyProtection="1">
      <alignment horizontal="left" vertical="top"/>
      <protection locked="0"/>
    </xf>
    <xf numFmtId="0" fontId="29" fillId="30" borderId="25" xfId="0" applyFont="1" applyFill="1" applyBorder="1" applyAlignment="1">
      <alignment horizontal="center" vertical="center" wrapText="1"/>
    </xf>
    <xf numFmtId="0" fontId="29" fillId="30" borderId="26" xfId="0" applyFont="1" applyFill="1" applyBorder="1" applyAlignment="1">
      <alignment horizontal="center" vertical="center" wrapText="1"/>
    </xf>
    <xf numFmtId="0" fontId="27" fillId="7" borderId="25" xfId="0" applyFont="1" applyFill="1" applyBorder="1" applyAlignment="1" applyProtection="1">
      <alignment horizontal="center" vertical="center" wrapText="1"/>
      <protection locked="0"/>
    </xf>
    <xf numFmtId="0" fontId="27" fillId="7" borderId="26" xfId="0" applyFont="1" applyFill="1" applyBorder="1" applyAlignment="1" applyProtection="1">
      <alignment horizontal="center" vertical="center" wrapText="1"/>
      <protection locked="0"/>
    </xf>
    <xf numFmtId="0" fontId="27" fillId="7" borderId="25" xfId="0" applyFont="1" applyFill="1" applyBorder="1" applyAlignment="1" applyProtection="1">
      <alignment horizontal="center" vertical="center"/>
      <protection locked="0"/>
    </xf>
    <xf numFmtId="0" fontId="27" fillId="7" borderId="26" xfId="0" applyFont="1" applyFill="1" applyBorder="1" applyAlignment="1" applyProtection="1">
      <alignment horizontal="center" vertical="center"/>
      <protection locked="0"/>
    </xf>
    <xf numFmtId="0" fontId="29" fillId="30" borderId="16" xfId="0" applyFont="1" applyFill="1" applyBorder="1" applyAlignment="1">
      <alignment horizontal="center" vertical="center" wrapText="1"/>
    </xf>
    <xf numFmtId="0" fontId="27" fillId="7" borderId="16" xfId="50" applyFont="1" applyFill="1" applyBorder="1" applyAlignment="1" applyProtection="1">
      <alignment horizontal="center" vertical="center" wrapText="1"/>
      <protection locked="0"/>
    </xf>
    <xf numFmtId="0" fontId="29" fillId="30" borderId="22" xfId="50" applyFont="1" applyFill="1" applyBorder="1" applyAlignment="1">
      <alignment horizontal="center" vertical="center" wrapText="1"/>
    </xf>
    <xf numFmtId="0" fontId="29" fillId="30" borderId="24" xfId="50" applyFont="1" applyFill="1" applyBorder="1" applyAlignment="1">
      <alignment horizontal="center" vertical="center" wrapText="1"/>
    </xf>
    <xf numFmtId="0" fontId="38" fillId="5" borderId="26" xfId="50" applyFont="1" applyFill="1" applyBorder="1" applyAlignment="1">
      <alignment horizontal="center" wrapText="1"/>
    </xf>
    <xf numFmtId="0" fontId="27" fillId="0" borderId="16" xfId="50" applyFont="1" applyBorder="1" applyAlignment="1" applyProtection="1">
      <alignment horizontal="left" vertical="top" wrapText="1"/>
      <protection locked="0"/>
    </xf>
    <xf numFmtId="0" fontId="38" fillId="5" borderId="0" xfId="0" applyFont="1" applyFill="1" applyAlignment="1">
      <alignment horizontal="left"/>
    </xf>
    <xf numFmtId="0" fontId="27" fillId="5" borderId="0" xfId="0" applyFont="1" applyFill="1">
      <alignment vertical="center"/>
    </xf>
    <xf numFmtId="0" fontId="27" fillId="35" borderId="16" xfId="0" applyFont="1" applyFill="1" applyBorder="1" applyAlignment="1" applyProtection="1">
      <alignment horizontal="center" vertical="center"/>
      <protection locked="0"/>
    </xf>
    <xf numFmtId="0" fontId="27" fillId="6" borderId="16" xfId="0" applyFont="1" applyFill="1" applyBorder="1" applyAlignment="1" applyProtection="1">
      <alignment horizontal="center" vertical="center" wrapText="1"/>
      <protection locked="0"/>
    </xf>
    <xf numFmtId="0" fontId="27" fillId="9" borderId="25" xfId="0" applyFont="1" applyFill="1" applyBorder="1" applyAlignment="1">
      <alignment horizontal="center" vertical="center" wrapText="1"/>
    </xf>
    <xf numFmtId="176" fontId="27" fillId="0" borderId="27" xfId="50" applyNumberFormat="1" applyFont="1" applyBorder="1" applyAlignment="1" applyProtection="1">
      <alignment horizontal="left" vertical="top"/>
      <protection locked="0"/>
    </xf>
    <xf numFmtId="0" fontId="27" fillId="0" borderId="26" xfId="0" applyFont="1" applyBorder="1" applyAlignment="1">
      <alignment horizontal="center" vertical="center"/>
    </xf>
    <xf numFmtId="0" fontId="27" fillId="7" borderId="27" xfId="0" applyFont="1" applyFill="1" applyBorder="1" applyAlignment="1" applyProtection="1">
      <alignment horizontal="center" vertical="center" wrapText="1"/>
      <protection locked="0"/>
    </xf>
    <xf numFmtId="0" fontId="27" fillId="0" borderId="25" xfId="0" applyFont="1" applyBorder="1" applyAlignment="1" applyProtection="1">
      <alignment horizontal="center" vertical="center"/>
      <protection locked="0"/>
    </xf>
    <xf numFmtId="0" fontId="27" fillId="0" borderId="27" xfId="0" applyFont="1" applyBorder="1" applyAlignment="1" applyProtection="1">
      <alignment horizontal="center" vertical="center"/>
      <protection locked="0"/>
    </xf>
    <xf numFmtId="0" fontId="39" fillId="7" borderId="16" xfId="50" applyFont="1" applyFill="1" applyBorder="1" applyProtection="1">
      <alignment vertical="center"/>
      <protection locked="0"/>
    </xf>
    <xf numFmtId="0" fontId="38" fillId="5" borderId="0" xfId="0" applyFont="1" applyFill="1" applyAlignment="1">
      <alignment horizontal="center" wrapText="1"/>
    </xf>
    <xf numFmtId="0" fontId="27" fillId="9" borderId="27" xfId="0" applyFont="1" applyFill="1" applyBorder="1" applyAlignment="1">
      <alignment horizontal="center" vertical="center" wrapText="1"/>
    </xf>
    <xf numFmtId="0" fontId="27" fillId="7" borderId="16" xfId="0" applyFont="1" applyFill="1" applyBorder="1" applyAlignment="1" applyProtection="1">
      <alignment horizontal="center" vertical="center"/>
      <protection locked="0"/>
    </xf>
    <xf numFmtId="0" fontId="13" fillId="5" borderId="0" xfId="0" applyFont="1" applyFill="1" applyAlignment="1">
      <alignment horizontal="center" vertical="center"/>
    </xf>
    <xf numFmtId="0" fontId="37" fillId="35" borderId="16" xfId="0" applyFont="1" applyFill="1" applyBorder="1" applyAlignment="1">
      <alignment horizontal="center" vertical="center"/>
    </xf>
    <xf numFmtId="0" fontId="40" fillId="37" borderId="16" xfId="0" applyFont="1" applyFill="1" applyBorder="1" applyAlignment="1">
      <alignment horizontal="center" vertical="center"/>
    </xf>
    <xf numFmtId="0" fontId="29" fillId="10" borderId="0" xfId="0" applyFont="1" applyFill="1" applyAlignment="1">
      <alignment horizontal="center" vertical="center" wrapText="1"/>
    </xf>
    <xf numFmtId="0" fontId="41" fillId="5" borderId="0" xfId="0" applyFont="1" applyFill="1" applyAlignment="1">
      <alignment horizontal="center" vertical="center" wrapText="1"/>
    </xf>
    <xf numFmtId="0" fontId="31" fillId="5" borderId="0" xfId="0" applyFont="1" applyFill="1" applyAlignment="1">
      <alignment horizontal="center" vertical="center" wrapText="1"/>
    </xf>
    <xf numFmtId="0" fontId="42" fillId="5" borderId="0" xfId="0" applyFont="1" applyFill="1" applyAlignment="1">
      <alignment vertical="center" wrapText="1"/>
    </xf>
    <xf numFmtId="0" fontId="43" fillId="7" borderId="16" xfId="0" applyFont="1" applyFill="1" applyBorder="1" applyAlignment="1" applyProtection="1">
      <alignment horizontal="center" vertical="center" wrapText="1"/>
      <protection locked="0"/>
    </xf>
    <xf numFmtId="0" fontId="38" fillId="5" borderId="23" xfId="0" applyFont="1" applyFill="1" applyBorder="1" applyAlignment="1">
      <alignment horizontal="center" wrapText="1"/>
    </xf>
    <xf numFmtId="0" fontId="27" fillId="0" borderId="16" xfId="0" applyFont="1" applyBorder="1" applyAlignment="1" applyProtection="1">
      <alignment horizontal="left" vertical="top" wrapText="1"/>
      <protection locked="0"/>
    </xf>
    <xf numFmtId="0" fontId="27" fillId="5" borderId="0" xfId="0" applyFont="1" applyFill="1" applyAlignment="1">
      <alignment horizontal="center" vertical="center" wrapText="1"/>
    </xf>
    <xf numFmtId="0" fontId="31" fillId="0" borderId="25" xfId="0" applyFont="1" applyBorder="1" applyAlignment="1" applyProtection="1">
      <alignment horizontal="center" vertical="center"/>
      <protection locked="0"/>
    </xf>
    <xf numFmtId="0" fontId="31" fillId="0" borderId="27" xfId="0" applyFont="1" applyBorder="1" applyAlignment="1" applyProtection="1">
      <alignment horizontal="center" vertical="center"/>
      <protection locked="0"/>
    </xf>
    <xf numFmtId="0" fontId="38" fillId="5" borderId="23" xfId="0" applyFont="1" applyFill="1" applyBorder="1" applyAlignment="1">
      <alignment horizontal="center" vertical="center" wrapText="1"/>
    </xf>
    <xf numFmtId="0" fontId="27" fillId="7" borderId="17" xfId="0" applyFont="1" applyFill="1" applyBorder="1" applyAlignment="1" applyProtection="1">
      <alignment horizontal="center" vertical="center" wrapText="1"/>
      <protection locked="0"/>
    </xf>
    <xf numFmtId="0" fontId="27" fillId="7" borderId="18" xfId="0" applyFont="1" applyFill="1" applyBorder="1" applyAlignment="1" applyProtection="1">
      <alignment horizontal="center" vertical="center" wrapText="1"/>
      <protection locked="0"/>
    </xf>
    <xf numFmtId="0" fontId="27" fillId="7" borderId="20" xfId="0" applyFont="1" applyFill="1" applyBorder="1" applyAlignment="1" applyProtection="1">
      <alignment horizontal="center" vertical="center" wrapText="1"/>
      <protection locked="0"/>
    </xf>
    <xf numFmtId="0" fontId="27" fillId="7" borderId="0" xfId="0" applyFont="1" applyFill="1" applyAlignment="1" applyProtection="1">
      <alignment horizontal="center" vertical="center" wrapText="1"/>
      <protection locked="0"/>
    </xf>
    <xf numFmtId="0" fontId="27" fillId="7" borderId="22" xfId="0" applyFont="1" applyFill="1" applyBorder="1" applyAlignment="1" applyProtection="1">
      <alignment horizontal="center" vertical="center" wrapText="1"/>
      <protection locked="0"/>
    </xf>
    <xf numFmtId="0" fontId="27" fillId="7" borderId="23" xfId="0" applyFont="1" applyFill="1" applyBorder="1" applyAlignment="1" applyProtection="1">
      <alignment horizontal="center" vertical="center" wrapText="1"/>
      <protection locked="0"/>
    </xf>
    <xf numFmtId="0" fontId="27" fillId="35" borderId="16" xfId="0" applyFont="1" applyFill="1" applyBorder="1" applyAlignment="1">
      <alignment horizontal="center" vertical="center"/>
    </xf>
    <xf numFmtId="0" fontId="27" fillId="7" borderId="19" xfId="0" applyFont="1" applyFill="1" applyBorder="1" applyAlignment="1" applyProtection="1">
      <alignment horizontal="center" vertical="center" wrapText="1"/>
      <protection locked="0"/>
    </xf>
    <xf numFmtId="0" fontId="27" fillId="7" borderId="21" xfId="0" applyFont="1" applyFill="1" applyBorder="1" applyAlignment="1" applyProtection="1">
      <alignment horizontal="center" vertical="center" wrapText="1"/>
      <protection locked="0"/>
    </xf>
    <xf numFmtId="0" fontId="27" fillId="7" borderId="24" xfId="0" applyFont="1" applyFill="1" applyBorder="1" applyAlignment="1" applyProtection="1">
      <alignment horizontal="center" vertical="center" wrapText="1"/>
      <protection locked="0"/>
    </xf>
    <xf numFmtId="0" fontId="44" fillId="38" borderId="0" xfId="0" applyFont="1" applyFill="1" applyAlignment="1">
      <alignment horizontal="center" vertical="center" wrapText="1"/>
    </xf>
    <xf numFmtId="0" fontId="44" fillId="30" borderId="0" xfId="0" applyFont="1" applyFill="1" applyAlignment="1">
      <alignment horizontal="center" vertical="center" wrapText="1"/>
    </xf>
    <xf numFmtId="0" fontId="27" fillId="7" borderId="15" xfId="0" applyFont="1" applyFill="1" applyBorder="1" applyAlignment="1" applyProtection="1">
      <alignment horizontal="center" vertical="top" wrapText="1"/>
      <protection locked="0"/>
    </xf>
    <xf numFmtId="0" fontId="27" fillId="8" borderId="15" xfId="0" applyFont="1" applyFill="1" applyBorder="1" applyAlignment="1" applyProtection="1">
      <alignment horizontal="center" vertical="top" wrapText="1"/>
      <protection locked="0"/>
    </xf>
    <xf numFmtId="0" fontId="27" fillId="7" borderId="15" xfId="0" applyFont="1" applyFill="1" applyBorder="1" applyAlignment="1">
      <alignment horizontal="center" vertical="top" wrapText="1"/>
    </xf>
    <xf numFmtId="0" fontId="27" fillId="8" borderId="15" xfId="0" applyFont="1" applyFill="1" applyBorder="1" applyAlignment="1">
      <alignment horizontal="center" vertical="top" wrapText="1"/>
    </xf>
    <xf numFmtId="0" fontId="43" fillId="8" borderId="15" xfId="0" applyFont="1" applyFill="1" applyBorder="1" applyAlignment="1" applyProtection="1">
      <alignment horizontal="left" vertical="top" wrapText="1"/>
      <protection locked="0"/>
    </xf>
    <xf numFmtId="0" fontId="38" fillId="5" borderId="0" xfId="0" applyFont="1" applyFill="1" applyAlignment="1">
      <alignment horizontal="left" wrapText="1"/>
    </xf>
    <xf numFmtId="177" fontId="27" fillId="7" borderId="15" xfId="0" applyNumberFormat="1" applyFont="1" applyFill="1" applyBorder="1" applyAlignment="1">
      <alignment horizontal="center" vertical="center" wrapText="1"/>
    </xf>
    <xf numFmtId="177" fontId="27" fillId="8" borderId="15" xfId="0" applyNumberFormat="1" applyFont="1" applyFill="1" applyBorder="1" applyAlignment="1">
      <alignment horizontal="center" vertical="center" wrapText="1"/>
    </xf>
    <xf numFmtId="177" fontId="27" fillId="37" borderId="0" xfId="0" applyNumberFormat="1" applyFont="1" applyFill="1" applyAlignment="1">
      <alignment horizontal="center" vertical="center" wrapText="1"/>
    </xf>
    <xf numFmtId="0" fontId="45" fillId="5" borderId="0" xfId="0" applyFont="1" applyFill="1" applyAlignment="1">
      <alignment horizontal="center" vertical="center" wrapText="1"/>
    </xf>
    <xf numFmtId="177" fontId="27" fillId="7" borderId="15" xfId="0" applyNumberFormat="1" applyFont="1" applyFill="1" applyBorder="1" applyAlignment="1" applyProtection="1">
      <alignment horizontal="center" vertical="center" wrapText="1"/>
      <protection locked="0"/>
    </xf>
    <xf numFmtId="177" fontId="27" fillId="8" borderId="15" xfId="0" applyNumberFormat="1" applyFont="1" applyFill="1" applyBorder="1" applyAlignment="1" applyProtection="1">
      <alignment horizontal="center" vertical="center" wrapText="1"/>
      <protection locked="0"/>
    </xf>
    <xf numFmtId="0" fontId="43" fillId="8" borderId="15" xfId="0" applyFont="1" applyFill="1" applyBorder="1" applyAlignment="1" applyProtection="1">
      <alignment horizontal="center" vertical="center" wrapText="1"/>
      <protection locked="0"/>
    </xf>
    <xf numFmtId="0" fontId="44" fillId="17" borderId="1" xfId="0" applyFont="1" applyFill="1" applyBorder="1" applyAlignment="1" applyProtection="1">
      <alignment horizontal="center" vertical="center" wrapText="1"/>
      <protection locked="0"/>
    </xf>
    <xf numFmtId="0" fontId="46" fillId="14" borderId="6" xfId="0" applyFont="1" applyFill="1" applyBorder="1" applyAlignment="1" applyProtection="1">
      <alignment horizontal="center" vertical="center"/>
      <protection locked="0"/>
    </xf>
    <xf numFmtId="0" fontId="47" fillId="17" borderId="51" xfId="0" applyFont="1" applyFill="1" applyBorder="1" applyAlignment="1" applyProtection="1">
      <alignment horizontal="center" vertical="center" wrapText="1"/>
      <protection locked="0"/>
    </xf>
    <xf numFmtId="0" fontId="46" fillId="14" borderId="1" xfId="0" applyFont="1" applyFill="1" applyBorder="1" applyAlignment="1" applyProtection="1">
      <alignment horizontal="center" vertical="center" wrapText="1"/>
      <protection locked="0"/>
    </xf>
    <xf numFmtId="0" fontId="27" fillId="37" borderId="0" xfId="0" applyFont="1" applyFill="1" applyAlignment="1" applyProtection="1">
      <alignment horizontal="center" vertical="center" wrapText="1"/>
      <protection locked="0"/>
    </xf>
    <xf numFmtId="0" fontId="48" fillId="30" borderId="52" xfId="0" applyFont="1" applyFill="1" applyBorder="1" applyAlignment="1">
      <alignment horizontal="center" vertical="center" wrapText="1"/>
    </xf>
    <xf numFmtId="0" fontId="48" fillId="30" borderId="53" xfId="0" applyFont="1" applyFill="1" applyBorder="1" applyAlignment="1">
      <alignment horizontal="center" vertical="center" wrapText="1"/>
    </xf>
    <xf numFmtId="0" fontId="48" fillId="30" borderId="54" xfId="0" applyFont="1" applyFill="1" applyBorder="1" applyAlignment="1">
      <alignment horizontal="center" vertical="center" wrapText="1"/>
    </xf>
    <xf numFmtId="0" fontId="44" fillId="17" borderId="2" xfId="0" applyFont="1" applyFill="1" applyBorder="1" applyAlignment="1" applyProtection="1">
      <alignment horizontal="center" vertical="center" wrapText="1"/>
      <protection locked="0"/>
    </xf>
    <xf numFmtId="0" fontId="46" fillId="14" borderId="7" xfId="0" applyFont="1" applyFill="1" applyBorder="1" applyAlignment="1" applyProtection="1">
      <alignment horizontal="center" vertical="center"/>
      <protection locked="0"/>
    </xf>
    <xf numFmtId="0" fontId="47" fillId="17" borderId="55" xfId="0" applyFont="1" applyFill="1" applyBorder="1" applyAlignment="1" applyProtection="1">
      <alignment horizontal="center" vertical="center" wrapText="1"/>
      <protection locked="0"/>
    </xf>
    <xf numFmtId="0" fontId="47" fillId="17" borderId="55" xfId="0" applyFont="1" applyFill="1" applyBorder="1" applyAlignment="1" applyProtection="1">
      <alignment horizontal="center" vertical="top" wrapText="1"/>
      <protection locked="0"/>
    </xf>
    <xf numFmtId="0" fontId="46" fillId="14" borderId="2" xfId="0" applyFont="1" applyFill="1" applyBorder="1" applyAlignment="1" applyProtection="1">
      <alignment horizontal="center" vertical="center" wrapText="1"/>
      <protection locked="0"/>
    </xf>
    <xf numFmtId="0" fontId="46" fillId="14" borderId="10" xfId="0" applyFont="1" applyFill="1" applyBorder="1" applyAlignment="1" applyProtection="1">
      <alignment horizontal="center" vertical="center" wrapText="1"/>
      <protection locked="0"/>
    </xf>
    <xf numFmtId="178" fontId="49" fillId="7" borderId="15" xfId="0" applyNumberFormat="1" applyFont="1" applyFill="1" applyBorder="1" applyAlignment="1" applyProtection="1">
      <alignment horizontal="center" vertical="top" wrapText="1"/>
      <protection locked="0"/>
    </xf>
    <xf numFmtId="178" fontId="49" fillId="7" borderId="1" xfId="0" applyNumberFormat="1" applyFont="1" applyFill="1" applyBorder="1" applyAlignment="1" applyProtection="1">
      <alignment horizontal="center" vertical="top" wrapText="1"/>
      <protection locked="0"/>
    </xf>
    <xf numFmtId="178" fontId="49" fillId="7" borderId="2" xfId="0" applyNumberFormat="1" applyFont="1" applyFill="1" applyBorder="1" applyAlignment="1" applyProtection="1">
      <alignment horizontal="center" vertical="top" wrapText="1"/>
      <protection locked="0"/>
    </xf>
    <xf numFmtId="0" fontId="31" fillId="7" borderId="15" xfId="0" applyFont="1" applyFill="1" applyBorder="1" applyAlignment="1" applyProtection="1">
      <alignment horizontal="center" vertical="center" wrapText="1"/>
      <protection locked="0"/>
    </xf>
    <xf numFmtId="0" fontId="31" fillId="35" borderId="15" xfId="0" applyFont="1" applyFill="1" applyBorder="1" applyAlignment="1">
      <alignment horizontal="center" vertical="center" wrapText="1"/>
    </xf>
    <xf numFmtId="178" fontId="46" fillId="0" borderId="0" xfId="0" applyNumberFormat="1" applyFont="1" applyAlignment="1" applyProtection="1">
      <alignment horizontal="center" vertical="center"/>
      <protection locked="0"/>
    </xf>
    <xf numFmtId="0" fontId="46" fillId="39" borderId="1" xfId="0" applyFont="1" applyFill="1" applyBorder="1" applyAlignment="1" applyProtection="1">
      <alignment horizontal="center" vertical="top" wrapText="1"/>
      <protection locked="0"/>
    </xf>
    <xf numFmtId="0" fontId="46" fillId="39" borderId="2" xfId="0" applyFont="1" applyFill="1" applyBorder="1" applyAlignment="1" applyProtection="1">
      <alignment horizontal="center" vertical="top" wrapText="1"/>
      <protection locked="0"/>
    </xf>
    <xf numFmtId="0" fontId="46" fillId="39" borderId="10" xfId="0" applyFont="1" applyFill="1" applyBorder="1" applyAlignment="1" applyProtection="1">
      <alignment horizontal="center" vertical="top" wrapText="1"/>
      <protection locked="0"/>
    </xf>
    <xf numFmtId="178" fontId="50" fillId="0" borderId="1" xfId="0" applyNumberFormat="1" applyFont="1" applyBorder="1" applyAlignment="1" applyProtection="1">
      <alignment horizontal="center" vertical="top" wrapText="1"/>
      <protection locked="0"/>
    </xf>
    <xf numFmtId="178" fontId="49" fillId="7" borderId="10" xfId="0" applyNumberFormat="1" applyFont="1" applyFill="1" applyBorder="1" applyAlignment="1" applyProtection="1">
      <alignment horizontal="center" vertical="top" wrapText="1"/>
      <protection locked="0"/>
    </xf>
    <xf numFmtId="0" fontId="44" fillId="17" borderId="10" xfId="0" applyFont="1" applyFill="1" applyBorder="1" applyAlignment="1" applyProtection="1">
      <alignment horizontal="center" vertical="center" wrapText="1"/>
      <protection locked="0"/>
    </xf>
    <xf numFmtId="178" fontId="46" fillId="0" borderId="13" xfId="0" applyNumberFormat="1" applyFont="1" applyBorder="1" applyAlignment="1" applyProtection="1">
      <alignment horizontal="center" vertical="center"/>
      <protection locked="0"/>
    </xf>
    <xf numFmtId="0" fontId="47" fillId="17" borderId="56" xfId="0" applyFont="1" applyFill="1" applyBorder="1" applyAlignment="1" applyProtection="1">
      <alignment horizontal="center" vertical="top" wrapText="1"/>
      <protection locked="0"/>
    </xf>
    <xf numFmtId="178" fontId="50" fillId="0" borderId="2" xfId="0" applyNumberFormat="1" applyFont="1" applyBorder="1" applyAlignment="1" applyProtection="1">
      <alignment horizontal="center" vertical="top" wrapText="1"/>
      <protection locked="0"/>
    </xf>
    <xf numFmtId="178" fontId="50" fillId="0" borderId="10" xfId="0" applyNumberFormat="1" applyFont="1" applyBorder="1" applyAlignment="1" applyProtection="1">
      <alignment horizontal="center" vertical="top" wrapText="1"/>
      <protection locked="0"/>
    </xf>
    <xf numFmtId="0" fontId="17" fillId="0" borderId="0" xfId="0" applyFont="1" applyAlignment="1">
      <alignment horizontal="center" vertical="top" wrapText="1"/>
    </xf>
    <xf numFmtId="0" fontId="17" fillId="0" borderId="23" xfId="0" applyFont="1" applyBorder="1" applyAlignment="1">
      <alignment horizontal="center" vertical="top" wrapText="1"/>
    </xf>
    <xf numFmtId="0" fontId="17" fillId="0" borderId="24" xfId="0" applyFont="1" applyBorder="1" applyAlignment="1">
      <alignment horizontal="center" vertical="top" wrapText="1"/>
    </xf>
    <xf numFmtId="0" fontId="17" fillId="0" borderId="21" xfId="0" applyFont="1" applyBorder="1" applyAlignment="1">
      <alignment horizontal="center" vertical="top" wrapText="1"/>
    </xf>
    <xf numFmtId="0" fontId="17" fillId="40" borderId="0" xfId="0" applyFont="1" applyFill="1" applyAlignment="1">
      <alignment horizontal="center" vertical="top" wrapText="1"/>
    </xf>
    <xf numFmtId="0" fontId="17" fillId="0" borderId="17" xfId="0" applyFont="1" applyBorder="1" applyAlignment="1">
      <alignment horizontal="center" vertical="top" wrapText="1"/>
    </xf>
    <xf numFmtId="0" fontId="17" fillId="0" borderId="18" xfId="0" applyFont="1" applyBorder="1" applyAlignment="1">
      <alignment horizontal="center" vertical="top" wrapText="1"/>
    </xf>
    <xf numFmtId="0" fontId="17" fillId="0" borderId="19" xfId="0" applyFont="1" applyBorder="1" applyAlignment="1">
      <alignment horizontal="center" vertical="top" wrapText="1"/>
    </xf>
    <xf numFmtId="0" fontId="17" fillId="0" borderId="22" xfId="0" applyFont="1" applyBorder="1" applyAlignment="1">
      <alignment horizontal="center" vertical="top" wrapText="1"/>
    </xf>
    <xf numFmtId="0" fontId="1" fillId="0" borderId="0" xfId="0" applyFont="1" applyAlignment="1">
      <alignment horizontal="center" vertical="center" wrapText="1"/>
    </xf>
    <xf numFmtId="0" fontId="1" fillId="0" borderId="0" xfId="0" applyFont="1" applyAlignment="1">
      <alignment horizontal="center" vertical="top" wrapText="1"/>
    </xf>
    <xf numFmtId="0" fontId="1" fillId="0" borderId="0" xfId="0" applyFont="1" applyAlignment="1">
      <alignment horizontal="center" vertical="center"/>
    </xf>
    <xf numFmtId="0" fontId="51" fillId="0" borderId="57" xfId="0" applyFont="1" applyBorder="1" applyAlignment="1">
      <alignment horizontal="center" vertical="center" wrapText="1"/>
    </xf>
    <xf numFmtId="0" fontId="51" fillId="0" borderId="23" xfId="0" applyFont="1" applyBorder="1" applyAlignment="1">
      <alignment horizontal="center" vertical="center" wrapText="1"/>
    </xf>
    <xf numFmtId="0" fontId="51" fillId="0" borderId="23" xfId="0" applyFont="1" applyBorder="1" applyAlignment="1">
      <alignment horizontal="center" vertical="top" wrapText="1"/>
    </xf>
    <xf numFmtId="0" fontId="1" fillId="0" borderId="23" xfId="0" applyFont="1" applyBorder="1" applyAlignment="1">
      <alignment horizontal="center" vertical="center" wrapText="1"/>
    </xf>
    <xf numFmtId="0" fontId="51" fillId="8" borderId="0" xfId="0" applyFont="1" applyFill="1" applyAlignment="1">
      <alignment horizontal="center" vertical="center" wrapText="1"/>
    </xf>
    <xf numFmtId="0" fontId="51" fillId="8" borderId="0" xfId="0" applyFont="1" applyFill="1" applyAlignment="1">
      <alignment horizontal="center" vertical="top" wrapText="1"/>
    </xf>
    <xf numFmtId="0" fontId="51" fillId="41" borderId="18" xfId="0" applyFont="1" applyFill="1" applyBorder="1" applyAlignment="1">
      <alignment horizontal="center" vertical="center" wrapText="1"/>
    </xf>
    <xf numFmtId="0" fontId="51" fillId="41" borderId="18" xfId="0" applyFont="1" applyFill="1" applyBorder="1" applyAlignment="1">
      <alignment horizontal="center" vertical="top" wrapText="1"/>
    </xf>
    <xf numFmtId="0" fontId="51" fillId="41" borderId="0" xfId="0" applyFont="1" applyFill="1" applyAlignment="1">
      <alignment horizontal="center" vertical="center" wrapText="1"/>
    </xf>
    <xf numFmtId="0" fontId="51" fillId="41" borderId="0" xfId="0" applyFont="1" applyFill="1" applyAlignment="1">
      <alignment horizontal="center" vertical="top" wrapText="1"/>
    </xf>
    <xf numFmtId="0" fontId="51" fillId="7" borderId="0" xfId="0" applyFont="1" applyFill="1" applyAlignment="1">
      <alignment horizontal="center" vertical="center" wrapText="1"/>
    </xf>
    <xf numFmtId="0" fontId="51" fillId="7" borderId="0" xfId="0" applyFont="1" applyFill="1" applyAlignment="1">
      <alignment horizontal="center" vertical="top" wrapText="1"/>
    </xf>
    <xf numFmtId="0" fontId="51" fillId="0" borderId="17" xfId="0" applyFont="1" applyBorder="1" applyAlignment="1">
      <alignment horizontal="center" vertical="center" wrapText="1"/>
    </xf>
    <xf numFmtId="0" fontId="51" fillId="0" borderId="19" xfId="0" applyFont="1" applyBorder="1" applyAlignment="1">
      <alignment horizontal="center" vertical="top" wrapText="1"/>
    </xf>
    <xf numFmtId="0" fontId="51" fillId="0" borderId="22" xfId="0" applyFont="1" applyBorder="1" applyAlignment="1">
      <alignment horizontal="center" vertical="center" wrapText="1"/>
    </xf>
    <xf numFmtId="0" fontId="51" fillId="0" borderId="24" xfId="0" applyFont="1" applyBorder="1" applyAlignment="1">
      <alignment horizontal="center" vertical="top" wrapText="1"/>
    </xf>
    <xf numFmtId="0" fontId="51" fillId="7" borderId="58" xfId="0" applyFont="1" applyFill="1" applyBorder="1" applyAlignment="1">
      <alignment horizontal="center" vertical="center" wrapText="1"/>
    </xf>
    <xf numFmtId="0" fontId="51" fillId="7" borderId="58" xfId="0" applyFont="1" applyFill="1" applyBorder="1" applyAlignment="1">
      <alignment horizontal="center" vertical="top" wrapText="1"/>
    </xf>
    <xf numFmtId="0" fontId="51" fillId="0" borderId="0" xfId="0" applyFont="1" applyAlignment="1">
      <alignment horizontal="center" vertical="center" wrapText="1"/>
    </xf>
    <xf numFmtId="0" fontId="51" fillId="0" borderId="0" xfId="0" applyFont="1" applyAlignment="1">
      <alignment horizontal="center" vertical="top" wrapText="1"/>
    </xf>
    <xf numFmtId="0" fontId="51" fillId="0" borderId="58" xfId="0" applyFont="1" applyBorder="1" applyAlignment="1">
      <alignment horizontal="center" vertical="center" wrapText="1"/>
    </xf>
    <xf numFmtId="0" fontId="51" fillId="0" borderId="58" xfId="0" applyFont="1" applyBorder="1" applyAlignment="1">
      <alignment horizontal="center" vertical="top" wrapText="1"/>
    </xf>
    <xf numFmtId="0" fontId="51" fillId="35" borderId="0" xfId="0" applyFont="1" applyFill="1" applyAlignment="1">
      <alignment horizontal="center" vertical="center" wrapText="1"/>
    </xf>
    <xf numFmtId="0" fontId="51" fillId="35" borderId="0" xfId="0" applyFont="1" applyFill="1" applyAlignment="1">
      <alignment horizontal="center" vertical="top" wrapText="1"/>
    </xf>
    <xf numFmtId="0" fontId="1" fillId="0" borderId="23" xfId="0" applyFont="1" applyBorder="1" applyAlignment="1">
      <alignment horizontal="center" vertical="top" wrapText="1"/>
    </xf>
    <xf numFmtId="0" fontId="52" fillId="0" borderId="0" xfId="0" applyFont="1" applyAlignment="1">
      <alignment horizontal="center" vertical="top" wrapText="1"/>
    </xf>
    <xf numFmtId="0" fontId="53" fillId="0" borderId="0" xfId="0" applyFont="1" applyAlignment="1">
      <alignment horizontal="center" vertical="center" wrapText="1"/>
    </xf>
    <xf numFmtId="0" fontId="52" fillId="0" borderId="0" xfId="0" applyFont="1" applyAlignment="1">
      <alignment horizontal="center" vertical="center"/>
    </xf>
    <xf numFmtId="0" fontId="52" fillId="8" borderId="0" xfId="0" applyFont="1" applyFill="1" applyAlignment="1">
      <alignment horizontal="center" vertical="center"/>
    </xf>
    <xf numFmtId="0" fontId="52" fillId="8" borderId="0" xfId="0" applyFont="1" applyFill="1" applyAlignment="1">
      <alignment horizontal="center" vertical="top" wrapText="1"/>
    </xf>
    <xf numFmtId="0" fontId="1" fillId="8" borderId="0" xfId="0" applyFont="1" applyFill="1" applyAlignment="1">
      <alignment horizontal="center" vertical="center" wrapText="1"/>
    </xf>
    <xf numFmtId="0" fontId="53" fillId="8" borderId="0" xfId="0" applyFont="1" applyFill="1" applyAlignment="1">
      <alignment horizontal="center" vertical="center" wrapText="1"/>
    </xf>
    <xf numFmtId="0" fontId="1" fillId="8" borderId="0" xfId="0" applyFont="1" applyFill="1" applyAlignment="1">
      <alignment horizontal="center" vertical="top" wrapText="1"/>
    </xf>
    <xf numFmtId="0" fontId="52" fillId="0" borderId="0" xfId="0" applyFont="1" applyAlignment="1">
      <alignment horizontal="center" vertical="center" wrapText="1"/>
    </xf>
    <xf numFmtId="0" fontId="51" fillId="42" borderId="0" xfId="0" applyFont="1" applyFill="1" applyAlignment="1">
      <alignment horizontal="center" vertical="center" wrapText="1"/>
    </xf>
    <xf numFmtId="0" fontId="51" fillId="35" borderId="58" xfId="0" applyFont="1" applyFill="1" applyBorder="1" applyAlignment="1">
      <alignment horizontal="center" vertical="center" wrapText="1"/>
    </xf>
    <xf numFmtId="0" fontId="51" fillId="35" borderId="58" xfId="0" applyFont="1" applyFill="1" applyBorder="1" applyAlignment="1">
      <alignment horizontal="center" vertical="top" wrapText="1"/>
    </xf>
    <xf numFmtId="0" fontId="51" fillId="8" borderId="59" xfId="0" applyFont="1" applyFill="1" applyBorder="1" applyAlignment="1">
      <alignment horizontal="center" vertical="center" wrapText="1"/>
    </xf>
    <xf numFmtId="0" fontId="51" fillId="8" borderId="59" xfId="0" applyFont="1" applyFill="1" applyBorder="1" applyAlignment="1">
      <alignment horizontal="center" vertical="top" wrapText="1"/>
    </xf>
    <xf numFmtId="0" fontId="53" fillId="0" borderId="0" xfId="0" applyFont="1" applyAlignment="1">
      <alignment horizontal="center" vertical="top" wrapText="1"/>
    </xf>
    <xf numFmtId="0" fontId="53" fillId="8" borderId="59" xfId="0" applyFont="1" applyFill="1" applyBorder="1" applyAlignment="1">
      <alignment horizontal="center" vertical="center" wrapText="1"/>
    </xf>
    <xf numFmtId="0" fontId="53" fillId="8" borderId="59" xfId="0" applyFont="1" applyFill="1" applyBorder="1" applyAlignment="1">
      <alignment horizontal="center" vertical="top" wrapText="1"/>
    </xf>
    <xf numFmtId="0" fontId="53" fillId="8" borderId="0" xfId="0" applyFont="1" applyFill="1" applyAlignment="1">
      <alignment horizontal="center" vertical="top" wrapText="1"/>
    </xf>
    <xf numFmtId="0" fontId="53" fillId="42" borderId="0" xfId="0" applyFont="1" applyFill="1" applyAlignment="1">
      <alignment horizontal="center" vertical="center" wrapText="1"/>
    </xf>
    <xf numFmtId="0" fontId="53" fillId="42" borderId="0" xfId="0" applyFont="1" applyFill="1" applyAlignment="1">
      <alignment horizontal="center" vertical="top" wrapText="1"/>
    </xf>
    <xf numFmtId="0" fontId="53" fillId="0" borderId="59" xfId="0" applyFont="1" applyBorder="1" applyAlignment="1">
      <alignment horizontal="center" vertical="center" wrapText="1"/>
    </xf>
    <xf numFmtId="0" fontId="53" fillId="0" borderId="59" xfId="0" applyFont="1" applyBorder="1" applyAlignment="1">
      <alignment horizontal="center" vertical="top" wrapText="1"/>
    </xf>
    <xf numFmtId="0" fontId="51" fillId="43" borderId="59" xfId="0" applyFont="1" applyFill="1" applyBorder="1" applyAlignment="1">
      <alignment horizontal="center" vertical="center" wrapText="1"/>
    </xf>
    <xf numFmtId="0" fontId="51" fillId="43" borderId="59" xfId="0" applyFont="1" applyFill="1" applyBorder="1" applyAlignment="1">
      <alignment horizontal="center" vertical="top" wrapText="1"/>
    </xf>
    <xf numFmtId="0" fontId="51" fillId="43" borderId="0" xfId="0" applyFont="1" applyFill="1" applyAlignment="1">
      <alignment horizontal="center" vertical="center" wrapText="1"/>
    </xf>
    <xf numFmtId="0" fontId="51" fillId="43" borderId="0" xfId="0" applyFont="1" applyFill="1" applyAlignment="1">
      <alignment horizontal="center" vertical="top" wrapText="1"/>
    </xf>
    <xf numFmtId="0" fontId="1" fillId="0" borderId="17" xfId="0" applyFont="1" applyBorder="1" applyAlignment="1">
      <alignment horizontal="center" vertical="center" wrapText="1"/>
    </xf>
    <xf numFmtId="0" fontId="1" fillId="0" borderId="19" xfId="0" applyFont="1" applyBorder="1" applyAlignment="1">
      <alignment horizontal="center" vertical="top" wrapText="1"/>
    </xf>
    <xf numFmtId="0" fontId="1" fillId="0" borderId="20" xfId="0" applyFont="1" applyBorder="1" applyAlignment="1">
      <alignment horizontal="center" vertical="center" wrapText="1"/>
    </xf>
    <xf numFmtId="0" fontId="1" fillId="0" borderId="21" xfId="0" applyFont="1" applyBorder="1" applyAlignment="1">
      <alignment horizontal="center" vertical="top" wrapText="1"/>
    </xf>
    <xf numFmtId="0" fontId="1" fillId="0" borderId="22" xfId="0" applyFont="1" applyBorder="1" applyAlignment="1">
      <alignment horizontal="center" vertical="center" wrapText="1"/>
    </xf>
    <xf numFmtId="0" fontId="1" fillId="0" borderId="24" xfId="0" applyFont="1" applyBorder="1" applyAlignment="1">
      <alignment horizontal="center" vertical="top" wrapText="1"/>
    </xf>
    <xf numFmtId="0" fontId="54" fillId="0" borderId="0" xfId="0" applyFont="1" applyAlignment="1">
      <alignment horizontal="center" vertical="top" wrapText="1"/>
    </xf>
    <xf numFmtId="0" fontId="22" fillId="0" borderId="0" xfId="49" applyAlignment="1">
      <alignment horizontal="center" vertical="top" wrapText="1"/>
    </xf>
    <xf numFmtId="0" fontId="0" fillId="0" borderId="0" xfId="0" applyAlignment="1">
      <alignment horizontal="center" vertical="top"/>
    </xf>
    <xf numFmtId="0" fontId="0" fillId="0" borderId="0" xfId="0" applyAlignment="1">
      <alignment horizontal="center" vertical="top" wrapText="1"/>
    </xf>
    <xf numFmtId="0" fontId="0" fillId="0" borderId="59" xfId="0" applyBorder="1" applyAlignment="1">
      <alignment horizontal="center" vertical="top" wrapText="1"/>
    </xf>
    <xf numFmtId="0" fontId="22" fillId="0" borderId="59" xfId="49" applyBorder="1" applyAlignment="1">
      <alignment horizontal="center" vertical="top" wrapText="1"/>
    </xf>
    <xf numFmtId="0" fontId="22" fillId="0" borderId="0" xfId="49" applyAlignment="1">
      <alignment horizontal="center" vertical="top"/>
    </xf>
    <xf numFmtId="0" fontId="55" fillId="0" borderId="0" xfId="49" applyFont="1" applyAlignment="1">
      <alignment horizontal="center" vertical="top" wrapText="1"/>
    </xf>
    <xf numFmtId="0" fontId="55" fillId="0" borderId="0" xfId="49" applyFont="1" applyAlignment="1">
      <alignment horizontal="center" vertical="center"/>
    </xf>
    <xf numFmtId="0" fontId="56" fillId="0" borderId="0" xfId="0" applyFont="1" applyAlignment="1">
      <alignment horizontal="center" vertical="top"/>
    </xf>
    <xf numFmtId="0" fontId="56" fillId="0" borderId="58" xfId="0" applyFont="1" applyBorder="1" applyAlignment="1">
      <alignment horizontal="center" vertical="top" wrapText="1"/>
    </xf>
    <xf numFmtId="0" fontId="56" fillId="0" borderId="60" xfId="0" applyFont="1" applyBorder="1" applyAlignment="1">
      <alignment horizontal="center" vertical="center"/>
    </xf>
    <xf numFmtId="0" fontId="22" fillId="0" borderId="61" xfId="49" applyBorder="1" applyAlignment="1">
      <alignment horizontal="center" vertical="center" wrapText="1"/>
    </xf>
    <xf numFmtId="0" fontId="56" fillId="0" borderId="0" xfId="0" applyFont="1" applyAlignment="1">
      <alignment horizontal="center" vertical="top" wrapText="1"/>
    </xf>
    <xf numFmtId="0" fontId="22" fillId="0" borderId="60" xfId="49" applyBorder="1" applyAlignment="1">
      <alignment horizontal="center" vertical="top" wrapText="1"/>
    </xf>
    <xf numFmtId="0" fontId="17" fillId="0" borderId="62" xfId="0" applyFont="1" applyBorder="1" applyAlignment="1">
      <alignment horizontal="center" vertical="top" wrapText="1"/>
    </xf>
    <xf numFmtId="0" fontId="22" fillId="0" borderId="61" xfId="49" applyBorder="1" applyAlignment="1">
      <alignment horizontal="center" vertical="top" wrapText="1"/>
    </xf>
    <xf numFmtId="0" fontId="22" fillId="0" borderId="61" xfId="49" applyBorder="1" applyAlignment="1">
      <alignment horizontal="center" vertical="center"/>
    </xf>
    <xf numFmtId="0" fontId="0" fillId="0" borderId="61" xfId="0" applyBorder="1" applyAlignment="1">
      <alignment horizontal="center" vertical="top" wrapText="1"/>
    </xf>
    <xf numFmtId="0" fontId="17" fillId="0" borderId="61" xfId="0" applyFont="1" applyBorder="1" applyAlignment="1">
      <alignment horizontal="center" vertical="top" wrapText="1"/>
    </xf>
    <xf numFmtId="0" fontId="0" fillId="0" borderId="63" xfId="0" applyBorder="1" applyAlignment="1">
      <alignment horizontal="center" vertical="top" wrapText="1"/>
    </xf>
    <xf numFmtId="0" fontId="17" fillId="0" borderId="64" xfId="0" applyFont="1" applyBorder="1" applyAlignment="1">
      <alignment horizontal="center" vertical="top" wrapText="1"/>
    </xf>
    <xf numFmtId="0" fontId="0" fillId="0" borderId="62" xfId="0" applyBorder="1" applyAlignment="1">
      <alignment horizontal="center" vertical="top" wrapText="1"/>
    </xf>
    <xf numFmtId="0" fontId="0" fillId="0" borderId="60" xfId="0" applyBorder="1" applyAlignment="1">
      <alignment horizontal="center" vertical="top" wrapText="1"/>
    </xf>
    <xf numFmtId="0" fontId="0" fillId="0" borderId="65" xfId="0" applyBorder="1" applyAlignment="1">
      <alignment horizontal="center" vertical="top" wrapText="1"/>
    </xf>
    <xf numFmtId="0" fontId="57" fillId="0" borderId="61" xfId="49" applyFont="1" applyBorder="1" applyAlignment="1">
      <alignment horizontal="center" vertical="top" wrapText="1"/>
    </xf>
    <xf numFmtId="0" fontId="0" fillId="0" borderId="58" xfId="0" applyBorder="1" applyAlignment="1">
      <alignment horizontal="center" vertical="top" wrapText="1"/>
    </xf>
    <xf numFmtId="0" fontId="0" fillId="0" borderId="66" xfId="0" applyBorder="1" applyAlignment="1">
      <alignment horizontal="center" vertical="top" wrapText="1"/>
    </xf>
    <xf numFmtId="0" fontId="22" fillId="0" borderId="62" xfId="49" applyBorder="1" applyAlignment="1">
      <alignment horizontal="center" vertical="top" wrapText="1"/>
    </xf>
    <xf numFmtId="0" fontId="22" fillId="0" borderId="63" xfId="49" applyBorder="1" applyAlignment="1">
      <alignment horizontal="center" vertical="top" wrapText="1"/>
    </xf>
    <xf numFmtId="0" fontId="22" fillId="0" borderId="66" xfId="49" applyBorder="1" applyAlignment="1">
      <alignment horizontal="center" vertical="top" wrapText="1"/>
    </xf>
    <xf numFmtId="0" fontId="22" fillId="0" borderId="58" xfId="49" applyBorder="1" applyAlignment="1">
      <alignment horizontal="center" vertical="top" wrapText="1"/>
    </xf>
    <xf numFmtId="0" fontId="22" fillId="0" borderId="67" xfId="49" applyBorder="1" applyAlignment="1">
      <alignment horizontal="center" vertical="top" wrapText="1"/>
    </xf>
    <xf numFmtId="0" fontId="0" fillId="0" borderId="67" xfId="0" applyBorder="1" applyAlignment="1">
      <alignment horizontal="center" vertical="top" wrapText="1"/>
    </xf>
    <xf numFmtId="58" fontId="22" fillId="0" borderId="0" xfId="49" applyNumberFormat="1" applyAlignment="1">
      <alignment horizontal="center" vertical="top" wrapText="1"/>
    </xf>
    <xf numFmtId="0" fontId="54" fillId="0" borderId="0" xfId="0" applyFont="1" applyAlignment="1">
      <alignment horizontal="center" vertical="center"/>
    </xf>
    <xf numFmtId="0" fontId="17" fillId="0" borderId="61" xfId="0" applyFont="1" applyBorder="1" applyAlignment="1">
      <alignment horizontal="center" vertical="center" wrapText="1"/>
    </xf>
    <xf numFmtId="0" fontId="0" fillId="0" borderId="61" xfId="0" applyBorder="1" applyAlignment="1">
      <alignment horizontal="center" vertical="center" wrapText="1"/>
    </xf>
    <xf numFmtId="0" fontId="17" fillId="0" borderId="61" xfId="0" applyFont="1" applyBorder="1" applyAlignment="1">
      <alignment horizontal="center" vertical="center"/>
    </xf>
    <xf numFmtId="0" fontId="17" fillId="0" borderId="0" xfId="0" applyFont="1" applyAlignment="1">
      <alignment horizontal="center" vertical="center"/>
    </xf>
    <xf numFmtId="0" fontId="53" fillId="0" borderId="0" xfId="0" applyFont="1" applyAlignment="1">
      <alignment horizontal="center" vertical="top"/>
    </xf>
    <xf numFmtId="0" fontId="27" fillId="0" borderId="0" xfId="0" applyFont="1" applyAlignment="1">
      <alignment horizontal="center" vertical="top" wrapText="1"/>
    </xf>
    <xf numFmtId="0" fontId="58" fillId="0" borderId="0" xfId="0" applyFont="1" applyAlignment="1">
      <alignment horizontal="center" vertical="top" wrapText="1"/>
    </xf>
    <xf numFmtId="0" fontId="53" fillId="44" borderId="0" xfId="0" applyFont="1" applyFill="1" applyAlignment="1">
      <alignment horizontal="center" vertical="top" wrapText="1"/>
    </xf>
    <xf numFmtId="0" fontId="53" fillId="0" borderId="50" xfId="0" applyFont="1" applyBorder="1" applyAlignment="1">
      <alignment horizontal="center" vertical="top" wrapText="1"/>
    </xf>
    <xf numFmtId="0" fontId="53" fillId="0" borderId="57" xfId="0" applyFont="1" applyBorder="1" applyAlignment="1">
      <alignment horizontal="center" vertical="top" wrapText="1"/>
    </xf>
    <xf numFmtId="0" fontId="53" fillId="0" borderId="68" xfId="0" applyFont="1" applyBorder="1" applyAlignment="1">
      <alignment horizontal="center" vertical="top" wrapText="1"/>
    </xf>
    <xf numFmtId="0" fontId="53" fillId="0" borderId="57" xfId="0" applyFont="1" applyBorder="1" applyAlignment="1">
      <alignment horizontal="center" vertical="top"/>
    </xf>
    <xf numFmtId="0" fontId="53" fillId="0" borderId="23" xfId="0" applyFont="1" applyBorder="1" applyAlignment="1">
      <alignment horizontal="center" vertical="top" wrapText="1"/>
    </xf>
    <xf numFmtId="0" fontId="53" fillId="0" borderId="23" xfId="0" applyFont="1" applyBorder="1" applyAlignment="1">
      <alignment horizontal="center" vertical="top"/>
    </xf>
    <xf numFmtId="0" fontId="59" fillId="0" borderId="0" xfId="0" applyFont="1" applyAlignment="1">
      <alignment horizontal="center" vertical="center" wrapText="1"/>
    </xf>
    <xf numFmtId="0" fontId="60" fillId="0" borderId="0" xfId="0" applyFont="1" applyAlignment="1">
      <alignment horizontal="center" vertical="center" wrapText="1"/>
    </xf>
    <xf numFmtId="0" fontId="27" fillId="0" borderId="16" xfId="0" applyFont="1" applyBorder="1" applyAlignment="1">
      <alignment horizontal="center" vertical="top" wrapText="1"/>
    </xf>
    <xf numFmtId="0" fontId="31" fillId="0" borderId="16" xfId="0" applyFont="1" applyBorder="1" applyAlignment="1">
      <alignment vertical="top"/>
    </xf>
    <xf numFmtId="0" fontId="27" fillId="0" borderId="20" xfId="0" applyFont="1" applyBorder="1" applyAlignment="1">
      <alignment horizontal="center" vertical="top" wrapText="1"/>
    </xf>
    <xf numFmtId="0" fontId="31" fillId="0" borderId="21" xfId="0" applyFont="1" applyBorder="1" applyAlignment="1">
      <alignment vertical="top"/>
    </xf>
    <xf numFmtId="0" fontId="31" fillId="0" borderId="0" xfId="0" applyFont="1" applyAlignment="1">
      <alignment vertical="top"/>
    </xf>
    <xf numFmtId="0" fontId="31" fillId="0" borderId="16" xfId="0" applyFont="1" applyBorder="1" applyAlignment="1">
      <alignment horizontal="center" vertical="top"/>
    </xf>
    <xf numFmtId="0" fontId="31" fillId="0" borderId="16" xfId="0" applyFont="1" applyBorder="1" applyAlignment="1">
      <alignment horizontal="right" vertical="top"/>
    </xf>
    <xf numFmtId="0" fontId="54" fillId="0" borderId="0" xfId="0" applyFont="1" applyAlignment="1">
      <alignment horizontal="center" vertical="top"/>
    </xf>
    <xf numFmtId="0" fontId="27" fillId="0" borderId="57" xfId="0" applyFont="1" applyBorder="1" applyAlignment="1">
      <alignment horizontal="center" vertical="top" wrapText="1"/>
    </xf>
    <xf numFmtId="0" fontId="17" fillId="8" borderId="0" xfId="0" applyFont="1" applyFill="1" applyAlignment="1">
      <alignment horizontal="center" vertical="top" wrapText="1"/>
    </xf>
    <xf numFmtId="0" fontId="17" fillId="44" borderId="0" xfId="0" applyFont="1" applyFill="1" applyAlignment="1">
      <alignment horizontal="center" vertical="top" wrapText="1"/>
    </xf>
    <xf numFmtId="0" fontId="27" fillId="0" borderId="0" xfId="0" applyFont="1" applyAlignment="1">
      <alignment horizontal="center" vertical="center" wrapText="1"/>
    </xf>
    <xf numFmtId="0" fontId="27" fillId="0" borderId="0" xfId="0" applyFont="1" applyAlignment="1">
      <alignment horizontal="center" vertical="center"/>
    </xf>
    <xf numFmtId="0" fontId="31" fillId="0" borderId="0" xfId="0" applyFont="1" applyAlignment="1">
      <alignment horizontal="center" vertical="top"/>
    </xf>
    <xf numFmtId="0" fontId="59" fillId="8" borderId="0" xfId="0" applyFont="1" applyFill="1" applyAlignment="1">
      <alignment horizontal="center" vertical="top" wrapText="1"/>
    </xf>
    <xf numFmtId="0" fontId="59" fillId="0" borderId="0" xfId="0" applyFont="1" applyAlignment="1">
      <alignment horizontal="center" vertical="top" wrapText="1"/>
    </xf>
    <xf numFmtId="0" fontId="27" fillId="0" borderId="16" xfId="0" applyFont="1" applyBorder="1" applyAlignment="1">
      <alignment horizontal="center" vertical="top"/>
    </xf>
    <xf numFmtId="0" fontId="31" fillId="0" borderId="16" xfId="0" applyFont="1" applyBorder="1" applyAlignment="1">
      <alignment horizontal="center" vertical="top" wrapText="1"/>
    </xf>
    <xf numFmtId="0" fontId="27" fillId="0" borderId="18" xfId="0" applyFont="1" applyBorder="1" applyAlignment="1">
      <alignment horizontal="center" vertical="top" wrapText="1"/>
    </xf>
    <xf numFmtId="0" fontId="27" fillId="0" borderId="23" xfId="0" applyFont="1" applyBorder="1" applyAlignment="1">
      <alignment horizontal="center" vertical="top" wrapText="1"/>
    </xf>
    <xf numFmtId="0" fontId="59" fillId="0" borderId="19" xfId="0" applyFont="1" applyBorder="1" applyAlignment="1">
      <alignment horizontal="center" vertical="top" wrapText="1"/>
    </xf>
    <xf numFmtId="0" fontId="59" fillId="0" borderId="21" xfId="0" applyFont="1" applyBorder="1" applyAlignment="1">
      <alignment horizontal="center" vertical="top" wrapText="1"/>
    </xf>
    <xf numFmtId="0" fontId="59" fillId="0" borderId="24" xfId="0" applyFont="1" applyBorder="1" applyAlignment="1">
      <alignment horizontal="center" vertical="top" wrapText="1"/>
    </xf>
    <xf numFmtId="0" fontId="8" fillId="0" borderId="0" xfId="0" applyFont="1" applyAlignment="1">
      <alignment horizontal="center" vertical="center" wrapText="1"/>
    </xf>
    <xf numFmtId="0" fontId="8" fillId="0" borderId="0" xfId="0" applyFont="1" applyAlignment="1">
      <alignment horizontal="center" vertical="top" wrapText="1"/>
    </xf>
    <xf numFmtId="0" fontId="8" fillId="27" borderId="0" xfId="0" applyFont="1" applyFill="1" applyAlignment="1">
      <alignment horizontal="center" vertical="center" wrapText="1"/>
    </xf>
    <xf numFmtId="0" fontId="8" fillId="26" borderId="0" xfId="0" applyFont="1" applyFill="1" applyAlignment="1">
      <alignment horizontal="center" vertical="center" wrapText="1"/>
    </xf>
    <xf numFmtId="0" fontId="8" fillId="45" borderId="0" xfId="0" applyFont="1" applyFill="1" applyAlignment="1">
      <alignment horizontal="center" vertical="center" wrapText="1"/>
    </xf>
    <xf numFmtId="0" fontId="8" fillId="39" borderId="0" xfId="0" applyFont="1" applyFill="1" applyAlignment="1">
      <alignment horizontal="center" vertical="center" wrapText="1"/>
    </xf>
    <xf numFmtId="0" fontId="8" fillId="46" borderId="0" xfId="0" applyFont="1" applyFill="1" applyAlignment="1">
      <alignment horizontal="center" vertical="center" wrapText="1"/>
    </xf>
    <xf numFmtId="0" fontId="8" fillId="15" borderId="0" xfId="0" applyFont="1" applyFill="1" applyAlignment="1">
      <alignment horizontal="center" vertical="center" wrapText="1"/>
    </xf>
    <xf numFmtId="0" fontId="59" fillId="27" borderId="0" xfId="0" applyFont="1" applyFill="1" applyAlignment="1">
      <alignment horizontal="center" vertical="top" wrapText="1"/>
    </xf>
    <xf numFmtId="0" fontId="61" fillId="0" borderId="0" xfId="0" applyFont="1" applyAlignment="1">
      <alignment horizontal="center" vertical="top" wrapText="1"/>
    </xf>
    <xf numFmtId="0" fontId="59" fillId="26" borderId="0" xfId="0" applyFont="1" applyFill="1" applyAlignment="1">
      <alignment horizontal="center" vertical="top" wrapText="1"/>
    </xf>
    <xf numFmtId="0" fontId="59" fillId="47" borderId="0" xfId="0" applyFont="1" applyFill="1" applyAlignment="1">
      <alignment horizontal="center" vertical="top" wrapText="1"/>
    </xf>
    <xf numFmtId="0" fontId="59" fillId="48" borderId="0" xfId="0" applyFont="1" applyFill="1" applyAlignment="1">
      <alignment horizontal="center" vertical="top" wrapText="1"/>
    </xf>
    <xf numFmtId="0" fontId="59" fillId="49" borderId="0" xfId="0" applyFont="1" applyFill="1" applyAlignment="1">
      <alignment horizontal="center" vertical="top" wrapText="1"/>
    </xf>
    <xf numFmtId="0" fontId="8" fillId="0" borderId="7" xfId="0" applyFont="1" applyBorder="1" applyAlignment="1">
      <alignment horizontal="center" vertical="center" wrapText="1"/>
    </xf>
    <xf numFmtId="0" fontId="59" fillId="0" borderId="7" xfId="0" applyFont="1" applyBorder="1" applyAlignment="1">
      <alignment horizontal="center" vertical="top" wrapText="1"/>
    </xf>
    <xf numFmtId="0" fontId="8" fillId="0" borderId="69" xfId="0" applyFont="1" applyBorder="1" applyAlignment="1">
      <alignment horizontal="center" vertical="top" wrapText="1"/>
    </xf>
    <xf numFmtId="0" fontId="8" fillId="0" borderId="70" xfId="0" applyFont="1" applyBorder="1" applyAlignment="1">
      <alignment horizontal="center" vertical="top" wrapText="1"/>
    </xf>
    <xf numFmtId="0" fontId="8" fillId="0" borderId="71" xfId="0" applyFont="1" applyBorder="1" applyAlignment="1">
      <alignment horizontal="center" vertical="top" wrapText="1"/>
    </xf>
    <xf numFmtId="0" fontId="8" fillId="0" borderId="62" xfId="0" applyFont="1" applyBorder="1" applyAlignment="1">
      <alignment horizontal="center" vertical="top" wrapText="1"/>
    </xf>
    <xf numFmtId="0" fontId="8" fillId="50" borderId="0" xfId="0" applyFont="1" applyFill="1" applyAlignment="1">
      <alignment horizontal="center" vertical="top" wrapText="1"/>
    </xf>
    <xf numFmtId="0" fontId="8" fillId="50" borderId="60" xfId="0" applyFont="1" applyFill="1" applyBorder="1" applyAlignment="1">
      <alignment horizontal="center" vertical="top" wrapText="1"/>
    </xf>
    <xf numFmtId="0" fontId="8" fillId="0" borderId="59" xfId="0" applyFont="1" applyBorder="1" applyAlignment="1">
      <alignment horizontal="center" vertical="top" wrapText="1"/>
    </xf>
    <xf numFmtId="0" fontId="8" fillId="50" borderId="63" xfId="0" applyFont="1" applyFill="1" applyBorder="1" applyAlignment="1">
      <alignment horizontal="center" vertical="top" wrapText="1"/>
    </xf>
    <xf numFmtId="0" fontId="8" fillId="0" borderId="61" xfId="0" applyFont="1" applyBorder="1" applyAlignment="1">
      <alignment horizontal="center" vertical="top" wrapText="1"/>
    </xf>
    <xf numFmtId="0" fontId="62" fillId="0" borderId="60" xfId="0" applyFont="1" applyBorder="1" applyAlignment="1">
      <alignment horizontal="center" vertical="top" wrapText="1"/>
    </xf>
    <xf numFmtId="0" fontId="8" fillId="0" borderId="60" xfId="0" applyFont="1" applyBorder="1" applyAlignment="1">
      <alignment horizontal="center" vertical="top" wrapText="1"/>
    </xf>
    <xf numFmtId="0" fontId="8" fillId="40" borderId="0" xfId="0" applyFont="1" applyFill="1" applyAlignment="1">
      <alignment horizontal="center" vertical="top" wrapText="1"/>
    </xf>
    <xf numFmtId="0" fontId="8" fillId="40" borderId="60" xfId="0" applyFont="1" applyFill="1" applyBorder="1" applyAlignment="1">
      <alignment horizontal="center" vertical="top" wrapText="1"/>
    </xf>
    <xf numFmtId="0" fontId="8" fillId="47" borderId="0" xfId="0" applyFont="1" applyFill="1" applyAlignment="1">
      <alignment horizontal="center" vertical="center" wrapText="1"/>
    </xf>
    <xf numFmtId="0" fontId="8" fillId="51" borderId="0" xfId="0" applyFont="1" applyFill="1" applyAlignment="1">
      <alignment horizontal="center" vertical="center" wrapText="1"/>
    </xf>
    <xf numFmtId="0" fontId="8" fillId="49" borderId="0" xfId="0" applyFont="1" applyFill="1" applyAlignment="1">
      <alignment horizontal="center" vertical="center" wrapText="1"/>
    </xf>
    <xf numFmtId="0" fontId="8" fillId="43" borderId="0" xfId="0" applyFont="1" applyFill="1" applyAlignment="1">
      <alignment horizontal="center" vertical="top" wrapText="1"/>
    </xf>
    <xf numFmtId="0" fontId="59" fillId="45" borderId="0" xfId="0" applyFont="1" applyFill="1" applyAlignment="1">
      <alignment horizontal="center" vertical="top" wrapText="1"/>
    </xf>
    <xf numFmtId="0" fontId="59" fillId="51" borderId="0" xfId="0" applyFont="1" applyFill="1" applyAlignment="1">
      <alignment horizontal="center" vertical="top" wrapText="1"/>
    </xf>
    <xf numFmtId="0" fontId="59" fillId="46" borderId="0" xfId="0" applyFont="1" applyFill="1" applyAlignment="1">
      <alignment horizontal="center" vertical="top" wrapText="1"/>
    </xf>
    <xf numFmtId="0" fontId="59" fillId="43" borderId="0" xfId="0" applyFont="1" applyFill="1" applyAlignment="1">
      <alignment horizontal="center" vertical="top" wrapText="1"/>
    </xf>
    <xf numFmtId="0" fontId="53" fillId="43" borderId="0" xfId="0" applyFont="1" applyFill="1" applyAlignment="1">
      <alignment horizontal="center" vertical="center" wrapText="1"/>
    </xf>
    <xf numFmtId="0" fontId="8" fillId="47" borderId="0" xfId="0" applyFont="1" applyFill="1" applyAlignment="1">
      <alignment horizontal="center" vertical="top" wrapText="1"/>
    </xf>
    <xf numFmtId="0" fontId="59" fillId="15" borderId="0" xfId="0" applyFont="1" applyFill="1" applyAlignment="1">
      <alignment horizontal="center" vertical="top" wrapText="1"/>
    </xf>
    <xf numFmtId="0" fontId="59" fillId="39" borderId="0" xfId="0" applyFont="1" applyFill="1" applyAlignment="1">
      <alignment horizontal="center" vertical="top" wrapText="1"/>
    </xf>
    <xf numFmtId="0" fontId="8" fillId="41" borderId="0" xfId="0" applyFont="1" applyFill="1" applyAlignment="1">
      <alignment horizontal="center" vertical="top" wrapText="1"/>
    </xf>
    <xf numFmtId="0" fontId="8" fillId="41" borderId="60" xfId="0" applyFont="1" applyFill="1" applyBorder="1" applyAlignment="1">
      <alignment horizontal="center" vertical="top" wrapText="1"/>
    </xf>
    <xf numFmtId="0" fontId="8" fillId="52" borderId="0" xfId="0" applyFont="1" applyFill="1" applyAlignment="1">
      <alignment horizontal="center" vertical="top" wrapText="1"/>
    </xf>
    <xf numFmtId="0" fontId="8" fillId="48" borderId="0" xfId="0" applyFont="1" applyFill="1" applyAlignment="1">
      <alignment horizontal="center" vertical="center" wrapText="1"/>
    </xf>
    <xf numFmtId="0" fontId="63" fillId="53" borderId="0" xfId="0" applyFont="1" applyFill="1" applyAlignment="1">
      <alignment horizontal="center" vertical="top" wrapText="1"/>
    </xf>
    <xf numFmtId="0" fontId="63" fillId="16" borderId="0" xfId="0" applyFont="1" applyFill="1" applyAlignment="1">
      <alignment horizontal="center" vertical="center" wrapText="1"/>
    </xf>
    <xf numFmtId="0" fontId="63" fillId="54" borderId="0" xfId="0" applyFont="1" applyFill="1" applyAlignment="1">
      <alignment horizontal="center" vertical="top" wrapText="1"/>
    </xf>
    <xf numFmtId="0" fontId="22" fillId="52" borderId="0" xfId="49" applyFill="1" applyAlignment="1">
      <alignment horizontal="center" vertical="top" wrapText="1"/>
    </xf>
    <xf numFmtId="0" fontId="64" fillId="53" borderId="0" xfId="49" applyFont="1" applyFill="1" applyAlignment="1">
      <alignment horizontal="center" vertical="top" wrapText="1"/>
    </xf>
    <xf numFmtId="0" fontId="65" fillId="16" borderId="0" xfId="0" applyFont="1" applyFill="1" applyAlignment="1">
      <alignment horizontal="center" vertical="top" wrapText="1"/>
    </xf>
    <xf numFmtId="0" fontId="8" fillId="0" borderId="7" xfId="0" applyFont="1" applyBorder="1" applyAlignment="1">
      <alignment horizontal="center" vertical="top" wrapText="1"/>
    </xf>
    <xf numFmtId="0" fontId="63" fillId="55" borderId="0" xfId="0" applyFont="1" applyFill="1" applyAlignment="1">
      <alignment horizontal="center" vertical="center" wrapText="1"/>
    </xf>
    <xf numFmtId="0" fontId="8" fillId="56" borderId="13" xfId="0" applyFont="1" applyFill="1" applyBorder="1" applyAlignment="1">
      <alignment horizontal="center" vertical="center" wrapText="1"/>
    </xf>
    <xf numFmtId="0" fontId="8" fillId="0" borderId="20" xfId="0" applyFont="1" applyBorder="1" applyAlignment="1">
      <alignment horizontal="center" vertical="top" wrapText="1"/>
    </xf>
    <xf numFmtId="0" fontId="8" fillId="0" borderId="13" xfId="0" applyFont="1" applyBorder="1" applyAlignment="1">
      <alignment horizontal="center" vertical="top" wrapText="1"/>
    </xf>
    <xf numFmtId="0" fontId="8" fillId="0" borderId="21" xfId="0" applyFont="1" applyBorder="1" applyAlignment="1">
      <alignment horizontal="center" vertical="top" wrapText="1"/>
    </xf>
    <xf numFmtId="49" fontId="8" fillId="0" borderId="0" xfId="0" applyNumberFormat="1" applyFont="1" applyAlignment="1">
      <alignment horizontal="center" vertical="top" wrapText="1"/>
    </xf>
    <xf numFmtId="0" fontId="65" fillId="55" borderId="0" xfId="0" applyFont="1" applyFill="1" applyAlignment="1">
      <alignment horizontal="center" vertical="top" wrapText="1"/>
    </xf>
    <xf numFmtId="0" fontId="59" fillId="56" borderId="13" xfId="0" applyFont="1" applyFill="1" applyBorder="1" applyAlignment="1">
      <alignment horizontal="center" vertical="top" wrapText="1"/>
    </xf>
    <xf numFmtId="0" fontId="8" fillId="0" borderId="19" xfId="0" applyFont="1" applyBorder="1" applyAlignment="1">
      <alignment horizontal="center" vertical="top" wrapText="1"/>
    </xf>
    <xf numFmtId="0" fontId="8" fillId="0" borderId="14" xfId="0" applyFont="1" applyBorder="1" applyAlignment="1">
      <alignment horizontal="center" vertical="top" wrapText="1"/>
    </xf>
    <xf numFmtId="0" fontId="8" fillId="0" borderId="24" xfId="0" applyFont="1" applyBorder="1" applyAlignment="1">
      <alignment horizontal="center" vertical="top" wrapText="1"/>
    </xf>
    <xf numFmtId="0" fontId="8" fillId="56" borderId="0" xfId="0" applyFont="1" applyFill="1" applyAlignment="1">
      <alignment horizontal="center" vertical="top" wrapText="1"/>
    </xf>
    <xf numFmtId="0" fontId="59" fillId="0" borderId="60" xfId="0" applyFont="1" applyBorder="1" applyAlignment="1">
      <alignment horizontal="center" vertical="top" wrapText="1"/>
    </xf>
    <xf numFmtId="0" fontId="62" fillId="41" borderId="60" xfId="0" applyFont="1" applyFill="1" applyBorder="1" applyAlignment="1">
      <alignment horizontal="center" vertical="top" wrapText="1"/>
    </xf>
    <xf numFmtId="0" fontId="8" fillId="27" borderId="0" xfId="0" applyFont="1" applyFill="1" applyAlignment="1">
      <alignment horizontal="center" vertical="top" wrapText="1"/>
    </xf>
    <xf numFmtId="0" fontId="8" fillId="27" borderId="60" xfId="0" applyFont="1" applyFill="1" applyBorder="1" applyAlignment="1">
      <alignment horizontal="center" vertical="top" wrapText="1"/>
    </xf>
    <xf numFmtId="0" fontId="8" fillId="26" borderId="0" xfId="0" applyFont="1" applyFill="1" applyAlignment="1">
      <alignment horizontal="center" vertical="top" wrapText="1"/>
    </xf>
    <xf numFmtId="0" fontId="8" fillId="26" borderId="60" xfId="0" applyFont="1" applyFill="1" applyBorder="1" applyAlignment="1">
      <alignment horizontal="center" vertical="top" wrapText="1"/>
    </xf>
    <xf numFmtId="0" fontId="59" fillId="40" borderId="0" xfId="0" applyFont="1" applyFill="1" applyAlignment="1">
      <alignment horizontal="center" vertical="top" wrapText="1"/>
    </xf>
    <xf numFmtId="0" fontId="62" fillId="40" borderId="60" xfId="0" applyFont="1" applyFill="1" applyBorder="1" applyAlignment="1">
      <alignment horizontal="center" vertical="top" wrapText="1"/>
    </xf>
    <xf numFmtId="0" fontId="1" fillId="0" borderId="25" xfId="0" applyFont="1" applyBorder="1" applyAlignment="1">
      <alignment horizontal="center" vertical="top" wrapText="1"/>
    </xf>
    <xf numFmtId="0" fontId="1" fillId="0" borderId="27" xfId="0" applyFont="1" applyBorder="1" applyAlignment="1">
      <alignment horizontal="center" vertical="top" wrapText="1"/>
    </xf>
    <xf numFmtId="0" fontId="1" fillId="0" borderId="17" xfId="0" applyFont="1" applyBorder="1" applyAlignment="1">
      <alignment horizontal="center" vertical="top" wrapText="1"/>
    </xf>
    <xf numFmtId="0" fontId="66" fillId="0" borderId="17" xfId="0" applyFont="1" applyBorder="1" applyAlignment="1">
      <alignment horizontal="center" vertical="top" wrapText="1"/>
    </xf>
    <xf numFmtId="0" fontId="66" fillId="0" borderId="19" xfId="0" applyFont="1" applyBorder="1" applyAlignment="1">
      <alignment horizontal="center" vertical="top" wrapText="1"/>
    </xf>
    <xf numFmtId="0" fontId="8" fillId="0" borderId="18" xfId="0" applyFont="1" applyBorder="1" applyAlignment="1">
      <alignment horizontal="center" vertical="top" wrapText="1"/>
    </xf>
    <xf numFmtId="0" fontId="66" fillId="0" borderId="20" xfId="0" applyFont="1" applyBorder="1" applyAlignment="1">
      <alignment horizontal="center" vertical="top" wrapText="1"/>
    </xf>
    <xf numFmtId="0" fontId="66" fillId="0" borderId="21" xfId="0" applyFont="1" applyBorder="1" applyAlignment="1">
      <alignment horizontal="center" vertical="top" wrapText="1"/>
    </xf>
    <xf numFmtId="0" fontId="66" fillId="0" borderId="22" xfId="0" applyFont="1" applyBorder="1" applyAlignment="1">
      <alignment horizontal="center" vertical="top" wrapText="1"/>
    </xf>
    <xf numFmtId="0" fontId="66" fillId="0" borderId="24" xfId="0" applyFont="1" applyBorder="1" applyAlignment="1">
      <alignment horizontal="center" vertical="top" wrapText="1"/>
    </xf>
    <xf numFmtId="0" fontId="67" fillId="0" borderId="0" xfId="0" applyFont="1" applyAlignment="1">
      <alignment horizontal="center" vertical="top" wrapText="1"/>
    </xf>
    <xf numFmtId="0" fontId="8" fillId="0" borderId="22" xfId="0" applyFont="1" applyBorder="1" applyAlignment="1">
      <alignment horizontal="center" vertical="top" wrapText="1"/>
    </xf>
    <xf numFmtId="0" fontId="68" fillId="0" borderId="0" xfId="0" applyFont="1" applyAlignment="1">
      <alignment horizontal="center" vertical="top" wrapText="1"/>
    </xf>
    <xf numFmtId="0" fontId="68" fillId="0" borderId="21" xfId="0" applyFont="1" applyBorder="1" applyAlignment="1">
      <alignment horizontal="center" vertical="top" wrapText="1"/>
    </xf>
    <xf numFmtId="0" fontId="52" fillId="0" borderId="20" xfId="0" applyFont="1" applyBorder="1" applyAlignment="1">
      <alignment horizontal="center" vertical="top" wrapText="1"/>
    </xf>
    <xf numFmtId="0" fontId="8" fillId="0" borderId="17" xfId="0" applyFont="1" applyBorder="1" applyAlignment="1">
      <alignment horizontal="center" vertical="top" wrapText="1"/>
    </xf>
    <xf numFmtId="0" fontId="59" fillId="0" borderId="17" xfId="0" applyFont="1" applyBorder="1" applyAlignment="1">
      <alignment horizontal="center" vertical="top" wrapText="1"/>
    </xf>
    <xf numFmtId="0" fontId="69" fillId="0" borderId="20" xfId="0" applyFont="1" applyBorder="1" applyAlignment="1">
      <alignment horizontal="center" vertical="top" wrapText="1"/>
    </xf>
    <xf numFmtId="0" fontId="8" fillId="50" borderId="59" xfId="0" applyFont="1" applyFill="1" applyBorder="1" applyAlignment="1">
      <alignment horizontal="center" vertical="top" wrapText="1"/>
    </xf>
    <xf numFmtId="0" fontId="8" fillId="56" borderId="60" xfId="0" applyFont="1" applyFill="1" applyBorder="1" applyAlignment="1">
      <alignment horizontal="center" vertical="top" wrapText="1"/>
    </xf>
    <xf numFmtId="0" fontId="16" fillId="0" borderId="60" xfId="0" applyFont="1" applyBorder="1" applyAlignment="1">
      <alignment horizontal="center" vertical="top" wrapText="1"/>
    </xf>
    <xf numFmtId="0" fontId="16" fillId="0" borderId="0" xfId="0" applyFont="1" applyAlignment="1">
      <alignment horizontal="center" vertical="top" wrapText="1"/>
    </xf>
    <xf numFmtId="0" fontId="59" fillId="0" borderId="69" xfId="0" applyFont="1" applyBorder="1" applyAlignment="1">
      <alignment horizontal="center" vertical="top" wrapText="1"/>
    </xf>
    <xf numFmtId="0" fontId="59" fillId="0" borderId="70" xfId="0" applyFont="1" applyBorder="1" applyAlignment="1">
      <alignment horizontal="center" vertical="top" wrapText="1"/>
    </xf>
    <xf numFmtId="0" fontId="59" fillId="0" borderId="71" xfId="0" applyFont="1" applyBorder="1" applyAlignment="1">
      <alignment horizontal="center" vertical="top" wrapText="1"/>
    </xf>
    <xf numFmtId="0" fontId="16" fillId="0" borderId="69" xfId="0" applyFont="1" applyBorder="1" applyAlignment="1">
      <alignment horizontal="center" vertical="top" wrapText="1"/>
    </xf>
    <xf numFmtId="0" fontId="59" fillId="0" borderId="59" xfId="0" applyFont="1" applyBorder="1" applyAlignment="1">
      <alignment horizontal="center" vertical="top" wrapText="1"/>
    </xf>
    <xf numFmtId="0" fontId="59" fillId="50" borderId="0" xfId="0" applyFont="1" applyFill="1" applyAlignment="1">
      <alignment horizontal="center" vertical="top" wrapText="1"/>
    </xf>
    <xf numFmtId="0" fontId="59" fillId="50" borderId="63" xfId="0" applyFont="1" applyFill="1" applyBorder="1" applyAlignment="1">
      <alignment horizontal="center" vertical="top" wrapText="1"/>
    </xf>
    <xf numFmtId="0" fontId="59" fillId="50" borderId="60" xfId="0" applyFont="1" applyFill="1" applyBorder="1" applyAlignment="1">
      <alignment horizontal="center" vertical="top" wrapText="1"/>
    </xf>
    <xf numFmtId="0" fontId="16" fillId="50" borderId="60" xfId="0" applyFont="1" applyFill="1" applyBorder="1" applyAlignment="1">
      <alignment horizontal="center" vertical="top" wrapText="1"/>
    </xf>
    <xf numFmtId="0" fontId="59" fillId="56" borderId="0" xfId="0" applyFont="1" applyFill="1" applyAlignment="1">
      <alignment horizontal="center" vertical="top" wrapText="1"/>
    </xf>
    <xf numFmtId="0" fontId="59" fillId="56" borderId="60" xfId="0" applyFont="1" applyFill="1" applyBorder="1" applyAlignment="1">
      <alignment horizontal="center" vertical="top" wrapText="1"/>
    </xf>
    <xf numFmtId="0" fontId="59" fillId="40" borderId="60" xfId="0" applyFont="1" applyFill="1" applyBorder="1" applyAlignment="1">
      <alignment horizontal="center" vertical="top" wrapText="1"/>
    </xf>
    <xf numFmtId="0" fontId="70" fillId="57" borderId="0" xfId="0" applyFont="1" applyFill="1" applyAlignment="1">
      <alignment horizontal="center" vertical="top" wrapText="1"/>
    </xf>
    <xf numFmtId="0" fontId="16" fillId="50" borderId="63" xfId="0" applyFont="1" applyFill="1" applyBorder="1" applyAlignment="1">
      <alignment horizontal="center" vertical="top" wrapText="1"/>
    </xf>
    <xf numFmtId="0" fontId="16" fillId="40" borderId="0" xfId="0" applyFont="1" applyFill="1" applyAlignment="1">
      <alignment horizontal="center" vertical="top" wrapText="1"/>
    </xf>
    <xf numFmtId="0" fontId="1" fillId="0" borderId="60" xfId="0" applyFont="1" applyBorder="1" applyAlignment="1">
      <alignment horizontal="center" vertical="top" wrapText="1"/>
    </xf>
    <xf numFmtId="0" fontId="70" fillId="57" borderId="60" xfId="0" applyFont="1" applyFill="1" applyBorder="1" applyAlignment="1">
      <alignment horizontal="center" vertical="top" wrapText="1"/>
    </xf>
    <xf numFmtId="0" fontId="1" fillId="0" borderId="61" xfId="0" applyFont="1" applyBorder="1" applyAlignment="1">
      <alignment horizontal="center" vertical="top" wrapText="1"/>
    </xf>
    <xf numFmtId="0" fontId="39" fillId="0" borderId="0" xfId="0" applyFont="1" applyAlignment="1">
      <alignment horizontal="center" vertical="top" wrapText="1"/>
    </xf>
    <xf numFmtId="0" fontId="70" fillId="57" borderId="61" xfId="0" applyFont="1" applyFill="1" applyBorder="1" applyAlignment="1">
      <alignment horizontal="center" vertical="top" wrapText="1"/>
    </xf>
    <xf numFmtId="0" fontId="16" fillId="0" borderId="20" xfId="0" applyFont="1" applyBorder="1" applyAlignment="1">
      <alignment horizontal="center" vertical="top" wrapText="1"/>
    </xf>
    <xf numFmtId="0" fontId="8" fillId="0" borderId="27" xfId="0" applyFont="1" applyBorder="1" applyAlignment="1">
      <alignment horizontal="center" vertical="top" wrapText="1"/>
    </xf>
    <xf numFmtId="0" fontId="8" fillId="0" borderId="16" xfId="0" applyFont="1" applyBorder="1" applyAlignment="1">
      <alignment horizontal="center" vertical="top" wrapText="1"/>
    </xf>
    <xf numFmtId="0" fontId="1" fillId="0" borderId="62" xfId="0" applyFont="1" applyBorder="1" applyAlignment="1">
      <alignment horizontal="center" vertical="center" wrapText="1"/>
    </xf>
    <xf numFmtId="0" fontId="1" fillId="0" borderId="63"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60" xfId="0" applyFont="1" applyBorder="1" applyAlignment="1">
      <alignment horizontal="center" vertical="center" wrapText="1"/>
    </xf>
    <xf numFmtId="0" fontId="39" fillId="0" borderId="61" xfId="0" applyFont="1" applyBorder="1" applyAlignment="1">
      <alignment horizontal="center" vertical="top" wrapText="1"/>
    </xf>
    <xf numFmtId="0" fontId="39" fillId="40" borderId="0" xfId="0" applyFont="1" applyFill="1" applyAlignment="1">
      <alignment horizontal="center" vertical="top" wrapText="1"/>
    </xf>
    <xf numFmtId="0" fontId="39" fillId="40" borderId="60" xfId="0" applyFont="1" applyFill="1" applyBorder="1" applyAlignment="1">
      <alignment horizontal="center" vertical="top" wrapText="1"/>
    </xf>
    <xf numFmtId="0" fontId="39" fillId="0" borderId="60" xfId="0" applyFont="1" applyBorder="1" applyAlignment="1">
      <alignment horizontal="center" vertical="top" wrapText="1"/>
    </xf>
    <xf numFmtId="0" fontId="16" fillId="56" borderId="0" xfId="0" applyFont="1" applyFill="1" applyAlignment="1">
      <alignment horizontal="center" vertical="top" wrapText="1"/>
    </xf>
    <xf numFmtId="0" fontId="16" fillId="43" borderId="0" xfId="0" applyFont="1" applyFill="1" applyAlignment="1">
      <alignment horizontal="center" vertical="top" wrapText="1"/>
    </xf>
    <xf numFmtId="0" fontId="8" fillId="43" borderId="60" xfId="0" applyFont="1" applyFill="1" applyBorder="1" applyAlignment="1">
      <alignment horizontal="center" vertical="top" wrapText="1"/>
    </xf>
    <xf numFmtId="0" fontId="71" fillId="0" borderId="0" xfId="0" applyFont="1" applyAlignment="1">
      <alignment horizontal="center" vertical="top" wrapText="1"/>
    </xf>
    <xf numFmtId="0" fontId="8" fillId="7" borderId="0" xfId="0" applyFont="1" applyFill="1" applyAlignment="1">
      <alignment horizontal="center" vertical="top" wrapText="1"/>
    </xf>
    <xf numFmtId="0" fontId="62" fillId="7" borderId="60" xfId="0" applyFont="1" applyFill="1" applyBorder="1" applyAlignment="1">
      <alignment horizontal="center" vertical="top" wrapText="1"/>
    </xf>
    <xf numFmtId="0" fontId="59" fillId="7" borderId="0" xfId="0" applyFont="1" applyFill="1" applyAlignment="1">
      <alignment horizontal="center" vertical="top" wrapText="1"/>
    </xf>
    <xf numFmtId="0" fontId="16" fillId="40" borderId="60" xfId="0" applyFont="1" applyFill="1" applyBorder="1" applyAlignment="1">
      <alignment horizontal="center" vertical="top" wrapText="1"/>
    </xf>
    <xf numFmtId="0" fontId="1" fillId="0" borderId="66" xfId="0" applyFont="1" applyBorder="1" applyAlignment="1">
      <alignment horizontal="center" vertical="center" wrapText="1"/>
    </xf>
    <xf numFmtId="0" fontId="1" fillId="0" borderId="67" xfId="0" applyFont="1" applyBorder="1" applyAlignment="1">
      <alignment horizontal="center" vertical="center" wrapText="1"/>
    </xf>
    <xf numFmtId="0" fontId="71" fillId="0" borderId="60" xfId="0" applyFont="1" applyBorder="1" applyAlignment="1">
      <alignment horizontal="center" vertical="top" wrapText="1"/>
    </xf>
    <xf numFmtId="0" fontId="71" fillId="40" borderId="0" xfId="0" applyFont="1" applyFill="1" applyAlignment="1">
      <alignment horizontal="center" vertical="top" wrapText="1"/>
    </xf>
    <xf numFmtId="0" fontId="16" fillId="56" borderId="60" xfId="0" applyFont="1" applyFill="1" applyBorder="1" applyAlignment="1">
      <alignment horizontal="center" vertical="top" wrapText="1"/>
    </xf>
    <xf numFmtId="0" fontId="8" fillId="0" borderId="66" xfId="0" applyFont="1" applyBorder="1" applyAlignment="1">
      <alignment horizontal="center" vertical="top" wrapText="1"/>
    </xf>
    <xf numFmtId="0" fontId="8" fillId="0" borderId="58" xfId="0" applyFont="1" applyBorder="1" applyAlignment="1">
      <alignment horizontal="center" vertical="top" wrapText="1"/>
    </xf>
    <xf numFmtId="0" fontId="12" fillId="0" borderId="0" xfId="0" applyFont="1" applyAlignment="1">
      <alignment horizontal="center" vertical="top" wrapText="1"/>
    </xf>
    <xf numFmtId="0" fontId="8" fillId="0" borderId="67" xfId="0" applyFont="1" applyBorder="1" applyAlignment="1">
      <alignment horizontal="center" vertical="top" wrapText="1"/>
    </xf>
    <xf numFmtId="0" fontId="16" fillId="0" borderId="59" xfId="0" applyFont="1" applyBorder="1" applyAlignment="1">
      <alignment horizontal="center" vertical="top" wrapText="1"/>
    </xf>
    <xf numFmtId="0" fontId="72" fillId="0" borderId="0" xfId="0" applyFont="1" applyAlignment="1">
      <alignment horizontal="center" vertical="top"/>
    </xf>
    <xf numFmtId="0" fontId="53" fillId="0" borderId="21" xfId="0" applyFont="1" applyBorder="1" applyAlignment="1">
      <alignment horizontal="center" vertical="top"/>
    </xf>
    <xf numFmtId="0" fontId="53" fillId="0" borderId="60" xfId="0" applyFont="1" applyBorder="1" applyAlignment="1">
      <alignment horizontal="center" vertical="top"/>
    </xf>
    <xf numFmtId="0" fontId="53" fillId="41" borderId="16" xfId="0" applyFont="1" applyFill="1" applyBorder="1" applyAlignment="1">
      <alignment horizontal="center" vertical="top"/>
    </xf>
    <xf numFmtId="0" fontId="53" fillId="50" borderId="16" xfId="0" applyFont="1" applyFill="1" applyBorder="1" applyAlignment="1">
      <alignment horizontal="center" vertical="top"/>
    </xf>
    <xf numFmtId="0" fontId="53" fillId="8" borderId="16" xfId="0" applyFont="1" applyFill="1" applyBorder="1" applyAlignment="1">
      <alignment horizontal="center" vertical="top"/>
    </xf>
    <xf numFmtId="0" fontId="53" fillId="0" borderId="16" xfId="0" applyFont="1" applyBorder="1" applyAlignment="1">
      <alignment horizontal="center" vertical="top"/>
    </xf>
    <xf numFmtId="0" fontId="53" fillId="0" borderId="24" xfId="0" applyFont="1" applyBorder="1" applyAlignment="1">
      <alignment horizontal="center" vertical="top"/>
    </xf>
    <xf numFmtId="0" fontId="59" fillId="0" borderId="21" xfId="0" applyFont="1" applyBorder="1" applyAlignment="1">
      <alignment horizontal="center" vertical="center" wrapText="1"/>
    </xf>
    <xf numFmtId="0" fontId="59" fillId="8" borderId="21" xfId="0" applyFont="1" applyFill="1" applyBorder="1" applyAlignment="1">
      <alignment horizontal="center" vertical="center" wrapText="1"/>
    </xf>
    <xf numFmtId="0" fontId="59" fillId="8" borderId="0" xfId="0" applyFont="1" applyFill="1" applyAlignment="1">
      <alignment horizontal="center" vertical="center" wrapText="1"/>
    </xf>
    <xf numFmtId="0" fontId="53" fillId="0" borderId="17" xfId="0" applyFont="1" applyBorder="1" applyAlignment="1">
      <alignment horizontal="center" vertical="top"/>
    </xf>
    <xf numFmtId="0" fontId="53" fillId="0" borderId="18" xfId="0" applyFont="1" applyBorder="1" applyAlignment="1">
      <alignment horizontal="center" vertical="top"/>
    </xf>
    <xf numFmtId="0" fontId="53" fillId="0" borderId="20" xfId="0" applyFont="1" applyBorder="1" applyAlignment="1">
      <alignment horizontal="center" vertical="top"/>
    </xf>
    <xf numFmtId="0" fontId="53" fillId="0" borderId="22" xfId="0" applyFont="1" applyBorder="1" applyAlignment="1">
      <alignment horizontal="center" vertical="top"/>
    </xf>
    <xf numFmtId="0" fontId="53" fillId="0" borderId="25" xfId="0" applyFont="1" applyBorder="1" applyAlignment="1">
      <alignment horizontal="center" vertical="top"/>
    </xf>
    <xf numFmtId="0" fontId="53" fillId="0" borderId="27" xfId="0" applyFont="1" applyBorder="1" applyAlignment="1">
      <alignment horizontal="center" vertical="top"/>
    </xf>
    <xf numFmtId="0" fontId="43" fillId="0" borderId="0" xfId="0" applyFont="1" applyAlignment="1">
      <alignment horizontal="center" vertical="top" wrapText="1"/>
    </xf>
    <xf numFmtId="0" fontId="60" fillId="8" borderId="0" xfId="0" applyFont="1" applyFill="1" applyAlignment="1">
      <alignment horizontal="center" vertical="center" wrapText="1"/>
    </xf>
    <xf numFmtId="0" fontId="53" fillId="0" borderId="19" xfId="0" applyFont="1" applyBorder="1" applyAlignment="1">
      <alignment horizontal="center" vertical="top"/>
    </xf>
    <xf numFmtId="0" fontId="29" fillId="17" borderId="15" xfId="0" applyFont="1" applyFill="1" applyBorder="1" applyAlignment="1" applyProtection="1">
      <alignment horizontal="center" vertical="center" wrapText="1"/>
      <protection locked="0"/>
    </xf>
    <xf numFmtId="0" fontId="27" fillId="7" borderId="15" xfId="0" applyFont="1" applyFill="1" applyBorder="1" applyAlignment="1" applyProtection="1">
      <alignment vertical="center" wrapText="1"/>
      <protection locked="0"/>
    </xf>
    <xf numFmtId="0" fontId="53" fillId="8" borderId="0" xfId="0" applyFont="1" applyFill="1" applyAlignment="1">
      <alignment horizontal="center" vertical="top"/>
    </xf>
    <xf numFmtId="0" fontId="29" fillId="17" borderId="1" xfId="0" applyFont="1" applyFill="1" applyBorder="1" applyAlignment="1" applyProtection="1">
      <alignment horizontal="center" vertical="center" wrapText="1"/>
      <protection locked="0"/>
    </xf>
    <xf numFmtId="0" fontId="29" fillId="17" borderId="2" xfId="0" applyFont="1" applyFill="1" applyBorder="1" applyAlignment="1" applyProtection="1">
      <alignment horizontal="center" vertical="center" wrapText="1"/>
      <protection locked="0"/>
    </xf>
    <xf numFmtId="0" fontId="30" fillId="5" borderId="0" xfId="0" applyFont="1" applyFill="1" applyAlignment="1">
      <alignment horizontal="left" wrapText="1"/>
    </xf>
    <xf numFmtId="0" fontId="31" fillId="7" borderId="1" xfId="0" applyFont="1" applyFill="1" applyBorder="1" applyAlignment="1" applyProtection="1">
      <alignment horizontal="center" vertical="center"/>
      <protection locked="0"/>
    </xf>
    <xf numFmtId="0" fontId="31" fillId="7" borderId="2" xfId="0" applyFont="1" applyFill="1" applyBorder="1" applyAlignment="1" applyProtection="1">
      <alignment horizontal="center" vertical="center"/>
      <protection locked="0"/>
    </xf>
    <xf numFmtId="0" fontId="31" fillId="8" borderId="1" xfId="0" applyFont="1" applyFill="1" applyBorder="1" applyAlignment="1" applyProtection="1">
      <alignment horizontal="center" vertical="center"/>
      <protection locked="0"/>
    </xf>
    <xf numFmtId="0" fontId="31" fillId="8" borderId="2" xfId="0" applyFont="1" applyFill="1" applyBorder="1" applyAlignment="1" applyProtection="1">
      <alignment horizontal="center" vertical="center"/>
      <protection locked="0"/>
    </xf>
    <xf numFmtId="0" fontId="0" fillId="5" borderId="0" xfId="0" applyFill="1">
      <alignment vertical="center"/>
    </xf>
    <xf numFmtId="0" fontId="30" fillId="5" borderId="0" xfId="0" applyFont="1" applyFill="1" applyAlignment="1">
      <alignment horizontal="center"/>
    </xf>
    <xf numFmtId="0" fontId="30" fillId="5" borderId="7" xfId="0" applyFont="1" applyFill="1" applyBorder="1" applyAlignment="1">
      <alignment horizontal="center" wrapText="1"/>
    </xf>
    <xf numFmtId="0" fontId="31" fillId="7" borderId="10" xfId="0" applyFont="1" applyFill="1" applyBorder="1" applyAlignment="1" applyProtection="1">
      <alignment horizontal="center" vertical="center"/>
      <protection locked="0"/>
    </xf>
    <xf numFmtId="0" fontId="73" fillId="5" borderId="0" xfId="0" applyFont="1" applyFill="1" applyAlignment="1">
      <alignment horizontal="center" vertical="center" wrapText="1"/>
    </xf>
    <xf numFmtId="0" fontId="31" fillId="7" borderId="72" xfId="0" applyFont="1" applyFill="1" applyBorder="1" applyAlignment="1" applyProtection="1">
      <alignment horizontal="center" vertical="center" wrapText="1"/>
      <protection locked="0"/>
    </xf>
    <xf numFmtId="0" fontId="31" fillId="7" borderId="2" xfId="0" applyFont="1" applyFill="1" applyBorder="1" applyAlignment="1" applyProtection="1">
      <alignment horizontal="left" vertical="top" wrapText="1"/>
      <protection locked="0"/>
    </xf>
    <xf numFmtId="0" fontId="31" fillId="8" borderId="10" xfId="0" applyFont="1" applyFill="1" applyBorder="1" applyAlignment="1" applyProtection="1">
      <alignment horizontal="center" vertical="center"/>
      <protection locked="0"/>
    </xf>
    <xf numFmtId="0" fontId="31" fillId="8" borderId="15" xfId="0" applyFont="1" applyFill="1" applyBorder="1" applyAlignment="1" applyProtection="1">
      <alignment horizontal="center" vertical="center" wrapText="1"/>
      <protection locked="0"/>
    </xf>
    <xf numFmtId="0" fontId="31" fillId="8" borderId="72" xfId="0" applyFont="1" applyFill="1" applyBorder="1" applyAlignment="1" applyProtection="1">
      <alignment horizontal="center" vertical="center" wrapText="1"/>
      <protection locked="0"/>
    </xf>
    <xf numFmtId="0" fontId="31" fillId="8" borderId="2" xfId="0" applyFont="1" applyFill="1" applyBorder="1" applyAlignment="1" applyProtection="1">
      <alignment horizontal="left" vertical="top" wrapText="1"/>
      <protection locked="0"/>
    </xf>
    <xf numFmtId="0" fontId="31" fillId="8" borderId="2" xfId="0" applyFont="1" applyFill="1" applyBorder="1" applyAlignment="1" applyProtection="1">
      <alignment horizontal="left" vertical="top"/>
      <protection locked="0"/>
    </xf>
    <xf numFmtId="0" fontId="31" fillId="7" borderId="2" xfId="0" applyFont="1" applyFill="1" applyBorder="1" applyAlignment="1" applyProtection="1">
      <alignment horizontal="left" vertical="top"/>
      <protection locked="0"/>
    </xf>
    <xf numFmtId="0" fontId="31" fillId="7" borderId="1" xfId="0" applyFont="1" applyFill="1" applyBorder="1" applyAlignment="1" applyProtection="1">
      <alignment horizontal="left" vertical="top"/>
      <protection locked="0"/>
    </xf>
    <xf numFmtId="0" fontId="31" fillId="8" borderId="1" xfId="0" applyFont="1" applyFill="1" applyBorder="1" applyAlignment="1" applyProtection="1">
      <alignment horizontal="left" vertical="top"/>
      <protection locked="0"/>
    </xf>
    <xf numFmtId="0" fontId="31" fillId="7" borderId="1" xfId="0" applyFont="1" applyFill="1" applyBorder="1" applyAlignment="1" applyProtection="1">
      <alignment horizontal="left" vertical="top" wrapText="1"/>
      <protection locked="0"/>
    </xf>
    <xf numFmtId="0" fontId="29" fillId="17" borderId="10" xfId="0" applyFont="1" applyFill="1" applyBorder="1" applyAlignment="1" applyProtection="1">
      <alignment horizontal="center" vertical="center" wrapText="1"/>
      <protection locked="0"/>
    </xf>
    <xf numFmtId="0" fontId="30" fillId="5" borderId="4" xfId="0" applyFont="1" applyFill="1" applyBorder="1" applyAlignment="1">
      <alignment horizontal="center" wrapText="1"/>
    </xf>
    <xf numFmtId="0" fontId="31" fillId="7" borderId="1" xfId="0" applyFont="1" applyFill="1" applyBorder="1" applyAlignment="1" applyProtection="1">
      <alignment horizontal="center" vertical="center" wrapText="1"/>
      <protection locked="0"/>
    </xf>
    <xf numFmtId="0" fontId="31" fillId="7" borderId="2" xfId="0" applyFont="1" applyFill="1" applyBorder="1" applyAlignment="1" applyProtection="1">
      <alignment horizontal="center" vertical="center" wrapText="1"/>
      <protection locked="0"/>
    </xf>
    <xf numFmtId="0" fontId="31" fillId="8" borderId="1" xfId="0" applyFont="1" applyFill="1" applyBorder="1" applyAlignment="1" applyProtection="1">
      <alignment horizontal="center" vertical="center" wrapText="1"/>
      <protection locked="0"/>
    </xf>
    <xf numFmtId="0" fontId="31" fillId="8" borderId="2" xfId="0" applyFont="1" applyFill="1" applyBorder="1" applyAlignment="1" applyProtection="1">
      <alignment horizontal="center" vertical="center" wrapText="1"/>
      <protection locked="0"/>
    </xf>
    <xf numFmtId="0" fontId="31" fillId="7" borderId="10" xfId="0" applyFont="1" applyFill="1" applyBorder="1" applyAlignment="1" applyProtection="1">
      <alignment horizontal="left" vertical="top"/>
      <protection locked="0"/>
    </xf>
    <xf numFmtId="0" fontId="74" fillId="7" borderId="15" xfId="0" applyFont="1" applyFill="1" applyBorder="1" applyAlignment="1" applyProtection="1">
      <alignment horizontal="right" vertical="center" wrapText="1"/>
      <protection locked="0"/>
    </xf>
    <xf numFmtId="0" fontId="74" fillId="7" borderId="1" xfId="0" applyFont="1" applyFill="1" applyBorder="1" applyAlignment="1" applyProtection="1">
      <alignment horizontal="right" vertical="center" wrapText="1"/>
      <protection locked="0"/>
    </xf>
    <xf numFmtId="0" fontId="31" fillId="8" borderId="10" xfId="0" applyFont="1" applyFill="1" applyBorder="1" applyAlignment="1" applyProtection="1">
      <alignment horizontal="left" vertical="top"/>
      <protection locked="0"/>
    </xf>
    <xf numFmtId="0" fontId="74" fillId="8" borderId="15" xfId="0" applyFont="1" applyFill="1" applyBorder="1" applyAlignment="1" applyProtection="1">
      <alignment horizontal="right" vertical="center" wrapText="1"/>
      <protection locked="0"/>
    </xf>
    <xf numFmtId="0" fontId="74" fillId="8" borderId="1" xfId="0" applyFont="1" applyFill="1" applyBorder="1" applyAlignment="1" applyProtection="1">
      <alignment horizontal="right" vertical="center" wrapText="1"/>
      <protection locked="0"/>
    </xf>
    <xf numFmtId="0" fontId="31" fillId="7" borderId="10" xfId="0" applyFont="1" applyFill="1" applyBorder="1" applyAlignment="1" applyProtection="1">
      <alignment horizontal="left" vertical="top" wrapText="1"/>
      <protection locked="0"/>
    </xf>
    <xf numFmtId="0" fontId="74" fillId="7" borderId="2" xfId="0" applyFont="1" applyFill="1" applyBorder="1" applyAlignment="1" applyProtection="1">
      <alignment horizontal="right" vertical="center" wrapText="1"/>
      <protection locked="0"/>
    </xf>
    <xf numFmtId="0" fontId="29" fillId="17" borderId="0" xfId="0" applyFont="1" applyFill="1" applyAlignment="1">
      <alignment horizontal="center" vertical="center"/>
    </xf>
    <xf numFmtId="0" fontId="75" fillId="7" borderId="1" xfId="0" applyFont="1" applyFill="1" applyBorder="1" applyAlignment="1" applyProtection="1">
      <alignment horizontal="center" vertical="center"/>
      <protection locked="0"/>
    </xf>
    <xf numFmtId="0" fontId="75" fillId="7" borderId="2" xfId="0" applyFont="1" applyFill="1" applyBorder="1" applyAlignment="1" applyProtection="1">
      <alignment horizontal="center" vertical="center"/>
      <protection locked="0"/>
    </xf>
    <xf numFmtId="0" fontId="75" fillId="7" borderId="3" xfId="0" applyFont="1" applyFill="1" applyBorder="1" applyAlignment="1">
      <alignment horizontal="center" vertical="center" wrapText="1"/>
    </xf>
    <xf numFmtId="0" fontId="75" fillId="7" borderId="4" xfId="0" applyFont="1" applyFill="1" applyBorder="1" applyAlignment="1">
      <alignment horizontal="center" vertical="center" wrapText="1"/>
    </xf>
    <xf numFmtId="0" fontId="75" fillId="7" borderId="6" xfId="0" applyFont="1" applyFill="1" applyBorder="1" applyAlignment="1">
      <alignment horizontal="center" vertical="center" wrapText="1"/>
    </xf>
    <xf numFmtId="0" fontId="75" fillId="7" borderId="7" xfId="0" applyFont="1" applyFill="1" applyBorder="1" applyAlignment="1">
      <alignment horizontal="center" vertical="center" wrapText="1"/>
    </xf>
    <xf numFmtId="0" fontId="75" fillId="7" borderId="73" xfId="0" applyFont="1" applyFill="1" applyBorder="1" applyAlignment="1">
      <alignment horizontal="center" vertical="center" wrapText="1"/>
    </xf>
    <xf numFmtId="0" fontId="75" fillId="7" borderId="74" xfId="0" applyFont="1" applyFill="1" applyBorder="1" applyAlignment="1">
      <alignment horizontal="center" vertical="center" wrapText="1"/>
    </xf>
    <xf numFmtId="0" fontId="75" fillId="7" borderId="75" xfId="0" applyFont="1" applyFill="1" applyBorder="1" applyAlignment="1">
      <alignment horizontal="center" vertical="center" wrapText="1"/>
    </xf>
    <xf numFmtId="0" fontId="75" fillId="7" borderId="76" xfId="0" applyFont="1" applyFill="1" applyBorder="1" applyAlignment="1">
      <alignment horizontal="center" vertical="center" wrapText="1"/>
    </xf>
    <xf numFmtId="0" fontId="31" fillId="7" borderId="3" xfId="0" applyFont="1" applyFill="1" applyBorder="1" applyAlignment="1">
      <alignment horizontal="left" vertical="top" wrapText="1"/>
    </xf>
    <xf numFmtId="0" fontId="31" fillId="7" borderId="4" xfId="0" applyFont="1" applyFill="1" applyBorder="1" applyAlignment="1">
      <alignment horizontal="left" vertical="top" wrapText="1"/>
    </xf>
    <xf numFmtId="0" fontId="31" fillId="7" borderId="5" xfId="0" applyFont="1" applyFill="1" applyBorder="1" applyAlignment="1">
      <alignment horizontal="left" vertical="top" wrapText="1"/>
    </xf>
    <xf numFmtId="0" fontId="31" fillId="7" borderId="0" xfId="0" applyFont="1" applyFill="1" applyAlignment="1">
      <alignment horizontal="left" vertical="top" wrapText="1"/>
    </xf>
    <xf numFmtId="0" fontId="31" fillId="7" borderId="10" xfId="0" applyFont="1" applyFill="1" applyBorder="1" applyAlignment="1" applyProtection="1">
      <alignment horizontal="center" vertical="center" wrapText="1"/>
      <protection locked="0"/>
    </xf>
    <xf numFmtId="0" fontId="31" fillId="8" borderId="10" xfId="0" applyFont="1" applyFill="1" applyBorder="1" applyAlignment="1" applyProtection="1">
      <alignment horizontal="center" vertical="center" wrapText="1"/>
      <protection locked="0"/>
    </xf>
    <xf numFmtId="0" fontId="31" fillId="7" borderId="6" xfId="0" applyFont="1" applyFill="1" applyBorder="1" applyAlignment="1">
      <alignment horizontal="left" vertical="top" wrapText="1"/>
    </xf>
    <xf numFmtId="0" fontId="31" fillId="7" borderId="7" xfId="0" applyFont="1" applyFill="1" applyBorder="1" applyAlignment="1">
      <alignment horizontal="left" vertical="top" wrapText="1"/>
    </xf>
    <xf numFmtId="0" fontId="33" fillId="17" borderId="51" xfId="0" applyFont="1" applyFill="1" applyBorder="1" applyAlignment="1" applyProtection="1">
      <alignment horizontal="center" vertical="center" wrapText="1"/>
      <protection locked="0"/>
    </xf>
    <xf numFmtId="0" fontId="33" fillId="17" borderId="55" xfId="0" applyFont="1" applyFill="1" applyBorder="1" applyAlignment="1" applyProtection="1">
      <alignment horizontal="center" vertical="center" wrapText="1"/>
      <protection locked="0"/>
    </xf>
    <xf numFmtId="0" fontId="31" fillId="7" borderId="2" xfId="0" applyFont="1" applyFill="1" applyBorder="1" applyAlignment="1">
      <alignment horizontal="center" vertical="center" wrapText="1"/>
    </xf>
    <xf numFmtId="0" fontId="34" fillId="7" borderId="10" xfId="0" applyFont="1" applyFill="1" applyBorder="1" applyAlignment="1" applyProtection="1">
      <alignment horizontal="left" vertical="center" wrapText="1"/>
      <protection locked="0"/>
    </xf>
    <xf numFmtId="0" fontId="34" fillId="7" borderId="15" xfId="0" applyFont="1" applyFill="1" applyBorder="1" applyAlignment="1" applyProtection="1">
      <alignment horizontal="left" vertical="center" wrapText="1"/>
      <protection locked="0"/>
    </xf>
    <xf numFmtId="0" fontId="31" fillId="8" borderId="2" xfId="0" applyFont="1" applyFill="1" applyBorder="1" applyAlignment="1">
      <alignment horizontal="center" vertical="center" wrapText="1"/>
    </xf>
    <xf numFmtId="0" fontId="34" fillId="8" borderId="10" xfId="0" applyFont="1" applyFill="1" applyBorder="1" applyAlignment="1" applyProtection="1">
      <alignment horizontal="left" vertical="center" wrapText="1"/>
      <protection locked="0"/>
    </xf>
    <xf numFmtId="0" fontId="34" fillId="8" borderId="15" xfId="0" applyFont="1" applyFill="1" applyBorder="1" applyAlignment="1" applyProtection="1">
      <alignment horizontal="left" vertical="center" wrapText="1"/>
      <protection locked="0"/>
    </xf>
    <xf numFmtId="0" fontId="34" fillId="7" borderId="2" xfId="0" applyFont="1" applyFill="1" applyBorder="1" applyAlignment="1" applyProtection="1">
      <alignment horizontal="left" vertical="center" wrapText="1"/>
      <protection locked="0"/>
    </xf>
    <xf numFmtId="0" fontId="29" fillId="17" borderId="15" xfId="0" applyFont="1" applyFill="1" applyBorder="1" applyAlignment="1">
      <alignment horizontal="center" vertical="center" wrapText="1"/>
    </xf>
    <xf numFmtId="0" fontId="76" fillId="7" borderId="15" xfId="0" applyFont="1" applyFill="1" applyBorder="1" applyAlignment="1" applyProtection="1">
      <alignment horizontal="center" vertical="center" wrapText="1"/>
      <protection locked="0"/>
    </xf>
    <xf numFmtId="0" fontId="75" fillId="7" borderId="10" xfId="0" applyFont="1" applyFill="1" applyBorder="1" applyAlignment="1" applyProtection="1">
      <alignment horizontal="center" vertical="center"/>
      <protection locked="0"/>
    </xf>
    <xf numFmtId="0" fontId="75" fillId="7" borderId="1" xfId="0" applyFont="1" applyFill="1" applyBorder="1" applyAlignment="1">
      <alignment horizontal="center" vertical="center"/>
    </xf>
    <xf numFmtId="0" fontId="75" fillId="7" borderId="2" xfId="0" applyFont="1" applyFill="1" applyBorder="1" applyAlignment="1">
      <alignment horizontal="center" vertical="center"/>
    </xf>
    <xf numFmtId="0" fontId="75" fillId="5" borderId="0" xfId="0" applyFont="1" applyFill="1" applyAlignment="1">
      <alignment horizontal="center"/>
    </xf>
    <xf numFmtId="0" fontId="33" fillId="17" borderId="55" xfId="0" applyFont="1" applyFill="1" applyBorder="1" applyAlignment="1" applyProtection="1">
      <alignment horizontal="center" vertical="top" wrapText="1"/>
      <protection locked="0"/>
    </xf>
    <xf numFmtId="0" fontId="28" fillId="17" borderId="15" xfId="0" applyFont="1" applyFill="1" applyBorder="1" applyAlignment="1">
      <alignment vertical="center" wrapText="1"/>
    </xf>
    <xf numFmtId="0" fontId="75" fillId="7" borderId="10" xfId="0" applyFont="1" applyFill="1" applyBorder="1" applyAlignment="1">
      <alignment horizontal="center" vertical="center"/>
    </xf>
    <xf numFmtId="0" fontId="75" fillId="7" borderId="8" xfId="0" applyFont="1" applyFill="1" applyBorder="1" applyAlignment="1">
      <alignment horizontal="center" vertical="center"/>
    </xf>
    <xf numFmtId="0" fontId="75" fillId="7" borderId="9" xfId="0" applyFont="1" applyFill="1" applyBorder="1" applyAlignment="1">
      <alignment horizontal="center" vertical="center"/>
    </xf>
    <xf numFmtId="0" fontId="75" fillId="7" borderId="12" xfId="0" applyFont="1" applyFill="1" applyBorder="1" applyAlignment="1">
      <alignment horizontal="center" vertical="center" wrapText="1"/>
    </xf>
    <xf numFmtId="0" fontId="75" fillId="7" borderId="14" xfId="0" applyFont="1" applyFill="1" applyBorder="1" applyAlignment="1">
      <alignment horizontal="center" vertical="center" wrapText="1"/>
    </xf>
    <xf numFmtId="0" fontId="75" fillId="7" borderId="77" xfId="0" applyFont="1" applyFill="1" applyBorder="1" applyAlignment="1">
      <alignment horizontal="center" vertical="center" wrapText="1"/>
    </xf>
    <xf numFmtId="0" fontId="75" fillId="7" borderId="78" xfId="0" applyFont="1" applyFill="1" applyBorder="1" applyAlignment="1">
      <alignment horizontal="center" vertical="center" wrapText="1"/>
    </xf>
    <xf numFmtId="0" fontId="53" fillId="6" borderId="20" xfId="0" applyFont="1" applyFill="1" applyBorder="1" applyAlignment="1">
      <alignment horizontal="center" vertical="top"/>
    </xf>
    <xf numFmtId="0" fontId="53" fillId="6" borderId="21" xfId="0" applyFont="1" applyFill="1" applyBorder="1" applyAlignment="1">
      <alignment horizontal="center" vertical="top"/>
    </xf>
    <xf numFmtId="0" fontId="53" fillId="37" borderId="20" xfId="0" applyFont="1" applyFill="1" applyBorder="1" applyAlignment="1">
      <alignment horizontal="center" vertical="top"/>
    </xf>
    <xf numFmtId="0" fontId="53" fillId="37" borderId="21" xfId="0" applyFont="1" applyFill="1" applyBorder="1" applyAlignment="1">
      <alignment horizontal="center" vertical="top"/>
    </xf>
    <xf numFmtId="0" fontId="75" fillId="7" borderId="11" xfId="0" applyFont="1" applyFill="1" applyBorder="1" applyAlignment="1">
      <alignment horizontal="center" vertical="center"/>
    </xf>
    <xf numFmtId="0" fontId="31" fillId="7" borderId="12" xfId="0" applyFont="1" applyFill="1" applyBorder="1" applyAlignment="1">
      <alignment horizontal="left" vertical="top" wrapText="1"/>
    </xf>
    <xf numFmtId="0" fontId="31" fillId="7" borderId="13" xfId="0" applyFont="1" applyFill="1" applyBorder="1" applyAlignment="1">
      <alignment horizontal="left" vertical="top" wrapText="1"/>
    </xf>
    <xf numFmtId="0" fontId="53" fillId="35" borderId="20" xfId="0" applyFont="1" applyFill="1" applyBorder="1" applyAlignment="1">
      <alignment horizontal="center" vertical="top"/>
    </xf>
    <xf numFmtId="0" fontId="53" fillId="35" borderId="21" xfId="0" applyFont="1" applyFill="1" applyBorder="1" applyAlignment="1">
      <alignment horizontal="center" vertical="top"/>
    </xf>
    <xf numFmtId="0" fontId="31" fillId="7" borderId="14" xfId="0" applyFont="1" applyFill="1" applyBorder="1" applyAlignment="1">
      <alignment horizontal="left" vertical="top" wrapText="1"/>
    </xf>
    <xf numFmtId="0" fontId="33" fillId="17" borderId="56" xfId="0" applyFont="1" applyFill="1" applyBorder="1" applyAlignment="1" applyProtection="1">
      <alignment horizontal="center" vertical="top" wrapText="1"/>
      <protection locked="0"/>
    </xf>
    <xf numFmtId="49" fontId="53" fillId="0" borderId="20" xfId="0" applyNumberFormat="1" applyFont="1" applyBorder="1" applyAlignment="1">
      <alignment horizontal="center" vertical="top"/>
    </xf>
    <xf numFmtId="0" fontId="75" fillId="7" borderId="15" xfId="0" applyFont="1" applyFill="1" applyBorder="1" applyAlignment="1" applyProtection="1">
      <alignment horizontal="center" vertical="center"/>
      <protection locked="0"/>
    </xf>
    <xf numFmtId="0" fontId="75" fillId="8" borderId="15" xfId="0" applyFont="1" applyFill="1" applyBorder="1" applyAlignment="1" applyProtection="1">
      <alignment horizontal="center" vertical="center"/>
      <protection locked="0"/>
    </xf>
    <xf numFmtId="0" fontId="76" fillId="8" borderId="15" xfId="0" applyFont="1" applyFill="1" applyBorder="1" applyAlignment="1" applyProtection="1">
      <alignment horizontal="center" vertical="center" wrapText="1"/>
      <protection locked="0"/>
    </xf>
    <xf numFmtId="0" fontId="31" fillId="7" borderId="15" xfId="0" applyFont="1" applyFill="1" applyBorder="1" applyAlignment="1" applyProtection="1">
      <alignment horizontal="left" vertical="top" wrapText="1"/>
      <protection locked="0"/>
    </xf>
    <xf numFmtId="0" fontId="31" fillId="8" borderId="15" xfId="0" applyFont="1" applyFill="1" applyBorder="1" applyAlignment="1" applyProtection="1">
      <alignment horizontal="left" vertical="top" wrapText="1"/>
      <protection locked="0"/>
    </xf>
    <xf numFmtId="0" fontId="29" fillId="17" borderId="0" xfId="0" applyFont="1" applyFill="1" applyAlignment="1">
      <alignment horizontal="center" vertical="center" wrapText="1"/>
    </xf>
    <xf numFmtId="0" fontId="29" fillId="30" borderId="52" xfId="0" applyFont="1" applyFill="1" applyBorder="1" applyAlignment="1">
      <alignment horizontal="center" vertical="center" wrapText="1"/>
    </xf>
    <xf numFmtId="0" fontId="29" fillId="30" borderId="54" xfId="0" applyFont="1" applyFill="1" applyBorder="1" applyAlignment="1">
      <alignment horizontal="center" vertical="center" wrapText="1"/>
    </xf>
    <xf numFmtId="49" fontId="27" fillId="7" borderId="15" xfId="0" applyNumberFormat="1" applyFont="1" applyFill="1" applyBorder="1" applyAlignment="1" applyProtection="1">
      <alignment horizontal="center" vertical="center"/>
      <protection locked="0"/>
    </xf>
    <xf numFmtId="0" fontId="29" fillId="30" borderId="53" xfId="0" applyFont="1" applyFill="1" applyBorder="1" applyAlignment="1">
      <alignment horizontal="center" vertical="center"/>
    </xf>
    <xf numFmtId="0" fontId="27" fillId="5" borderId="0" xfId="0" applyFont="1" applyFill="1" applyAlignment="1">
      <alignment vertical="center" wrapText="1"/>
    </xf>
    <xf numFmtId="0" fontId="30" fillId="5" borderId="0" xfId="0" applyFont="1" applyFill="1" applyAlignment="1">
      <alignment horizontal="left"/>
    </xf>
    <xf numFmtId="0" fontId="77" fillId="5" borderId="0" xfId="0" applyFont="1" applyFill="1" applyAlignment="1">
      <alignment wrapText="1"/>
    </xf>
    <xf numFmtId="0" fontId="78" fillId="5" borderId="0" xfId="0" applyFont="1" applyFill="1" applyAlignment="1">
      <alignment horizontal="center" vertical="center" wrapText="1"/>
    </xf>
    <xf numFmtId="0" fontId="30" fillId="5" borderId="0" xfId="0" applyFont="1" applyFill="1" applyAlignment="1">
      <alignment horizontal="right" wrapText="1"/>
    </xf>
    <xf numFmtId="0" fontId="27" fillId="6" borderId="15" xfId="0" applyFont="1" applyFill="1" applyBorder="1" applyAlignment="1" applyProtection="1">
      <alignment horizontal="center" vertical="center" wrapText="1"/>
      <protection locked="0"/>
    </xf>
    <xf numFmtId="0" fontId="79" fillId="35" borderId="15" xfId="0" applyFont="1" applyFill="1" applyBorder="1" applyAlignment="1">
      <alignment horizontal="center" vertical="center" wrapText="1"/>
    </xf>
    <xf numFmtId="0" fontId="80" fillId="5" borderId="0" xfId="0" applyFont="1" applyFill="1" applyAlignment="1">
      <alignment vertical="center" wrapText="1"/>
    </xf>
    <xf numFmtId="0" fontId="81" fillId="5" borderId="0" xfId="0" applyFont="1" applyFill="1" applyAlignment="1">
      <alignment horizontal="center" vertical="center" wrapText="1"/>
    </xf>
    <xf numFmtId="0" fontId="82" fillId="35" borderId="15" xfId="0" applyFont="1" applyFill="1" applyBorder="1" applyAlignment="1">
      <alignment horizontal="center" vertical="center" wrapText="1"/>
    </xf>
    <xf numFmtId="0" fontId="44" fillId="30" borderId="54" xfId="0" applyFont="1" applyFill="1" applyBorder="1" applyAlignment="1">
      <alignment horizontal="center" vertical="center" wrapText="1"/>
    </xf>
    <xf numFmtId="0" fontId="44" fillId="30" borderId="79" xfId="0" applyFont="1" applyFill="1" applyBorder="1" applyAlignment="1">
      <alignment horizontal="center" vertical="center" wrapText="1"/>
    </xf>
    <xf numFmtId="0" fontId="82" fillId="35" borderId="79" xfId="0" applyFont="1" applyFill="1" applyBorder="1" applyAlignment="1">
      <alignment horizontal="center" vertical="center" wrapText="1"/>
    </xf>
    <xf numFmtId="0" fontId="29" fillId="30" borderId="53" xfId="0" applyFont="1" applyFill="1" applyBorder="1" applyAlignment="1">
      <alignment horizontal="center" vertical="center" wrapText="1"/>
    </xf>
    <xf numFmtId="0" fontId="34" fillId="37" borderId="15" xfId="0" applyFont="1" applyFill="1" applyBorder="1" applyAlignment="1" applyProtection="1">
      <alignment horizontal="center" vertical="center" wrapText="1"/>
      <protection locked="0"/>
    </xf>
    <xf numFmtId="0" fontId="83" fillId="16" borderId="0" xfId="0" applyFont="1" applyFill="1" applyAlignment="1" applyProtection="1">
      <alignment horizontal="center" vertical="center"/>
      <protection locked="0"/>
    </xf>
    <xf numFmtId="0" fontId="83" fillId="15" borderId="0" xfId="0" applyFont="1" applyFill="1" applyAlignment="1" applyProtection="1">
      <alignment horizontal="center" vertical="center" wrapText="1"/>
      <protection locked="0"/>
    </xf>
    <xf numFmtId="0" fontId="30" fillId="5" borderId="0" xfId="0" applyFont="1" applyFill="1" applyAlignment="1">
      <alignment wrapText="1"/>
    </xf>
    <xf numFmtId="0" fontId="27" fillId="6" borderId="15" xfId="0" applyFont="1" applyFill="1" applyBorder="1" applyAlignment="1" applyProtection="1">
      <alignment horizontal="center" vertical="center"/>
      <protection locked="0"/>
    </xf>
    <xf numFmtId="0" fontId="27" fillId="9" borderId="10" xfId="0" applyFont="1" applyFill="1" applyBorder="1" applyAlignment="1">
      <alignment horizontal="center" vertical="center"/>
    </xf>
    <xf numFmtId="0" fontId="27" fillId="9" borderId="15" xfId="0" applyFont="1" applyFill="1" applyBorder="1" applyAlignment="1">
      <alignment horizontal="center" vertical="center"/>
    </xf>
    <xf numFmtId="0" fontId="30" fillId="5" borderId="2" xfId="0" applyFont="1" applyFill="1" applyBorder="1" applyAlignment="1">
      <alignment horizontal="center" wrapText="1"/>
    </xf>
    <xf numFmtId="0" fontId="84" fillId="5" borderId="0" xfId="0" applyFont="1" applyFill="1" applyAlignment="1">
      <alignment horizontal="center" vertical="center" wrapText="1"/>
    </xf>
    <xf numFmtId="0" fontId="30" fillId="5" borderId="2" xfId="0" applyFont="1" applyFill="1" applyBorder="1" applyAlignment="1">
      <alignment horizontal="center" vertical="center" wrapText="1"/>
    </xf>
    <xf numFmtId="0" fontId="85" fillId="6" borderId="15" xfId="0" applyFont="1" applyFill="1" applyBorder="1" applyAlignment="1" applyProtection="1">
      <alignment horizontal="center" vertical="center"/>
      <protection locked="0"/>
    </xf>
    <xf numFmtId="0" fontId="34" fillId="37" borderId="15" xfId="0" applyFont="1" applyFill="1" applyBorder="1" applyAlignment="1">
      <alignment horizontal="center" vertical="center" wrapText="1"/>
    </xf>
    <xf numFmtId="0" fontId="43" fillId="7" borderId="15" xfId="0" applyFont="1" applyFill="1" applyBorder="1" applyAlignment="1">
      <alignment horizontal="center" vertical="center" wrapText="1"/>
    </xf>
    <xf numFmtId="49" fontId="86" fillId="7" borderId="15" xfId="0" applyNumberFormat="1" applyFont="1" applyFill="1" applyBorder="1" applyAlignment="1" applyProtection="1">
      <alignment horizontal="right" vertical="center"/>
      <protection locked="0"/>
    </xf>
    <xf numFmtId="49" fontId="86" fillId="7" borderId="1" xfId="0" applyNumberFormat="1" applyFont="1" applyFill="1" applyBorder="1" applyAlignment="1" applyProtection="1">
      <alignment horizontal="right" vertical="center"/>
      <protection locked="0"/>
    </xf>
    <xf numFmtId="0" fontId="41" fillId="7" borderId="2" xfId="0" applyFont="1" applyFill="1" applyBorder="1" applyAlignment="1">
      <alignment horizontal="center" vertical="center" wrapText="1"/>
    </xf>
    <xf numFmtId="0" fontId="86" fillId="7" borderId="10" xfId="0" applyFont="1" applyFill="1" applyBorder="1" applyAlignment="1" applyProtection="1">
      <alignment horizontal="left" vertical="center"/>
      <protection locked="0"/>
    </xf>
    <xf numFmtId="0" fontId="75" fillId="7" borderId="15" xfId="0" applyFont="1" applyFill="1" applyBorder="1" applyAlignment="1">
      <alignment horizontal="center" vertical="center"/>
    </xf>
    <xf numFmtId="0" fontId="43" fillId="7" borderId="15" xfId="0" applyFont="1" applyFill="1" applyBorder="1" applyAlignment="1" applyProtection="1">
      <alignment horizontal="center" vertical="center" wrapText="1"/>
      <protection locked="0"/>
    </xf>
    <xf numFmtId="0" fontId="43" fillId="7" borderId="1" xfId="0" applyFont="1" applyFill="1" applyBorder="1" applyAlignment="1" applyProtection="1">
      <alignment horizontal="center" vertical="center" wrapText="1"/>
      <protection locked="0"/>
    </xf>
    <xf numFmtId="0" fontId="43" fillId="7" borderId="10" xfId="0"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0" fontId="87" fillId="30" borderId="52" xfId="0" applyFont="1" applyFill="1" applyBorder="1" applyAlignment="1">
      <alignment horizontal="center" vertical="center" wrapText="1"/>
    </xf>
    <xf numFmtId="0" fontId="88" fillId="7" borderId="15" xfId="0" applyFont="1" applyFill="1" applyBorder="1" applyAlignment="1" applyProtection="1">
      <alignment horizontal="right" vertical="center" wrapText="1"/>
      <protection locked="0"/>
    </xf>
    <xf numFmtId="0" fontId="88" fillId="7" borderId="1" xfId="0" applyFont="1" applyFill="1" applyBorder="1" applyAlignment="1" applyProtection="1">
      <alignment horizontal="right" vertical="center" wrapText="1"/>
      <protection locked="0"/>
    </xf>
    <xf numFmtId="0" fontId="43" fillId="7" borderId="2" xfId="0" applyFont="1" applyFill="1" applyBorder="1" applyAlignment="1">
      <alignment horizontal="center" vertical="center" wrapText="1"/>
    </xf>
    <xf numFmtId="0" fontId="87" fillId="30" borderId="54" xfId="0" applyFont="1" applyFill="1" applyBorder="1" applyAlignment="1">
      <alignment horizontal="center" vertical="center" wrapText="1"/>
    </xf>
    <xf numFmtId="0" fontId="0" fillId="0" borderId="54" xfId="0" applyBorder="1">
      <alignment vertical="center"/>
    </xf>
    <xf numFmtId="0" fontId="89" fillId="7" borderId="15" xfId="0" applyFont="1" applyFill="1" applyBorder="1" applyAlignment="1" applyProtection="1">
      <alignment horizontal="right" vertical="center" wrapText="1"/>
      <protection locked="0"/>
    </xf>
    <xf numFmtId="0" fontId="0" fillId="0" borderId="1" xfId="0" applyBorder="1" applyAlignment="1" applyProtection="1">
      <alignment horizontal="right" vertical="center" wrapText="1"/>
      <protection locked="0"/>
    </xf>
    <xf numFmtId="0" fontId="89" fillId="7" borderId="10" xfId="0" applyFont="1" applyFill="1" applyBorder="1" applyAlignment="1">
      <alignment horizontal="left" vertical="center" wrapText="1"/>
    </xf>
    <xf numFmtId="0" fontId="38" fillId="5" borderId="0" xfId="0" applyFont="1" applyFill="1" applyAlignment="1">
      <alignment horizontal="center" vertical="top" wrapText="1"/>
    </xf>
    <xf numFmtId="0" fontId="90" fillId="5" borderId="0" xfId="0" applyFont="1" applyFill="1" applyAlignment="1">
      <alignment horizontal="center" vertical="center" wrapText="1"/>
    </xf>
    <xf numFmtId="0" fontId="29" fillId="30" borderId="80" xfId="0" applyFont="1" applyFill="1" applyBorder="1" applyAlignment="1" applyProtection="1">
      <alignment horizontal="center" vertical="center"/>
      <protection locked="0"/>
    </xf>
    <xf numFmtId="0" fontId="29" fillId="30" borderId="81" xfId="0" applyFont="1" applyFill="1" applyBorder="1" applyAlignment="1" applyProtection="1">
      <alignment horizontal="center" vertical="center"/>
      <protection locked="0"/>
    </xf>
    <xf numFmtId="0" fontId="29" fillId="30" borderId="82" xfId="0" applyFont="1" applyFill="1" applyBorder="1" applyAlignment="1" applyProtection="1">
      <alignment horizontal="center" vertical="center"/>
      <protection locked="0"/>
    </xf>
    <xf numFmtId="0" fontId="91" fillId="8" borderId="15" xfId="0" applyFont="1" applyFill="1" applyBorder="1" applyAlignment="1" applyProtection="1">
      <alignment horizontal="right" vertical="center" wrapText="1"/>
      <protection locked="0"/>
    </xf>
    <xf numFmtId="0" fontId="91" fillId="8" borderId="1" xfId="0" applyFont="1" applyFill="1" applyBorder="1" applyAlignment="1" applyProtection="1">
      <alignment horizontal="right" vertical="center" wrapText="1"/>
      <protection locked="0"/>
    </xf>
    <xf numFmtId="0" fontId="29" fillId="30" borderId="83" xfId="0" applyFont="1" applyFill="1" applyBorder="1" applyAlignment="1" applyProtection="1">
      <alignment horizontal="center" vertical="center"/>
      <protection locked="0"/>
    </xf>
    <xf numFmtId="0" fontId="29" fillId="30" borderId="84" xfId="0" applyFont="1" applyFill="1" applyBorder="1" applyAlignment="1" applyProtection="1">
      <alignment horizontal="center" vertical="center"/>
      <protection locked="0"/>
    </xf>
    <xf numFmtId="0" fontId="29" fillId="30" borderId="85" xfId="0" applyFont="1" applyFill="1" applyBorder="1" applyAlignment="1" applyProtection="1">
      <alignment horizontal="center" vertical="center"/>
      <protection locked="0"/>
    </xf>
    <xf numFmtId="0" fontId="91" fillId="7" borderId="15" xfId="0" applyFont="1" applyFill="1" applyBorder="1" applyAlignment="1" applyProtection="1">
      <alignment horizontal="right" vertical="center" wrapText="1"/>
      <protection locked="0"/>
    </xf>
    <xf numFmtId="0" fontId="91" fillId="7" borderId="1" xfId="0" applyFont="1" applyFill="1" applyBorder="1" applyAlignment="1" applyProtection="1">
      <alignment horizontal="right" vertical="center" wrapText="1"/>
      <protection locked="0"/>
    </xf>
    <xf numFmtId="0" fontId="30" fillId="5" borderId="0" xfId="0" applyFont="1" applyFill="1" applyAlignment="1">
      <alignment horizontal="right"/>
    </xf>
    <xf numFmtId="0" fontId="92" fillId="7" borderId="15" xfId="0" applyFont="1" applyFill="1" applyBorder="1" applyAlignment="1" applyProtection="1">
      <alignment horizontal="center" vertical="center"/>
      <protection locked="0"/>
    </xf>
    <xf numFmtId="0" fontId="78" fillId="5" borderId="0" xfId="0" applyFont="1" applyFill="1" applyAlignment="1">
      <alignment horizontal="center" wrapText="1"/>
    </xf>
    <xf numFmtId="0" fontId="93" fillId="5" borderId="0" xfId="0" applyFont="1" applyFill="1" applyAlignment="1">
      <alignment horizontal="center" vertical="center" wrapText="1"/>
    </xf>
    <xf numFmtId="0" fontId="81" fillId="5" borderId="0" xfId="0" applyFont="1" applyFill="1" applyAlignment="1" applyProtection="1">
      <alignment horizontal="center" vertical="center" wrapText="1"/>
      <protection locked="0"/>
    </xf>
    <xf numFmtId="0" fontId="92" fillId="8" borderId="15" xfId="0" applyFont="1" applyFill="1" applyBorder="1" applyAlignment="1" applyProtection="1">
      <alignment horizontal="center" vertical="center"/>
      <protection locked="0"/>
    </xf>
    <xf numFmtId="0" fontId="30" fillId="5" borderId="7" xfId="0" applyFont="1" applyFill="1" applyBorder="1" applyAlignment="1">
      <alignment horizontal="left" wrapText="1"/>
    </xf>
    <xf numFmtId="0" fontId="92" fillId="7" borderId="1" xfId="0" applyFont="1" applyFill="1" applyBorder="1" applyAlignment="1" applyProtection="1">
      <alignment horizontal="center" vertical="center"/>
      <protection locked="0"/>
    </xf>
    <xf numFmtId="0" fontId="92" fillId="8" borderId="1" xfId="0" applyFont="1" applyFill="1" applyBorder="1" applyAlignment="1" applyProtection="1">
      <alignment horizontal="center" vertical="center"/>
      <protection locked="0"/>
    </xf>
    <xf numFmtId="177" fontId="92" fillId="7" borderId="15" xfId="0" applyNumberFormat="1" applyFont="1" applyFill="1" applyBorder="1" applyAlignment="1" applyProtection="1">
      <alignment horizontal="center" vertical="center"/>
      <protection locked="0"/>
    </xf>
    <xf numFmtId="0" fontId="29" fillId="30" borderId="1" xfId="0" applyFont="1" applyFill="1" applyBorder="1" applyAlignment="1">
      <alignment horizontal="center" vertical="center" wrapText="1"/>
    </xf>
    <xf numFmtId="0" fontId="29" fillId="30" borderId="56" xfId="0" applyFont="1" applyFill="1" applyBorder="1" applyAlignment="1">
      <alignment horizontal="center" vertical="center" wrapText="1"/>
    </xf>
    <xf numFmtId="0" fontId="29" fillId="30" borderId="15" xfId="0" applyFont="1" applyFill="1" applyBorder="1" applyAlignment="1">
      <alignment horizontal="center" vertical="center"/>
    </xf>
    <xf numFmtId="0" fontId="29" fillId="30" borderId="1" xfId="0" applyFont="1" applyFill="1" applyBorder="1" applyAlignment="1">
      <alignment horizontal="center" vertical="center"/>
    </xf>
    <xf numFmtId="0" fontId="29" fillId="30" borderId="56" xfId="0" applyFont="1" applyFill="1" applyBorder="1" applyAlignment="1">
      <alignment horizontal="center" vertical="center"/>
    </xf>
    <xf numFmtId="0" fontId="27" fillId="8" borderId="15" xfId="0" applyFont="1" applyFill="1" applyBorder="1" applyAlignment="1">
      <alignment horizontal="center" vertical="center"/>
    </xf>
    <xf numFmtId="0" fontId="27" fillId="7" borderId="15" xfId="0" applyFont="1" applyFill="1" applyBorder="1" applyAlignment="1">
      <alignment horizontal="center" vertical="center"/>
    </xf>
    <xf numFmtId="0" fontId="75" fillId="7" borderId="15" xfId="0" applyFont="1" applyFill="1" applyBorder="1" applyAlignment="1">
      <alignment horizontal="center" vertical="center" wrapText="1"/>
    </xf>
    <xf numFmtId="0" fontId="86" fillId="7" borderId="15" xfId="0" applyFont="1" applyFill="1" applyBorder="1" applyAlignment="1" applyProtection="1">
      <alignment horizontal="left" vertical="center"/>
      <protection locked="0"/>
    </xf>
    <xf numFmtId="0" fontId="34" fillId="7" borderId="15" xfId="0" applyFont="1" applyFill="1" applyBorder="1" applyAlignment="1">
      <alignment horizontal="center" vertical="center" wrapText="1"/>
    </xf>
    <xf numFmtId="0" fontId="94" fillId="35" borderId="15" xfId="0" applyFont="1" applyFill="1" applyBorder="1" applyAlignment="1">
      <alignment horizontal="center" vertical="center" wrapText="1"/>
    </xf>
    <xf numFmtId="0" fontId="13" fillId="5" borderId="0" xfId="0" applyFont="1" applyFill="1" applyAlignment="1">
      <alignment horizontal="center" vertical="center" wrapText="1"/>
    </xf>
    <xf numFmtId="0" fontId="43" fillId="7" borderId="15" xfId="0" applyFont="1" applyFill="1" applyBorder="1" applyAlignment="1" applyProtection="1">
      <alignment horizontal="center" vertical="center"/>
      <protection locked="0"/>
    </xf>
    <xf numFmtId="0" fontId="43" fillId="8" borderId="15" xfId="0" applyFont="1" applyFill="1" applyBorder="1" applyAlignment="1" applyProtection="1">
      <alignment horizontal="center" vertical="center"/>
      <protection locked="0"/>
    </xf>
    <xf numFmtId="0" fontId="27" fillId="7" borderId="15" xfId="0" applyFont="1" applyFill="1" applyBorder="1" applyAlignment="1" applyProtection="1">
      <alignment horizontal="center" vertical="center"/>
      <protection locked="0"/>
    </xf>
    <xf numFmtId="0" fontId="27" fillId="8" borderId="15" xfId="0" applyFont="1" applyFill="1" applyBorder="1" applyAlignment="1" applyProtection="1">
      <alignment horizontal="center" vertical="center"/>
      <protection locked="0"/>
    </xf>
    <xf numFmtId="0" fontId="95" fillId="37" borderId="15" xfId="0" applyFont="1" applyFill="1" applyBorder="1" applyAlignment="1">
      <alignment horizontal="center" vertical="center" wrapText="1"/>
    </xf>
    <xf numFmtId="0" fontId="29" fillId="58" borderId="0" xfId="0" applyFont="1" applyFill="1" applyAlignment="1">
      <alignment horizontal="center" vertical="center" wrapText="1"/>
    </xf>
    <xf numFmtId="0" fontId="96" fillId="15" borderId="0" xfId="0" applyFont="1" applyFill="1" applyAlignment="1" applyProtection="1">
      <alignment horizontal="center" vertical="center"/>
      <protection locked="0"/>
    </xf>
    <xf numFmtId="0" fontId="88" fillId="7" borderId="10" xfId="0" applyFont="1" applyFill="1" applyBorder="1" applyAlignment="1">
      <alignment horizontal="left" vertical="center" wrapText="1"/>
    </xf>
    <xf numFmtId="0" fontId="88" fillId="7" borderId="15" xfId="0" applyFont="1" applyFill="1" applyBorder="1" applyAlignment="1">
      <alignment horizontal="left" vertical="center" wrapText="1"/>
    </xf>
    <xf numFmtId="0" fontId="89" fillId="7" borderId="15" xfId="0" applyFont="1" applyFill="1" applyBorder="1" applyAlignment="1" applyProtection="1">
      <alignment horizontal="center" vertical="center" wrapText="1"/>
      <protection locked="0"/>
    </xf>
    <xf numFmtId="0" fontId="0" fillId="0" borderId="15" xfId="0" applyBorder="1" applyAlignment="1">
      <alignment vertical="center" wrapText="1"/>
    </xf>
    <xf numFmtId="176" fontId="43" fillId="7" borderId="15" xfId="0" applyNumberFormat="1" applyFont="1" applyFill="1" applyBorder="1" applyAlignment="1" applyProtection="1">
      <alignment horizontal="center" vertical="center"/>
      <protection locked="0"/>
    </xf>
    <xf numFmtId="0" fontId="97" fillId="8" borderId="10" xfId="0" applyFont="1" applyFill="1" applyBorder="1" applyAlignment="1" applyProtection="1">
      <alignment horizontal="left" vertical="center" wrapText="1"/>
      <protection locked="0"/>
    </xf>
    <xf numFmtId="0" fontId="97" fillId="8" borderId="15" xfId="0" applyFont="1" applyFill="1" applyBorder="1" applyAlignment="1" applyProtection="1">
      <alignment horizontal="left" vertical="center" wrapText="1"/>
      <protection locked="0"/>
    </xf>
    <xf numFmtId="0" fontId="97" fillId="7" borderId="10" xfId="0" applyFont="1" applyFill="1" applyBorder="1" applyAlignment="1" applyProtection="1">
      <alignment horizontal="left" vertical="center" wrapText="1"/>
      <protection locked="0"/>
    </xf>
    <xf numFmtId="0" fontId="97" fillId="7" borderId="15" xfId="0" applyFont="1" applyFill="1" applyBorder="1" applyAlignment="1" applyProtection="1">
      <alignment horizontal="left" vertical="center" wrapText="1"/>
      <protection locked="0"/>
    </xf>
    <xf numFmtId="0" fontId="75" fillId="7" borderId="86" xfId="0" applyFont="1" applyFill="1" applyBorder="1" applyAlignment="1" applyProtection="1">
      <alignment horizontal="center" vertical="center" wrapText="1"/>
      <protection locked="0"/>
    </xf>
    <xf numFmtId="0" fontId="34" fillId="5" borderId="0" xfId="0" applyFont="1" applyFill="1" applyAlignment="1">
      <alignment horizontal="center" wrapText="1"/>
    </xf>
    <xf numFmtId="0" fontId="31" fillId="7" borderId="15" xfId="0" applyFont="1" applyFill="1" applyBorder="1" applyAlignment="1" applyProtection="1">
      <alignment horizontal="left" vertical="top"/>
      <protection locked="0"/>
    </xf>
    <xf numFmtId="0" fontId="75" fillId="8" borderId="86" xfId="0" applyFont="1" applyFill="1" applyBorder="1" applyAlignment="1" applyProtection="1">
      <alignment horizontal="center" vertical="center" wrapText="1"/>
      <protection locked="0"/>
    </xf>
    <xf numFmtId="0" fontId="31" fillId="8" borderId="15" xfId="0" applyFont="1" applyFill="1" applyBorder="1" applyAlignment="1" applyProtection="1">
      <alignment horizontal="left" vertical="top"/>
      <protection locked="0"/>
    </xf>
    <xf numFmtId="0" fontId="54" fillId="5" borderId="0" xfId="0" applyFont="1" applyFill="1">
      <alignment vertical="center"/>
    </xf>
    <xf numFmtId="0" fontId="31" fillId="8" borderId="10" xfId="0" applyFont="1" applyFill="1" applyBorder="1" applyAlignment="1" applyProtection="1">
      <alignment horizontal="left" vertical="top" wrapText="1"/>
      <protection locked="0"/>
    </xf>
    <xf numFmtId="0" fontId="29" fillId="30" borderId="51" xfId="0" applyFont="1" applyFill="1" applyBorder="1" applyAlignment="1">
      <alignment horizontal="center" vertical="center" wrapText="1"/>
    </xf>
    <xf numFmtId="0" fontId="29" fillId="30" borderId="10" xfId="0" applyFont="1" applyFill="1" applyBorder="1" applyAlignment="1">
      <alignment horizontal="center" vertical="center" wrapText="1"/>
    </xf>
    <xf numFmtId="0" fontId="40" fillId="7" borderId="15" xfId="0" applyFont="1" applyFill="1" applyBorder="1" applyAlignment="1">
      <alignment horizontal="center" vertical="center" wrapText="1"/>
    </xf>
    <xf numFmtId="0" fontId="29" fillId="30" borderId="51" xfId="0" applyFont="1" applyFill="1" applyBorder="1" applyAlignment="1">
      <alignment horizontal="center" vertical="center"/>
    </xf>
    <xf numFmtId="0" fontId="29" fillId="30" borderId="10" xfId="0" applyFont="1" applyFill="1" applyBorder="1" applyAlignment="1">
      <alignment horizontal="center" vertical="center"/>
    </xf>
    <xf numFmtId="0" fontId="29" fillId="30" borderId="15" xfId="0" applyFont="1" applyFill="1" applyBorder="1" applyAlignment="1" applyProtection="1">
      <alignment horizontal="center" vertical="center"/>
      <protection locked="0"/>
    </xf>
    <xf numFmtId="0" fontId="98" fillId="7" borderId="15" xfId="0" applyFont="1" applyFill="1" applyBorder="1" applyAlignment="1">
      <alignment horizontal="center" vertical="center"/>
    </xf>
    <xf numFmtId="0" fontId="27" fillId="7" borderId="3" xfId="0" applyFont="1" applyFill="1" applyBorder="1" applyAlignment="1" applyProtection="1">
      <alignment horizontal="center" vertical="center" wrapText="1"/>
      <protection locked="0"/>
    </xf>
    <xf numFmtId="0" fontId="27" fillId="7" borderId="4" xfId="0" applyFont="1" applyFill="1" applyBorder="1" applyAlignment="1" applyProtection="1">
      <alignment horizontal="center" vertical="center" wrapText="1"/>
      <protection locked="0"/>
    </xf>
    <xf numFmtId="0" fontId="27" fillId="7" borderId="5" xfId="0" applyFont="1" applyFill="1" applyBorder="1" applyAlignment="1" applyProtection="1">
      <alignment horizontal="center" vertical="center" wrapText="1"/>
      <protection locked="0"/>
    </xf>
    <xf numFmtId="0" fontId="38" fillId="5" borderId="0" xfId="0" applyFont="1" applyFill="1" applyAlignment="1">
      <alignment horizontal="center" vertical="center" wrapText="1"/>
    </xf>
    <xf numFmtId="0" fontId="27" fillId="7" borderId="6" xfId="0" applyFont="1" applyFill="1" applyBorder="1" applyAlignment="1" applyProtection="1">
      <alignment horizontal="center" vertical="center" wrapText="1"/>
      <protection locked="0"/>
    </xf>
    <xf numFmtId="0" fontId="27" fillId="7" borderId="7" xfId="0" applyFont="1" applyFill="1" applyBorder="1" applyAlignment="1" applyProtection="1">
      <alignment horizontal="center" vertical="center" wrapText="1"/>
      <protection locked="0"/>
    </xf>
    <xf numFmtId="0" fontId="30" fillId="5" borderId="4" xfId="0" applyFont="1" applyFill="1" applyBorder="1" applyAlignment="1">
      <alignment horizontal="center" vertical="center" wrapText="1"/>
    </xf>
    <xf numFmtId="0" fontId="29" fillId="16" borderId="0" xfId="0" applyFont="1" applyFill="1" applyAlignment="1">
      <alignment horizontal="center" vertical="center"/>
    </xf>
    <xf numFmtId="177" fontId="31" fillId="7" borderId="15" xfId="0" applyNumberFormat="1" applyFont="1" applyFill="1" applyBorder="1" applyAlignment="1" applyProtection="1">
      <alignment horizontal="center" vertical="center" wrapText="1"/>
      <protection locked="0"/>
    </xf>
    <xf numFmtId="0" fontId="99" fillId="5" borderId="0" xfId="0" applyFont="1" applyFill="1" applyAlignment="1">
      <alignment horizontal="center" vertical="center"/>
    </xf>
    <xf numFmtId="0" fontId="100" fillId="7" borderId="15" xfId="0" applyFont="1" applyFill="1" applyBorder="1" applyAlignment="1" applyProtection="1">
      <alignment horizontal="center" vertical="center" wrapText="1"/>
      <protection locked="0"/>
    </xf>
    <xf numFmtId="0" fontId="101" fillId="5" borderId="0" xfId="0" applyFont="1" applyFill="1" applyAlignment="1">
      <alignment horizontal="center" vertical="center"/>
    </xf>
    <xf numFmtId="0" fontId="31" fillId="7" borderId="1" xfId="0" applyFont="1" applyFill="1" applyBorder="1" applyAlignment="1" applyProtection="1">
      <alignment horizontal="right" vertical="center" wrapText="1"/>
      <protection locked="0"/>
    </xf>
    <xf numFmtId="0" fontId="31" fillId="7" borderId="2" xfId="0" applyFont="1" applyFill="1" applyBorder="1" applyAlignment="1" applyProtection="1">
      <alignment horizontal="right" vertical="center" wrapText="1"/>
      <protection locked="0"/>
    </xf>
    <xf numFmtId="0" fontId="31" fillId="7" borderId="2" xfId="0" applyFont="1" applyFill="1" applyBorder="1" applyAlignment="1" applyProtection="1">
      <alignment horizontal="left" vertical="center" wrapText="1"/>
      <protection locked="0"/>
    </xf>
    <xf numFmtId="0" fontId="31" fillId="8" borderId="1" xfId="0" applyFont="1" applyFill="1" applyBorder="1" applyAlignment="1" applyProtection="1">
      <alignment horizontal="right" vertical="center" wrapText="1"/>
      <protection locked="0"/>
    </xf>
    <xf numFmtId="0" fontId="31" fillId="8" borderId="2" xfId="0" applyFont="1" applyFill="1" applyBorder="1" applyAlignment="1" applyProtection="1">
      <alignment horizontal="right" vertical="center" wrapText="1"/>
      <protection locked="0"/>
    </xf>
    <xf numFmtId="0" fontId="31" fillId="8" borderId="2" xfId="0" applyFont="1" applyFill="1" applyBorder="1" applyAlignment="1" applyProtection="1">
      <alignment horizontal="left" vertical="center" wrapText="1"/>
      <protection locked="0"/>
    </xf>
    <xf numFmtId="0" fontId="27" fillId="7" borderId="15" xfId="0" applyFont="1" applyFill="1" applyBorder="1" applyAlignment="1">
      <alignment horizontal="center" vertical="center" wrapText="1"/>
    </xf>
    <xf numFmtId="0" fontId="96" fillId="15" borderId="0" xfId="0" applyFont="1" applyFill="1" applyAlignment="1">
      <alignment horizontal="center" vertical="center" wrapText="1"/>
    </xf>
    <xf numFmtId="0" fontId="31" fillId="7" borderId="15" xfId="0" applyFont="1" applyFill="1" applyBorder="1" applyAlignment="1" applyProtection="1">
      <alignment horizontal="left" vertical="center" wrapText="1" indent="1"/>
      <protection locked="0"/>
    </xf>
    <xf numFmtId="0" fontId="31" fillId="7" borderId="10" xfId="0" applyFont="1" applyFill="1" applyBorder="1" applyAlignment="1" applyProtection="1">
      <alignment horizontal="left" vertical="center" wrapText="1"/>
      <protection locked="0"/>
    </xf>
    <xf numFmtId="0" fontId="27" fillId="0" borderId="15" xfId="0" applyFont="1" applyBorder="1" applyAlignment="1" applyProtection="1">
      <alignment horizontal="center" vertical="center" wrapText="1"/>
      <protection locked="0"/>
    </xf>
    <xf numFmtId="0" fontId="31" fillId="8" borderId="10" xfId="0" applyFont="1" applyFill="1" applyBorder="1" applyAlignment="1" applyProtection="1">
      <alignment horizontal="left" vertical="center" wrapText="1"/>
      <protection locked="0"/>
    </xf>
    <xf numFmtId="0" fontId="102" fillId="5" borderId="0" xfId="0" applyFont="1" applyFill="1" applyAlignment="1">
      <alignment horizontal="center" vertical="center"/>
    </xf>
    <xf numFmtId="0" fontId="27" fillId="7" borderId="12" xfId="0" applyFont="1" applyFill="1" applyBorder="1" applyAlignment="1" applyProtection="1">
      <alignment horizontal="center" vertical="center" wrapText="1"/>
      <protection locked="0"/>
    </xf>
    <xf numFmtId="0" fontId="27" fillId="7" borderId="13" xfId="0" applyFont="1" applyFill="1" applyBorder="1" applyAlignment="1" applyProtection="1">
      <alignment horizontal="center" vertical="center" wrapText="1"/>
      <protection locked="0"/>
    </xf>
    <xf numFmtId="0" fontId="27" fillId="7" borderId="14" xfId="0" applyFont="1" applyFill="1" applyBorder="1" applyAlignment="1" applyProtection="1">
      <alignment horizontal="center" vertical="center" wrapText="1"/>
      <protection locked="0"/>
    </xf>
    <xf numFmtId="0" fontId="96" fillId="15" borderId="0" xfId="0" applyFont="1" applyFill="1" applyAlignment="1" applyProtection="1">
      <alignment horizontal="center" vertical="center" wrapText="1"/>
      <protection locked="0"/>
    </xf>
    <xf numFmtId="0" fontId="103" fillId="59" borderId="15" xfId="0" applyFont="1" applyFill="1" applyBorder="1" applyAlignment="1">
      <alignment horizontal="center" vertical="center" wrapText="1"/>
    </xf>
    <xf numFmtId="177" fontId="31" fillId="8" borderId="15" xfId="0" applyNumberFormat="1" applyFont="1" applyFill="1" applyBorder="1" applyAlignment="1" applyProtection="1">
      <alignment horizontal="center" vertical="center" wrapText="1"/>
      <protection locked="0"/>
    </xf>
    <xf numFmtId="0" fontId="30" fillId="5" borderId="0" xfId="0" applyFont="1" applyFill="1" applyAlignment="1">
      <alignment horizontal="center" vertical="center" wrapText="1"/>
    </xf>
    <xf numFmtId="0" fontId="96" fillId="58" borderId="0" xfId="0" applyFont="1" applyFill="1" applyAlignment="1">
      <alignment horizontal="center" vertical="center" wrapText="1"/>
    </xf>
    <xf numFmtId="0" fontId="104" fillId="7" borderId="1" xfId="0" applyFont="1" applyFill="1" applyBorder="1" applyAlignment="1">
      <alignment horizontal="center" vertical="center"/>
    </xf>
    <xf numFmtId="0" fontId="104" fillId="8" borderId="1" xfId="0" applyFont="1" applyFill="1" applyBorder="1" applyAlignment="1">
      <alignment horizontal="center" vertical="center"/>
    </xf>
    <xf numFmtId="0" fontId="29" fillId="17" borderId="0" xfId="0" applyFont="1" applyFill="1" applyAlignment="1" applyProtection="1">
      <alignment horizontal="center" vertical="center" wrapText="1"/>
      <protection locked="0"/>
    </xf>
    <xf numFmtId="0" fontId="104" fillId="7" borderId="2" xfId="0" applyFont="1" applyFill="1" applyBorder="1" applyAlignment="1">
      <alignment horizontal="center" vertical="center"/>
    </xf>
    <xf numFmtId="0" fontId="104" fillId="8" borderId="2" xfId="0" applyFont="1" applyFill="1" applyBorder="1" applyAlignment="1">
      <alignment horizontal="center" vertical="center"/>
    </xf>
    <xf numFmtId="0" fontId="31" fillId="8" borderId="1" xfId="0" applyFont="1" applyFill="1" applyBorder="1" applyAlignment="1" applyProtection="1">
      <alignment horizontal="left" vertical="top" wrapText="1"/>
      <protection locked="0"/>
    </xf>
    <xf numFmtId="0" fontId="104" fillId="7" borderId="10" xfId="0" applyFont="1" applyFill="1" applyBorder="1" applyAlignment="1">
      <alignment horizontal="center" vertical="center"/>
    </xf>
    <xf numFmtId="0" fontId="104" fillId="7" borderId="15" xfId="0" applyFont="1" applyFill="1" applyBorder="1" applyAlignment="1" applyProtection="1">
      <alignment horizontal="center" vertical="center" wrapText="1"/>
      <protection locked="0"/>
    </xf>
    <xf numFmtId="0" fontId="104" fillId="8" borderId="10" xfId="0" applyFont="1" applyFill="1" applyBorder="1" applyAlignment="1">
      <alignment horizontal="center" vertical="center"/>
    </xf>
    <xf numFmtId="0" fontId="104" fillId="8" borderId="15" xfId="0" applyFont="1" applyFill="1" applyBorder="1" applyAlignment="1" applyProtection="1">
      <alignment horizontal="center" vertical="center" wrapText="1"/>
      <protection locked="0"/>
    </xf>
    <xf numFmtId="0" fontId="31" fillId="7" borderId="1" xfId="0" applyFont="1" applyFill="1" applyBorder="1" applyAlignment="1">
      <alignment horizontal="center" vertical="center"/>
    </xf>
    <xf numFmtId="0" fontId="31" fillId="7" borderId="2" xfId="0" applyFont="1" applyFill="1" applyBorder="1" applyAlignment="1">
      <alignment horizontal="center" vertical="center"/>
    </xf>
    <xf numFmtId="0" fontId="31" fillId="7" borderId="10" xfId="0" applyFont="1" applyFill="1" applyBorder="1" applyAlignment="1">
      <alignment horizontal="center" vertical="center"/>
    </xf>
    <xf numFmtId="0" fontId="34" fillId="7" borderId="1" xfId="0" applyFont="1" applyFill="1" applyBorder="1" applyAlignment="1" applyProtection="1">
      <alignment horizontal="center" vertical="center" wrapText="1"/>
      <protection locked="0"/>
    </xf>
    <xf numFmtId="0" fontId="34" fillId="7" borderId="10" xfId="0" applyFont="1" applyFill="1" applyBorder="1" applyAlignment="1" applyProtection="1">
      <alignment horizontal="center" vertical="center" wrapText="1"/>
      <protection locked="0"/>
    </xf>
    <xf numFmtId="0" fontId="27" fillId="5" borderId="0" xfId="0" applyFont="1" applyFill="1" applyAlignment="1">
      <alignment horizontal="center" vertical="center"/>
    </xf>
    <xf numFmtId="0" fontId="29" fillId="17" borderId="15" xfId="0" applyFont="1" applyFill="1" applyBorder="1" applyAlignment="1">
      <alignment horizontal="center" vertical="center"/>
    </xf>
    <xf numFmtId="0" fontId="31" fillId="7" borderId="15" xfId="0" applyFont="1" applyFill="1" applyBorder="1" applyAlignment="1">
      <alignment horizontal="left" vertical="top" wrapText="1"/>
    </xf>
    <xf numFmtId="0" fontId="0" fillId="7" borderId="3" xfId="0" applyFill="1" applyBorder="1">
      <alignment vertical="center"/>
    </xf>
    <xf numFmtId="0" fontId="0" fillId="7" borderId="4" xfId="0" applyFill="1" applyBorder="1">
      <alignment vertical="center"/>
    </xf>
    <xf numFmtId="0" fontId="0" fillId="7" borderId="5" xfId="0" applyFill="1" applyBorder="1">
      <alignment vertical="center"/>
    </xf>
    <xf numFmtId="0" fontId="0" fillId="7" borderId="0" xfId="0" applyFill="1">
      <alignment vertical="center"/>
    </xf>
    <xf numFmtId="0" fontId="0" fillId="7" borderId="6" xfId="0" applyFill="1" applyBorder="1">
      <alignment vertical="center"/>
    </xf>
    <xf numFmtId="0" fontId="0" fillId="7" borderId="7" xfId="0" applyFill="1" applyBorder="1">
      <alignment vertical="center"/>
    </xf>
    <xf numFmtId="0" fontId="0" fillId="7" borderId="12" xfId="0" applyFill="1" applyBorder="1">
      <alignment vertical="center"/>
    </xf>
    <xf numFmtId="0" fontId="0" fillId="7" borderId="13" xfId="0" applyFill="1" applyBorder="1">
      <alignment vertical="center"/>
    </xf>
    <xf numFmtId="0" fontId="0" fillId="7" borderId="14" xfId="0" applyFill="1" applyBorder="1">
      <alignment vertical="center"/>
    </xf>
    <xf numFmtId="0" fontId="29" fillId="30" borderId="79" xfId="0" applyFont="1" applyFill="1" applyBorder="1" applyAlignment="1" applyProtection="1">
      <alignment horizontal="center" vertical="center" wrapText="1"/>
      <protection locked="0"/>
    </xf>
    <xf numFmtId="0" fontId="29" fillId="30" borderId="87" xfId="0" applyFont="1" applyFill="1" applyBorder="1" applyAlignment="1" applyProtection="1">
      <alignment horizontal="center" vertical="center" wrapText="1"/>
      <protection locked="0"/>
    </xf>
    <xf numFmtId="0" fontId="29" fillId="30" borderId="54" xfId="0" applyFont="1" applyFill="1" applyBorder="1" applyAlignment="1" applyProtection="1">
      <alignment horizontal="center" vertical="center" wrapText="1"/>
      <protection locked="0"/>
    </xf>
    <xf numFmtId="0" fontId="29" fillId="30" borderId="88" xfId="0" applyFont="1" applyFill="1" applyBorder="1" applyAlignment="1" applyProtection="1">
      <alignment horizontal="center" vertical="center" wrapText="1"/>
      <protection locked="0"/>
    </xf>
    <xf numFmtId="0" fontId="29" fillId="30" borderId="1" xfId="0" applyFont="1" applyFill="1" applyBorder="1" applyAlignment="1" applyProtection="1">
      <alignment horizontal="center" vertical="center"/>
      <protection locked="0"/>
    </xf>
    <xf numFmtId="0" fontId="29" fillId="30" borderId="2" xfId="0" applyFont="1" applyFill="1" applyBorder="1" applyAlignment="1" applyProtection="1">
      <alignment horizontal="center" vertical="center"/>
      <protection locked="0"/>
    </xf>
    <xf numFmtId="0" fontId="27" fillId="7" borderId="1" xfId="0" applyFont="1" applyFill="1" applyBorder="1" applyAlignment="1" applyProtection="1">
      <alignment horizontal="center" vertical="center" wrapText="1"/>
      <protection locked="0"/>
    </xf>
    <xf numFmtId="0" fontId="27" fillId="7" borderId="2" xfId="0" applyFont="1" applyFill="1" applyBorder="1" applyAlignment="1" applyProtection="1">
      <alignment horizontal="center" vertical="center" wrapText="1"/>
      <protection locked="0"/>
    </xf>
    <xf numFmtId="0" fontId="29" fillId="30" borderId="15" xfId="0" applyFont="1" applyFill="1" applyBorder="1" applyAlignment="1" applyProtection="1">
      <alignment horizontal="center" vertical="center" wrapText="1"/>
      <protection locked="0"/>
    </xf>
    <xf numFmtId="0" fontId="105" fillId="5" borderId="0" xfId="0" applyFont="1" applyFill="1" applyAlignment="1">
      <alignment horizontal="center" vertical="center"/>
    </xf>
    <xf numFmtId="0" fontId="29" fillId="30" borderId="52" xfId="0" applyFont="1" applyFill="1" applyBorder="1" applyAlignment="1" applyProtection="1">
      <alignment horizontal="center" vertical="center"/>
      <protection locked="0"/>
    </xf>
    <xf numFmtId="0" fontId="29" fillId="30" borderId="88" xfId="0" applyFont="1" applyFill="1" applyBorder="1" applyAlignment="1" applyProtection="1">
      <alignment horizontal="center" vertical="center"/>
      <protection locked="0"/>
    </xf>
    <xf numFmtId="0" fontId="29" fillId="30" borderId="87" xfId="0" applyFont="1" applyFill="1" applyBorder="1" applyAlignment="1" applyProtection="1">
      <alignment horizontal="center" vertical="center"/>
      <protection locked="0"/>
    </xf>
    <xf numFmtId="0" fontId="29" fillId="30" borderId="53" xfId="0" applyFont="1" applyFill="1" applyBorder="1" applyAlignment="1" applyProtection="1">
      <alignment horizontal="center" vertical="center"/>
      <protection locked="0"/>
    </xf>
    <xf numFmtId="0" fontId="29" fillId="30" borderId="89" xfId="0" applyFont="1" applyFill="1" applyBorder="1" applyAlignment="1" applyProtection="1">
      <alignment horizontal="center" vertical="center" wrapText="1"/>
      <protection locked="0"/>
    </xf>
    <xf numFmtId="0" fontId="29" fillId="30" borderId="10" xfId="0" applyFont="1" applyFill="1" applyBorder="1" applyAlignment="1" applyProtection="1">
      <alignment horizontal="center" vertical="center"/>
      <protection locked="0"/>
    </xf>
    <xf numFmtId="0" fontId="27" fillId="7" borderId="10" xfId="0" applyFont="1" applyFill="1" applyBorder="1" applyAlignment="1" applyProtection="1">
      <alignment horizontal="center" vertical="center" wrapText="1"/>
      <protection locked="0"/>
    </xf>
    <xf numFmtId="0" fontId="29" fillId="30" borderId="79" xfId="0" applyFont="1" applyFill="1" applyBorder="1" applyAlignment="1" applyProtection="1">
      <alignment horizontal="center" vertical="center"/>
      <protection locked="0"/>
    </xf>
    <xf numFmtId="0" fontId="29" fillId="30" borderId="54" xfId="0" applyFont="1" applyFill="1" applyBorder="1" applyAlignment="1" applyProtection="1">
      <alignment horizontal="center" vertical="center"/>
      <protection locked="0"/>
    </xf>
    <xf numFmtId="0" fontId="106" fillId="30" borderId="3" xfId="0" applyFont="1" applyFill="1" applyBorder="1" applyAlignment="1" applyProtection="1">
      <alignment horizontal="center" vertical="center" wrapText="1"/>
      <protection locked="0"/>
    </xf>
    <xf numFmtId="0" fontId="106" fillId="30" borderId="4" xfId="0" applyFont="1" applyFill="1" applyBorder="1" applyAlignment="1" applyProtection="1">
      <alignment horizontal="center" vertical="center" wrapText="1"/>
      <protection locked="0"/>
    </xf>
    <xf numFmtId="0" fontId="106" fillId="30" borderId="5" xfId="0" applyFont="1" applyFill="1" applyBorder="1" applyAlignment="1" applyProtection="1">
      <alignment horizontal="center" vertical="center" wrapText="1"/>
      <protection locked="0"/>
    </xf>
    <xf numFmtId="0" fontId="106" fillId="30" borderId="0" xfId="0" applyFont="1" applyFill="1" applyAlignment="1" applyProtection="1">
      <alignment horizontal="center" vertical="center" wrapText="1"/>
      <protection locked="0"/>
    </xf>
    <xf numFmtId="0" fontId="106" fillId="30" borderId="6" xfId="0" applyFont="1" applyFill="1" applyBorder="1" applyAlignment="1" applyProtection="1">
      <alignment horizontal="center" vertical="center" wrapText="1"/>
      <protection locked="0"/>
    </xf>
    <xf numFmtId="0" fontId="106" fillId="30" borderId="7" xfId="0" applyFont="1" applyFill="1" applyBorder="1" applyAlignment="1" applyProtection="1">
      <alignment horizontal="center" vertical="center" wrapText="1"/>
      <protection locked="0"/>
    </xf>
    <xf numFmtId="0" fontId="43" fillId="7" borderId="89" xfId="0" applyFont="1" applyFill="1" applyBorder="1" applyAlignment="1" applyProtection="1">
      <alignment horizontal="center" vertical="center" wrapText="1"/>
      <protection locked="0"/>
    </xf>
    <xf numFmtId="0" fontId="43" fillId="7" borderId="15" xfId="0" applyFont="1" applyFill="1" applyBorder="1" applyAlignment="1" applyProtection="1">
      <alignment horizontal="center" vertical="top" wrapText="1"/>
      <protection locked="0"/>
    </xf>
    <xf numFmtId="0" fontId="43" fillId="8" borderId="15" xfId="0" applyFont="1" applyFill="1" applyBorder="1" applyAlignment="1" applyProtection="1">
      <alignment horizontal="left" vertical="center" wrapText="1"/>
      <protection locked="0"/>
    </xf>
    <xf numFmtId="0" fontId="27" fillId="7" borderId="15" xfId="0" applyFont="1" applyFill="1" applyBorder="1" applyAlignment="1" applyProtection="1">
      <alignment horizontal="left" vertical="center" wrapText="1"/>
      <protection locked="0"/>
    </xf>
    <xf numFmtId="0" fontId="27" fillId="8" borderId="15" xfId="0" applyFont="1" applyFill="1" applyBorder="1" applyAlignment="1" applyProtection="1">
      <alignment horizontal="left" vertical="center" wrapText="1"/>
      <protection locked="0"/>
    </xf>
    <xf numFmtId="0" fontId="27" fillId="7" borderId="3" xfId="0" applyFont="1" applyFill="1" applyBorder="1" applyAlignment="1" applyProtection="1">
      <alignment horizontal="left" vertical="top" wrapText="1"/>
      <protection locked="0"/>
    </xf>
    <xf numFmtId="0" fontId="27" fillId="7" borderId="4" xfId="0" applyFont="1" applyFill="1" applyBorder="1" applyAlignment="1" applyProtection="1">
      <alignment horizontal="left" vertical="top" wrapText="1"/>
      <protection locked="0"/>
    </xf>
    <xf numFmtId="0" fontId="27" fillId="7" borderId="5" xfId="0" applyFont="1" applyFill="1" applyBorder="1" applyAlignment="1" applyProtection="1">
      <alignment horizontal="left" vertical="top" wrapText="1"/>
      <protection locked="0"/>
    </xf>
    <xf numFmtId="0" fontId="27" fillId="7" borderId="0" xfId="0" applyFont="1" applyFill="1" applyAlignment="1" applyProtection="1">
      <alignment horizontal="left" vertical="top" wrapText="1"/>
      <protection locked="0"/>
    </xf>
    <xf numFmtId="0" fontId="27" fillId="7" borderId="6" xfId="0" applyFont="1" applyFill="1" applyBorder="1" applyAlignment="1" applyProtection="1">
      <alignment horizontal="left" vertical="top" wrapText="1"/>
      <protection locked="0"/>
    </xf>
    <xf numFmtId="0" fontId="27" fillId="7" borderId="7" xfId="0" applyFont="1" applyFill="1" applyBorder="1" applyAlignment="1" applyProtection="1">
      <alignment horizontal="left" vertical="top" wrapText="1"/>
      <protection locked="0"/>
    </xf>
    <xf numFmtId="0" fontId="29" fillId="30" borderId="89" xfId="0" applyFont="1" applyFill="1" applyBorder="1" applyAlignment="1" applyProtection="1">
      <alignment horizontal="center" vertical="center"/>
      <protection locked="0"/>
    </xf>
    <xf numFmtId="0" fontId="29" fillId="30" borderId="3" xfId="0" applyFont="1" applyFill="1" applyBorder="1" applyAlignment="1" applyProtection="1">
      <alignment horizontal="center" vertical="center"/>
      <protection locked="0"/>
    </xf>
    <xf numFmtId="0" fontId="29" fillId="30" borderId="4" xfId="0" applyFont="1" applyFill="1" applyBorder="1" applyAlignment="1" applyProtection="1">
      <alignment horizontal="center" vertical="center"/>
      <protection locked="0"/>
    </xf>
    <xf numFmtId="0" fontId="43" fillId="7" borderId="3" xfId="0" applyFont="1" applyFill="1" applyBorder="1" applyAlignment="1" applyProtection="1">
      <alignment horizontal="left" vertical="top" wrapText="1"/>
      <protection locked="0"/>
    </xf>
    <xf numFmtId="0" fontId="43" fillId="7" borderId="4" xfId="0" applyFont="1" applyFill="1" applyBorder="1" applyAlignment="1" applyProtection="1">
      <alignment horizontal="left" vertical="top" wrapText="1"/>
      <protection locked="0"/>
    </xf>
    <xf numFmtId="0" fontId="43" fillId="7" borderId="5" xfId="0" applyFont="1" applyFill="1" applyBorder="1" applyAlignment="1" applyProtection="1">
      <alignment horizontal="left" vertical="top" wrapText="1"/>
      <protection locked="0"/>
    </xf>
    <xf numFmtId="0" fontId="43" fillId="7" borderId="0" xfId="0" applyFont="1" applyFill="1" applyAlignment="1" applyProtection="1">
      <alignment horizontal="left" vertical="top" wrapText="1"/>
      <protection locked="0"/>
    </xf>
    <xf numFmtId="0" fontId="43" fillId="7" borderId="6" xfId="0" applyFont="1" applyFill="1" applyBorder="1" applyAlignment="1" applyProtection="1">
      <alignment horizontal="left" vertical="top" wrapText="1"/>
      <protection locked="0"/>
    </xf>
    <xf numFmtId="0" fontId="43" fillId="7" borderId="7" xfId="0" applyFont="1" applyFill="1" applyBorder="1" applyAlignment="1" applyProtection="1">
      <alignment horizontal="left" vertical="top" wrapText="1"/>
      <protection locked="0"/>
    </xf>
    <xf numFmtId="0" fontId="27" fillId="7" borderId="12" xfId="0" applyFont="1" applyFill="1" applyBorder="1" applyAlignment="1" applyProtection="1">
      <alignment horizontal="left" vertical="top" wrapText="1"/>
      <protection locked="0"/>
    </xf>
    <xf numFmtId="0" fontId="27" fillId="7" borderId="13" xfId="0" applyFont="1" applyFill="1" applyBorder="1" applyAlignment="1" applyProtection="1">
      <alignment horizontal="left" vertical="top" wrapText="1"/>
      <protection locked="0"/>
    </xf>
    <xf numFmtId="0" fontId="27" fillId="7" borderId="14" xfId="0" applyFont="1" applyFill="1" applyBorder="1" applyAlignment="1" applyProtection="1">
      <alignment horizontal="left" vertical="top" wrapText="1"/>
      <protection locked="0"/>
    </xf>
    <xf numFmtId="0" fontId="29" fillId="30" borderId="12" xfId="0" applyFont="1" applyFill="1" applyBorder="1" applyAlignment="1" applyProtection="1">
      <alignment horizontal="center" vertical="center"/>
      <protection locked="0"/>
    </xf>
    <xf numFmtId="0" fontId="43" fillId="7" borderId="12" xfId="0" applyFont="1" applyFill="1" applyBorder="1" applyAlignment="1" applyProtection="1">
      <alignment horizontal="left" vertical="top" wrapText="1"/>
      <protection locked="0"/>
    </xf>
    <xf numFmtId="0" fontId="43" fillId="7" borderId="13" xfId="0" applyFont="1" applyFill="1" applyBorder="1" applyAlignment="1" applyProtection="1">
      <alignment horizontal="left" vertical="top" wrapText="1"/>
      <protection locked="0"/>
    </xf>
    <xf numFmtId="0" fontId="43" fillId="7" borderId="14" xfId="0" applyFont="1" applyFill="1" applyBorder="1" applyAlignment="1" applyProtection="1">
      <alignment horizontal="left" vertical="top" wrapText="1"/>
      <protection locked="0"/>
    </xf>
    <xf numFmtId="0" fontId="101" fillId="5" borderId="0" xfId="0" applyFont="1" applyFill="1" applyAlignment="1" quotePrefix="1">
      <alignment horizontal="center" vertical="center"/>
    </xf>
    <xf numFmtId="0" fontId="17" fillId="40" borderId="0" xfId="0" applyFont="1" applyFill="1" applyAlignment="1" quotePrefix="1">
      <alignment horizontal="center" vertical="top"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1">
    <dxf>
      <font>
        <b val="1"/>
        <i val="0"/>
        <color rgb="FF00B0F0"/>
      </font>
    </dxf>
    <dxf>
      <font>
        <b val="1"/>
        <i val="0"/>
        <color rgb="FF7030A0"/>
      </font>
    </dxf>
    <dxf>
      <fill>
        <gradientFill>
          <stop position="0">
            <color theme="0"/>
          </stop>
          <stop position="1">
            <color rgb="FFDFECF7"/>
          </stop>
        </gradientFill>
      </fill>
    </dxf>
    <dxf>
      <font>
        <color theme="0" tint="-0.249946592608417"/>
      </font>
      <fill>
        <patternFill patternType="solid">
          <bgColor theme="0" tint="-0.249946592608417"/>
        </patternFill>
      </fill>
    </dxf>
    <dxf>
      <fill>
        <gradientFill degree="180">
          <stop position="0">
            <color theme="0"/>
          </stop>
          <stop position="1">
            <color theme="9" tint="0.400006103701895"/>
          </stop>
        </gradientFill>
      </fill>
    </dxf>
    <dxf>
      <font>
        <b val="1"/>
        <i val="0"/>
        <color theme="8" tint="-0.499984740745262"/>
      </font>
    </dxf>
    <dxf>
      <font>
        <b val="1"/>
        <i val="0"/>
        <color theme="4"/>
      </font>
      <fill>
        <patternFill patternType="none"/>
      </fill>
    </dxf>
    <dxf>
      <fill>
        <patternFill patternType="solid">
          <bgColor rgb="FFFF9900"/>
        </patternFill>
      </fill>
    </dxf>
    <dxf>
      <font>
        <color rgb="FF00FF00"/>
      </font>
      <fill>
        <patternFill patternType="solid">
          <bgColor rgb="FF00FF00"/>
        </patternFill>
      </fill>
    </dxf>
    <dxf>
      <font>
        <color theme="9" tint="0.399945066682943"/>
      </font>
      <fill>
        <patternFill patternType="solid">
          <bgColor theme="9" tint="0.399945066682943"/>
        </patternFill>
      </fill>
    </dxf>
    <dxf>
      <font>
        <color theme="8" tint="0.399945066682943"/>
      </font>
      <numFmt numFmtId="0" formatCode="General"/>
      <fill>
        <patternFill patternType="solid">
          <fgColor theme="4" tint="-0.249946592608417"/>
          <bgColor theme="8" tint="0.399945066682943"/>
        </patternFill>
      </fill>
    </dxf>
  </dxfs>
  <tableStyles count="0" defaultTableStyle="TableStyleMedium2" defaultPivotStyle="PivotStyleLight16"/>
  <colors>
    <mruColors>
      <color rgb="000B379C"/>
      <color rgb="00FFCFAF"/>
      <color rgb="00DDD9C4"/>
      <color rgb="00F5D7F1"/>
      <color rgb="00FEDEAB"/>
      <color rgb="00FDE9D9"/>
      <color rgb="00ABD7FF"/>
      <color rgb="00DCE6F1"/>
      <color rgb="00FAFEC2"/>
      <color rgb="00FAB4F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eetMetadata" Target="metadata.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customXml" Target="../customXml/item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102</xdr:col>
      <xdr:colOff>44823</xdr:colOff>
      <xdr:row>69</xdr:row>
      <xdr:rowOff>8965</xdr:rowOff>
    </xdr:from>
    <xdr:to>
      <xdr:col>123</xdr:col>
      <xdr:colOff>152398</xdr:colOff>
      <xdr:row>85</xdr:row>
      <xdr:rowOff>206187</xdr:rowOff>
    </xdr:to>
    <xdr:pic>
      <xdr:nvPicPr>
        <xdr:cNvPr id="3" name="图片 2"/>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6713200" y="14599285"/>
          <a:ext cx="3534410" cy="358013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8</xdr:row>
      <xdr:rowOff>0</xdr:rowOff>
    </xdr:from>
    <xdr:to>
      <xdr:col>4</xdr:col>
      <xdr:colOff>256884</xdr:colOff>
      <xdr:row>12</xdr:row>
      <xdr:rowOff>259080</xdr:rowOff>
    </xdr:to>
    <xdr:sp>
      <xdr:nvSpPr>
        <xdr:cNvPr id="2" name="ellipse"/>
        <xdr:cNvSpPr/>
      </xdr:nvSpPr>
      <xdr:spPr>
        <a:xfrm>
          <a:off x="0" y="2133600"/>
          <a:ext cx="1343660" cy="132588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11</xdr:col>
      <xdr:colOff>0</xdr:colOff>
      <xdr:row>10</xdr:row>
      <xdr:rowOff>0</xdr:rowOff>
    </xdr:from>
    <xdr:to>
      <xdr:col>24</xdr:col>
      <xdr:colOff>0</xdr:colOff>
      <xdr:row>23</xdr:row>
      <xdr:rowOff>0</xdr:rowOff>
    </xdr:to>
    <xdr:sp>
      <xdr:nvSpPr>
        <xdr:cNvPr id="3" name="ellipse"/>
        <xdr:cNvSpPr/>
      </xdr:nvSpPr>
      <xdr:spPr>
        <a:xfrm>
          <a:off x="2989580" y="2667000"/>
          <a:ext cx="3533140" cy="34671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35</xdr:col>
      <xdr:colOff>0</xdr:colOff>
      <xdr:row>8</xdr:row>
      <xdr:rowOff>15240</xdr:rowOff>
    </xdr:from>
    <xdr:to>
      <xdr:col>43</xdr:col>
      <xdr:colOff>0</xdr:colOff>
      <xdr:row>16</xdr:row>
      <xdr:rowOff>0</xdr:rowOff>
    </xdr:to>
    <xdr:sp>
      <xdr:nvSpPr>
        <xdr:cNvPr id="4" name="ellipse"/>
        <xdr:cNvSpPr/>
      </xdr:nvSpPr>
      <xdr:spPr>
        <a:xfrm>
          <a:off x="9512300" y="2148840"/>
          <a:ext cx="2174240" cy="211836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0</xdr:col>
      <xdr:colOff>0</xdr:colOff>
      <xdr:row>1</xdr:row>
      <xdr:rowOff>0</xdr:rowOff>
    </xdr:from>
    <xdr:to>
      <xdr:col>5</xdr:col>
      <xdr:colOff>0</xdr:colOff>
      <xdr:row>6</xdr:row>
      <xdr:rowOff>0</xdr:rowOff>
    </xdr:to>
    <xdr:sp>
      <xdr:nvSpPr>
        <xdr:cNvPr id="5" name="ellipse"/>
        <xdr:cNvSpPr/>
      </xdr:nvSpPr>
      <xdr:spPr>
        <a:xfrm>
          <a:off x="0" y="266700"/>
          <a:ext cx="135890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26</xdr:col>
      <xdr:colOff>0</xdr:colOff>
      <xdr:row>11</xdr:row>
      <xdr:rowOff>7620</xdr:rowOff>
    </xdr:from>
    <xdr:to>
      <xdr:col>32</xdr:col>
      <xdr:colOff>0</xdr:colOff>
      <xdr:row>17</xdr:row>
      <xdr:rowOff>7620</xdr:rowOff>
    </xdr:to>
    <xdr:sp>
      <xdr:nvSpPr>
        <xdr:cNvPr id="6" name="ellipse"/>
        <xdr:cNvSpPr/>
      </xdr:nvSpPr>
      <xdr:spPr>
        <a:xfrm>
          <a:off x="7066280" y="2941320"/>
          <a:ext cx="1630680" cy="16002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26</xdr:col>
      <xdr:colOff>0</xdr:colOff>
      <xdr:row>1</xdr:row>
      <xdr:rowOff>0</xdr:rowOff>
    </xdr:from>
    <xdr:to>
      <xdr:col>28</xdr:col>
      <xdr:colOff>0</xdr:colOff>
      <xdr:row>3</xdr:row>
      <xdr:rowOff>0</xdr:rowOff>
    </xdr:to>
    <xdr:sp>
      <xdr:nvSpPr>
        <xdr:cNvPr id="7" name="ellipse"/>
        <xdr:cNvSpPr/>
      </xdr:nvSpPr>
      <xdr:spPr>
        <a:xfrm>
          <a:off x="7066280" y="266700"/>
          <a:ext cx="543560" cy="5334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25</xdr:col>
      <xdr:colOff>267387</xdr:colOff>
      <xdr:row>5</xdr:row>
      <xdr:rowOff>0</xdr:rowOff>
    </xdr:from>
    <xdr:to>
      <xdr:col>30</xdr:col>
      <xdr:colOff>0</xdr:colOff>
      <xdr:row>9</xdr:row>
      <xdr:rowOff>0</xdr:rowOff>
    </xdr:to>
    <xdr:sp>
      <xdr:nvSpPr>
        <xdr:cNvPr id="8" name="ellipse"/>
        <xdr:cNvSpPr/>
      </xdr:nvSpPr>
      <xdr:spPr>
        <a:xfrm>
          <a:off x="7061835" y="1333500"/>
          <a:ext cx="1091565" cy="10668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11</xdr:col>
      <xdr:colOff>0</xdr:colOff>
      <xdr:row>1</xdr:row>
      <xdr:rowOff>0</xdr:rowOff>
    </xdr:from>
    <xdr:to>
      <xdr:col>18</xdr:col>
      <xdr:colOff>0</xdr:colOff>
      <xdr:row>8</xdr:row>
      <xdr:rowOff>0</xdr:rowOff>
    </xdr:to>
    <xdr:sp>
      <xdr:nvSpPr>
        <xdr:cNvPr id="9" name="ellipse"/>
        <xdr:cNvSpPr/>
      </xdr:nvSpPr>
      <xdr:spPr>
        <a:xfrm>
          <a:off x="2989580" y="266700"/>
          <a:ext cx="1902460" cy="18669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1</xdr:col>
      <xdr:colOff>0</xdr:colOff>
      <xdr:row>8</xdr:row>
      <xdr:rowOff>0</xdr:rowOff>
    </xdr:from>
    <xdr:to>
      <xdr:col>5</xdr:col>
      <xdr:colOff>256884</xdr:colOff>
      <xdr:row>13</xdr:row>
      <xdr:rowOff>0</xdr:rowOff>
    </xdr:to>
    <xdr:sp>
      <xdr:nvSpPr>
        <xdr:cNvPr id="10" name="ellipse"/>
        <xdr:cNvSpPr/>
      </xdr:nvSpPr>
      <xdr:spPr>
        <a:xfrm>
          <a:off x="271780" y="2133600"/>
          <a:ext cx="134366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0</xdr:col>
      <xdr:colOff>0</xdr:colOff>
      <xdr:row>9</xdr:row>
      <xdr:rowOff>0</xdr:rowOff>
    </xdr:from>
    <xdr:to>
      <xdr:col>4</xdr:col>
      <xdr:colOff>256884</xdr:colOff>
      <xdr:row>13</xdr:row>
      <xdr:rowOff>251460</xdr:rowOff>
    </xdr:to>
    <xdr:sp>
      <xdr:nvSpPr>
        <xdr:cNvPr id="11" name="ellipse"/>
        <xdr:cNvSpPr/>
      </xdr:nvSpPr>
      <xdr:spPr>
        <a:xfrm>
          <a:off x="0" y="2400300"/>
          <a:ext cx="1343660" cy="131826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1</xdr:col>
      <xdr:colOff>0</xdr:colOff>
      <xdr:row>9</xdr:row>
      <xdr:rowOff>0</xdr:rowOff>
    </xdr:from>
    <xdr:to>
      <xdr:col>5</xdr:col>
      <xdr:colOff>256884</xdr:colOff>
      <xdr:row>13</xdr:row>
      <xdr:rowOff>259080</xdr:rowOff>
    </xdr:to>
    <xdr:sp>
      <xdr:nvSpPr>
        <xdr:cNvPr id="12" name="ellipse"/>
        <xdr:cNvSpPr/>
      </xdr:nvSpPr>
      <xdr:spPr>
        <a:xfrm>
          <a:off x="271780" y="2400300"/>
          <a:ext cx="1343660" cy="132588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0</xdr:col>
      <xdr:colOff>0</xdr:colOff>
      <xdr:row>16</xdr:row>
      <xdr:rowOff>0</xdr:rowOff>
    </xdr:from>
    <xdr:to>
      <xdr:col>4</xdr:col>
      <xdr:colOff>256884</xdr:colOff>
      <xdr:row>21</xdr:row>
      <xdr:rowOff>0</xdr:rowOff>
    </xdr:to>
    <xdr:sp>
      <xdr:nvSpPr>
        <xdr:cNvPr id="13" name="ellipse"/>
        <xdr:cNvSpPr/>
      </xdr:nvSpPr>
      <xdr:spPr>
        <a:xfrm>
          <a:off x="0" y="4267200"/>
          <a:ext cx="134366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2</xdr:col>
      <xdr:colOff>0</xdr:colOff>
      <xdr:row>16</xdr:row>
      <xdr:rowOff>0</xdr:rowOff>
    </xdr:from>
    <xdr:to>
      <xdr:col>7</xdr:col>
      <xdr:colOff>0</xdr:colOff>
      <xdr:row>21</xdr:row>
      <xdr:rowOff>0</xdr:rowOff>
    </xdr:to>
    <xdr:sp>
      <xdr:nvSpPr>
        <xdr:cNvPr id="14" name="ellipse"/>
        <xdr:cNvSpPr/>
      </xdr:nvSpPr>
      <xdr:spPr>
        <a:xfrm>
          <a:off x="543560" y="4267200"/>
          <a:ext cx="135890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2</xdr:col>
      <xdr:colOff>0</xdr:colOff>
      <xdr:row>18</xdr:row>
      <xdr:rowOff>0</xdr:rowOff>
    </xdr:from>
    <xdr:to>
      <xdr:col>7</xdr:col>
      <xdr:colOff>0</xdr:colOff>
      <xdr:row>23</xdr:row>
      <xdr:rowOff>0</xdr:rowOff>
    </xdr:to>
    <xdr:sp>
      <xdr:nvSpPr>
        <xdr:cNvPr id="15" name="ellipse"/>
        <xdr:cNvSpPr/>
      </xdr:nvSpPr>
      <xdr:spPr>
        <a:xfrm>
          <a:off x="543560" y="4800600"/>
          <a:ext cx="135890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0</xdr:col>
      <xdr:colOff>0</xdr:colOff>
      <xdr:row>18</xdr:row>
      <xdr:rowOff>1</xdr:rowOff>
    </xdr:from>
    <xdr:to>
      <xdr:col>5</xdr:col>
      <xdr:colOff>0</xdr:colOff>
      <xdr:row>23</xdr:row>
      <xdr:rowOff>7</xdr:rowOff>
    </xdr:to>
    <xdr:sp>
      <xdr:nvSpPr>
        <xdr:cNvPr id="16" name="ellipse"/>
        <xdr:cNvSpPr/>
      </xdr:nvSpPr>
      <xdr:spPr>
        <a:xfrm>
          <a:off x="0" y="4800600"/>
          <a:ext cx="135890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601980</xdr:colOff>
      <xdr:row>13</xdr:row>
      <xdr:rowOff>167640</xdr:rowOff>
    </xdr:from>
    <xdr:to>
      <xdr:col>12</xdr:col>
      <xdr:colOff>22860</xdr:colOff>
      <xdr:row>28</xdr:row>
      <xdr:rowOff>15240</xdr:rowOff>
    </xdr:to>
    <xdr:sp>
      <xdr:nvSpPr>
        <xdr:cNvPr id="2" name="文本框 1"/>
        <xdr:cNvSpPr txBox="1"/>
      </xdr:nvSpPr>
      <xdr:spPr>
        <a:xfrm>
          <a:off x="601980" y="2504440"/>
          <a:ext cx="6873240" cy="2514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zh-CN" altLang="en-US" sz="1100"/>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8966</xdr:colOff>
      <xdr:row>20</xdr:row>
      <xdr:rowOff>8964</xdr:rowOff>
    </xdr:from>
    <xdr:to>
      <xdr:col>3</xdr:col>
      <xdr:colOff>197223</xdr:colOff>
      <xdr:row>24</xdr:row>
      <xdr:rowOff>2375</xdr:rowOff>
    </xdr:to>
    <xdr:pic>
      <xdr:nvPicPr>
        <xdr:cNvPr id="7" name="图片 6"/>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273050" y="3628390"/>
          <a:ext cx="716280" cy="7016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wrap="square" rtlCol="0" anchor="t"/>
      <a:lstStyle>
        <a:defPPr algn="l">
          <a:defRPr lang="zh-CN" altLang="en-US" sz="1100"/>
        </a:defPPr>
      </a:lstStyle>
      <a:style>
        <a:lnRef idx="2">
          <a:schemeClr val="accent1"/>
        </a:lnRef>
        <a:fillRef idx="1">
          <a:schemeClr val="lt1"/>
        </a:fillRef>
        <a:effectRef idx="0">
          <a:schemeClr val="accent1"/>
        </a:effectRef>
        <a:fontRef idx="minor">
          <a:schemeClr val="dk1"/>
        </a:fontRef>
      </a:style>
    </a:spDef>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BP36"/>
  <sheetViews>
    <sheetView workbookViewId="0">
      <selection activeCell="E6" sqref="E6:M6"/>
    </sheetView>
  </sheetViews>
  <sheetFormatPr defaultColWidth="2.78181818181818" defaultRowHeight="14.5"/>
  <cols>
    <col min="1" max="16384" width="2.78181818181818" style="1011"/>
  </cols>
  <sheetData>
    <row r="1" ht="16.95" customHeight="1" spans="1:68">
      <c r="A1" s="970" t="s">
        <v>0</v>
      </c>
      <c r="B1" s="970"/>
      <c r="C1" s="970"/>
      <c r="D1" s="970"/>
      <c r="E1" s="970"/>
      <c r="F1" s="970"/>
      <c r="G1" s="970"/>
      <c r="H1" s="970"/>
      <c r="I1" s="970"/>
      <c r="J1" s="970"/>
      <c r="K1" s="970"/>
      <c r="L1" s="970"/>
      <c r="M1" s="970"/>
      <c r="N1" s="970"/>
      <c r="O1" s="970"/>
      <c r="P1" s="970"/>
      <c r="Q1" s="970"/>
      <c r="R1" s="970"/>
      <c r="S1" s="970"/>
      <c r="T1" s="970"/>
      <c r="U1" s="970"/>
      <c r="V1" s="970"/>
      <c r="W1" s="970"/>
      <c r="X1" s="970"/>
      <c r="Y1" s="970"/>
      <c r="Z1" s="970"/>
      <c r="AA1" s="970"/>
      <c r="AB1" s="970"/>
      <c r="AC1" s="970"/>
      <c r="AD1" s="970"/>
      <c r="AE1" s="970"/>
      <c r="AF1" s="970"/>
      <c r="AG1" s="970"/>
      <c r="AH1" s="970"/>
      <c r="AI1" s="970"/>
      <c r="AJ1" s="970"/>
      <c r="AK1" s="970"/>
      <c r="AL1" s="970"/>
      <c r="AM1" s="970"/>
      <c r="AN1" s="970"/>
      <c r="AO1" s="970"/>
      <c r="AP1" s="970"/>
      <c r="AQ1" s="970"/>
      <c r="AR1" s="970"/>
      <c r="AS1" s="970"/>
      <c r="AT1" s="970"/>
      <c r="AU1" s="970"/>
      <c r="AV1" s="970"/>
      <c r="AW1" s="970"/>
      <c r="AX1" s="970"/>
      <c r="AY1" s="970"/>
      <c r="AZ1" s="970"/>
      <c r="BA1" s="970"/>
      <c r="BB1" s="970"/>
      <c r="BC1" s="970"/>
      <c r="BD1" s="970"/>
      <c r="BE1" s="970"/>
      <c r="BF1" s="970"/>
      <c r="BG1" s="970"/>
      <c r="BH1" s="970"/>
      <c r="BI1" s="970"/>
      <c r="BJ1" s="970"/>
      <c r="BK1" s="970"/>
      <c r="BL1" s="970"/>
      <c r="BM1" s="970"/>
      <c r="BN1" s="970"/>
      <c r="BO1" s="970"/>
      <c r="BP1" s="970"/>
    </row>
    <row r="2" ht="7.95" customHeight="1"/>
    <row r="3" ht="16.95" customHeight="1" spans="2:67">
      <c r="B3" s="1023" t="s">
        <v>1</v>
      </c>
      <c r="C3" s="1023"/>
      <c r="D3" s="1023"/>
      <c r="E3" s="320"/>
      <c r="F3" s="320"/>
      <c r="G3" s="320"/>
      <c r="H3" s="320"/>
      <c r="I3" s="320"/>
      <c r="J3" s="320"/>
      <c r="K3" s="320"/>
      <c r="L3" s="320"/>
      <c r="M3" s="320"/>
      <c r="O3" s="1033" t="s">
        <v>2</v>
      </c>
      <c r="P3" s="1033"/>
      <c r="Q3" s="1033"/>
      <c r="R3" s="1033"/>
      <c r="S3" s="1033"/>
      <c r="T3" s="1033"/>
      <c r="U3" s="1033"/>
      <c r="V3" s="1033"/>
      <c r="W3" s="1033"/>
      <c r="X3" s="1033"/>
      <c r="Y3" s="1033"/>
      <c r="Z3" s="1033"/>
      <c r="AA3" s="1033"/>
      <c r="AB3" s="1033"/>
      <c r="AC3" s="1033"/>
      <c r="AD3" s="1033"/>
      <c r="AE3" s="1033"/>
      <c r="AF3" s="1033"/>
      <c r="AG3" s="1033"/>
      <c r="AH3" s="1033"/>
      <c r="AI3" s="1033"/>
      <c r="AJ3" s="1033"/>
      <c r="AK3" s="1033"/>
      <c r="AL3" s="1033"/>
      <c r="AM3" s="1033"/>
      <c r="AN3" s="1033"/>
      <c r="AP3" s="1060" t="s">
        <v>3</v>
      </c>
      <c r="AQ3" s="1061"/>
      <c r="AR3" s="1061"/>
      <c r="AS3" s="1061"/>
      <c r="AT3" s="1061"/>
      <c r="AU3" s="1061"/>
      <c r="AV3" s="1061"/>
      <c r="AW3" s="1061"/>
      <c r="AX3" s="1061"/>
      <c r="AY3" s="1061"/>
      <c r="AZ3" s="1061"/>
      <c r="BA3" s="1061"/>
      <c r="BB3" s="1061"/>
      <c r="BC3" s="1061"/>
      <c r="BD3" s="1061"/>
      <c r="BE3" s="1061"/>
      <c r="BF3" s="1061"/>
      <c r="BG3" s="1061"/>
      <c r="BH3" s="1061"/>
      <c r="BI3" s="1061"/>
      <c r="BJ3" s="1061"/>
      <c r="BK3" s="1061"/>
      <c r="BL3" s="1061"/>
      <c r="BM3" s="1061"/>
      <c r="BN3" s="1061"/>
      <c r="BO3" s="1071"/>
    </row>
    <row r="4" ht="16.95" customHeight="1" spans="2:67">
      <c r="B4" s="1024" t="s">
        <v>4</v>
      </c>
      <c r="C4" s="1024"/>
      <c r="D4" s="1024"/>
      <c r="E4" s="321"/>
      <c r="F4" s="321"/>
      <c r="G4" s="321"/>
      <c r="H4" s="321"/>
      <c r="I4" s="321"/>
      <c r="J4" s="321"/>
      <c r="K4" s="321"/>
      <c r="L4" s="321"/>
      <c r="M4" s="321"/>
      <c r="O4" s="1034" t="s">
        <v>5</v>
      </c>
      <c r="P4" s="1034"/>
      <c r="Q4" s="1034"/>
      <c r="R4" s="1034"/>
      <c r="S4" s="1048" t="str">
        <f>背景!J2</f>
        <v>见注释，或自选至多三项</v>
      </c>
      <c r="T4" s="1048"/>
      <c r="U4" s="1048"/>
      <c r="V4" s="1048"/>
      <c r="W4" s="1048"/>
      <c r="X4" s="1048"/>
      <c r="Y4" s="1048"/>
      <c r="Z4" s="1048"/>
      <c r="AA4" s="1048"/>
      <c r="AB4" s="1059" t="s">
        <v>6</v>
      </c>
      <c r="AC4" s="1059"/>
      <c r="AD4" s="1059"/>
      <c r="AE4" s="1059"/>
      <c r="AF4" s="1048" t="str">
        <f>背景!K2</f>
        <v>自选一项起源专长</v>
      </c>
      <c r="AG4" s="1048"/>
      <c r="AH4" s="1048"/>
      <c r="AI4" s="1048"/>
      <c r="AJ4" s="1048"/>
      <c r="AK4" s="1048"/>
      <c r="AL4" s="1048"/>
      <c r="AM4" s="1048"/>
      <c r="AN4" s="1048"/>
      <c r="AP4" s="1062" t="str">
        <f>背景!O2</f>
        <v>角色的背景代表了这个角色在成为冒险者之前的经历。通过创建一个独特的背景或对玩家手册中现有的背景进行修改，你可以反映战役的特定主题或是你世界中的独特元素。你也可以通过创建新的背景来帮助玩家为他们的角色制作心目中的起源故事。</v>
      </c>
      <c r="AQ4" s="1063"/>
      <c r="AR4" s="1063"/>
      <c r="AS4" s="1063"/>
      <c r="AT4" s="1063"/>
      <c r="AU4" s="1063"/>
      <c r="AV4" s="1063"/>
      <c r="AW4" s="1063"/>
      <c r="AX4" s="1063"/>
      <c r="AY4" s="1063"/>
      <c r="AZ4" s="1063"/>
      <c r="BA4" s="1063"/>
      <c r="BB4" s="1063"/>
      <c r="BC4" s="1063"/>
      <c r="BD4" s="1063"/>
      <c r="BE4" s="1063"/>
      <c r="BF4" s="1063"/>
      <c r="BG4" s="1063"/>
      <c r="BH4" s="1063"/>
      <c r="BI4" s="1063"/>
      <c r="BJ4" s="1063"/>
      <c r="BK4" s="1063"/>
      <c r="BL4" s="1063"/>
      <c r="BM4" s="1063"/>
      <c r="BN4" s="1063"/>
      <c r="BO4" s="1072"/>
    </row>
    <row r="5" ht="16.95" customHeight="1" spans="2:67">
      <c r="B5" s="1024" t="s">
        <v>7</v>
      </c>
      <c r="C5" s="1024"/>
      <c r="D5" s="1024"/>
      <c r="E5" s="320"/>
      <c r="F5" s="320"/>
      <c r="G5" s="320"/>
      <c r="H5" s="320"/>
      <c r="I5" s="320"/>
      <c r="J5" s="320"/>
      <c r="K5" s="320"/>
      <c r="L5" s="320"/>
      <c r="M5" s="320"/>
      <c r="O5" s="1035" t="s">
        <v>8</v>
      </c>
      <c r="P5" s="1035"/>
      <c r="Q5" s="1035"/>
      <c r="R5" s="1035"/>
      <c r="S5" s="411" t="str">
        <f>背景!L2</f>
        <v>自选两个适合背景的技能</v>
      </c>
      <c r="T5" s="411"/>
      <c r="U5" s="411"/>
      <c r="V5" s="411"/>
      <c r="W5" s="411"/>
      <c r="X5" s="411"/>
      <c r="Y5" s="411"/>
      <c r="Z5" s="411"/>
      <c r="AA5" s="411"/>
      <c r="AB5" s="411"/>
      <c r="AC5" s="411"/>
      <c r="AD5" s="411"/>
      <c r="AE5" s="411"/>
      <c r="AF5" s="411"/>
      <c r="AG5" s="411"/>
      <c r="AH5" s="411"/>
      <c r="AI5" s="411"/>
      <c r="AJ5" s="411"/>
      <c r="AK5" s="411"/>
      <c r="AL5" s="411"/>
      <c r="AM5" s="411"/>
      <c r="AN5" s="411"/>
      <c r="AP5" s="1064"/>
      <c r="AQ5" s="1065"/>
      <c r="AR5" s="1065"/>
      <c r="AS5" s="1065"/>
      <c r="AT5" s="1065"/>
      <c r="AU5" s="1065"/>
      <c r="AV5" s="1065"/>
      <c r="AW5" s="1065"/>
      <c r="AX5" s="1065"/>
      <c r="AY5" s="1065"/>
      <c r="AZ5" s="1065"/>
      <c r="BA5" s="1065"/>
      <c r="BB5" s="1065"/>
      <c r="BC5" s="1065"/>
      <c r="BD5" s="1065"/>
      <c r="BE5" s="1065"/>
      <c r="BF5" s="1065"/>
      <c r="BG5" s="1065"/>
      <c r="BH5" s="1065"/>
      <c r="BI5" s="1065"/>
      <c r="BJ5" s="1065"/>
      <c r="BK5" s="1065"/>
      <c r="BL5" s="1065"/>
      <c r="BM5" s="1065"/>
      <c r="BN5" s="1065"/>
      <c r="BO5" s="1073"/>
    </row>
    <row r="6" ht="16.95" customHeight="1" spans="2:67">
      <c r="B6" s="1025" t="s">
        <v>9</v>
      </c>
      <c r="C6" s="1025"/>
      <c r="D6" s="1025"/>
      <c r="E6" s="321" t="s">
        <v>10</v>
      </c>
      <c r="F6" s="321"/>
      <c r="G6" s="321"/>
      <c r="H6" s="321"/>
      <c r="I6" s="321"/>
      <c r="J6" s="321"/>
      <c r="K6" s="321"/>
      <c r="L6" s="321"/>
      <c r="M6" s="321"/>
      <c r="O6" s="1036" t="s">
        <v>11</v>
      </c>
      <c r="P6" s="1036"/>
      <c r="Q6" s="1036"/>
      <c r="R6" s="1036"/>
      <c r="S6" s="1049" t="str">
        <f>背景!M2</f>
        <v>选择一个工具，它与该背景有关，或是经常被该背景的人使用</v>
      </c>
      <c r="T6" s="1049"/>
      <c r="U6" s="1049"/>
      <c r="V6" s="1049"/>
      <c r="W6" s="1049"/>
      <c r="X6" s="1049"/>
      <c r="Y6" s="1049"/>
      <c r="Z6" s="1049"/>
      <c r="AA6" s="1049"/>
      <c r="AB6" s="1049"/>
      <c r="AC6" s="1049"/>
      <c r="AD6" s="1049"/>
      <c r="AE6" s="1049"/>
      <c r="AF6" s="1049"/>
      <c r="AG6" s="1049"/>
      <c r="AH6" s="1049"/>
      <c r="AI6" s="1049"/>
      <c r="AJ6" s="1049"/>
      <c r="AK6" s="1049"/>
      <c r="AL6" s="1049"/>
      <c r="AM6" s="1049"/>
      <c r="AN6" s="1049"/>
      <c r="AP6" s="1064"/>
      <c r="AQ6" s="1065"/>
      <c r="AR6" s="1065"/>
      <c r="AS6" s="1065"/>
      <c r="AT6" s="1065"/>
      <c r="AU6" s="1065"/>
      <c r="AV6" s="1065"/>
      <c r="AW6" s="1065"/>
      <c r="AX6" s="1065"/>
      <c r="AY6" s="1065"/>
      <c r="AZ6" s="1065"/>
      <c r="BA6" s="1065"/>
      <c r="BB6" s="1065"/>
      <c r="BC6" s="1065"/>
      <c r="BD6" s="1065"/>
      <c r="BE6" s="1065"/>
      <c r="BF6" s="1065"/>
      <c r="BG6" s="1065"/>
      <c r="BH6" s="1065"/>
      <c r="BI6" s="1065"/>
      <c r="BJ6" s="1065"/>
      <c r="BK6" s="1065"/>
      <c r="BL6" s="1065"/>
      <c r="BM6" s="1065"/>
      <c r="BN6" s="1065"/>
      <c r="BO6" s="1073"/>
    </row>
    <row r="7" ht="16.95" customHeight="1" spans="15:67">
      <c r="O7" s="1037" t="s">
        <v>12</v>
      </c>
      <c r="P7" s="1037"/>
      <c r="Q7" s="1037"/>
      <c r="R7" s="1037"/>
      <c r="S7" s="1050" t="str">
        <f>背景!N2</f>
        <v>组合一套价值50GP的装备（购买完毕后多余的钱也会包含在其内）。不要将包含军用武器和护甲包含在背景给予的装备中，角色会从其职业中获得这两样装备。</v>
      </c>
      <c r="T7" s="1050"/>
      <c r="U7" s="1050"/>
      <c r="V7" s="1050"/>
      <c r="W7" s="1050"/>
      <c r="X7" s="1050"/>
      <c r="Y7" s="1050"/>
      <c r="Z7" s="1050"/>
      <c r="AA7" s="1050"/>
      <c r="AB7" s="1050"/>
      <c r="AC7" s="1050"/>
      <c r="AD7" s="1050"/>
      <c r="AE7" s="1050"/>
      <c r="AF7" s="1050"/>
      <c r="AG7" s="1050"/>
      <c r="AH7" s="1050"/>
      <c r="AI7" s="1050"/>
      <c r="AJ7" s="1050"/>
      <c r="AK7" s="1050"/>
      <c r="AL7" s="1050"/>
      <c r="AM7" s="1050"/>
      <c r="AN7" s="1050"/>
      <c r="AP7" s="1064"/>
      <c r="AQ7" s="1065"/>
      <c r="AR7" s="1065"/>
      <c r="AS7" s="1065"/>
      <c r="AT7" s="1065"/>
      <c r="AU7" s="1065"/>
      <c r="AV7" s="1065"/>
      <c r="AW7" s="1065"/>
      <c r="AX7" s="1065"/>
      <c r="AY7" s="1065"/>
      <c r="AZ7" s="1065"/>
      <c r="BA7" s="1065"/>
      <c r="BB7" s="1065"/>
      <c r="BC7" s="1065"/>
      <c r="BD7" s="1065"/>
      <c r="BE7" s="1065"/>
      <c r="BF7" s="1065"/>
      <c r="BG7" s="1065"/>
      <c r="BH7" s="1065"/>
      <c r="BI7" s="1065"/>
      <c r="BJ7" s="1065"/>
      <c r="BK7" s="1065"/>
      <c r="BL7" s="1065"/>
      <c r="BM7" s="1065"/>
      <c r="BN7" s="1065"/>
      <c r="BO7" s="1073"/>
    </row>
    <row r="8" ht="16.95" customHeight="1" spans="2:67">
      <c r="B8" s="1026" t="s">
        <v>13</v>
      </c>
      <c r="C8" s="1026"/>
      <c r="D8" s="1026"/>
      <c r="E8" s="320"/>
      <c r="F8" s="320"/>
      <c r="G8" s="320"/>
      <c r="H8" s="1023" t="s">
        <v>14</v>
      </c>
      <c r="I8" s="1023"/>
      <c r="J8" s="1023"/>
      <c r="K8" s="320"/>
      <c r="L8" s="320"/>
      <c r="M8" s="320"/>
      <c r="O8" s="1031"/>
      <c r="P8" s="1031"/>
      <c r="Q8" s="1031"/>
      <c r="R8" s="1031"/>
      <c r="S8" s="1050"/>
      <c r="T8" s="1050"/>
      <c r="U8" s="1050"/>
      <c r="V8" s="1050"/>
      <c r="W8" s="1050"/>
      <c r="X8" s="1050"/>
      <c r="Y8" s="1050"/>
      <c r="Z8" s="1050"/>
      <c r="AA8" s="1050"/>
      <c r="AB8" s="1050"/>
      <c r="AC8" s="1050"/>
      <c r="AD8" s="1050"/>
      <c r="AE8" s="1050"/>
      <c r="AF8" s="1050"/>
      <c r="AG8" s="1050"/>
      <c r="AH8" s="1050"/>
      <c r="AI8" s="1050"/>
      <c r="AJ8" s="1050"/>
      <c r="AK8" s="1050"/>
      <c r="AL8" s="1050"/>
      <c r="AM8" s="1050"/>
      <c r="AN8" s="1050"/>
      <c r="AP8" s="1064"/>
      <c r="AQ8" s="1065"/>
      <c r="AR8" s="1065"/>
      <c r="AS8" s="1065"/>
      <c r="AT8" s="1065"/>
      <c r="AU8" s="1065"/>
      <c r="AV8" s="1065"/>
      <c r="AW8" s="1065"/>
      <c r="AX8" s="1065"/>
      <c r="AY8" s="1065"/>
      <c r="AZ8" s="1065"/>
      <c r="BA8" s="1065"/>
      <c r="BB8" s="1065"/>
      <c r="BC8" s="1065"/>
      <c r="BD8" s="1065"/>
      <c r="BE8" s="1065"/>
      <c r="BF8" s="1065"/>
      <c r="BG8" s="1065"/>
      <c r="BH8" s="1065"/>
      <c r="BI8" s="1065"/>
      <c r="BJ8" s="1065"/>
      <c r="BK8" s="1065"/>
      <c r="BL8" s="1065"/>
      <c r="BM8" s="1065"/>
      <c r="BN8" s="1065"/>
      <c r="BO8" s="1073"/>
    </row>
    <row r="9" ht="16.95" customHeight="1" spans="2:67">
      <c r="B9" s="1025" t="s">
        <v>15</v>
      </c>
      <c r="C9" s="1025"/>
      <c r="D9" s="1025"/>
      <c r="E9" s="321"/>
      <c r="F9" s="321"/>
      <c r="G9" s="321"/>
      <c r="H9" s="1025" t="s">
        <v>16</v>
      </c>
      <c r="I9" s="1025"/>
      <c r="J9" s="1025"/>
      <c r="K9" s="321"/>
      <c r="L9" s="321"/>
      <c r="M9" s="321"/>
      <c r="O9" s="1031"/>
      <c r="P9" s="1031"/>
      <c r="Q9" s="1031"/>
      <c r="R9" s="1031"/>
      <c r="S9" s="1050"/>
      <c r="T9" s="1050"/>
      <c r="U9" s="1050"/>
      <c r="V9" s="1050"/>
      <c r="W9" s="1050"/>
      <c r="X9" s="1050"/>
      <c r="Y9" s="1050"/>
      <c r="Z9" s="1050"/>
      <c r="AA9" s="1050"/>
      <c r="AB9" s="1050"/>
      <c r="AC9" s="1050"/>
      <c r="AD9" s="1050"/>
      <c r="AE9" s="1050"/>
      <c r="AF9" s="1050"/>
      <c r="AG9" s="1050"/>
      <c r="AH9" s="1050"/>
      <c r="AI9" s="1050"/>
      <c r="AJ9" s="1050"/>
      <c r="AK9" s="1050"/>
      <c r="AL9" s="1050"/>
      <c r="AM9" s="1050"/>
      <c r="AN9" s="1050"/>
      <c r="AP9" s="1066"/>
      <c r="AQ9" s="1067"/>
      <c r="AR9" s="1067"/>
      <c r="AS9" s="1067"/>
      <c r="AT9" s="1067"/>
      <c r="AU9" s="1067"/>
      <c r="AV9" s="1067"/>
      <c r="AW9" s="1067"/>
      <c r="AX9" s="1067"/>
      <c r="AY9" s="1067"/>
      <c r="AZ9" s="1067"/>
      <c r="BA9" s="1067"/>
      <c r="BB9" s="1067"/>
      <c r="BC9" s="1067"/>
      <c r="BD9" s="1067"/>
      <c r="BE9" s="1067"/>
      <c r="BF9" s="1067"/>
      <c r="BG9" s="1067"/>
      <c r="BH9" s="1067"/>
      <c r="BI9" s="1067"/>
      <c r="BJ9" s="1067"/>
      <c r="BK9" s="1067"/>
      <c r="BL9" s="1067"/>
      <c r="BM9" s="1067"/>
      <c r="BN9" s="1067"/>
      <c r="BO9" s="1074"/>
    </row>
    <row r="10" ht="16.95" customHeight="1"/>
    <row r="11" ht="16.95" customHeight="1" spans="2:67">
      <c r="B11" s="1027" t="s">
        <v>17</v>
      </c>
      <c r="C11" s="1028"/>
      <c r="D11" s="1028"/>
      <c r="E11" s="1028"/>
      <c r="F11" s="1028"/>
      <c r="G11" s="1028"/>
      <c r="H11" s="1028"/>
      <c r="I11" s="1028"/>
      <c r="J11" s="1028"/>
      <c r="K11" s="1028"/>
      <c r="L11" s="1028"/>
      <c r="M11" s="1038"/>
      <c r="O11" s="961" t="s">
        <v>18</v>
      </c>
      <c r="P11" s="961"/>
      <c r="Q11" s="961"/>
      <c r="R11" s="961"/>
      <c r="S11" s="1051"/>
      <c r="T11" s="1051"/>
      <c r="U11" s="1051"/>
      <c r="V11" s="1051"/>
      <c r="W11" s="1051"/>
      <c r="X11" s="1051"/>
      <c r="Y11" s="1051"/>
      <c r="Z11" s="1051"/>
      <c r="AA11" s="1051"/>
      <c r="AB11" s="1051"/>
      <c r="AC11" s="1051"/>
      <c r="AD11" s="1051"/>
      <c r="AE11" s="1051"/>
      <c r="AF11" s="1051"/>
      <c r="AG11" s="1051"/>
      <c r="AH11" s="1051"/>
      <c r="AI11" s="1051"/>
      <c r="AJ11" s="1051"/>
      <c r="AK11" s="1051"/>
      <c r="AL11" s="1051"/>
      <c r="AM11" s="1051"/>
      <c r="AN11" s="1051"/>
      <c r="AO11" s="1051"/>
      <c r="AP11" s="1051"/>
      <c r="AQ11" s="1051"/>
      <c r="AR11" s="1051"/>
      <c r="AS11" s="1051"/>
      <c r="AT11" s="1051"/>
      <c r="AV11" s="1027" t="s">
        <v>19</v>
      </c>
      <c r="AW11" s="1028"/>
      <c r="AX11" s="1028"/>
      <c r="AY11" s="1028"/>
      <c r="AZ11" s="1028"/>
      <c r="BA11" s="1028"/>
      <c r="BB11" s="1028"/>
      <c r="BC11" s="1028"/>
      <c r="BD11" s="1028"/>
      <c r="BE11" s="1028"/>
      <c r="BF11" s="1028"/>
      <c r="BG11" s="1028"/>
      <c r="BH11" s="1028"/>
      <c r="BI11" s="1028"/>
      <c r="BJ11" s="1028"/>
      <c r="BK11" s="1028"/>
      <c r="BL11" s="1028"/>
      <c r="BM11" s="1028"/>
      <c r="BN11" s="1028"/>
      <c r="BO11" s="1038"/>
    </row>
    <row r="12" ht="16.95" customHeight="1" spans="2:67">
      <c r="B12" s="1029"/>
      <c r="C12" s="1030"/>
      <c r="D12" s="1030"/>
      <c r="E12" s="1030"/>
      <c r="F12" s="1030"/>
      <c r="G12" s="1030"/>
      <c r="H12" s="1030"/>
      <c r="I12" s="1030"/>
      <c r="J12" s="1030"/>
      <c r="K12" s="1030"/>
      <c r="L12" s="1030"/>
      <c r="M12" s="1039"/>
      <c r="O12" s="1040"/>
      <c r="P12" s="1040"/>
      <c r="Q12" s="1040"/>
      <c r="R12" s="1040"/>
      <c r="S12" s="1052"/>
      <c r="T12" s="1052"/>
      <c r="U12" s="1052"/>
      <c r="V12" s="1052"/>
      <c r="W12" s="1052"/>
      <c r="X12" s="1052"/>
      <c r="Y12" s="1052"/>
      <c r="Z12" s="1052"/>
      <c r="AA12" s="1052"/>
      <c r="AB12" s="1052"/>
      <c r="AC12" s="1052"/>
      <c r="AD12" s="1052"/>
      <c r="AE12" s="1052"/>
      <c r="AF12" s="1052"/>
      <c r="AG12" s="1052"/>
      <c r="AH12" s="1052"/>
      <c r="AI12" s="1052"/>
      <c r="AJ12" s="1052"/>
      <c r="AK12" s="1052"/>
      <c r="AL12" s="1052"/>
      <c r="AM12" s="1052"/>
      <c r="AN12" s="1052"/>
      <c r="AO12" s="1052"/>
      <c r="AP12" s="1052"/>
      <c r="AQ12" s="1052"/>
      <c r="AR12" s="1052"/>
      <c r="AS12" s="1052"/>
      <c r="AT12" s="1052"/>
      <c r="AV12" s="320"/>
      <c r="AW12" s="320"/>
      <c r="AX12" s="320"/>
      <c r="AY12" s="320"/>
      <c r="AZ12" s="320"/>
      <c r="BA12" s="320"/>
      <c r="BB12" s="320"/>
      <c r="BC12" s="320"/>
      <c r="BD12" s="320"/>
      <c r="BE12" s="320"/>
      <c r="BF12" s="320"/>
      <c r="BG12" s="320"/>
      <c r="BH12" s="320"/>
      <c r="BI12" s="320"/>
      <c r="BJ12" s="320"/>
      <c r="BK12" s="320"/>
      <c r="BL12" s="320"/>
      <c r="BM12" s="320"/>
      <c r="BN12" s="320"/>
      <c r="BO12" s="320"/>
    </row>
    <row r="13" ht="16.95" customHeight="1" spans="2:67">
      <c r="B13" s="1029"/>
      <c r="C13" s="1030"/>
      <c r="D13" s="1030"/>
      <c r="E13" s="1030"/>
      <c r="F13" s="1030"/>
      <c r="G13" s="1030"/>
      <c r="H13" s="1030"/>
      <c r="I13" s="1030"/>
      <c r="J13" s="1030"/>
      <c r="K13" s="1030"/>
      <c r="L13" s="1030"/>
      <c r="M13" s="1039"/>
      <c r="O13" s="1035" t="s">
        <v>20</v>
      </c>
      <c r="P13" s="1035"/>
      <c r="Q13" s="1035"/>
      <c r="R13" s="1035"/>
      <c r="S13" s="1051"/>
      <c r="T13" s="1051"/>
      <c r="U13" s="1051"/>
      <c r="V13" s="1051"/>
      <c r="W13" s="1051"/>
      <c r="X13" s="1051"/>
      <c r="Y13" s="1051"/>
      <c r="Z13" s="1051"/>
      <c r="AA13" s="1051"/>
      <c r="AB13" s="1051"/>
      <c r="AC13" s="1051"/>
      <c r="AD13" s="1051"/>
      <c r="AE13" s="1051"/>
      <c r="AF13" s="1051"/>
      <c r="AG13" s="1051"/>
      <c r="AH13" s="1051"/>
      <c r="AI13" s="1051"/>
      <c r="AJ13" s="1051"/>
      <c r="AK13" s="1051"/>
      <c r="AL13" s="1051"/>
      <c r="AM13" s="1051"/>
      <c r="AN13" s="1051"/>
      <c r="AO13" s="1051"/>
      <c r="AP13" s="1051"/>
      <c r="AQ13" s="1051"/>
      <c r="AR13" s="1051"/>
      <c r="AS13" s="1051"/>
      <c r="AT13" s="1051"/>
      <c r="AV13" s="320"/>
      <c r="AW13" s="320"/>
      <c r="AX13" s="320"/>
      <c r="AY13" s="320"/>
      <c r="AZ13" s="320"/>
      <c r="BA13" s="320"/>
      <c r="BB13" s="320"/>
      <c r="BC13" s="320"/>
      <c r="BD13" s="320"/>
      <c r="BE13" s="320"/>
      <c r="BF13" s="320"/>
      <c r="BG13" s="320"/>
      <c r="BH13" s="320"/>
      <c r="BI13" s="320"/>
      <c r="BJ13" s="320"/>
      <c r="BK13" s="320"/>
      <c r="BL13" s="320"/>
      <c r="BM13" s="320"/>
      <c r="BN13" s="320"/>
      <c r="BO13" s="320"/>
    </row>
    <row r="14" ht="16.95" customHeight="1" spans="2:67">
      <c r="B14" s="1029"/>
      <c r="C14" s="1030"/>
      <c r="D14" s="1030"/>
      <c r="E14" s="1030"/>
      <c r="F14" s="1030"/>
      <c r="G14" s="1030"/>
      <c r="H14" s="1030"/>
      <c r="I14" s="1030"/>
      <c r="J14" s="1030"/>
      <c r="K14" s="1030"/>
      <c r="L14" s="1030"/>
      <c r="M14" s="1039"/>
      <c r="O14" s="1035" t="s">
        <v>21</v>
      </c>
      <c r="P14" s="1035"/>
      <c r="Q14" s="1035"/>
      <c r="R14" s="1035"/>
      <c r="S14" s="1052"/>
      <c r="T14" s="1052"/>
      <c r="U14" s="1052"/>
      <c r="V14" s="1052"/>
      <c r="W14" s="1052"/>
      <c r="X14" s="1052"/>
      <c r="Y14" s="1052"/>
      <c r="Z14" s="1052"/>
      <c r="AA14" s="1052"/>
      <c r="AB14" s="1052"/>
      <c r="AC14" s="1052"/>
      <c r="AD14" s="1052"/>
      <c r="AE14" s="1052"/>
      <c r="AF14" s="1052"/>
      <c r="AG14" s="1052"/>
      <c r="AH14" s="1052"/>
      <c r="AI14" s="1052"/>
      <c r="AJ14" s="1052"/>
      <c r="AK14" s="1052"/>
      <c r="AL14" s="1052"/>
      <c r="AM14" s="1052"/>
      <c r="AN14" s="1052"/>
      <c r="AO14" s="1052"/>
      <c r="AP14" s="1052"/>
      <c r="AQ14" s="1052"/>
      <c r="AR14" s="1052"/>
      <c r="AS14" s="1052"/>
      <c r="AT14" s="1052"/>
      <c r="AV14" s="320"/>
      <c r="AW14" s="320"/>
      <c r="AX14" s="320"/>
      <c r="AY14" s="320"/>
      <c r="AZ14" s="320"/>
      <c r="BA14" s="320"/>
      <c r="BB14" s="320"/>
      <c r="BC14" s="320"/>
      <c r="BD14" s="320"/>
      <c r="BE14" s="320"/>
      <c r="BF14" s="320"/>
      <c r="BG14" s="320"/>
      <c r="BH14" s="320"/>
      <c r="BI14" s="320"/>
      <c r="BJ14" s="320"/>
      <c r="BK14" s="320"/>
      <c r="BL14" s="320"/>
      <c r="BM14" s="320"/>
      <c r="BN14" s="320"/>
      <c r="BO14" s="320"/>
    </row>
    <row r="15" ht="16.95" customHeight="1" spans="2:67">
      <c r="B15" s="1029"/>
      <c r="C15" s="1030"/>
      <c r="D15" s="1030"/>
      <c r="E15" s="1030"/>
      <c r="F15" s="1030"/>
      <c r="G15" s="1030"/>
      <c r="H15" s="1030"/>
      <c r="I15" s="1030"/>
      <c r="J15" s="1030"/>
      <c r="K15" s="1030"/>
      <c r="L15" s="1030"/>
      <c r="M15" s="1039"/>
      <c r="O15" s="1041" t="s">
        <v>22</v>
      </c>
      <c r="P15" s="1041"/>
      <c r="Q15" s="1041"/>
      <c r="R15" s="1041"/>
      <c r="S15" s="1051"/>
      <c r="T15" s="1051"/>
      <c r="U15" s="1051"/>
      <c r="V15" s="1051"/>
      <c r="W15" s="1051"/>
      <c r="X15" s="1051"/>
      <c r="Y15" s="1051"/>
      <c r="Z15" s="1051"/>
      <c r="AA15" s="1051"/>
      <c r="AB15" s="1051"/>
      <c r="AC15" s="1051"/>
      <c r="AD15" s="1051"/>
      <c r="AE15" s="1051"/>
      <c r="AF15" s="1051"/>
      <c r="AG15" s="1051"/>
      <c r="AH15" s="1051"/>
      <c r="AI15" s="1051"/>
      <c r="AJ15" s="1051"/>
      <c r="AK15" s="1051"/>
      <c r="AL15" s="1051"/>
      <c r="AM15" s="1051"/>
      <c r="AN15" s="1051"/>
      <c r="AO15" s="1051"/>
      <c r="AP15" s="1051"/>
      <c r="AQ15" s="1051"/>
      <c r="AR15" s="1051"/>
      <c r="AS15" s="1051"/>
      <c r="AT15" s="1051"/>
      <c r="AV15" s="320"/>
      <c r="AW15" s="320"/>
      <c r="AX15" s="320"/>
      <c r="AY15" s="320"/>
      <c r="AZ15" s="320"/>
      <c r="BA15" s="320"/>
      <c r="BB15" s="320"/>
      <c r="BC15" s="320"/>
      <c r="BD15" s="320"/>
      <c r="BE15" s="320"/>
      <c r="BF15" s="320"/>
      <c r="BG15" s="320"/>
      <c r="BH15" s="320"/>
      <c r="BI15" s="320"/>
      <c r="BJ15" s="320"/>
      <c r="BK15" s="320"/>
      <c r="BL15" s="320"/>
      <c r="BM15" s="320"/>
      <c r="BN15" s="320"/>
      <c r="BO15" s="320"/>
    </row>
    <row r="16" ht="16.95" customHeight="1" spans="2:67">
      <c r="B16" s="1029"/>
      <c r="C16" s="1030"/>
      <c r="D16" s="1030"/>
      <c r="E16" s="1030"/>
      <c r="F16" s="1030"/>
      <c r="G16" s="1030"/>
      <c r="H16" s="1030"/>
      <c r="I16" s="1030"/>
      <c r="J16" s="1030"/>
      <c r="K16" s="1030"/>
      <c r="L16" s="1030"/>
      <c r="M16" s="1039"/>
      <c r="AV16" s="320"/>
      <c r="AW16" s="320"/>
      <c r="AX16" s="320"/>
      <c r="AY16" s="320"/>
      <c r="AZ16" s="320"/>
      <c r="BA16" s="320"/>
      <c r="BB16" s="320"/>
      <c r="BC16" s="320"/>
      <c r="BD16" s="320"/>
      <c r="BE16" s="320"/>
      <c r="BF16" s="320"/>
      <c r="BG16" s="320"/>
      <c r="BH16" s="320"/>
      <c r="BI16" s="320"/>
      <c r="BJ16" s="320"/>
      <c r="BK16" s="320"/>
      <c r="BL16" s="320"/>
      <c r="BM16" s="320"/>
      <c r="BN16" s="320"/>
      <c r="BO16" s="320"/>
    </row>
    <row r="17" ht="16.95" customHeight="1" spans="2:67">
      <c r="B17" s="1029"/>
      <c r="C17" s="1030"/>
      <c r="D17" s="1030"/>
      <c r="E17" s="1030"/>
      <c r="F17" s="1030"/>
      <c r="G17" s="1030"/>
      <c r="H17" s="1030"/>
      <c r="I17" s="1030"/>
      <c r="J17" s="1030"/>
      <c r="K17" s="1030"/>
      <c r="L17" s="1030"/>
      <c r="M17" s="1039"/>
      <c r="O17" s="1042" t="s">
        <v>23</v>
      </c>
      <c r="P17" s="1043"/>
      <c r="Q17" s="1043"/>
      <c r="R17" s="1043"/>
      <c r="S17" s="1053"/>
      <c r="T17" s="1054"/>
      <c r="U17" s="1054"/>
      <c r="V17" s="1054"/>
      <c r="W17" s="1054"/>
      <c r="X17" s="1054"/>
      <c r="Y17" s="1054"/>
      <c r="Z17" s="1054"/>
      <c r="AA17" s="1054"/>
      <c r="AB17" s="1054"/>
      <c r="AC17" s="1054"/>
      <c r="AD17" s="1054"/>
      <c r="AE17" s="1054"/>
      <c r="AF17" s="1054"/>
      <c r="AG17" s="1054"/>
      <c r="AH17" s="1054"/>
      <c r="AI17" s="1054"/>
      <c r="AJ17" s="1054"/>
      <c r="AK17" s="1054"/>
      <c r="AL17" s="1054"/>
      <c r="AM17" s="1054"/>
      <c r="AN17" s="1054"/>
      <c r="AO17" s="1054"/>
      <c r="AP17" s="1054"/>
      <c r="AQ17" s="1054"/>
      <c r="AR17" s="1054"/>
      <c r="AS17" s="1054"/>
      <c r="AT17" s="1068"/>
      <c r="AV17" s="320"/>
      <c r="AW17" s="320"/>
      <c r="AX17" s="320"/>
      <c r="AY17" s="320"/>
      <c r="AZ17" s="320"/>
      <c r="BA17" s="320"/>
      <c r="BB17" s="320"/>
      <c r="BC17" s="320"/>
      <c r="BD17" s="320"/>
      <c r="BE17" s="320"/>
      <c r="BF17" s="320"/>
      <c r="BG17" s="320"/>
      <c r="BH17" s="320"/>
      <c r="BI17" s="320"/>
      <c r="BJ17" s="320"/>
      <c r="BK17" s="320"/>
      <c r="BL17" s="320"/>
      <c r="BM17" s="320"/>
      <c r="BN17" s="320"/>
      <c r="BO17" s="320"/>
    </row>
    <row r="18" ht="16.95" customHeight="1" spans="2:67">
      <c r="B18" s="1029"/>
      <c r="C18" s="1030"/>
      <c r="D18" s="1030"/>
      <c r="E18" s="1030"/>
      <c r="F18" s="1030"/>
      <c r="G18" s="1030"/>
      <c r="H18" s="1030"/>
      <c r="I18" s="1030"/>
      <c r="J18" s="1030"/>
      <c r="K18" s="1030"/>
      <c r="L18" s="1030"/>
      <c r="M18" s="1039"/>
      <c r="O18" s="1044"/>
      <c r="P18" s="1045"/>
      <c r="Q18" s="1045"/>
      <c r="R18" s="1045"/>
      <c r="S18" s="1055"/>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69"/>
      <c r="AV18" s="320"/>
      <c r="AW18" s="320"/>
      <c r="AX18" s="320"/>
      <c r="AY18" s="320"/>
      <c r="AZ18" s="320"/>
      <c r="BA18" s="320"/>
      <c r="BB18" s="320"/>
      <c r="BC18" s="320"/>
      <c r="BD18" s="320"/>
      <c r="BE18" s="320"/>
      <c r="BF18" s="320"/>
      <c r="BG18" s="320"/>
      <c r="BH18" s="320"/>
      <c r="BI18" s="320"/>
      <c r="BJ18" s="320"/>
      <c r="BK18" s="320"/>
      <c r="BL18" s="320"/>
      <c r="BM18" s="320"/>
      <c r="BN18" s="320"/>
      <c r="BO18" s="320"/>
    </row>
    <row r="19" ht="16.95" customHeight="1" spans="2:67">
      <c r="B19" s="1029"/>
      <c r="C19" s="1030"/>
      <c r="D19" s="1030"/>
      <c r="E19" s="1030"/>
      <c r="F19" s="1030"/>
      <c r="G19" s="1030"/>
      <c r="H19" s="1030"/>
      <c r="I19" s="1030"/>
      <c r="J19" s="1030"/>
      <c r="K19" s="1030"/>
      <c r="L19" s="1030"/>
      <c r="M19" s="1039"/>
      <c r="O19" s="1044"/>
      <c r="P19" s="1045"/>
      <c r="Q19" s="1045"/>
      <c r="R19" s="1045"/>
      <c r="S19" s="1055"/>
      <c r="T19" s="1056"/>
      <c r="U19" s="1056"/>
      <c r="V19" s="1056"/>
      <c r="W19" s="1056"/>
      <c r="X19" s="1056"/>
      <c r="Y19" s="1056"/>
      <c r="Z19" s="1056"/>
      <c r="AA19" s="1056"/>
      <c r="AB19" s="1056"/>
      <c r="AC19" s="1056"/>
      <c r="AD19" s="1056"/>
      <c r="AE19" s="1056"/>
      <c r="AF19" s="1056"/>
      <c r="AG19" s="1056"/>
      <c r="AH19" s="1056"/>
      <c r="AI19" s="1056"/>
      <c r="AJ19" s="1056"/>
      <c r="AK19" s="1056"/>
      <c r="AL19" s="1056"/>
      <c r="AM19" s="1056"/>
      <c r="AN19" s="1056"/>
      <c r="AO19" s="1056"/>
      <c r="AP19" s="1056"/>
      <c r="AQ19" s="1056"/>
      <c r="AR19" s="1056"/>
      <c r="AS19" s="1056"/>
      <c r="AT19" s="1069"/>
      <c r="AV19" s="320"/>
      <c r="AW19" s="320"/>
      <c r="AX19" s="320"/>
      <c r="AY19" s="320"/>
      <c r="AZ19" s="320"/>
      <c r="BA19" s="320"/>
      <c r="BB19" s="320"/>
      <c r="BC19" s="320"/>
      <c r="BD19" s="320"/>
      <c r="BE19" s="320"/>
      <c r="BF19" s="320"/>
      <c r="BG19" s="320"/>
      <c r="BH19" s="320"/>
      <c r="BI19" s="320"/>
      <c r="BJ19" s="320"/>
      <c r="BK19" s="320"/>
      <c r="BL19" s="320"/>
      <c r="BM19" s="320"/>
      <c r="BN19" s="320"/>
      <c r="BO19" s="320"/>
    </row>
    <row r="20" ht="16.95" customHeight="1" spans="2:67">
      <c r="B20" s="1029"/>
      <c r="C20" s="1030"/>
      <c r="D20" s="1030"/>
      <c r="E20" s="1030"/>
      <c r="F20" s="1030"/>
      <c r="G20" s="1030"/>
      <c r="H20" s="1030"/>
      <c r="I20" s="1030"/>
      <c r="J20" s="1030"/>
      <c r="K20" s="1030"/>
      <c r="L20" s="1030"/>
      <c r="M20" s="1039"/>
      <c r="O20" s="1044"/>
      <c r="P20" s="1045"/>
      <c r="Q20" s="1045"/>
      <c r="R20" s="1045"/>
      <c r="S20" s="1055"/>
      <c r="T20" s="1056"/>
      <c r="U20" s="1056"/>
      <c r="V20" s="1056"/>
      <c r="W20" s="1056"/>
      <c r="X20" s="1056"/>
      <c r="Y20" s="1056"/>
      <c r="Z20" s="1056"/>
      <c r="AA20" s="1056"/>
      <c r="AB20" s="1056"/>
      <c r="AC20" s="1056"/>
      <c r="AD20" s="1056"/>
      <c r="AE20" s="1056"/>
      <c r="AF20" s="1056"/>
      <c r="AG20" s="1056"/>
      <c r="AH20" s="1056"/>
      <c r="AI20" s="1056"/>
      <c r="AJ20" s="1056"/>
      <c r="AK20" s="1056"/>
      <c r="AL20" s="1056"/>
      <c r="AM20" s="1056"/>
      <c r="AN20" s="1056"/>
      <c r="AO20" s="1056"/>
      <c r="AP20" s="1056"/>
      <c r="AQ20" s="1056"/>
      <c r="AR20" s="1056"/>
      <c r="AS20" s="1056"/>
      <c r="AT20" s="1069"/>
      <c r="AV20" s="320"/>
      <c r="AW20" s="320"/>
      <c r="AX20" s="320"/>
      <c r="AY20" s="320"/>
      <c r="AZ20" s="320"/>
      <c r="BA20" s="320"/>
      <c r="BB20" s="320"/>
      <c r="BC20" s="320"/>
      <c r="BD20" s="320"/>
      <c r="BE20" s="320"/>
      <c r="BF20" s="320"/>
      <c r="BG20" s="320"/>
      <c r="BH20" s="320"/>
      <c r="BI20" s="320"/>
      <c r="BJ20" s="320"/>
      <c r="BK20" s="320"/>
      <c r="BL20" s="320"/>
      <c r="BM20" s="320"/>
      <c r="BN20" s="320"/>
      <c r="BO20" s="320"/>
    </row>
    <row r="21" ht="16.95" customHeight="1" spans="2:67">
      <c r="B21" s="1029"/>
      <c r="C21" s="1030"/>
      <c r="D21" s="1030"/>
      <c r="E21" s="1030"/>
      <c r="F21" s="1030"/>
      <c r="G21" s="1030"/>
      <c r="H21" s="1030"/>
      <c r="I21" s="1030"/>
      <c r="J21" s="1030"/>
      <c r="K21" s="1030"/>
      <c r="L21" s="1030"/>
      <c r="M21" s="1039"/>
      <c r="O21" s="1044"/>
      <c r="P21" s="1045"/>
      <c r="Q21" s="1045"/>
      <c r="R21" s="1045"/>
      <c r="S21" s="1055"/>
      <c r="T21" s="1056"/>
      <c r="U21" s="1056"/>
      <c r="V21" s="1056"/>
      <c r="W21" s="1056"/>
      <c r="X21" s="1056"/>
      <c r="Y21" s="1056"/>
      <c r="Z21" s="1056"/>
      <c r="AA21" s="1056"/>
      <c r="AB21" s="1056"/>
      <c r="AC21" s="1056"/>
      <c r="AD21" s="1056"/>
      <c r="AE21" s="1056"/>
      <c r="AF21" s="1056"/>
      <c r="AG21" s="1056"/>
      <c r="AH21" s="1056"/>
      <c r="AI21" s="1056"/>
      <c r="AJ21" s="1056"/>
      <c r="AK21" s="1056"/>
      <c r="AL21" s="1056"/>
      <c r="AM21" s="1056"/>
      <c r="AN21" s="1056"/>
      <c r="AO21" s="1056"/>
      <c r="AP21" s="1056"/>
      <c r="AQ21" s="1056"/>
      <c r="AR21" s="1056"/>
      <c r="AS21" s="1056"/>
      <c r="AT21" s="1069"/>
      <c r="AV21" s="320"/>
      <c r="AW21" s="320"/>
      <c r="AX21" s="320"/>
      <c r="AY21" s="320"/>
      <c r="AZ21" s="320"/>
      <c r="BA21" s="320"/>
      <c r="BB21" s="320"/>
      <c r="BC21" s="320"/>
      <c r="BD21" s="320"/>
      <c r="BE21" s="320"/>
      <c r="BF21" s="320"/>
      <c r="BG21" s="320"/>
      <c r="BH21" s="320"/>
      <c r="BI21" s="320"/>
      <c r="BJ21" s="320"/>
      <c r="BK21" s="320"/>
      <c r="BL21" s="320"/>
      <c r="BM21" s="320"/>
      <c r="BN21" s="320"/>
      <c r="BO21" s="320"/>
    </row>
    <row r="22" ht="16.95" customHeight="1" spans="15:67">
      <c r="O22" s="1044"/>
      <c r="P22" s="1045"/>
      <c r="Q22" s="1045"/>
      <c r="R22" s="1045"/>
      <c r="S22" s="1055"/>
      <c r="T22" s="1056"/>
      <c r="U22" s="1056"/>
      <c r="V22" s="1056"/>
      <c r="W22" s="1056"/>
      <c r="X22" s="1056"/>
      <c r="Y22" s="1056"/>
      <c r="Z22" s="1056"/>
      <c r="AA22" s="1056"/>
      <c r="AB22" s="1056"/>
      <c r="AC22" s="1056"/>
      <c r="AD22" s="1056"/>
      <c r="AE22" s="1056"/>
      <c r="AF22" s="1056"/>
      <c r="AG22" s="1056"/>
      <c r="AH22" s="1056"/>
      <c r="AI22" s="1056"/>
      <c r="AJ22" s="1056"/>
      <c r="AK22" s="1056"/>
      <c r="AL22" s="1056"/>
      <c r="AM22" s="1056"/>
      <c r="AN22" s="1056"/>
      <c r="AO22" s="1056"/>
      <c r="AP22" s="1056"/>
      <c r="AQ22" s="1056"/>
      <c r="AR22" s="1056"/>
      <c r="AS22" s="1056"/>
      <c r="AT22" s="1069"/>
      <c r="AV22" s="320"/>
      <c r="AW22" s="320"/>
      <c r="AX22" s="320"/>
      <c r="AY22" s="320"/>
      <c r="AZ22" s="320"/>
      <c r="BA22" s="320"/>
      <c r="BB22" s="320"/>
      <c r="BC22" s="320"/>
      <c r="BD22" s="320"/>
      <c r="BE22" s="320"/>
      <c r="BF22" s="320"/>
      <c r="BG22" s="320"/>
      <c r="BH22" s="320"/>
      <c r="BI22" s="320"/>
      <c r="BJ22" s="320"/>
      <c r="BK22" s="320"/>
      <c r="BL22" s="320"/>
      <c r="BM22" s="320"/>
      <c r="BN22" s="320"/>
      <c r="BO22" s="320"/>
    </row>
    <row r="23" ht="16.95" customHeight="1" spans="2:67">
      <c r="B23" s="1031" t="s">
        <v>24</v>
      </c>
      <c r="C23" s="1031"/>
      <c r="D23" s="1031"/>
      <c r="E23" s="1031"/>
      <c r="F23" s="1031"/>
      <c r="G23" s="1031"/>
      <c r="H23" s="1031"/>
      <c r="I23" s="1031"/>
      <c r="J23" s="1031"/>
      <c r="K23" s="1031"/>
      <c r="L23" s="1031"/>
      <c r="M23" s="1031"/>
      <c r="O23" s="1044"/>
      <c r="P23" s="1045"/>
      <c r="Q23" s="1045"/>
      <c r="R23" s="1045"/>
      <c r="S23" s="1055"/>
      <c r="T23" s="1056"/>
      <c r="U23" s="1056"/>
      <c r="V23" s="1056"/>
      <c r="W23" s="1056"/>
      <c r="X23" s="1056"/>
      <c r="Y23" s="1056"/>
      <c r="Z23" s="1056"/>
      <c r="AA23" s="1056"/>
      <c r="AB23" s="1056"/>
      <c r="AC23" s="1056"/>
      <c r="AD23" s="1056"/>
      <c r="AE23" s="1056"/>
      <c r="AF23" s="1056"/>
      <c r="AG23" s="1056"/>
      <c r="AH23" s="1056"/>
      <c r="AI23" s="1056"/>
      <c r="AJ23" s="1056"/>
      <c r="AK23" s="1056"/>
      <c r="AL23" s="1056"/>
      <c r="AM23" s="1056"/>
      <c r="AN23" s="1056"/>
      <c r="AO23" s="1056"/>
      <c r="AP23" s="1056"/>
      <c r="AQ23" s="1056"/>
      <c r="AR23" s="1056"/>
      <c r="AS23" s="1056"/>
      <c r="AT23" s="1069"/>
      <c r="AV23" s="320"/>
      <c r="AW23" s="320"/>
      <c r="AX23" s="320"/>
      <c r="AY23" s="320"/>
      <c r="AZ23" s="320"/>
      <c r="BA23" s="320"/>
      <c r="BB23" s="320"/>
      <c r="BC23" s="320"/>
      <c r="BD23" s="320"/>
      <c r="BE23" s="320"/>
      <c r="BF23" s="320"/>
      <c r="BG23" s="320"/>
      <c r="BH23" s="320"/>
      <c r="BI23" s="320"/>
      <c r="BJ23" s="320"/>
      <c r="BK23" s="320"/>
      <c r="BL23" s="320"/>
      <c r="BM23" s="320"/>
      <c r="BN23" s="320"/>
      <c r="BO23" s="320"/>
    </row>
    <row r="24" ht="16.95" customHeight="1" spans="2:67">
      <c r="B24" s="320"/>
      <c r="C24" s="320"/>
      <c r="D24" s="320"/>
      <c r="E24" s="320"/>
      <c r="F24" s="320"/>
      <c r="G24" s="320"/>
      <c r="H24" s="320"/>
      <c r="I24" s="320"/>
      <c r="J24" s="320"/>
      <c r="K24" s="320"/>
      <c r="L24" s="320"/>
      <c r="M24" s="320"/>
      <c r="O24" s="1044"/>
      <c r="P24" s="1045"/>
      <c r="Q24" s="1045"/>
      <c r="R24" s="1045"/>
      <c r="S24" s="1055"/>
      <c r="T24" s="1056"/>
      <c r="U24" s="1056"/>
      <c r="V24" s="1056"/>
      <c r="W24" s="1056"/>
      <c r="X24" s="1056"/>
      <c r="Y24" s="1056"/>
      <c r="Z24" s="1056"/>
      <c r="AA24" s="1056"/>
      <c r="AB24" s="1056"/>
      <c r="AC24" s="1056"/>
      <c r="AD24" s="1056"/>
      <c r="AE24" s="1056"/>
      <c r="AF24" s="1056"/>
      <c r="AG24" s="1056"/>
      <c r="AH24" s="1056"/>
      <c r="AI24" s="1056"/>
      <c r="AJ24" s="1056"/>
      <c r="AK24" s="1056"/>
      <c r="AL24" s="1056"/>
      <c r="AM24" s="1056"/>
      <c r="AN24" s="1056"/>
      <c r="AO24" s="1056"/>
      <c r="AP24" s="1056"/>
      <c r="AQ24" s="1056"/>
      <c r="AR24" s="1056"/>
      <c r="AS24" s="1056"/>
      <c r="AT24" s="1069"/>
      <c r="AV24" s="320"/>
      <c r="AW24" s="320"/>
      <c r="AX24" s="320"/>
      <c r="AY24" s="320"/>
      <c r="AZ24" s="320"/>
      <c r="BA24" s="320"/>
      <c r="BB24" s="320"/>
      <c r="BC24" s="320"/>
      <c r="BD24" s="320"/>
      <c r="BE24" s="320"/>
      <c r="BF24" s="320"/>
      <c r="BG24" s="320"/>
      <c r="BH24" s="320"/>
      <c r="BI24" s="320"/>
      <c r="BJ24" s="320"/>
      <c r="BK24" s="320"/>
      <c r="BL24" s="320"/>
      <c r="BM24" s="320"/>
      <c r="BN24" s="320"/>
      <c r="BO24" s="320"/>
    </row>
    <row r="25" ht="16.95" customHeight="1" spans="2:67">
      <c r="B25" s="321"/>
      <c r="C25" s="321"/>
      <c r="D25" s="321"/>
      <c r="E25" s="321"/>
      <c r="F25" s="321"/>
      <c r="G25" s="321"/>
      <c r="H25" s="321"/>
      <c r="I25" s="321"/>
      <c r="J25" s="321"/>
      <c r="K25" s="321"/>
      <c r="L25" s="321"/>
      <c r="M25" s="321"/>
      <c r="O25" s="1044"/>
      <c r="P25" s="1045"/>
      <c r="Q25" s="1045"/>
      <c r="R25" s="1045"/>
      <c r="S25" s="1055"/>
      <c r="T25" s="1056"/>
      <c r="U25" s="1056"/>
      <c r="V25" s="1056"/>
      <c r="W25" s="1056"/>
      <c r="X25" s="1056"/>
      <c r="Y25" s="1056"/>
      <c r="Z25" s="1056"/>
      <c r="AA25" s="1056"/>
      <c r="AB25" s="1056"/>
      <c r="AC25" s="1056"/>
      <c r="AD25" s="1056"/>
      <c r="AE25" s="1056"/>
      <c r="AF25" s="1056"/>
      <c r="AG25" s="1056"/>
      <c r="AH25" s="1056"/>
      <c r="AI25" s="1056"/>
      <c r="AJ25" s="1056"/>
      <c r="AK25" s="1056"/>
      <c r="AL25" s="1056"/>
      <c r="AM25" s="1056"/>
      <c r="AN25" s="1056"/>
      <c r="AO25" s="1056"/>
      <c r="AP25" s="1056"/>
      <c r="AQ25" s="1056"/>
      <c r="AR25" s="1056"/>
      <c r="AS25" s="1056"/>
      <c r="AT25" s="1069"/>
      <c r="AV25" s="320"/>
      <c r="AW25" s="320"/>
      <c r="AX25" s="320"/>
      <c r="AY25" s="320"/>
      <c r="AZ25" s="320"/>
      <c r="BA25" s="320"/>
      <c r="BB25" s="320"/>
      <c r="BC25" s="320"/>
      <c r="BD25" s="320"/>
      <c r="BE25" s="320"/>
      <c r="BF25" s="320"/>
      <c r="BG25" s="320"/>
      <c r="BH25" s="320"/>
      <c r="BI25" s="320"/>
      <c r="BJ25" s="320"/>
      <c r="BK25" s="320"/>
      <c r="BL25" s="320"/>
      <c r="BM25" s="320"/>
      <c r="BN25" s="320"/>
      <c r="BO25" s="320"/>
    </row>
    <row r="26" ht="16.95" customHeight="1" spans="2:67">
      <c r="B26" s="320"/>
      <c r="C26" s="320"/>
      <c r="D26" s="320"/>
      <c r="E26" s="320"/>
      <c r="F26" s="320"/>
      <c r="G26" s="320"/>
      <c r="H26" s="320"/>
      <c r="I26" s="320"/>
      <c r="J26" s="320"/>
      <c r="K26" s="320"/>
      <c r="L26" s="320"/>
      <c r="M26" s="320"/>
      <c r="O26" s="1044"/>
      <c r="P26" s="1045"/>
      <c r="Q26" s="1045"/>
      <c r="R26" s="1045"/>
      <c r="S26" s="1055"/>
      <c r="T26" s="1056"/>
      <c r="U26" s="1056"/>
      <c r="V26" s="1056"/>
      <c r="W26" s="1056"/>
      <c r="X26" s="1056"/>
      <c r="Y26" s="1056"/>
      <c r="Z26" s="1056"/>
      <c r="AA26" s="1056"/>
      <c r="AB26" s="1056"/>
      <c r="AC26" s="1056"/>
      <c r="AD26" s="1056"/>
      <c r="AE26" s="1056"/>
      <c r="AF26" s="1056"/>
      <c r="AG26" s="1056"/>
      <c r="AH26" s="1056"/>
      <c r="AI26" s="1056"/>
      <c r="AJ26" s="1056"/>
      <c r="AK26" s="1056"/>
      <c r="AL26" s="1056"/>
      <c r="AM26" s="1056"/>
      <c r="AN26" s="1056"/>
      <c r="AO26" s="1056"/>
      <c r="AP26" s="1056"/>
      <c r="AQ26" s="1056"/>
      <c r="AR26" s="1056"/>
      <c r="AS26" s="1056"/>
      <c r="AT26" s="1069"/>
      <c r="AV26" s="320"/>
      <c r="AW26" s="320"/>
      <c r="AX26" s="320"/>
      <c r="AY26" s="320"/>
      <c r="AZ26" s="320"/>
      <c r="BA26" s="320"/>
      <c r="BB26" s="320"/>
      <c r="BC26" s="320"/>
      <c r="BD26" s="320"/>
      <c r="BE26" s="320"/>
      <c r="BF26" s="320"/>
      <c r="BG26" s="320"/>
      <c r="BH26" s="320"/>
      <c r="BI26" s="320"/>
      <c r="BJ26" s="320"/>
      <c r="BK26" s="320"/>
      <c r="BL26" s="320"/>
      <c r="BM26" s="320"/>
      <c r="BN26" s="320"/>
      <c r="BO26" s="320"/>
    </row>
    <row r="27" ht="16.95" customHeight="1" spans="2:67">
      <c r="B27" s="321"/>
      <c r="C27" s="321"/>
      <c r="D27" s="321"/>
      <c r="E27" s="321"/>
      <c r="F27" s="321"/>
      <c r="G27" s="321"/>
      <c r="H27" s="321"/>
      <c r="I27" s="321"/>
      <c r="J27" s="321"/>
      <c r="K27" s="321"/>
      <c r="L27" s="321"/>
      <c r="M27" s="321"/>
      <c r="O27" s="1044"/>
      <c r="P27" s="1045"/>
      <c r="Q27" s="1045"/>
      <c r="R27" s="1045"/>
      <c r="S27" s="1055"/>
      <c r="T27" s="1056"/>
      <c r="U27" s="1056"/>
      <c r="V27" s="1056"/>
      <c r="W27" s="1056"/>
      <c r="X27" s="1056"/>
      <c r="Y27" s="1056"/>
      <c r="Z27" s="1056"/>
      <c r="AA27" s="1056"/>
      <c r="AB27" s="1056"/>
      <c r="AC27" s="1056"/>
      <c r="AD27" s="1056"/>
      <c r="AE27" s="1056"/>
      <c r="AF27" s="1056"/>
      <c r="AG27" s="1056"/>
      <c r="AH27" s="1056"/>
      <c r="AI27" s="1056"/>
      <c r="AJ27" s="1056"/>
      <c r="AK27" s="1056"/>
      <c r="AL27" s="1056"/>
      <c r="AM27" s="1056"/>
      <c r="AN27" s="1056"/>
      <c r="AO27" s="1056"/>
      <c r="AP27" s="1056"/>
      <c r="AQ27" s="1056"/>
      <c r="AR27" s="1056"/>
      <c r="AS27" s="1056"/>
      <c r="AT27" s="1069"/>
      <c r="AV27" s="320"/>
      <c r="AW27" s="320"/>
      <c r="AX27" s="320"/>
      <c r="AY27" s="320"/>
      <c r="AZ27" s="320"/>
      <c r="BA27" s="320"/>
      <c r="BB27" s="320"/>
      <c r="BC27" s="320"/>
      <c r="BD27" s="320"/>
      <c r="BE27" s="320"/>
      <c r="BF27" s="320"/>
      <c r="BG27" s="320"/>
      <c r="BH27" s="320"/>
      <c r="BI27" s="320"/>
      <c r="BJ27" s="320"/>
      <c r="BK27" s="320"/>
      <c r="BL27" s="320"/>
      <c r="BM27" s="320"/>
      <c r="BN27" s="320"/>
      <c r="BO27" s="320"/>
    </row>
    <row r="28" ht="16.95" customHeight="1" spans="2:67">
      <c r="B28" s="320"/>
      <c r="C28" s="320"/>
      <c r="D28" s="320"/>
      <c r="E28" s="320"/>
      <c r="F28" s="320"/>
      <c r="G28" s="320"/>
      <c r="H28" s="320"/>
      <c r="I28" s="320"/>
      <c r="J28" s="320"/>
      <c r="K28" s="320"/>
      <c r="L28" s="320"/>
      <c r="M28" s="320"/>
      <c r="O28" s="1044"/>
      <c r="P28" s="1045"/>
      <c r="Q28" s="1045"/>
      <c r="R28" s="1045"/>
      <c r="S28" s="1055"/>
      <c r="T28" s="1056"/>
      <c r="U28" s="1056"/>
      <c r="V28" s="1056"/>
      <c r="W28" s="1056"/>
      <c r="X28" s="1056"/>
      <c r="Y28" s="1056"/>
      <c r="Z28" s="1056"/>
      <c r="AA28" s="1056"/>
      <c r="AB28" s="1056"/>
      <c r="AC28" s="1056"/>
      <c r="AD28" s="1056"/>
      <c r="AE28" s="1056"/>
      <c r="AF28" s="1056"/>
      <c r="AG28" s="1056"/>
      <c r="AH28" s="1056"/>
      <c r="AI28" s="1056"/>
      <c r="AJ28" s="1056"/>
      <c r="AK28" s="1056"/>
      <c r="AL28" s="1056"/>
      <c r="AM28" s="1056"/>
      <c r="AN28" s="1056"/>
      <c r="AO28" s="1056"/>
      <c r="AP28" s="1056"/>
      <c r="AQ28" s="1056"/>
      <c r="AR28" s="1056"/>
      <c r="AS28" s="1056"/>
      <c r="AT28" s="1069"/>
      <c r="AV28" s="320"/>
      <c r="AW28" s="320"/>
      <c r="AX28" s="320"/>
      <c r="AY28" s="320"/>
      <c r="AZ28" s="320"/>
      <c r="BA28" s="320"/>
      <c r="BB28" s="320"/>
      <c r="BC28" s="320"/>
      <c r="BD28" s="320"/>
      <c r="BE28" s="320"/>
      <c r="BF28" s="320"/>
      <c r="BG28" s="320"/>
      <c r="BH28" s="320"/>
      <c r="BI28" s="320"/>
      <c r="BJ28" s="320"/>
      <c r="BK28" s="320"/>
      <c r="BL28" s="320"/>
      <c r="BM28" s="320"/>
      <c r="BN28" s="320"/>
      <c r="BO28" s="320"/>
    </row>
    <row r="29" ht="16.95" customHeight="1" spans="15:67">
      <c r="O29" s="1044"/>
      <c r="P29" s="1045"/>
      <c r="Q29" s="1045"/>
      <c r="R29" s="1045"/>
      <c r="S29" s="1055"/>
      <c r="T29" s="1056"/>
      <c r="U29" s="1056"/>
      <c r="V29" s="1056"/>
      <c r="W29" s="1056"/>
      <c r="X29" s="1056"/>
      <c r="Y29" s="1056"/>
      <c r="Z29" s="1056"/>
      <c r="AA29" s="1056"/>
      <c r="AB29" s="1056"/>
      <c r="AC29" s="1056"/>
      <c r="AD29" s="1056"/>
      <c r="AE29" s="1056"/>
      <c r="AF29" s="1056"/>
      <c r="AG29" s="1056"/>
      <c r="AH29" s="1056"/>
      <c r="AI29" s="1056"/>
      <c r="AJ29" s="1056"/>
      <c r="AK29" s="1056"/>
      <c r="AL29" s="1056"/>
      <c r="AM29" s="1056"/>
      <c r="AN29" s="1056"/>
      <c r="AO29" s="1056"/>
      <c r="AP29" s="1056"/>
      <c r="AQ29" s="1056"/>
      <c r="AR29" s="1056"/>
      <c r="AS29" s="1056"/>
      <c r="AT29" s="1069"/>
      <c r="AV29" s="320"/>
      <c r="AW29" s="320"/>
      <c r="AX29" s="320"/>
      <c r="AY29" s="320"/>
      <c r="AZ29" s="320"/>
      <c r="BA29" s="320"/>
      <c r="BB29" s="320"/>
      <c r="BC29" s="320"/>
      <c r="BD29" s="320"/>
      <c r="BE29" s="320"/>
      <c r="BF29" s="320"/>
      <c r="BG29" s="320"/>
      <c r="BH29" s="320"/>
      <c r="BI29" s="320"/>
      <c r="BJ29" s="320"/>
      <c r="BK29" s="320"/>
      <c r="BL29" s="320"/>
      <c r="BM29" s="320"/>
      <c r="BN29" s="320"/>
      <c r="BO29" s="320"/>
    </row>
    <row r="30" ht="16.95" customHeight="1" spans="2:67">
      <c r="B30" s="1031" t="s">
        <v>25</v>
      </c>
      <c r="C30" s="1031"/>
      <c r="D30" s="1031"/>
      <c r="E30" s="1031"/>
      <c r="F30" s="1031"/>
      <c r="G30" s="1031"/>
      <c r="H30" s="1031"/>
      <c r="I30" s="1031"/>
      <c r="J30" s="1031"/>
      <c r="K30" s="1031"/>
      <c r="L30" s="1031"/>
      <c r="M30" s="1031"/>
      <c r="O30" s="1044"/>
      <c r="P30" s="1045"/>
      <c r="Q30" s="1045"/>
      <c r="R30" s="1045"/>
      <c r="S30" s="1055"/>
      <c r="T30" s="1056"/>
      <c r="U30" s="1056"/>
      <c r="V30" s="1056"/>
      <c r="W30" s="1056"/>
      <c r="X30" s="1056"/>
      <c r="Y30" s="1056"/>
      <c r="Z30" s="1056"/>
      <c r="AA30" s="1056"/>
      <c r="AB30" s="1056"/>
      <c r="AC30" s="1056"/>
      <c r="AD30" s="1056"/>
      <c r="AE30" s="1056"/>
      <c r="AF30" s="1056"/>
      <c r="AG30" s="1056"/>
      <c r="AH30" s="1056"/>
      <c r="AI30" s="1056"/>
      <c r="AJ30" s="1056"/>
      <c r="AK30" s="1056"/>
      <c r="AL30" s="1056"/>
      <c r="AM30" s="1056"/>
      <c r="AN30" s="1056"/>
      <c r="AO30" s="1056"/>
      <c r="AP30" s="1056"/>
      <c r="AQ30" s="1056"/>
      <c r="AR30" s="1056"/>
      <c r="AS30" s="1056"/>
      <c r="AT30" s="1069"/>
      <c r="AV30" s="320"/>
      <c r="AW30" s="320"/>
      <c r="AX30" s="320"/>
      <c r="AY30" s="320"/>
      <c r="AZ30" s="320"/>
      <c r="BA30" s="320"/>
      <c r="BB30" s="320"/>
      <c r="BC30" s="320"/>
      <c r="BD30" s="320"/>
      <c r="BE30" s="320"/>
      <c r="BF30" s="320"/>
      <c r="BG30" s="320"/>
      <c r="BH30" s="320"/>
      <c r="BI30" s="320"/>
      <c r="BJ30" s="320"/>
      <c r="BK30" s="320"/>
      <c r="BL30" s="320"/>
      <c r="BM30" s="320"/>
      <c r="BN30" s="320"/>
      <c r="BO30" s="320"/>
    </row>
    <row r="31" ht="15" customHeight="1" spans="2:67">
      <c r="B31" s="320"/>
      <c r="C31" s="320"/>
      <c r="D31" s="320"/>
      <c r="E31" s="320"/>
      <c r="F31" s="320"/>
      <c r="G31" s="320"/>
      <c r="H31" s="320"/>
      <c r="I31" s="320"/>
      <c r="J31" s="320"/>
      <c r="K31" s="320"/>
      <c r="L31" s="320"/>
      <c r="M31" s="320"/>
      <c r="O31" s="1044"/>
      <c r="P31" s="1045"/>
      <c r="Q31" s="1045"/>
      <c r="R31" s="1045"/>
      <c r="S31" s="1055"/>
      <c r="T31" s="1056"/>
      <c r="U31" s="1056"/>
      <c r="V31" s="1056"/>
      <c r="W31" s="1056"/>
      <c r="X31" s="1056"/>
      <c r="Y31" s="1056"/>
      <c r="Z31" s="1056"/>
      <c r="AA31" s="1056"/>
      <c r="AB31" s="1056"/>
      <c r="AC31" s="1056"/>
      <c r="AD31" s="1056"/>
      <c r="AE31" s="1056"/>
      <c r="AF31" s="1056"/>
      <c r="AG31" s="1056"/>
      <c r="AH31" s="1056"/>
      <c r="AI31" s="1056"/>
      <c r="AJ31" s="1056"/>
      <c r="AK31" s="1056"/>
      <c r="AL31" s="1056"/>
      <c r="AM31" s="1056"/>
      <c r="AN31" s="1056"/>
      <c r="AO31" s="1056"/>
      <c r="AP31" s="1056"/>
      <c r="AQ31" s="1056"/>
      <c r="AR31" s="1056"/>
      <c r="AS31" s="1056"/>
      <c r="AT31" s="1069"/>
      <c r="AV31" s="320"/>
      <c r="AW31" s="320"/>
      <c r="AX31" s="320"/>
      <c r="AY31" s="320"/>
      <c r="AZ31" s="320"/>
      <c r="BA31" s="320"/>
      <c r="BB31" s="320"/>
      <c r="BC31" s="320"/>
      <c r="BD31" s="320"/>
      <c r="BE31" s="320"/>
      <c r="BF31" s="320"/>
      <c r="BG31" s="320"/>
      <c r="BH31" s="320"/>
      <c r="BI31" s="320"/>
      <c r="BJ31" s="320"/>
      <c r="BK31" s="320"/>
      <c r="BL31" s="320"/>
      <c r="BM31" s="320"/>
      <c r="BN31" s="320"/>
      <c r="BO31" s="320"/>
    </row>
    <row r="32" ht="15" customHeight="1" spans="2:67">
      <c r="B32" s="321"/>
      <c r="C32" s="321"/>
      <c r="D32" s="321"/>
      <c r="E32" s="321"/>
      <c r="F32" s="321"/>
      <c r="G32" s="321"/>
      <c r="H32" s="321"/>
      <c r="I32" s="321"/>
      <c r="J32" s="321"/>
      <c r="K32" s="321"/>
      <c r="L32" s="321"/>
      <c r="M32" s="321"/>
      <c r="O32" s="1044"/>
      <c r="P32" s="1045"/>
      <c r="Q32" s="1045"/>
      <c r="R32" s="1045"/>
      <c r="S32" s="1055"/>
      <c r="T32" s="1056"/>
      <c r="U32" s="1056"/>
      <c r="V32" s="1056"/>
      <c r="W32" s="1056"/>
      <c r="X32" s="1056"/>
      <c r="Y32" s="1056"/>
      <c r="Z32" s="1056"/>
      <c r="AA32" s="1056"/>
      <c r="AB32" s="1056"/>
      <c r="AC32" s="1056"/>
      <c r="AD32" s="1056"/>
      <c r="AE32" s="1056"/>
      <c r="AF32" s="1056"/>
      <c r="AG32" s="1056"/>
      <c r="AH32" s="1056"/>
      <c r="AI32" s="1056"/>
      <c r="AJ32" s="1056"/>
      <c r="AK32" s="1056"/>
      <c r="AL32" s="1056"/>
      <c r="AM32" s="1056"/>
      <c r="AN32" s="1056"/>
      <c r="AO32" s="1056"/>
      <c r="AP32" s="1056"/>
      <c r="AQ32" s="1056"/>
      <c r="AR32" s="1056"/>
      <c r="AS32" s="1056"/>
      <c r="AT32" s="1069"/>
      <c r="AV32" s="320"/>
      <c r="AW32" s="320"/>
      <c r="AX32" s="320"/>
      <c r="AY32" s="320"/>
      <c r="AZ32" s="320"/>
      <c r="BA32" s="320"/>
      <c r="BB32" s="320"/>
      <c r="BC32" s="320"/>
      <c r="BD32" s="320"/>
      <c r="BE32" s="320"/>
      <c r="BF32" s="320"/>
      <c r="BG32" s="320"/>
      <c r="BH32" s="320"/>
      <c r="BI32" s="320"/>
      <c r="BJ32" s="320"/>
      <c r="BK32" s="320"/>
      <c r="BL32" s="320"/>
      <c r="BM32" s="320"/>
      <c r="BN32" s="320"/>
      <c r="BO32" s="320"/>
    </row>
    <row r="33" ht="15" customHeight="1" spans="2:67">
      <c r="B33" s="320"/>
      <c r="C33" s="320"/>
      <c r="D33" s="320"/>
      <c r="E33" s="320"/>
      <c r="F33" s="320"/>
      <c r="G33" s="320"/>
      <c r="H33" s="320"/>
      <c r="I33" s="320"/>
      <c r="J33" s="320"/>
      <c r="K33" s="320"/>
      <c r="L33" s="320"/>
      <c r="M33" s="320"/>
      <c r="O33" s="1044"/>
      <c r="P33" s="1045"/>
      <c r="Q33" s="1045"/>
      <c r="R33" s="1045"/>
      <c r="S33" s="1055"/>
      <c r="T33" s="1056"/>
      <c r="U33" s="1056"/>
      <c r="V33" s="1056"/>
      <c r="W33" s="1056"/>
      <c r="X33" s="1056"/>
      <c r="Y33" s="1056"/>
      <c r="Z33" s="1056"/>
      <c r="AA33" s="1056"/>
      <c r="AB33" s="1056"/>
      <c r="AC33" s="1056"/>
      <c r="AD33" s="1056"/>
      <c r="AE33" s="1056"/>
      <c r="AF33" s="1056"/>
      <c r="AG33" s="1056"/>
      <c r="AH33" s="1056"/>
      <c r="AI33" s="1056"/>
      <c r="AJ33" s="1056"/>
      <c r="AK33" s="1056"/>
      <c r="AL33" s="1056"/>
      <c r="AM33" s="1056"/>
      <c r="AN33" s="1056"/>
      <c r="AO33" s="1056"/>
      <c r="AP33" s="1056"/>
      <c r="AQ33" s="1056"/>
      <c r="AR33" s="1056"/>
      <c r="AS33" s="1056"/>
      <c r="AT33" s="1069"/>
      <c r="AV33" s="320"/>
      <c r="AW33" s="320"/>
      <c r="AX33" s="320"/>
      <c r="AY33" s="320"/>
      <c r="AZ33" s="320"/>
      <c r="BA33" s="320"/>
      <c r="BB33" s="320"/>
      <c r="BC33" s="320"/>
      <c r="BD33" s="320"/>
      <c r="BE33" s="320"/>
      <c r="BF33" s="320"/>
      <c r="BG33" s="320"/>
      <c r="BH33" s="320"/>
      <c r="BI33" s="320"/>
      <c r="BJ33" s="320"/>
      <c r="BK33" s="320"/>
      <c r="BL33" s="320"/>
      <c r="BM33" s="320"/>
      <c r="BN33" s="320"/>
      <c r="BO33" s="320"/>
    </row>
    <row r="34" ht="15" customHeight="1" spans="2:67">
      <c r="B34" s="321"/>
      <c r="C34" s="321"/>
      <c r="D34" s="321"/>
      <c r="E34" s="321"/>
      <c r="F34" s="321"/>
      <c r="G34" s="321"/>
      <c r="H34" s="321"/>
      <c r="I34" s="321"/>
      <c r="J34" s="321"/>
      <c r="K34" s="321"/>
      <c r="L34" s="321"/>
      <c r="M34" s="321"/>
      <c r="O34" s="1044"/>
      <c r="P34" s="1045"/>
      <c r="Q34" s="1045"/>
      <c r="R34" s="1045"/>
      <c r="S34" s="1055"/>
      <c r="T34" s="1056"/>
      <c r="U34" s="1056"/>
      <c r="V34" s="1056"/>
      <c r="W34" s="1056"/>
      <c r="X34" s="1056"/>
      <c r="Y34" s="1056"/>
      <c r="Z34" s="1056"/>
      <c r="AA34" s="1056"/>
      <c r="AB34" s="1056"/>
      <c r="AC34" s="1056"/>
      <c r="AD34" s="1056"/>
      <c r="AE34" s="1056"/>
      <c r="AF34" s="1056"/>
      <c r="AG34" s="1056"/>
      <c r="AH34" s="1056"/>
      <c r="AI34" s="1056"/>
      <c r="AJ34" s="1056"/>
      <c r="AK34" s="1056"/>
      <c r="AL34" s="1056"/>
      <c r="AM34" s="1056"/>
      <c r="AN34" s="1056"/>
      <c r="AO34" s="1056"/>
      <c r="AP34" s="1056"/>
      <c r="AQ34" s="1056"/>
      <c r="AR34" s="1056"/>
      <c r="AS34" s="1056"/>
      <c r="AT34" s="1069"/>
      <c r="AV34" s="320"/>
      <c r="AW34" s="320"/>
      <c r="AX34" s="320"/>
      <c r="AY34" s="320"/>
      <c r="AZ34" s="320"/>
      <c r="BA34" s="320"/>
      <c r="BB34" s="320"/>
      <c r="BC34" s="320"/>
      <c r="BD34" s="320"/>
      <c r="BE34" s="320"/>
      <c r="BF34" s="320"/>
      <c r="BG34" s="320"/>
      <c r="BH34" s="320"/>
      <c r="BI34" s="320"/>
      <c r="BJ34" s="320"/>
      <c r="BK34" s="320"/>
      <c r="BL34" s="320"/>
      <c r="BM34" s="320"/>
      <c r="BN34" s="320"/>
      <c r="BO34" s="320"/>
    </row>
    <row r="35" ht="15" customHeight="1" spans="2:67">
      <c r="B35" s="320"/>
      <c r="C35" s="320"/>
      <c r="D35" s="320"/>
      <c r="E35" s="320"/>
      <c r="F35" s="320"/>
      <c r="G35" s="320"/>
      <c r="H35" s="320"/>
      <c r="I35" s="320"/>
      <c r="J35" s="320"/>
      <c r="K35" s="320"/>
      <c r="L35" s="320"/>
      <c r="M35" s="320"/>
      <c r="O35" s="1046"/>
      <c r="P35" s="1047"/>
      <c r="Q35" s="1047"/>
      <c r="R35" s="1047"/>
      <c r="S35" s="1057"/>
      <c r="T35" s="1058"/>
      <c r="U35" s="1058"/>
      <c r="V35" s="1058"/>
      <c r="W35" s="1058"/>
      <c r="X35" s="1058"/>
      <c r="Y35" s="1058"/>
      <c r="Z35" s="1058"/>
      <c r="AA35" s="1058"/>
      <c r="AB35" s="1058"/>
      <c r="AC35" s="1058"/>
      <c r="AD35" s="1058"/>
      <c r="AE35" s="1058"/>
      <c r="AF35" s="1058"/>
      <c r="AG35" s="1058"/>
      <c r="AH35" s="1058"/>
      <c r="AI35" s="1058"/>
      <c r="AJ35" s="1058"/>
      <c r="AK35" s="1058"/>
      <c r="AL35" s="1058"/>
      <c r="AM35" s="1058"/>
      <c r="AN35" s="1058"/>
      <c r="AO35" s="1058"/>
      <c r="AP35" s="1058"/>
      <c r="AQ35" s="1058"/>
      <c r="AR35" s="1058"/>
      <c r="AS35" s="1058"/>
      <c r="AT35" s="1070"/>
      <c r="AV35" s="320"/>
      <c r="AW35" s="320"/>
      <c r="AX35" s="320"/>
      <c r="AY35" s="320"/>
      <c r="AZ35" s="320"/>
      <c r="BA35" s="320"/>
      <c r="BB35" s="320"/>
      <c r="BC35" s="320"/>
      <c r="BD35" s="320"/>
      <c r="BE35" s="320"/>
      <c r="BF35" s="320"/>
      <c r="BG35" s="320"/>
      <c r="BH35" s="320"/>
      <c r="BI35" s="320"/>
      <c r="BJ35" s="320"/>
      <c r="BK35" s="320"/>
      <c r="BL35" s="320"/>
      <c r="BM35" s="320"/>
      <c r="BN35" s="320"/>
      <c r="BO35" s="320"/>
    </row>
    <row r="36" ht="15" customHeight="1" spans="2:13">
      <c r="B36" s="1032"/>
      <c r="C36" s="1032"/>
      <c r="D36" s="1032"/>
      <c r="E36" s="1032"/>
      <c r="F36" s="1032"/>
      <c r="G36" s="1032"/>
      <c r="H36" s="1032"/>
      <c r="I36" s="1032"/>
      <c r="J36" s="1032"/>
      <c r="K36" s="1032"/>
      <c r="L36" s="1032"/>
      <c r="M36" s="1032"/>
    </row>
  </sheetData>
  <sheetProtection sheet="1"/>
  <mergeCells count="67">
    <mergeCell ref="A1:BP1"/>
    <mergeCell ref="B3:D3"/>
    <mergeCell ref="E3:M3"/>
    <mergeCell ref="O3:AN3"/>
    <mergeCell ref="AP3:BO3"/>
    <mergeCell ref="B4:D4"/>
    <mergeCell ref="E4:M4"/>
    <mergeCell ref="O4:R4"/>
    <mergeCell ref="S4:AA4"/>
    <mergeCell ref="AB4:AE4"/>
    <mergeCell ref="AF4:AN4"/>
    <mergeCell ref="B5:D5"/>
    <mergeCell ref="E5:M5"/>
    <mergeCell ref="O5:R5"/>
    <mergeCell ref="S5:AN5"/>
    <mergeCell ref="B6:D6"/>
    <mergeCell ref="E6:M6"/>
    <mergeCell ref="O6:R6"/>
    <mergeCell ref="S6:AN6"/>
    <mergeCell ref="B8:D8"/>
    <mergeCell ref="E8:G8"/>
    <mergeCell ref="H8:J8"/>
    <mergeCell ref="K8:M8"/>
    <mergeCell ref="B9:D9"/>
    <mergeCell ref="E9:G9"/>
    <mergeCell ref="H9:J9"/>
    <mergeCell ref="K9:M9"/>
    <mergeCell ref="B11:M11"/>
    <mergeCell ref="S11:AT11"/>
    <mergeCell ref="AV11:BO11"/>
    <mergeCell ref="S12:AT12"/>
    <mergeCell ref="O13:R13"/>
    <mergeCell ref="S13:AT13"/>
    <mergeCell ref="O14:R14"/>
    <mergeCell ref="S14:AT14"/>
    <mergeCell ref="O15:R15"/>
    <mergeCell ref="S15:AT15"/>
    <mergeCell ref="B23:M23"/>
    <mergeCell ref="B24:G24"/>
    <mergeCell ref="H24:M24"/>
    <mergeCell ref="B25:G25"/>
    <mergeCell ref="H25:M25"/>
    <mergeCell ref="B26:G26"/>
    <mergeCell ref="H26:M26"/>
    <mergeCell ref="B27:G27"/>
    <mergeCell ref="H27:M27"/>
    <mergeCell ref="B28:G28"/>
    <mergeCell ref="H28:M28"/>
    <mergeCell ref="B30:M30"/>
    <mergeCell ref="B31:G31"/>
    <mergeCell ref="H31:M31"/>
    <mergeCell ref="B32:G32"/>
    <mergeCell ref="H32:M32"/>
    <mergeCell ref="B33:G33"/>
    <mergeCell ref="H33:M33"/>
    <mergeCell ref="B34:G34"/>
    <mergeCell ref="H34:M34"/>
    <mergeCell ref="B35:G35"/>
    <mergeCell ref="H35:M35"/>
    <mergeCell ref="B12:M21"/>
    <mergeCell ref="O7:R9"/>
    <mergeCell ref="S7:AN9"/>
    <mergeCell ref="AP4:BO9"/>
    <mergeCell ref="O11:R12"/>
    <mergeCell ref="AV12:BO35"/>
    <mergeCell ref="S17:AT35"/>
    <mergeCell ref="O17:R35"/>
  </mergeCells>
  <dataValidations count="11">
    <dataValidation type="list" allowBlank="1" showInputMessage="1" sqref="E3:M3">
      <formula1>主要!$E$3</formula1>
    </dataValidation>
    <dataValidation type="list" allowBlank="1" showInputMessage="1" sqref="E4:M4">
      <formula1>主要!$E$4</formula1>
    </dataValidation>
    <dataValidation type="list" allowBlank="1" showInputMessage="1" sqref="S4:AA4">
      <formula1>背景!$J$2</formula1>
    </dataValidation>
    <dataValidation type="list" allowBlank="1" showInputMessage="1" sqref="AF4:AN4">
      <formula1>背景!$K$2</formula1>
    </dataValidation>
    <dataValidation type="list" allowBlank="1" showInputMessage="1" sqref="S5:AA5">
      <formula1>背景!$L$2</formula1>
    </dataValidation>
    <dataValidation type="list" allowBlank="1" showInputMessage="1" sqref="E6:M6">
      <formula1>OFFSET(背景!$A$2:$A$150,,,SUMPRODUCT(N(LEN(背景!$A$2:$A$150)&gt;0)),)</formula1>
    </dataValidation>
    <dataValidation type="list" allowBlank="1" showInputMessage="1" sqref="S6:AA6">
      <formula1>背景!$M$2</formula1>
    </dataValidation>
    <dataValidation type="list" allowBlank="1" showInputMessage="1" sqref="S7:AD8">
      <formula1>背景!$N$2</formula1>
    </dataValidation>
    <dataValidation type="list" allowBlank="1" showInputMessage="1" sqref="AP4:BO7">
      <formula1>背景!$O$2</formula1>
    </dataValidation>
    <dataValidation type="list" allowBlank="1" showInputMessage="1" sqref="B24:M28">
      <formula1>数据表!$M$2:$M$22</formula1>
    </dataValidation>
    <dataValidation type="list" allowBlank="1" showInputMessage="1" sqref="B31:M35">
      <formula1>OFFSET(装备!$K$1:$K$45,,,SUMPRODUCT(N(LEN(装备!$K$1:$K$45)&gt;0)),)</formula1>
    </dataValidation>
  </dataValidations>
  <pageMargins left="0.75" right="0.75" top="1" bottom="1" header="0.511805555555556" footer="0.511805555555556"/>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theme="8" tint="-0.249977111117893"/>
    <pageSetUpPr fitToPage="1"/>
  </sheetPr>
  <dimension ref="A1:DT86"/>
  <sheetViews>
    <sheetView showGridLines="0" tabSelected="1" zoomScale="85" zoomScaleNormal="85" workbookViewId="0">
      <selection activeCell="E5" sqref="E5:H5"/>
    </sheetView>
  </sheetViews>
  <sheetFormatPr defaultColWidth="2.33636363636364" defaultRowHeight="16.65" customHeight="1"/>
  <cols>
    <col min="1" max="1" width="2.33636363636364" style="383"/>
    <col min="2" max="2" width="2.33636363636364" style="383" customWidth="1"/>
    <col min="3" max="18" width="2.33636363636364" style="383"/>
    <col min="19" max="19" width="2.33636363636364" style="383" customWidth="1"/>
    <col min="20" max="37" width="2.33636363636364" style="383"/>
    <col min="38" max="38" width="2.33636363636364" style="383" customWidth="1"/>
    <col min="39" max="47" width="2.33636363636364" style="383"/>
    <col min="48" max="48" width="2.66363636363636" style="383" customWidth="1"/>
    <col min="49" max="49" width="2.33636363636364" style="383" customWidth="1"/>
    <col min="50" max="62" width="2.33636363636364" style="383"/>
    <col min="63" max="63" width="2.33636363636364" style="383" customWidth="1"/>
    <col min="64" max="70" width="2.33636363636364" style="383"/>
    <col min="71" max="71" width="2.33636363636364" style="383" customWidth="1"/>
    <col min="72" max="72" width="2.33636363636364" style="759" customWidth="1"/>
    <col min="73" max="78" width="2.33636363636364" style="759"/>
    <col min="79" max="79" width="2.33636363636364" style="759" customWidth="1"/>
    <col min="80" max="86" width="2.33636363636364" style="759"/>
    <col min="87" max="88" width="2.33636363636364" style="759" customWidth="1"/>
    <col min="89" max="16384" width="2.33636363636364" style="759"/>
  </cols>
  <sheetData>
    <row r="1" customHeight="1" spans="1:93">
      <c r="A1" s="849" t="s">
        <v>26</v>
      </c>
      <c r="B1" s="849"/>
      <c r="C1" s="849"/>
      <c r="D1" s="849"/>
      <c r="E1" s="849"/>
      <c r="F1" s="849"/>
      <c r="G1" s="849"/>
      <c r="H1" s="849"/>
      <c r="I1" s="849"/>
      <c r="J1" s="849"/>
      <c r="K1" s="849"/>
      <c r="L1" s="849"/>
      <c r="M1" s="849"/>
      <c r="N1" s="849"/>
      <c r="O1" s="849"/>
      <c r="P1" s="849"/>
      <c r="Q1" s="849"/>
      <c r="R1" s="849"/>
      <c r="S1" s="849"/>
      <c r="T1" s="849"/>
      <c r="U1" s="849"/>
      <c r="V1" s="849"/>
      <c r="W1" s="849"/>
      <c r="X1" s="849"/>
      <c r="Y1" s="849"/>
      <c r="Z1" s="849"/>
      <c r="AA1" s="849"/>
      <c r="AB1" s="849"/>
      <c r="AC1" s="849"/>
      <c r="AD1" s="849"/>
      <c r="AE1" s="849"/>
      <c r="AF1" s="849"/>
      <c r="AG1" s="849"/>
      <c r="AH1" s="849"/>
      <c r="AI1" s="849"/>
      <c r="AJ1" s="849"/>
      <c r="AK1" s="849"/>
      <c r="AL1" s="849"/>
      <c r="AM1" s="849"/>
      <c r="AN1" s="849"/>
      <c r="AO1" s="849"/>
      <c r="AP1" s="849"/>
      <c r="AQ1" s="849"/>
      <c r="AR1" s="849"/>
      <c r="AS1" s="849"/>
      <c r="AT1" s="849"/>
      <c r="AU1" s="849"/>
      <c r="AV1" s="987" t="str">
        <f>".st"&amp;" 力量"&amp;IF($B$13="O","*","")&amp;":"&amp;$F$13&amp;" 敏捷"&amp;IF($B$14="O","*","")&amp;":"&amp;$F$14&amp;" 体质"&amp;IF($B$15="O","*","")&amp;":"&amp;$F$15&amp;" 智力"&amp;IF($B$16="O","*","")&amp;":"&amp;$F$16&amp;" 感知"&amp;IF($B$17="O","*","")&amp;":"&amp;$F$17&amp;" 魅力"&amp;IF($B$18="O","*","")&amp;":"&amp;$F$18&amp;" hp"&amp;":"&amp;M22&amp;" hpmax"&amp;":"&amp;Q22&amp;" 先攻"&amp;":"&amp;D22&amp;" ac"&amp;":"&amp;D23&amp;" dc"&amp;":"&amp;D25&amp;" pp"&amp;":"&amp;$F$27&amp;" 熟练"&amp;":"&amp;S3&amp;" 运动"&amp;IF($B$32="O","*",IF($B$32="🅞","*2",IF($J$30="O","*0.5","")))&amp;":"&amp;IF($F$32+$E$30="",0,$F$32+$E$30)&amp;" 特技"&amp;IF($B$34="O","*",IF($B$34="🅞","*2",IF($J$30="O","*0.5","")))&amp;":"&amp;IF($F$34+$E$30="",0,$F$34+$E$30)&amp;" 巧手"&amp;IF($B$35="O","*",IF($B$35="🅞","*2",IF($J$30="O","*0.5","")))&amp;":"&amp;IF($F$35+$E$30="",0,$F$35+$E$30)&amp;" 隐匿"&amp;IF($B$36="O","*",IF($B$36="🅞","*2",IF($J$30="O","*0.5","")))&amp;":"&amp;IF($F$36+$E$30="",0,$F$36+$E$30)&amp;" 调查"&amp;IF($B$38="O","*",IF($B$38="🅞","*2",IF($J$30="O","*0.5","")))&amp;":"&amp;IF($F$38+$E$30="",0,$F$38+$E$30)&amp;" 奥秘"&amp;IF($B$39="O","*",IF($B$39="🅞","*2",IF($J$30="O","*0.5","")))&amp;":"&amp;IF($F$39+$E$30="",0,$F$39+$E$30)&amp;" 历史"&amp;IF($B$40="O","*",IF($B$40="🅞","*2",IF($J$30="O","*0.5","")))&amp;":"&amp;IF($F$40+$E$30="",0,$F$40+$E$30)&amp;" 自然"&amp;IF($B$41="O","*",IF($B$41="🅞","*2",IF($J$30="O","*0.5","")))&amp;":"&amp;IF($F$41+$E$30="",0,$F$41+$E$30)&amp;" 宗教"&amp;IF($B$42="O","*",IF($B$42="🅞","*2",IF($J$30="O","*0.5","")))&amp;":"&amp;IF($F$42+$E$30="",0,$F$42+$E$30)&amp;" 察觉"&amp;IF($B$44="O","*",IF($B$44="🅞","*2",IF($J$30="O","*0.5","")))&amp;":"&amp;IF($F$44+$E$30="",0,$F$44+$E$30)&amp;" 洞悉"&amp;IF($B$45="O","*",IF($B$45="🅞","*2",IF($J$30="O","*0.5","")))&amp;":"&amp;IF($F$45+$E$30="",0,$F$45+$E$30)&amp;" 驯兽"&amp;IF($B$46="O","*",IF($B$46="🅞","*2",IF($J$30="O","*0.5","")))&amp;":"&amp;IF($F$46+$E$30="",0,$F$46+$E$30)&amp;" 医疗"&amp;IF($B$47="O","*",IF($B$47="🅞","*2",IF($J$30="O","*0.5","")))&amp;":"&amp;IF($F$47+$E$30="",0,$F$47+$E$30)&amp;" 求生"&amp;IF($B$48="O","*",IF($B$48="🅞","*2",IF($J$30="O","*0.5","")))&amp;":"&amp;IF($F$48+$E$30="",0,$F$48+$E$30)&amp;" 游说"&amp;IF($B$50="O","*",IF($B$50="🅞","*2",IF($J$30="O","*0.5","")))&amp;":"&amp;IF($F$50+$E$30="",0,$F$50+$E$30)&amp;" 欺瞒"&amp;IF($B$51="O","*",IF($B$51="🅞","*2",IF($J$30="O","*0.5","")))&amp;":"&amp;IF($F$51+$E$30="",0,$F$51+$E$30)&amp;" 威吓"&amp;IF($B$52="O","*",IF($B$52="🅞","*2",IF($J$30="O","*0.5","")))&amp;":"&amp;IF($F$52+$E$30="",0,$F$52+$E$30)&amp;" 表演"&amp;IF($B$53="O","*",IF($B$53="🅞","*2",IF($J$30="O","*0.5","")))&amp;":"&amp;IF($F$53+$E$30="",0,$F$53+$E$30)</f>
        <v>.st 力量:10 敏捷:10 体质:10 智力:10 感知:10 魅力:10 hp:0 hpmax:0 先攻:0 ac:10 dc:10 pp:10 熟练:2 运动:0 特技:0 巧手:0 隐匿:0 调查:0 奥秘:0 历史:0 自然:0 宗教:0 察觉:0 洞悉:0 驯兽:0 医疗:0 求生:0 游说:0 欺瞒:0 威吓:0 表演:0</v>
      </c>
      <c r="AW1" s="849" t="s">
        <v>27</v>
      </c>
      <c r="AX1" s="849"/>
      <c r="AY1" s="849"/>
      <c r="AZ1" s="849"/>
      <c r="BA1" s="849"/>
      <c r="BB1" s="849"/>
      <c r="BC1" s="849"/>
      <c r="BD1" s="849"/>
      <c r="BE1" s="849"/>
      <c r="BF1" s="849"/>
      <c r="BG1" s="849"/>
      <c r="BH1" s="849"/>
      <c r="BI1" s="849"/>
      <c r="BJ1" s="995" t="s">
        <v>28</v>
      </c>
      <c r="BK1" s="995"/>
      <c r="BL1" s="995"/>
      <c r="BM1" s="995"/>
      <c r="BN1" s="995"/>
      <c r="BO1" s="995"/>
      <c r="BP1" s="995"/>
      <c r="BQ1" s="991" t="s">
        <v>29</v>
      </c>
      <c r="BR1" s="991"/>
      <c r="BT1" s="817" t="s">
        <v>30</v>
      </c>
      <c r="BU1" s="817"/>
      <c r="BV1" s="817"/>
      <c r="BW1" s="817"/>
      <c r="BX1" s="817"/>
      <c r="BY1" s="817"/>
      <c r="BZ1" s="817"/>
      <c r="CA1" s="817"/>
      <c r="CB1" s="817"/>
      <c r="CC1" s="817"/>
      <c r="CD1" s="817"/>
      <c r="CE1" s="817"/>
      <c r="CF1" s="817"/>
      <c r="CG1" s="817"/>
      <c r="CH1" s="817"/>
      <c r="CI1" s="817"/>
      <c r="CJ1" s="817"/>
      <c r="CK1" s="817"/>
      <c r="CL1" s="817"/>
      <c r="CM1" s="817"/>
      <c r="CN1" s="817"/>
      <c r="CO1" s="817"/>
    </row>
    <row r="2" customHeight="1" spans="47:93">
      <c r="AU2" s="759"/>
      <c r="AX2" s="293" t="s">
        <v>31</v>
      </c>
      <c r="AY2" s="293"/>
      <c r="AZ2" s="293" t="s">
        <v>32</v>
      </c>
      <c r="BA2" s="293"/>
      <c r="BB2" s="293" t="s">
        <v>33</v>
      </c>
      <c r="BC2" s="293"/>
      <c r="BD2" s="293" t="s">
        <v>34</v>
      </c>
      <c r="BE2" s="293"/>
      <c r="BF2" s="293" t="s">
        <v>35</v>
      </c>
      <c r="BG2" s="293"/>
      <c r="BH2" s="293" t="s">
        <v>36</v>
      </c>
      <c r="BI2" s="293"/>
      <c r="BJ2" s="293" t="s">
        <v>37</v>
      </c>
      <c r="BK2" s="293"/>
      <c r="BL2" s="293" t="s">
        <v>38</v>
      </c>
      <c r="BM2" s="293"/>
      <c r="BN2" s="293" t="s">
        <v>39</v>
      </c>
      <c r="BO2" s="293"/>
      <c r="BP2" s="293" t="s">
        <v>40</v>
      </c>
      <c r="BQ2" s="293"/>
      <c r="BT2" s="875" t="s">
        <v>41</v>
      </c>
      <c r="BU2" s="875"/>
      <c r="BV2" s="875"/>
      <c r="BW2" s="875"/>
      <c r="BX2" s="875"/>
      <c r="BY2" s="875"/>
      <c r="BZ2" s="875"/>
      <c r="CA2" s="875"/>
      <c r="CB2" s="875"/>
      <c r="CC2" s="875"/>
      <c r="CD2" s="875"/>
      <c r="CE2" s="889"/>
      <c r="CF2" s="761" t="s">
        <v>42</v>
      </c>
      <c r="CG2" s="761"/>
      <c r="CH2" s="761"/>
      <c r="CI2" s="761"/>
      <c r="CJ2" s="761"/>
      <c r="CK2" s="761"/>
      <c r="CL2" s="761"/>
      <c r="CM2" s="761"/>
      <c r="CN2" s="761"/>
      <c r="CO2" s="761"/>
    </row>
    <row r="3" customHeight="1" spans="2:93">
      <c r="B3" s="850" t="s">
        <v>1</v>
      </c>
      <c r="C3" s="850"/>
      <c r="D3" s="850"/>
      <c r="E3" s="320"/>
      <c r="F3" s="320"/>
      <c r="G3" s="320"/>
      <c r="H3" s="320"/>
      <c r="I3" s="320"/>
      <c r="J3" s="320"/>
      <c r="K3" s="320"/>
      <c r="L3" s="320"/>
      <c r="M3" s="320"/>
      <c r="N3" s="320"/>
      <c r="Q3" s="318" t="s">
        <v>43</v>
      </c>
      <c r="R3" s="318"/>
      <c r="S3" s="931">
        <f>IFERROR(VLOOKUP(SUM(O6,O7,O8),数据表!CM2:CN21,2,FALSE)+W4,IF(SUM(O6,O7,O8)&gt;=20,6,2))</f>
        <v>2</v>
      </c>
      <c r="T3" s="931"/>
      <c r="U3" s="931"/>
      <c r="W3" s="293" t="s">
        <v>44</v>
      </c>
      <c r="X3" s="293"/>
      <c r="AA3" s="963"/>
      <c r="AB3" s="964"/>
      <c r="AC3" s="964"/>
      <c r="AD3" s="964"/>
      <c r="AE3" s="964"/>
      <c r="AF3" s="964"/>
      <c r="AG3" s="964"/>
      <c r="AH3" s="964"/>
      <c r="AI3" s="964"/>
      <c r="AJ3" s="964"/>
      <c r="AK3" s="964"/>
      <c r="AL3" s="964"/>
      <c r="AM3" s="964"/>
      <c r="AN3" s="964"/>
      <c r="AO3" s="964"/>
      <c r="AP3" s="964"/>
      <c r="AQ3" s="964"/>
      <c r="AR3" s="964"/>
      <c r="AS3" s="964"/>
      <c r="AT3" s="988"/>
      <c r="AU3" s="759"/>
      <c r="AW3" s="994" t="s">
        <v>27</v>
      </c>
      <c r="AX3" s="320"/>
      <c r="AY3" s="320"/>
      <c r="AZ3" s="320"/>
      <c r="BA3" s="320"/>
      <c r="BB3" s="320"/>
      <c r="BC3" s="320"/>
      <c r="BD3" s="320"/>
      <c r="BE3" s="320"/>
      <c r="BF3" s="320"/>
      <c r="BG3" s="320"/>
      <c r="BH3" s="320"/>
      <c r="BI3" s="320"/>
      <c r="BJ3" s="320"/>
      <c r="BK3" s="320"/>
      <c r="BL3" s="320"/>
      <c r="BM3" s="320"/>
      <c r="BN3" s="320"/>
      <c r="BO3" s="320"/>
      <c r="BP3" s="320"/>
      <c r="BQ3" s="320"/>
      <c r="BT3" s="996" t="s">
        <v>45</v>
      </c>
      <c r="BU3" s="999"/>
      <c r="BV3" s="999"/>
      <c r="BW3" s="999"/>
      <c r="BX3" s="999"/>
      <c r="BY3" s="999"/>
      <c r="BZ3" s="999"/>
      <c r="CA3" s="999"/>
      <c r="CB3" s="999"/>
      <c r="CC3" s="1002"/>
      <c r="CD3" s="1003" t="s">
        <v>46</v>
      </c>
      <c r="CE3" s="383"/>
      <c r="CF3" s="997" t="s">
        <v>47</v>
      </c>
      <c r="CG3" s="1000"/>
      <c r="CH3" s="1000"/>
      <c r="CI3" s="1000"/>
      <c r="CJ3" s="1000"/>
      <c r="CK3" s="1000"/>
      <c r="CL3" s="1000"/>
      <c r="CM3" s="1000"/>
      <c r="CN3" s="1004"/>
      <c r="CO3" s="1005" t="s">
        <v>46</v>
      </c>
    </row>
    <row r="4" customHeight="1" spans="2:93">
      <c r="B4" s="851" t="s">
        <v>4</v>
      </c>
      <c r="C4" s="851"/>
      <c r="D4" s="851"/>
      <c r="E4" s="320"/>
      <c r="F4" s="320"/>
      <c r="G4" s="320"/>
      <c r="H4" s="320"/>
      <c r="I4" s="320"/>
      <c r="J4" s="320"/>
      <c r="K4" s="320"/>
      <c r="L4" s="320"/>
      <c r="M4" s="320"/>
      <c r="N4" s="320"/>
      <c r="Q4" s="318"/>
      <c r="R4" s="318"/>
      <c r="S4" s="931"/>
      <c r="T4" s="931"/>
      <c r="U4" s="931"/>
      <c r="V4" s="932" t="s">
        <v>48</v>
      </c>
      <c r="W4" s="320"/>
      <c r="X4" s="320"/>
      <c r="AA4" s="965"/>
      <c r="AB4" s="390"/>
      <c r="AC4" s="390"/>
      <c r="AD4" s="390"/>
      <c r="AE4" s="390"/>
      <c r="AF4" s="390"/>
      <c r="AG4" s="390"/>
      <c r="AH4" s="390"/>
      <c r="AI4" s="390"/>
      <c r="AJ4" s="390"/>
      <c r="AK4" s="390"/>
      <c r="AL4" s="390"/>
      <c r="AM4" s="390"/>
      <c r="AN4" s="390"/>
      <c r="AO4" s="390"/>
      <c r="AP4" s="390"/>
      <c r="AQ4" s="390"/>
      <c r="AR4" s="390"/>
      <c r="AS4" s="390"/>
      <c r="AT4" s="989"/>
      <c r="AU4" s="759"/>
      <c r="AW4" s="994"/>
      <c r="AX4" s="293" t="s">
        <v>49</v>
      </c>
      <c r="AY4" s="293"/>
      <c r="AZ4" s="293" t="s">
        <v>50</v>
      </c>
      <c r="BA4" s="293"/>
      <c r="BB4" s="293" t="s">
        <v>51</v>
      </c>
      <c r="BC4" s="293"/>
      <c r="BD4" s="293" t="s">
        <v>52</v>
      </c>
      <c r="BE4" s="293"/>
      <c r="BF4" s="293" t="s">
        <v>53</v>
      </c>
      <c r="BG4" s="293"/>
      <c r="BH4" s="293" t="s">
        <v>54</v>
      </c>
      <c r="BI4" s="293"/>
      <c r="BJ4" s="293" t="s">
        <v>55</v>
      </c>
      <c r="BK4" s="293"/>
      <c r="BL4" s="293" t="s">
        <v>56</v>
      </c>
      <c r="BM4" s="293"/>
      <c r="BN4" s="293" t="s">
        <v>57</v>
      </c>
      <c r="BO4" s="293"/>
      <c r="BP4" s="293" t="s">
        <v>58</v>
      </c>
      <c r="BQ4" s="293"/>
      <c r="BT4" s="997" t="s">
        <v>59</v>
      </c>
      <c r="BU4" s="1000"/>
      <c r="BV4" s="1000"/>
      <c r="BW4" s="1000"/>
      <c r="BX4" s="1000"/>
      <c r="BY4" s="1000"/>
      <c r="BZ4" s="1000"/>
      <c r="CA4" s="1000"/>
      <c r="CB4" s="1000"/>
      <c r="CC4" s="1004"/>
      <c r="CD4" s="1005" t="s">
        <v>46</v>
      </c>
      <c r="CE4" s="383"/>
      <c r="CF4" s="996" t="s">
        <v>60</v>
      </c>
      <c r="CG4" s="999"/>
      <c r="CH4" s="999"/>
      <c r="CI4" s="999"/>
      <c r="CJ4" s="999"/>
      <c r="CK4" s="999"/>
      <c r="CL4" s="999"/>
      <c r="CM4" s="999"/>
      <c r="CN4" s="1002"/>
      <c r="CO4" s="1003" t="s">
        <v>46</v>
      </c>
    </row>
    <row r="5" customHeight="1" spans="5:93">
      <c r="E5" s="293" t="s">
        <v>61</v>
      </c>
      <c r="F5" s="293"/>
      <c r="G5" s="293"/>
      <c r="H5" s="293"/>
      <c r="I5" s="293" t="s">
        <v>62</v>
      </c>
      <c r="J5" s="293"/>
      <c r="K5" s="293"/>
      <c r="L5" s="293"/>
      <c r="M5" s="293"/>
      <c r="N5" s="293"/>
      <c r="O5" s="293" t="s">
        <v>63</v>
      </c>
      <c r="P5" s="293"/>
      <c r="AA5" s="965"/>
      <c r="AB5" s="390"/>
      <c r="AC5" s="390"/>
      <c r="AD5" s="390"/>
      <c r="AE5" s="390"/>
      <c r="AF5" s="390"/>
      <c r="AG5" s="390"/>
      <c r="AH5" s="390"/>
      <c r="AI5" s="390"/>
      <c r="AJ5" s="390"/>
      <c r="AK5" s="390"/>
      <c r="AL5" s="390"/>
      <c r="AM5" s="390"/>
      <c r="AN5" s="390"/>
      <c r="AO5" s="390"/>
      <c r="AP5" s="390"/>
      <c r="AQ5" s="390"/>
      <c r="AR5" s="390"/>
      <c r="AS5" s="390"/>
      <c r="AT5" s="989"/>
      <c r="AU5" s="759"/>
      <c r="AW5" s="994"/>
      <c r="AX5" s="320"/>
      <c r="AY5" s="320"/>
      <c r="AZ5" s="320"/>
      <c r="BA5" s="320"/>
      <c r="BB5" s="320"/>
      <c r="BC5" s="320"/>
      <c r="BD5" s="320"/>
      <c r="BE5" s="320"/>
      <c r="BF5" s="320"/>
      <c r="BG5" s="320"/>
      <c r="BH5" s="320"/>
      <c r="BI5" s="320"/>
      <c r="BJ5" s="320"/>
      <c r="BK5" s="320"/>
      <c r="BL5" s="320"/>
      <c r="BM5" s="320"/>
      <c r="BN5" s="320"/>
      <c r="BO5" s="320"/>
      <c r="BP5" s="320"/>
      <c r="BQ5" s="320"/>
      <c r="BT5" s="996" t="s">
        <v>64</v>
      </c>
      <c r="BU5" s="999"/>
      <c r="BV5" s="999"/>
      <c r="BW5" s="999"/>
      <c r="BX5" s="999"/>
      <c r="BY5" s="999"/>
      <c r="BZ5" s="999"/>
      <c r="CA5" s="999"/>
      <c r="CB5" s="999"/>
      <c r="CC5" s="1002"/>
      <c r="CD5" s="1003" t="s">
        <v>46</v>
      </c>
      <c r="CE5" s="383"/>
      <c r="CF5" s="997" t="s">
        <v>65</v>
      </c>
      <c r="CG5" s="1000"/>
      <c r="CH5" s="1000"/>
      <c r="CI5" s="1000"/>
      <c r="CJ5" s="1000"/>
      <c r="CK5" s="1000"/>
      <c r="CL5" s="1000"/>
      <c r="CM5" s="1000"/>
      <c r="CN5" s="1004"/>
      <c r="CO5" s="1005" t="s">
        <v>46</v>
      </c>
    </row>
    <row r="6" customHeight="1" spans="2:93">
      <c r="B6" s="850" t="s">
        <v>66</v>
      </c>
      <c r="C6" s="850"/>
      <c r="D6" s="850"/>
      <c r="E6" s="852"/>
      <c r="F6" s="852"/>
      <c r="G6" s="852"/>
      <c r="H6" s="852"/>
      <c r="I6" s="852"/>
      <c r="J6" s="852"/>
      <c r="K6" s="852"/>
      <c r="L6" s="852"/>
      <c r="M6" s="852"/>
      <c r="N6" s="852"/>
      <c r="O6" s="320">
        <v>1</v>
      </c>
      <c r="P6" s="320"/>
      <c r="R6" s="850" t="s">
        <v>67</v>
      </c>
      <c r="S6" s="850"/>
      <c r="T6" s="933"/>
      <c r="U6" s="933"/>
      <c r="V6" s="933"/>
      <c r="W6" s="933"/>
      <c r="X6" s="933"/>
      <c r="Y6" s="966"/>
      <c r="AA6" s="965"/>
      <c r="AB6" s="390"/>
      <c r="AC6" s="390"/>
      <c r="AD6" s="390"/>
      <c r="AE6" s="390"/>
      <c r="AF6" s="390"/>
      <c r="AG6" s="390"/>
      <c r="AH6" s="390"/>
      <c r="AI6" s="390"/>
      <c r="AJ6" s="390"/>
      <c r="AK6" s="390"/>
      <c r="AL6" s="390"/>
      <c r="AM6" s="390"/>
      <c r="AN6" s="390"/>
      <c r="AO6" s="390"/>
      <c r="AP6" s="390"/>
      <c r="AQ6" s="390"/>
      <c r="AR6" s="390"/>
      <c r="AS6" s="390"/>
      <c r="AT6" s="989"/>
      <c r="AU6" s="759"/>
      <c r="AW6" s="994"/>
      <c r="AX6" s="760" t="s">
        <v>68</v>
      </c>
      <c r="AY6" s="760"/>
      <c r="AZ6" s="760"/>
      <c r="BA6" s="889"/>
      <c r="BB6" s="760" t="s">
        <v>44</v>
      </c>
      <c r="BC6" s="760"/>
      <c r="BD6" s="760"/>
      <c r="BE6" s="889"/>
      <c r="BF6" s="760" t="s">
        <v>69</v>
      </c>
      <c r="BG6" s="760"/>
      <c r="BH6" s="760"/>
      <c r="BI6" s="293" t="s">
        <v>70</v>
      </c>
      <c r="BJ6" s="760"/>
      <c r="BK6" s="760"/>
      <c r="BL6" s="760"/>
      <c r="BM6" s="760"/>
      <c r="BN6" s="760"/>
      <c r="BO6" s="760"/>
      <c r="BP6" s="760"/>
      <c r="BQ6" s="760"/>
      <c r="BT6" s="997" t="s">
        <v>71</v>
      </c>
      <c r="BU6" s="1000"/>
      <c r="BV6" s="1000"/>
      <c r="BW6" s="1000"/>
      <c r="BX6" s="1000"/>
      <c r="BY6" s="1000"/>
      <c r="BZ6" s="1000"/>
      <c r="CA6" s="1000"/>
      <c r="CB6" s="1000"/>
      <c r="CC6" s="1004"/>
      <c r="CD6" s="1005" t="s">
        <v>46</v>
      </c>
      <c r="CE6" s="383"/>
      <c r="CF6" s="996" t="s">
        <v>72</v>
      </c>
      <c r="CG6" s="999"/>
      <c r="CH6" s="999"/>
      <c r="CI6" s="999"/>
      <c r="CJ6" s="999"/>
      <c r="CK6" s="999"/>
      <c r="CL6" s="999"/>
      <c r="CM6" s="999"/>
      <c r="CN6" s="1002"/>
      <c r="CO6" s="1003" t="s">
        <v>46</v>
      </c>
    </row>
    <row r="7" customHeight="1" spans="2:93">
      <c r="B7" s="853" t="s">
        <v>73</v>
      </c>
      <c r="C7" s="853"/>
      <c r="D7" s="853"/>
      <c r="E7" s="852"/>
      <c r="F7" s="852"/>
      <c r="G7" s="852"/>
      <c r="H7" s="852"/>
      <c r="I7" s="852"/>
      <c r="J7" s="852"/>
      <c r="K7" s="852"/>
      <c r="L7" s="852"/>
      <c r="M7" s="852"/>
      <c r="N7" s="852"/>
      <c r="O7" s="320"/>
      <c r="P7" s="320"/>
      <c r="R7" s="867" t="s">
        <v>74</v>
      </c>
      <c r="S7" s="867"/>
      <c r="T7" s="934"/>
      <c r="U7" s="934"/>
      <c r="V7" s="934"/>
      <c r="W7" s="934"/>
      <c r="X7" s="934"/>
      <c r="AA7" s="965"/>
      <c r="AB7" s="390"/>
      <c r="AC7" s="390"/>
      <c r="AD7" s="390"/>
      <c r="AE7" s="390"/>
      <c r="AF7" s="390"/>
      <c r="AG7" s="390"/>
      <c r="AH7" s="390"/>
      <c r="AI7" s="390"/>
      <c r="AJ7" s="390"/>
      <c r="AK7" s="390"/>
      <c r="AL7" s="390"/>
      <c r="AM7" s="390"/>
      <c r="AN7" s="390"/>
      <c r="AO7" s="390"/>
      <c r="AP7" s="390"/>
      <c r="AQ7" s="390"/>
      <c r="AR7" s="390"/>
      <c r="AS7" s="390"/>
      <c r="AT7" s="989"/>
      <c r="AU7" s="759"/>
      <c r="AW7" s="994"/>
      <c r="AX7" s="320"/>
      <c r="AY7" s="320"/>
      <c r="AZ7" s="320"/>
      <c r="BB7" s="320"/>
      <c r="BC7" s="320"/>
      <c r="BD7" s="320"/>
      <c r="BF7" s="927">
        <f>IF(BQ1="否",SUM(AX3:BQ3,AX5:BQ5,(R15+AX7)*(O6+O7+O8),BB7),SUM(O6*职业!AT2,O7*职业!AT3,O8*职业!AT4,职业!AT7,(R15+AX7)*(O6+O7+O8),BB7))</f>
        <v>0</v>
      </c>
      <c r="BG7" s="927"/>
      <c r="BH7" s="927"/>
      <c r="BI7" s="760"/>
      <c r="BJ7" s="760"/>
      <c r="BK7" s="760"/>
      <c r="BL7" s="760"/>
      <c r="BM7" s="760"/>
      <c r="BN7" s="760"/>
      <c r="BO7" s="760"/>
      <c r="BP7" s="760"/>
      <c r="BQ7" s="760"/>
      <c r="BT7" s="996" t="s">
        <v>75</v>
      </c>
      <c r="BU7" s="999"/>
      <c r="BV7" s="999"/>
      <c r="BW7" s="999"/>
      <c r="BX7" s="999"/>
      <c r="BY7" s="999"/>
      <c r="BZ7" s="999"/>
      <c r="CA7" s="999"/>
      <c r="CB7" s="999"/>
      <c r="CC7" s="1002"/>
      <c r="CD7" s="1003" t="s">
        <v>46</v>
      </c>
      <c r="CE7" s="383"/>
      <c r="CF7" s="997" t="s">
        <v>76</v>
      </c>
      <c r="CG7" s="1000"/>
      <c r="CH7" s="1000"/>
      <c r="CI7" s="1000"/>
      <c r="CJ7" s="1000"/>
      <c r="CK7" s="1000"/>
      <c r="CL7" s="1000"/>
      <c r="CM7" s="1000"/>
      <c r="CN7" s="1004"/>
      <c r="CO7" s="1005" t="s">
        <v>46</v>
      </c>
    </row>
    <row r="8" customHeight="1" spans="2:93">
      <c r="B8" s="853" t="s">
        <v>77</v>
      </c>
      <c r="C8" s="853"/>
      <c r="D8" s="853"/>
      <c r="E8" s="852"/>
      <c r="F8" s="852"/>
      <c r="G8" s="852"/>
      <c r="H8" s="852"/>
      <c r="I8" s="852"/>
      <c r="J8" s="852"/>
      <c r="K8" s="852"/>
      <c r="L8" s="852"/>
      <c r="M8" s="852"/>
      <c r="N8" s="852"/>
      <c r="O8" s="320"/>
      <c r="P8" s="320"/>
      <c r="R8" s="867" t="s">
        <v>78</v>
      </c>
      <c r="S8" s="867"/>
      <c r="T8" s="935"/>
      <c r="U8" s="935"/>
      <c r="V8" s="935"/>
      <c r="W8" s="935"/>
      <c r="X8" s="935"/>
      <c r="AA8" s="965"/>
      <c r="AB8" s="390"/>
      <c r="AC8" s="390"/>
      <c r="AD8" s="390"/>
      <c r="AE8" s="390"/>
      <c r="AF8" s="390"/>
      <c r="AG8" s="390"/>
      <c r="AH8" s="390"/>
      <c r="AI8" s="390"/>
      <c r="AJ8" s="390"/>
      <c r="AK8" s="390"/>
      <c r="AL8" s="390"/>
      <c r="AM8" s="390"/>
      <c r="AN8" s="390"/>
      <c r="AO8" s="390"/>
      <c r="AP8" s="390"/>
      <c r="AQ8" s="390"/>
      <c r="AR8" s="390"/>
      <c r="AS8" s="390"/>
      <c r="AT8" s="989"/>
      <c r="AU8" s="759"/>
      <c r="BT8" s="997" t="s">
        <v>79</v>
      </c>
      <c r="BU8" s="1000"/>
      <c r="BV8" s="1000"/>
      <c r="BW8" s="1000"/>
      <c r="BX8" s="1000"/>
      <c r="BY8" s="1000"/>
      <c r="BZ8" s="1000"/>
      <c r="CA8" s="1000"/>
      <c r="CB8" s="1000"/>
      <c r="CC8" s="1004"/>
      <c r="CD8" s="1005" t="s">
        <v>46</v>
      </c>
      <c r="CE8" s="383"/>
      <c r="CF8" s="1006" t="s">
        <v>80</v>
      </c>
      <c r="CG8" s="1007"/>
      <c r="CH8" s="1007"/>
      <c r="CI8" s="1007"/>
      <c r="CJ8" s="1007"/>
      <c r="CK8" s="1007"/>
      <c r="CL8" s="1007"/>
      <c r="CM8" s="1007"/>
      <c r="CN8" s="1008"/>
      <c r="CO8" s="1003" t="s">
        <v>46</v>
      </c>
    </row>
    <row r="9" customHeight="1" spans="2:93">
      <c r="B9" s="851" t="s">
        <v>81</v>
      </c>
      <c r="C9" s="851"/>
      <c r="D9" s="851"/>
      <c r="E9" s="320"/>
      <c r="F9" s="320"/>
      <c r="G9" s="320"/>
      <c r="H9" s="320"/>
      <c r="I9" s="320"/>
      <c r="J9" s="320"/>
      <c r="K9" s="320"/>
      <c r="L9" s="320"/>
      <c r="M9" s="320"/>
      <c r="N9" s="320"/>
      <c r="O9" s="885" t="str">
        <f>IF(E9="","","Lv "&amp;VLOOKUP(E9,数据表!CI3:CJ22,2,TRUE))</f>
        <v/>
      </c>
      <c r="P9" s="885"/>
      <c r="R9" s="851" t="s">
        <v>82</v>
      </c>
      <c r="S9" s="851"/>
      <c r="T9" s="936"/>
      <c r="U9" s="936"/>
      <c r="V9" s="936"/>
      <c r="W9" s="936"/>
      <c r="X9" s="936"/>
      <c r="AA9" s="965"/>
      <c r="AB9" s="390"/>
      <c r="AC9" s="390"/>
      <c r="AD9" s="390"/>
      <c r="AE9" s="390"/>
      <c r="AF9" s="390"/>
      <c r="AG9" s="390"/>
      <c r="AH9" s="390"/>
      <c r="AI9" s="390"/>
      <c r="AJ9" s="390"/>
      <c r="AK9" s="390"/>
      <c r="AL9" s="390"/>
      <c r="AM9" s="390"/>
      <c r="AN9" s="390"/>
      <c r="AO9" s="390"/>
      <c r="AP9" s="390"/>
      <c r="AQ9" s="390"/>
      <c r="AR9" s="390"/>
      <c r="AS9" s="390"/>
      <c r="AT9" s="989"/>
      <c r="AU9" s="759"/>
      <c r="AW9" s="818" t="s">
        <v>83</v>
      </c>
      <c r="AX9" s="818"/>
      <c r="AY9" s="818"/>
      <c r="AZ9" s="818"/>
      <c r="BA9" s="818"/>
      <c r="BB9" s="818"/>
      <c r="BC9" s="824"/>
      <c r="BD9" s="818" t="s">
        <v>84</v>
      </c>
      <c r="BE9" s="818"/>
      <c r="BF9" s="818"/>
      <c r="BG9" s="818"/>
      <c r="BH9" s="818"/>
      <c r="BI9" s="818"/>
      <c r="BJ9" s="817" t="s">
        <v>85</v>
      </c>
      <c r="BK9" s="817"/>
      <c r="BL9" s="817"/>
      <c r="BM9" s="817"/>
      <c r="BN9" s="817"/>
      <c r="BO9" s="817"/>
      <c r="BP9" s="817"/>
      <c r="BQ9" s="817"/>
      <c r="BR9" s="817"/>
      <c r="BS9" s="759"/>
      <c r="BT9" s="875" t="s">
        <v>86</v>
      </c>
      <c r="BU9" s="875"/>
      <c r="BV9" s="875"/>
      <c r="BW9" s="875"/>
      <c r="BX9" s="875"/>
      <c r="BY9" s="875"/>
      <c r="BZ9" s="875"/>
      <c r="CA9" s="875"/>
      <c r="CB9" s="875"/>
      <c r="CC9" s="875"/>
      <c r="CD9" s="875"/>
      <c r="CE9" s="383"/>
      <c r="CF9" s="997" t="s">
        <v>87</v>
      </c>
      <c r="CG9" s="1000"/>
      <c r="CH9" s="1000"/>
      <c r="CI9" s="1000"/>
      <c r="CJ9" s="1000"/>
      <c r="CK9" s="1000"/>
      <c r="CL9" s="1000"/>
      <c r="CM9" s="1000"/>
      <c r="CN9" s="1004"/>
      <c r="CO9" s="1005" t="s">
        <v>46</v>
      </c>
    </row>
    <row r="10" customHeight="1" spans="27:93">
      <c r="AA10" s="965"/>
      <c r="AB10" s="390"/>
      <c r="AC10" s="390"/>
      <c r="AD10" s="390"/>
      <c r="AE10" s="390"/>
      <c r="AF10" s="390"/>
      <c r="AG10" s="390"/>
      <c r="AH10" s="390"/>
      <c r="AI10" s="390"/>
      <c r="AJ10" s="390"/>
      <c r="AK10" s="390"/>
      <c r="AL10" s="390"/>
      <c r="AM10" s="390"/>
      <c r="AN10" s="390"/>
      <c r="AO10" s="390"/>
      <c r="AP10" s="390"/>
      <c r="AQ10" s="390"/>
      <c r="AR10" s="390"/>
      <c r="AS10" s="390"/>
      <c r="AT10" s="989"/>
      <c r="AU10" s="759"/>
      <c r="AW10" s="293" t="s">
        <v>63</v>
      </c>
      <c r="AX10" s="293" t="s">
        <v>88</v>
      </c>
      <c r="AY10" s="293"/>
      <c r="AZ10" s="293"/>
      <c r="BA10" s="293"/>
      <c r="BB10" s="293"/>
      <c r="BC10" s="293" t="s">
        <v>89</v>
      </c>
      <c r="BD10" s="293"/>
      <c r="BE10" s="293"/>
      <c r="BF10" s="293"/>
      <c r="BG10" s="293"/>
      <c r="BH10" s="293"/>
      <c r="BI10" s="293"/>
      <c r="BJ10" s="293"/>
      <c r="BK10" s="293"/>
      <c r="BL10" s="293"/>
      <c r="BM10" s="293"/>
      <c r="BN10" s="293"/>
      <c r="BO10" s="293"/>
      <c r="BP10" s="293"/>
      <c r="BQ10" s="293"/>
      <c r="BR10" s="293"/>
      <c r="BS10" s="759"/>
      <c r="BT10" s="996" t="s">
        <v>90</v>
      </c>
      <c r="BU10" s="999"/>
      <c r="BV10" s="999"/>
      <c r="BW10" s="999"/>
      <c r="BX10" s="999"/>
      <c r="BY10" s="999"/>
      <c r="BZ10" s="999"/>
      <c r="CA10" s="999"/>
      <c r="CB10" s="999"/>
      <c r="CC10" s="1002"/>
      <c r="CD10" s="1003" t="s">
        <v>46</v>
      </c>
      <c r="CE10" s="383"/>
      <c r="CF10" s="996" t="s">
        <v>91</v>
      </c>
      <c r="CG10" s="999"/>
      <c r="CH10" s="999"/>
      <c r="CI10" s="999"/>
      <c r="CJ10" s="999"/>
      <c r="CK10" s="999"/>
      <c r="CL10" s="999"/>
      <c r="CM10" s="999"/>
      <c r="CN10" s="1002"/>
      <c r="CO10" s="1003" t="s">
        <v>46</v>
      </c>
    </row>
    <row r="11" customHeight="1" spans="2:93">
      <c r="B11" s="849" t="s">
        <v>92</v>
      </c>
      <c r="C11" s="849"/>
      <c r="D11" s="849"/>
      <c r="E11" s="849"/>
      <c r="F11" s="849"/>
      <c r="G11" s="849"/>
      <c r="H11" s="849"/>
      <c r="I11" s="849"/>
      <c r="J11" s="849"/>
      <c r="K11" s="849"/>
      <c r="L11" s="849"/>
      <c r="M11" s="849"/>
      <c r="N11" s="849"/>
      <c r="O11" s="849"/>
      <c r="P11" s="849"/>
      <c r="Q11" s="849"/>
      <c r="R11" s="849"/>
      <c r="S11" s="849"/>
      <c r="T11" s="849"/>
      <c r="U11" s="849"/>
      <c r="V11" s="849"/>
      <c r="W11" s="849"/>
      <c r="X11" s="849"/>
      <c r="Y11" s="849"/>
      <c r="AA11" s="965"/>
      <c r="AB11" s="390"/>
      <c r="AC11" s="390"/>
      <c r="AD11" s="390"/>
      <c r="AE11" s="390"/>
      <c r="AF11" s="390"/>
      <c r="AG11" s="390"/>
      <c r="AH11" s="390"/>
      <c r="AI11" s="390"/>
      <c r="AJ11" s="390"/>
      <c r="AK11" s="390"/>
      <c r="AL11" s="390"/>
      <c r="AM11" s="390"/>
      <c r="AN11" s="390"/>
      <c r="AO11" s="390"/>
      <c r="AP11" s="390"/>
      <c r="AQ11" s="390"/>
      <c r="AR11" s="390"/>
      <c r="AS11" s="390"/>
      <c r="AT11" s="989"/>
      <c r="AU11" s="759"/>
      <c r="AW11" s="844" t="str">
        <f>职业!CV2</f>
        <v/>
      </c>
      <c r="AX11" s="818" t="s">
        <v>93</v>
      </c>
      <c r="AY11" s="818"/>
      <c r="AZ11" s="818"/>
      <c r="BA11" s="818"/>
      <c r="BB11" s="818"/>
      <c r="BC11" s="847"/>
      <c r="BD11" s="847"/>
      <c r="BE11" s="847"/>
      <c r="BF11" s="847"/>
      <c r="BG11" s="847"/>
      <c r="BH11" s="847"/>
      <c r="BI11" s="847"/>
      <c r="BJ11" s="847"/>
      <c r="BK11" s="847"/>
      <c r="BL11" s="847"/>
      <c r="BM11" s="847"/>
      <c r="BN11" s="847"/>
      <c r="BO11" s="847"/>
      <c r="BP11" s="847"/>
      <c r="BQ11" s="847"/>
      <c r="BR11" s="847"/>
      <c r="BS11" s="759"/>
      <c r="BT11" s="997" t="s">
        <v>94</v>
      </c>
      <c r="BU11" s="1000"/>
      <c r="BV11" s="1000"/>
      <c r="BW11" s="1000"/>
      <c r="BX11" s="1000"/>
      <c r="BY11" s="1000"/>
      <c r="BZ11" s="1000"/>
      <c r="CA11" s="1000"/>
      <c r="CB11" s="1000"/>
      <c r="CC11" s="1004"/>
      <c r="CD11" s="1005" t="s">
        <v>46</v>
      </c>
      <c r="CE11" s="383"/>
      <c r="CF11" s="997" t="s">
        <v>95</v>
      </c>
      <c r="CG11" s="1000"/>
      <c r="CH11" s="1000"/>
      <c r="CI11" s="1000"/>
      <c r="CJ11" s="1000"/>
      <c r="CK11" s="1000"/>
      <c r="CL11" s="1000"/>
      <c r="CM11" s="1000"/>
      <c r="CN11" s="1004"/>
      <c r="CO11" s="1005" t="s">
        <v>46</v>
      </c>
    </row>
    <row r="12" customHeight="1" spans="1:93">
      <c r="A12" s="854"/>
      <c r="B12" s="855" t="s">
        <v>43</v>
      </c>
      <c r="C12" s="856"/>
      <c r="D12" s="857"/>
      <c r="E12" s="857"/>
      <c r="F12" s="293" t="s">
        <v>96</v>
      </c>
      <c r="G12" s="293"/>
      <c r="H12" s="858" t="s">
        <v>97</v>
      </c>
      <c r="I12" s="858"/>
      <c r="J12" s="858"/>
      <c r="K12" s="293" t="s">
        <v>9</v>
      </c>
      <c r="L12" s="293"/>
      <c r="M12" s="293" t="s">
        <v>98</v>
      </c>
      <c r="N12" s="293"/>
      <c r="O12" s="293" t="s">
        <v>44</v>
      </c>
      <c r="P12" s="293"/>
      <c r="Q12" s="858" t="s">
        <v>99</v>
      </c>
      <c r="R12" s="858"/>
      <c r="S12" s="858"/>
      <c r="T12" s="293" t="s">
        <v>100</v>
      </c>
      <c r="U12" s="293"/>
      <c r="V12" s="857"/>
      <c r="W12" s="293" t="s">
        <v>44</v>
      </c>
      <c r="X12" s="293"/>
      <c r="Y12" s="370"/>
      <c r="Z12" s="370"/>
      <c r="AA12" s="965"/>
      <c r="AB12" s="390"/>
      <c r="AC12" s="390"/>
      <c r="AD12" s="390"/>
      <c r="AE12" s="390"/>
      <c r="AF12" s="390"/>
      <c r="AG12" s="390"/>
      <c r="AH12" s="390"/>
      <c r="AI12" s="390"/>
      <c r="AJ12" s="390"/>
      <c r="AK12" s="390"/>
      <c r="AL12" s="390"/>
      <c r="AM12" s="390"/>
      <c r="AN12" s="390"/>
      <c r="AO12" s="390"/>
      <c r="AP12" s="390"/>
      <c r="AQ12" s="390"/>
      <c r="AR12" s="390"/>
      <c r="AS12" s="390"/>
      <c r="AT12" s="989"/>
      <c r="AU12" s="759"/>
      <c r="AW12" s="845" t="str">
        <f>职业!CV3</f>
        <v/>
      </c>
      <c r="AX12" s="846" t="s">
        <v>8</v>
      </c>
      <c r="AY12" s="846"/>
      <c r="AZ12" s="846"/>
      <c r="BA12" s="846"/>
      <c r="BB12" s="846"/>
      <c r="BC12" s="848"/>
      <c r="BD12" s="848"/>
      <c r="BE12" s="848"/>
      <c r="BF12" s="848"/>
      <c r="BG12" s="848"/>
      <c r="BH12" s="848"/>
      <c r="BI12" s="848"/>
      <c r="BJ12" s="848"/>
      <c r="BK12" s="848"/>
      <c r="BL12" s="848"/>
      <c r="BM12" s="848"/>
      <c r="BN12" s="848"/>
      <c r="BO12" s="848"/>
      <c r="BP12" s="848"/>
      <c r="BQ12" s="848"/>
      <c r="BR12" s="848"/>
      <c r="BS12" s="759"/>
      <c r="BT12" s="996" t="s">
        <v>101</v>
      </c>
      <c r="BU12" s="999"/>
      <c r="BV12" s="999"/>
      <c r="BW12" s="999"/>
      <c r="BX12" s="999"/>
      <c r="BY12" s="999"/>
      <c r="BZ12" s="999"/>
      <c r="CA12" s="999"/>
      <c r="CB12" s="999"/>
      <c r="CC12" s="1002"/>
      <c r="CD12" s="1003" t="s">
        <v>102</v>
      </c>
      <c r="CE12" s="383"/>
      <c r="CF12" s="996" t="s">
        <v>103</v>
      </c>
      <c r="CG12" s="999"/>
      <c r="CH12" s="999"/>
      <c r="CI12" s="999"/>
      <c r="CJ12" s="999"/>
      <c r="CK12" s="999"/>
      <c r="CL12" s="999"/>
      <c r="CM12" s="999"/>
      <c r="CN12" s="1002"/>
      <c r="CO12" s="1003" t="s">
        <v>46</v>
      </c>
    </row>
    <row r="13" customHeight="1" spans="2:93">
      <c r="B13" s="859" t="s">
        <v>102</v>
      </c>
      <c r="C13" s="74" t="s">
        <v>104</v>
      </c>
      <c r="D13" s="74"/>
      <c r="E13" s="74"/>
      <c r="F13" s="860">
        <f t="shared" ref="F13:F18" si="0">I13+K13+M13+O13</f>
        <v>10</v>
      </c>
      <c r="G13" s="860"/>
      <c r="H13" s="861" t="s">
        <v>48</v>
      </c>
      <c r="I13" s="886">
        <v>10</v>
      </c>
      <c r="J13" s="886"/>
      <c r="K13" s="887"/>
      <c r="L13" s="888"/>
      <c r="M13" s="886"/>
      <c r="N13" s="886"/>
      <c r="O13" s="886"/>
      <c r="P13" s="886"/>
      <c r="Q13" s="861" t="s">
        <v>105</v>
      </c>
      <c r="R13" s="863">
        <f t="shared" ref="R13:R18" si="1">INT(F13/2-5)</f>
        <v>0</v>
      </c>
      <c r="S13" s="863"/>
      <c r="T13" s="937">
        <f>INT(F13/2-5)+IF(B13="O",$S$3,0)+W13</f>
        <v>0</v>
      </c>
      <c r="U13" s="937"/>
      <c r="V13" s="861" t="s">
        <v>48</v>
      </c>
      <c r="W13" s="886"/>
      <c r="X13" s="886"/>
      <c r="Y13" s="370"/>
      <c r="Z13" s="370"/>
      <c r="AA13" s="965"/>
      <c r="AB13" s="390"/>
      <c r="AC13" s="390"/>
      <c r="AD13" s="390"/>
      <c r="AE13" s="390"/>
      <c r="AF13" s="390"/>
      <c r="AG13" s="390"/>
      <c r="AH13" s="390"/>
      <c r="AI13" s="390"/>
      <c r="AJ13" s="390"/>
      <c r="AK13" s="390"/>
      <c r="AL13" s="390"/>
      <c r="AM13" s="390"/>
      <c r="AN13" s="390"/>
      <c r="AO13" s="390"/>
      <c r="AP13" s="390"/>
      <c r="AQ13" s="390"/>
      <c r="AR13" s="390"/>
      <c r="AS13" s="390"/>
      <c r="AT13" s="989"/>
      <c r="AU13" s="759"/>
      <c r="AW13" s="844" t="str">
        <f>职业!CV4</f>
        <v/>
      </c>
      <c r="AX13" s="818" t="s">
        <v>106</v>
      </c>
      <c r="AY13" s="818"/>
      <c r="AZ13" s="818"/>
      <c r="BA13" s="818"/>
      <c r="BB13" s="818"/>
      <c r="BC13" s="847"/>
      <c r="BD13" s="847"/>
      <c r="BE13" s="847"/>
      <c r="BF13" s="847"/>
      <c r="BG13" s="847"/>
      <c r="BH13" s="847"/>
      <c r="BI13" s="847"/>
      <c r="BJ13" s="847"/>
      <c r="BK13" s="847"/>
      <c r="BL13" s="847"/>
      <c r="BM13" s="847"/>
      <c r="BN13" s="847"/>
      <c r="BO13" s="847"/>
      <c r="BP13" s="847"/>
      <c r="BQ13" s="847"/>
      <c r="BR13" s="847"/>
      <c r="BS13" s="759"/>
      <c r="BT13" s="997" t="s">
        <v>107</v>
      </c>
      <c r="BU13" s="1000"/>
      <c r="BV13" s="1000"/>
      <c r="BW13" s="1000"/>
      <c r="BX13" s="1000"/>
      <c r="BY13" s="1000"/>
      <c r="BZ13" s="1000"/>
      <c r="CA13" s="1000"/>
      <c r="CB13" s="1000"/>
      <c r="CC13" s="1004"/>
      <c r="CD13" s="1005" t="s">
        <v>46</v>
      </c>
      <c r="CE13" s="383"/>
      <c r="CF13" s="997" t="s">
        <v>108</v>
      </c>
      <c r="CG13" s="1000"/>
      <c r="CH13" s="1000"/>
      <c r="CI13" s="1000"/>
      <c r="CJ13" s="1000"/>
      <c r="CK13" s="1000"/>
      <c r="CL13" s="1000"/>
      <c r="CM13" s="1000"/>
      <c r="CN13" s="1004"/>
      <c r="CO13" s="1005" t="s">
        <v>46</v>
      </c>
    </row>
    <row r="14" customHeight="1" spans="1:93">
      <c r="A14" s="862"/>
      <c r="B14" s="859" t="s">
        <v>102</v>
      </c>
      <c r="C14" s="74" t="s">
        <v>109</v>
      </c>
      <c r="D14" s="74"/>
      <c r="E14" s="74"/>
      <c r="F14" s="860">
        <f t="shared" si="0"/>
        <v>10</v>
      </c>
      <c r="G14" s="860"/>
      <c r="H14" s="861" t="s">
        <v>48</v>
      </c>
      <c r="I14" s="886">
        <v>10</v>
      </c>
      <c r="J14" s="886"/>
      <c r="K14" s="886"/>
      <c r="L14" s="886"/>
      <c r="M14" s="886"/>
      <c r="N14" s="886"/>
      <c r="O14" s="886"/>
      <c r="P14" s="886"/>
      <c r="Q14" s="861" t="s">
        <v>105</v>
      </c>
      <c r="R14" s="863">
        <f t="shared" si="1"/>
        <v>0</v>
      </c>
      <c r="S14" s="863"/>
      <c r="T14" s="937">
        <f t="shared" ref="T14:T18" si="2">INT(F14/2-5)+IF(B14="O",$S$3,0)+W14</f>
        <v>0</v>
      </c>
      <c r="U14" s="937"/>
      <c r="V14" s="861" t="s">
        <v>48</v>
      </c>
      <c r="W14" s="886"/>
      <c r="X14" s="886"/>
      <c r="Y14" s="370"/>
      <c r="Z14" s="370"/>
      <c r="AA14" s="965"/>
      <c r="AB14" s="390"/>
      <c r="AC14" s="390"/>
      <c r="AD14" s="390"/>
      <c r="AE14" s="390"/>
      <c r="AF14" s="390"/>
      <c r="AG14" s="390"/>
      <c r="AH14" s="390"/>
      <c r="AI14" s="390"/>
      <c r="AJ14" s="390"/>
      <c r="AK14" s="390"/>
      <c r="AL14" s="390"/>
      <c r="AM14" s="390"/>
      <c r="AN14" s="390"/>
      <c r="AO14" s="390"/>
      <c r="AP14" s="390"/>
      <c r="AQ14" s="390"/>
      <c r="AR14" s="390"/>
      <c r="AS14" s="390"/>
      <c r="AT14" s="989"/>
      <c r="AU14" s="759"/>
      <c r="AW14" s="845" t="str">
        <f>职业!CV5</f>
        <v/>
      </c>
      <c r="AX14" s="846" t="s">
        <v>11</v>
      </c>
      <c r="AY14" s="846"/>
      <c r="AZ14" s="846"/>
      <c r="BA14" s="846"/>
      <c r="BB14" s="846"/>
      <c r="BC14" s="848"/>
      <c r="BD14" s="848"/>
      <c r="BE14" s="848"/>
      <c r="BF14" s="848"/>
      <c r="BG14" s="848"/>
      <c r="BH14" s="848"/>
      <c r="BI14" s="848"/>
      <c r="BJ14" s="848"/>
      <c r="BK14" s="848"/>
      <c r="BL14" s="848"/>
      <c r="BM14" s="848"/>
      <c r="BN14" s="848"/>
      <c r="BO14" s="848"/>
      <c r="BP14" s="848"/>
      <c r="BQ14" s="848"/>
      <c r="BR14" s="848"/>
      <c r="BS14" s="759"/>
      <c r="BT14" s="996" t="s">
        <v>110</v>
      </c>
      <c r="BU14" s="999"/>
      <c r="BV14" s="999"/>
      <c r="BW14" s="999"/>
      <c r="BX14" s="999"/>
      <c r="BY14" s="999"/>
      <c r="BZ14" s="999"/>
      <c r="CA14" s="999"/>
      <c r="CB14" s="999"/>
      <c r="CC14" s="1002"/>
      <c r="CD14" s="1003" t="s">
        <v>46</v>
      </c>
      <c r="CE14" s="383"/>
      <c r="CF14" s="996" t="s">
        <v>111</v>
      </c>
      <c r="CG14" s="999"/>
      <c r="CH14" s="999"/>
      <c r="CI14" s="999"/>
      <c r="CJ14" s="999"/>
      <c r="CK14" s="999"/>
      <c r="CL14" s="999"/>
      <c r="CM14" s="999"/>
      <c r="CN14" s="1002"/>
      <c r="CO14" s="1003" t="s">
        <v>46</v>
      </c>
    </row>
    <row r="15" customHeight="1" spans="1:93">
      <c r="A15" s="862"/>
      <c r="B15" s="859" t="s">
        <v>102</v>
      </c>
      <c r="C15" s="74" t="s">
        <v>112</v>
      </c>
      <c r="D15" s="74"/>
      <c r="E15" s="74"/>
      <c r="F15" s="860">
        <f t="shared" si="0"/>
        <v>10</v>
      </c>
      <c r="G15" s="860"/>
      <c r="H15" s="861" t="s">
        <v>48</v>
      </c>
      <c r="I15" s="886">
        <v>10</v>
      </c>
      <c r="J15" s="886"/>
      <c r="K15" s="886"/>
      <c r="L15" s="886"/>
      <c r="M15" s="886"/>
      <c r="N15" s="886"/>
      <c r="O15" s="886"/>
      <c r="P15" s="886"/>
      <c r="Q15" s="861" t="s">
        <v>105</v>
      </c>
      <c r="R15" s="863">
        <f t="shared" si="1"/>
        <v>0</v>
      </c>
      <c r="S15" s="863"/>
      <c r="T15" s="937">
        <f t="shared" si="2"/>
        <v>0</v>
      </c>
      <c r="U15" s="937"/>
      <c r="V15" s="861" t="s">
        <v>48</v>
      </c>
      <c r="W15" s="886"/>
      <c r="X15" s="886"/>
      <c r="Y15" s="370"/>
      <c r="Z15" s="370"/>
      <c r="AA15" s="965"/>
      <c r="AB15" s="390"/>
      <c r="AC15" s="390"/>
      <c r="AD15" s="390"/>
      <c r="AE15" s="390"/>
      <c r="AF15" s="390"/>
      <c r="AG15" s="390"/>
      <c r="AH15" s="390"/>
      <c r="AI15" s="390"/>
      <c r="AJ15" s="390"/>
      <c r="AK15" s="390"/>
      <c r="AL15" s="390"/>
      <c r="AM15" s="390"/>
      <c r="AN15" s="390"/>
      <c r="AO15" s="390"/>
      <c r="AP15" s="390"/>
      <c r="AQ15" s="390"/>
      <c r="AR15" s="390"/>
      <c r="AS15" s="390"/>
      <c r="AT15" s="989"/>
      <c r="AU15" s="759"/>
      <c r="AW15" s="844" t="str">
        <f>职业!CV6</f>
        <v/>
      </c>
      <c r="AX15" s="818" t="s">
        <v>113</v>
      </c>
      <c r="AY15" s="818"/>
      <c r="AZ15" s="818"/>
      <c r="BA15" s="818"/>
      <c r="BB15" s="818"/>
      <c r="BC15" s="847"/>
      <c r="BD15" s="847"/>
      <c r="BE15" s="847"/>
      <c r="BF15" s="847"/>
      <c r="BG15" s="847"/>
      <c r="BH15" s="847"/>
      <c r="BI15" s="847"/>
      <c r="BJ15" s="847"/>
      <c r="BK15" s="847"/>
      <c r="BL15" s="847"/>
      <c r="BM15" s="847"/>
      <c r="BN15" s="847"/>
      <c r="BO15" s="847"/>
      <c r="BP15" s="847"/>
      <c r="BQ15" s="847"/>
      <c r="BR15" s="847"/>
      <c r="BS15" s="759"/>
      <c r="BT15" s="997" t="s">
        <v>114</v>
      </c>
      <c r="BU15" s="1000"/>
      <c r="BV15" s="1000"/>
      <c r="BW15" s="1000"/>
      <c r="BX15" s="1000"/>
      <c r="BY15" s="1000"/>
      <c r="BZ15" s="1000"/>
      <c r="CA15" s="1000"/>
      <c r="CB15" s="1000"/>
      <c r="CC15" s="1004"/>
      <c r="CD15" s="1005" t="s">
        <v>46</v>
      </c>
      <c r="CE15" s="383"/>
      <c r="CF15" s="997" t="s">
        <v>115</v>
      </c>
      <c r="CG15" s="1000"/>
      <c r="CH15" s="1000"/>
      <c r="CI15" s="1000"/>
      <c r="CJ15" s="1000"/>
      <c r="CK15" s="1000"/>
      <c r="CL15" s="1000"/>
      <c r="CM15" s="1000"/>
      <c r="CN15" s="1004"/>
      <c r="CO15" s="1005" t="s">
        <v>46</v>
      </c>
    </row>
    <row r="16" customHeight="1" spans="1:93">
      <c r="A16" s="862"/>
      <c r="B16" s="859" t="s">
        <v>102</v>
      </c>
      <c r="C16" s="74" t="s">
        <v>116</v>
      </c>
      <c r="D16" s="74"/>
      <c r="E16" s="74"/>
      <c r="F16" s="860">
        <f t="shared" si="0"/>
        <v>10</v>
      </c>
      <c r="G16" s="860"/>
      <c r="H16" s="861" t="s">
        <v>48</v>
      </c>
      <c r="I16" s="886">
        <v>10</v>
      </c>
      <c r="J16" s="886"/>
      <c r="K16" s="886"/>
      <c r="L16" s="886"/>
      <c r="M16" s="886"/>
      <c r="N16" s="886"/>
      <c r="O16" s="886"/>
      <c r="P16" s="886"/>
      <c r="Q16" s="861" t="s">
        <v>105</v>
      </c>
      <c r="R16" s="863">
        <f t="shared" si="1"/>
        <v>0</v>
      </c>
      <c r="S16" s="863"/>
      <c r="T16" s="937">
        <f t="shared" si="2"/>
        <v>0</v>
      </c>
      <c r="U16" s="937"/>
      <c r="V16" s="861" t="s">
        <v>48</v>
      </c>
      <c r="W16" s="886"/>
      <c r="X16" s="886"/>
      <c r="Y16" s="370"/>
      <c r="Z16" s="370"/>
      <c r="AA16" s="965"/>
      <c r="AB16" s="390"/>
      <c r="AC16" s="390"/>
      <c r="AD16" s="390"/>
      <c r="AE16" s="390"/>
      <c r="AF16" s="390"/>
      <c r="AG16" s="390"/>
      <c r="AH16" s="390"/>
      <c r="AI16" s="390"/>
      <c r="AJ16" s="390"/>
      <c r="AK16" s="390"/>
      <c r="AL16" s="390"/>
      <c r="AM16" s="390"/>
      <c r="AN16" s="390"/>
      <c r="AO16" s="390"/>
      <c r="AP16" s="390"/>
      <c r="AQ16" s="390"/>
      <c r="AR16" s="390"/>
      <c r="AS16" s="390"/>
      <c r="AT16" s="989"/>
      <c r="AU16" s="759"/>
      <c r="AW16" s="845" t="str">
        <f>职业!CV7</f>
        <v/>
      </c>
      <c r="AX16" s="846" t="s">
        <v>117</v>
      </c>
      <c r="AY16" s="846"/>
      <c r="AZ16" s="846"/>
      <c r="BA16" s="846"/>
      <c r="BB16" s="846"/>
      <c r="BC16" s="848"/>
      <c r="BD16" s="848"/>
      <c r="BE16" s="848"/>
      <c r="BF16" s="848"/>
      <c r="BG16" s="848"/>
      <c r="BH16" s="848"/>
      <c r="BI16" s="848"/>
      <c r="BJ16" s="848"/>
      <c r="BK16" s="848"/>
      <c r="BL16" s="848"/>
      <c r="BM16" s="848"/>
      <c r="BN16" s="848"/>
      <c r="BO16" s="848"/>
      <c r="BP16" s="848"/>
      <c r="BQ16" s="848"/>
      <c r="BR16" s="848"/>
      <c r="BS16" s="759"/>
      <c r="BT16" s="996" t="s">
        <v>118</v>
      </c>
      <c r="BU16" s="999"/>
      <c r="BV16" s="999"/>
      <c r="BW16" s="999"/>
      <c r="BX16" s="999"/>
      <c r="BY16" s="999"/>
      <c r="BZ16" s="999"/>
      <c r="CA16" s="999"/>
      <c r="CB16" s="999"/>
      <c r="CC16" s="1002"/>
      <c r="CD16" s="1003" t="s">
        <v>46</v>
      </c>
      <c r="CE16" s="383"/>
      <c r="CF16" s="996" t="s">
        <v>83</v>
      </c>
      <c r="CG16" s="999"/>
      <c r="CH16" s="999"/>
      <c r="CI16" s="999"/>
      <c r="CJ16" s="999"/>
      <c r="CK16" s="999"/>
      <c r="CL16" s="999"/>
      <c r="CM16" s="999"/>
      <c r="CN16" s="1002"/>
      <c r="CO16" s="1003" t="s">
        <v>46</v>
      </c>
    </row>
    <row r="17" customHeight="1" spans="1:93">
      <c r="A17" s="862"/>
      <c r="B17" s="859" t="s">
        <v>102</v>
      </c>
      <c r="C17" s="74" t="s">
        <v>119</v>
      </c>
      <c r="D17" s="74"/>
      <c r="E17" s="74"/>
      <c r="F17" s="860">
        <f t="shared" si="0"/>
        <v>10</v>
      </c>
      <c r="G17" s="860"/>
      <c r="H17" s="861" t="s">
        <v>48</v>
      </c>
      <c r="I17" s="886">
        <v>10</v>
      </c>
      <c r="J17" s="886"/>
      <c r="K17" s="886"/>
      <c r="L17" s="886"/>
      <c r="M17" s="886"/>
      <c r="N17" s="886"/>
      <c r="O17" s="886"/>
      <c r="P17" s="886"/>
      <c r="Q17" s="861" t="s">
        <v>105</v>
      </c>
      <c r="R17" s="863">
        <f t="shared" si="1"/>
        <v>0</v>
      </c>
      <c r="S17" s="863"/>
      <c r="T17" s="937">
        <f t="shared" si="2"/>
        <v>0</v>
      </c>
      <c r="U17" s="937"/>
      <c r="V17" s="861" t="s">
        <v>48</v>
      </c>
      <c r="W17" s="886"/>
      <c r="X17" s="886"/>
      <c r="Y17" s="370"/>
      <c r="Z17" s="370"/>
      <c r="AA17" s="965"/>
      <c r="AB17" s="390"/>
      <c r="AC17" s="390"/>
      <c r="AD17" s="390"/>
      <c r="AE17" s="390"/>
      <c r="AF17" s="390"/>
      <c r="AG17" s="390"/>
      <c r="AH17" s="390"/>
      <c r="AI17" s="390"/>
      <c r="AJ17" s="390"/>
      <c r="AK17" s="390"/>
      <c r="AL17" s="390"/>
      <c r="AM17" s="390"/>
      <c r="AN17" s="390"/>
      <c r="AO17" s="390"/>
      <c r="AP17" s="390"/>
      <c r="AQ17" s="390"/>
      <c r="AR17" s="390"/>
      <c r="AS17" s="390"/>
      <c r="AT17" s="989"/>
      <c r="AU17" s="759"/>
      <c r="AW17" s="844" t="str">
        <f>职业!CV8</f>
        <v/>
      </c>
      <c r="AX17" s="818"/>
      <c r="AY17" s="818"/>
      <c r="AZ17" s="818"/>
      <c r="BA17" s="818"/>
      <c r="BB17" s="818"/>
      <c r="BC17" s="847"/>
      <c r="BD17" s="847"/>
      <c r="BE17" s="847"/>
      <c r="BF17" s="847"/>
      <c r="BG17" s="847"/>
      <c r="BH17" s="847"/>
      <c r="BI17" s="847"/>
      <c r="BJ17" s="847"/>
      <c r="BK17" s="847"/>
      <c r="BL17" s="847"/>
      <c r="BM17" s="847"/>
      <c r="BN17" s="847"/>
      <c r="BO17" s="847"/>
      <c r="BP17" s="847"/>
      <c r="BQ17" s="847"/>
      <c r="BR17" s="847"/>
      <c r="BS17" s="759"/>
      <c r="BT17" s="997" t="s">
        <v>120</v>
      </c>
      <c r="BU17" s="1000"/>
      <c r="BV17" s="1000"/>
      <c r="BW17" s="1000"/>
      <c r="BX17" s="1000"/>
      <c r="BY17" s="1000"/>
      <c r="BZ17" s="1000"/>
      <c r="CA17" s="1000"/>
      <c r="CB17" s="1000"/>
      <c r="CC17" s="1004"/>
      <c r="CD17" s="1005" t="s">
        <v>46</v>
      </c>
      <c r="CE17" s="383"/>
      <c r="CF17" s="997"/>
      <c r="CG17" s="1000"/>
      <c r="CH17" s="1000"/>
      <c r="CI17" s="1000"/>
      <c r="CJ17" s="1000"/>
      <c r="CK17" s="1000"/>
      <c r="CL17" s="1000"/>
      <c r="CM17" s="1000"/>
      <c r="CN17" s="1004"/>
      <c r="CO17" s="1005"/>
    </row>
    <row r="18" customHeight="1" spans="1:93">
      <c r="A18" s="862"/>
      <c r="B18" s="859" t="s">
        <v>102</v>
      </c>
      <c r="C18" s="74" t="s">
        <v>121</v>
      </c>
      <c r="D18" s="74"/>
      <c r="E18" s="74"/>
      <c r="F18" s="860">
        <f t="shared" si="0"/>
        <v>10</v>
      </c>
      <c r="G18" s="860"/>
      <c r="H18" s="861" t="s">
        <v>48</v>
      </c>
      <c r="I18" s="886">
        <v>10</v>
      </c>
      <c r="J18" s="886"/>
      <c r="K18" s="886"/>
      <c r="L18" s="886"/>
      <c r="M18" s="886"/>
      <c r="N18" s="886"/>
      <c r="O18" s="886"/>
      <c r="P18" s="886"/>
      <c r="Q18" s="861" t="s">
        <v>105</v>
      </c>
      <c r="R18" s="863">
        <f t="shared" si="1"/>
        <v>0</v>
      </c>
      <c r="S18" s="863"/>
      <c r="T18" s="937">
        <f t="shared" si="2"/>
        <v>0</v>
      </c>
      <c r="U18" s="937"/>
      <c r="V18" s="861" t="s">
        <v>48</v>
      </c>
      <c r="W18" s="886"/>
      <c r="X18" s="886"/>
      <c r="Y18" s="370"/>
      <c r="Z18" s="370"/>
      <c r="AA18" s="965"/>
      <c r="AB18" s="390"/>
      <c r="AC18" s="390"/>
      <c r="AD18" s="390"/>
      <c r="AE18" s="390"/>
      <c r="AF18" s="390"/>
      <c r="AG18" s="390"/>
      <c r="AH18" s="390"/>
      <c r="AI18" s="390"/>
      <c r="AJ18" s="390"/>
      <c r="AK18" s="390"/>
      <c r="AL18" s="390"/>
      <c r="AM18" s="390"/>
      <c r="AN18" s="390"/>
      <c r="AO18" s="390"/>
      <c r="AP18" s="390"/>
      <c r="AQ18" s="390"/>
      <c r="AR18" s="390"/>
      <c r="AS18" s="390"/>
      <c r="AT18" s="989"/>
      <c r="AU18" s="759"/>
      <c r="AW18" s="845" t="str">
        <f>职业!CV9</f>
        <v/>
      </c>
      <c r="AX18" s="846"/>
      <c r="AY18" s="846"/>
      <c r="AZ18" s="846"/>
      <c r="BA18" s="846"/>
      <c r="BB18" s="846"/>
      <c r="BC18" s="848"/>
      <c r="BD18" s="848"/>
      <c r="BE18" s="848"/>
      <c r="BF18" s="848"/>
      <c r="BG18" s="848"/>
      <c r="BH18" s="848"/>
      <c r="BI18" s="848"/>
      <c r="BJ18" s="848"/>
      <c r="BK18" s="848"/>
      <c r="BL18" s="848"/>
      <c r="BM18" s="848"/>
      <c r="BN18" s="848"/>
      <c r="BO18" s="848"/>
      <c r="BP18" s="848"/>
      <c r="BQ18" s="848"/>
      <c r="BR18" s="848"/>
      <c r="BS18" s="759"/>
      <c r="BT18" s="996" t="s">
        <v>122</v>
      </c>
      <c r="BU18" s="999"/>
      <c r="BV18" s="999"/>
      <c r="BW18" s="999"/>
      <c r="BX18" s="999"/>
      <c r="BY18" s="999"/>
      <c r="BZ18" s="999"/>
      <c r="CA18" s="999"/>
      <c r="CB18" s="999"/>
      <c r="CC18" s="1002"/>
      <c r="CD18" s="1003" t="s">
        <v>46</v>
      </c>
      <c r="CE18" s="383"/>
      <c r="CF18" s="996"/>
      <c r="CG18" s="999"/>
      <c r="CH18" s="999"/>
      <c r="CI18" s="999"/>
      <c r="CJ18" s="999"/>
      <c r="CK18" s="999"/>
      <c r="CL18" s="999"/>
      <c r="CM18" s="999"/>
      <c r="CN18" s="1002"/>
      <c r="CO18" s="1003"/>
    </row>
    <row r="19" customHeight="1" spans="1:93">
      <c r="A19" s="862"/>
      <c r="AA19" s="965"/>
      <c r="AB19" s="390"/>
      <c r="AC19" s="390"/>
      <c r="AD19" s="390"/>
      <c r="AE19" s="390"/>
      <c r="AF19" s="390"/>
      <c r="AG19" s="390"/>
      <c r="AH19" s="390"/>
      <c r="AI19" s="390"/>
      <c r="AJ19" s="390"/>
      <c r="AK19" s="390"/>
      <c r="AL19" s="390"/>
      <c r="AM19" s="390"/>
      <c r="AN19" s="390"/>
      <c r="AO19" s="390"/>
      <c r="AP19" s="390"/>
      <c r="AQ19" s="390"/>
      <c r="AR19" s="390"/>
      <c r="AS19" s="390"/>
      <c r="AT19" s="989"/>
      <c r="AU19" s="759"/>
      <c r="AW19" s="844" t="str">
        <f>职业!CV10</f>
        <v/>
      </c>
      <c r="AX19" s="818"/>
      <c r="AY19" s="818"/>
      <c r="AZ19" s="818"/>
      <c r="BA19" s="818"/>
      <c r="BB19" s="818"/>
      <c r="BC19" s="847"/>
      <c r="BD19" s="847"/>
      <c r="BE19" s="847"/>
      <c r="BF19" s="847"/>
      <c r="BG19" s="847"/>
      <c r="BH19" s="847"/>
      <c r="BI19" s="847"/>
      <c r="BJ19" s="847"/>
      <c r="BK19" s="847"/>
      <c r="BL19" s="847"/>
      <c r="BM19" s="847"/>
      <c r="BN19" s="847"/>
      <c r="BO19" s="847"/>
      <c r="BP19" s="847"/>
      <c r="BQ19" s="847"/>
      <c r="BR19" s="847"/>
      <c r="BS19" s="759"/>
      <c r="BT19" s="997" t="s">
        <v>123</v>
      </c>
      <c r="BU19" s="1000"/>
      <c r="BV19" s="1000"/>
      <c r="BW19" s="1000"/>
      <c r="BX19" s="1000"/>
      <c r="BY19" s="1000"/>
      <c r="BZ19" s="1000"/>
      <c r="CA19" s="1000"/>
      <c r="CB19" s="1000"/>
      <c r="CC19" s="1004"/>
      <c r="CD19" s="1005" t="s">
        <v>46</v>
      </c>
      <c r="CE19" s="383"/>
      <c r="CF19" s="997"/>
      <c r="CG19" s="1000"/>
      <c r="CH19" s="1000"/>
      <c r="CI19" s="1000"/>
      <c r="CJ19" s="1000"/>
      <c r="CK19" s="1000"/>
      <c r="CL19" s="1000"/>
      <c r="CM19" s="1000"/>
      <c r="CN19" s="1004"/>
      <c r="CO19" s="1005"/>
    </row>
    <row r="20" customHeight="1" spans="2:93">
      <c r="B20" s="849" t="s">
        <v>124</v>
      </c>
      <c r="C20" s="849"/>
      <c r="D20" s="849"/>
      <c r="E20" s="849"/>
      <c r="F20" s="849"/>
      <c r="G20" s="849"/>
      <c r="H20" s="849"/>
      <c r="I20" s="849"/>
      <c r="J20" s="849"/>
      <c r="K20" s="849"/>
      <c r="L20" s="849"/>
      <c r="M20" s="849"/>
      <c r="N20" s="849"/>
      <c r="O20" s="849"/>
      <c r="P20" s="849"/>
      <c r="Q20" s="849"/>
      <c r="R20" s="938" t="s">
        <v>125</v>
      </c>
      <c r="S20" s="938"/>
      <c r="T20" s="938"/>
      <c r="U20" s="938"/>
      <c r="V20" s="938"/>
      <c r="W20" s="938"/>
      <c r="X20" s="939" t="s">
        <v>126</v>
      </c>
      <c r="Y20" s="939"/>
      <c r="AA20" s="965"/>
      <c r="AB20" s="390"/>
      <c r="AC20" s="390"/>
      <c r="AD20" s="390"/>
      <c r="AE20" s="390"/>
      <c r="AF20" s="390"/>
      <c r="AG20" s="390"/>
      <c r="AH20" s="390"/>
      <c r="AI20" s="390"/>
      <c r="AJ20" s="390"/>
      <c r="AK20" s="390"/>
      <c r="AL20" s="390"/>
      <c r="AM20" s="390"/>
      <c r="AN20" s="390"/>
      <c r="AO20" s="390"/>
      <c r="AP20" s="390"/>
      <c r="AQ20" s="390"/>
      <c r="AR20" s="390"/>
      <c r="AS20" s="390"/>
      <c r="AT20" s="989"/>
      <c r="AU20" s="759"/>
      <c r="AW20" s="845" t="str">
        <f>职业!CV11</f>
        <v/>
      </c>
      <c r="AX20" s="846"/>
      <c r="AY20" s="846"/>
      <c r="AZ20" s="846"/>
      <c r="BA20" s="846"/>
      <c r="BB20" s="846"/>
      <c r="BC20" s="848"/>
      <c r="BD20" s="848"/>
      <c r="BE20" s="848"/>
      <c r="BF20" s="848"/>
      <c r="BG20" s="848"/>
      <c r="BH20" s="848"/>
      <c r="BI20" s="848"/>
      <c r="BJ20" s="848"/>
      <c r="BK20" s="848"/>
      <c r="BL20" s="848"/>
      <c r="BM20" s="848"/>
      <c r="BN20" s="848"/>
      <c r="BO20" s="848"/>
      <c r="BP20" s="848"/>
      <c r="BQ20" s="848"/>
      <c r="BR20" s="848"/>
      <c r="BS20" s="759"/>
      <c r="BT20" s="996" t="s">
        <v>127</v>
      </c>
      <c r="BU20" s="999"/>
      <c r="BV20" s="999"/>
      <c r="BW20" s="999"/>
      <c r="BX20" s="999"/>
      <c r="BY20" s="999"/>
      <c r="BZ20" s="999"/>
      <c r="CA20" s="999"/>
      <c r="CB20" s="999"/>
      <c r="CC20" s="1002"/>
      <c r="CD20" s="1003" t="s">
        <v>46</v>
      </c>
      <c r="CF20" s="996"/>
      <c r="CG20" s="999"/>
      <c r="CH20" s="999"/>
      <c r="CI20" s="999"/>
      <c r="CJ20" s="999"/>
      <c r="CK20" s="999"/>
      <c r="CL20" s="999"/>
      <c r="CM20" s="999"/>
      <c r="CN20" s="1002"/>
      <c r="CO20" s="1003"/>
    </row>
    <row r="21" customHeight="1" spans="7:93">
      <c r="G21" s="293" t="s">
        <v>44</v>
      </c>
      <c r="H21" s="293"/>
      <c r="N21" s="293" t="s">
        <v>128</v>
      </c>
      <c r="O21" s="293"/>
      <c r="P21" s="889"/>
      <c r="Q21" s="293" t="s">
        <v>129</v>
      </c>
      <c r="R21" s="293"/>
      <c r="AA21" s="965"/>
      <c r="AB21" s="390"/>
      <c r="AC21" s="390"/>
      <c r="AD21" s="390"/>
      <c r="AE21" s="390"/>
      <c r="AF21" s="390"/>
      <c r="AG21" s="390"/>
      <c r="AH21" s="390"/>
      <c r="AI21" s="390"/>
      <c r="AJ21" s="390"/>
      <c r="AK21" s="390"/>
      <c r="AL21" s="390"/>
      <c r="AM21" s="390"/>
      <c r="AN21" s="390"/>
      <c r="AO21" s="390"/>
      <c r="AP21" s="390"/>
      <c r="AQ21" s="390"/>
      <c r="AR21" s="390"/>
      <c r="AS21" s="390"/>
      <c r="AT21" s="989"/>
      <c r="AU21" s="759"/>
      <c r="AW21" s="844" t="str">
        <f>职业!CV12</f>
        <v/>
      </c>
      <c r="AX21" s="818"/>
      <c r="AY21" s="818"/>
      <c r="AZ21" s="818"/>
      <c r="BA21" s="818"/>
      <c r="BB21" s="818"/>
      <c r="BC21" s="847"/>
      <c r="BD21" s="847"/>
      <c r="BE21" s="847"/>
      <c r="BF21" s="847"/>
      <c r="BG21" s="847"/>
      <c r="BH21" s="847"/>
      <c r="BI21" s="847"/>
      <c r="BJ21" s="847"/>
      <c r="BK21" s="847"/>
      <c r="BL21" s="847"/>
      <c r="BM21" s="847"/>
      <c r="BN21" s="847"/>
      <c r="BO21" s="847"/>
      <c r="BP21" s="847"/>
      <c r="BQ21" s="847"/>
      <c r="BR21" s="847"/>
      <c r="BT21" s="997" t="s">
        <v>130</v>
      </c>
      <c r="BU21" s="1000"/>
      <c r="BV21" s="1000"/>
      <c r="BW21" s="1000"/>
      <c r="BX21" s="1000"/>
      <c r="BY21" s="1000"/>
      <c r="BZ21" s="1000"/>
      <c r="CA21" s="1000"/>
      <c r="CB21" s="1000"/>
      <c r="CC21" s="1004"/>
      <c r="CD21" s="1005" t="s">
        <v>46</v>
      </c>
      <c r="CE21" s="383"/>
      <c r="CF21" s="997" t="s">
        <v>131</v>
      </c>
      <c r="CG21" s="1000"/>
      <c r="CH21" s="1000"/>
      <c r="CI21" s="1000"/>
      <c r="CJ21" s="1000"/>
      <c r="CK21" s="1000"/>
      <c r="CL21" s="1000"/>
      <c r="CM21" s="1000"/>
      <c r="CN21" s="1004"/>
      <c r="CO21" s="1005" t="s">
        <v>46</v>
      </c>
    </row>
    <row r="22" customHeight="1" spans="2:93">
      <c r="B22" s="850" t="s">
        <v>132</v>
      </c>
      <c r="C22" s="850"/>
      <c r="D22" s="863">
        <f>SUM(R14+G22)</f>
        <v>0</v>
      </c>
      <c r="E22" s="863"/>
      <c r="F22" s="861" t="s">
        <v>48</v>
      </c>
      <c r="G22" s="320"/>
      <c r="H22" s="320"/>
      <c r="J22" s="890" t="s">
        <v>133</v>
      </c>
      <c r="K22" s="890"/>
      <c r="L22" s="890"/>
      <c r="M22" s="891">
        <v>0</v>
      </c>
      <c r="N22" s="891"/>
      <c r="O22" s="892"/>
      <c r="P22" s="893" t="s">
        <v>134</v>
      </c>
      <c r="Q22" s="940">
        <f>BF7</f>
        <v>0</v>
      </c>
      <c r="R22" s="941"/>
      <c r="S22" s="941"/>
      <c r="U22" s="318" t="s">
        <v>135</v>
      </c>
      <c r="V22" s="318"/>
      <c r="W22" s="942"/>
      <c r="X22" s="942"/>
      <c r="Y22" s="942"/>
      <c r="AA22" s="965"/>
      <c r="AB22" s="390"/>
      <c r="AC22" s="390"/>
      <c r="AD22" s="390"/>
      <c r="AE22" s="390"/>
      <c r="AF22" s="390"/>
      <c r="AG22" s="390"/>
      <c r="AH22" s="390"/>
      <c r="AI22" s="390"/>
      <c r="AJ22" s="390"/>
      <c r="AK22" s="390"/>
      <c r="AL22" s="390"/>
      <c r="AM22" s="390"/>
      <c r="AN22" s="390"/>
      <c r="AO22" s="390"/>
      <c r="AP22" s="390"/>
      <c r="AQ22" s="390"/>
      <c r="AR22" s="390"/>
      <c r="AS22" s="390"/>
      <c r="AT22" s="989"/>
      <c r="AU22" s="759"/>
      <c r="AW22" s="845" t="str">
        <f>职业!CV13</f>
        <v/>
      </c>
      <c r="AX22" s="846"/>
      <c r="AY22" s="846"/>
      <c r="AZ22" s="846"/>
      <c r="BA22" s="846"/>
      <c r="BB22" s="846"/>
      <c r="BC22" s="848"/>
      <c r="BD22" s="848"/>
      <c r="BE22" s="848"/>
      <c r="BF22" s="848"/>
      <c r="BG22" s="848"/>
      <c r="BH22" s="848"/>
      <c r="BI22" s="848"/>
      <c r="BJ22" s="848"/>
      <c r="BK22" s="848"/>
      <c r="BL22" s="848"/>
      <c r="BM22" s="848"/>
      <c r="BN22" s="848"/>
      <c r="BO22" s="848"/>
      <c r="BP22" s="848"/>
      <c r="BQ22" s="848"/>
      <c r="BR22" s="848"/>
      <c r="BT22" s="996" t="s">
        <v>136</v>
      </c>
      <c r="BU22" s="999"/>
      <c r="BV22" s="999"/>
      <c r="BW22" s="999"/>
      <c r="BX22" s="999"/>
      <c r="BY22" s="999"/>
      <c r="BZ22" s="999"/>
      <c r="CA22" s="999"/>
      <c r="CB22" s="999"/>
      <c r="CC22" s="1002"/>
      <c r="CD22" s="1003" t="s">
        <v>46</v>
      </c>
      <c r="CE22" s="383"/>
      <c r="CF22" s="996" t="s">
        <v>137</v>
      </c>
      <c r="CG22" s="999"/>
      <c r="CH22" s="999"/>
      <c r="CI22" s="999"/>
      <c r="CJ22" s="999"/>
      <c r="CK22" s="999"/>
      <c r="CL22" s="999"/>
      <c r="CM22" s="999"/>
      <c r="CN22" s="1002"/>
      <c r="CO22" s="1003" t="s">
        <v>46</v>
      </c>
    </row>
    <row r="23" customHeight="1" spans="2:93">
      <c r="B23" s="864" t="s">
        <v>138</v>
      </c>
      <c r="C23" s="864"/>
      <c r="D23" s="863">
        <f>SUM(AD31,AG31,G23,+IF(AS31="是",AO31,0))</f>
        <v>10</v>
      </c>
      <c r="E23" s="863"/>
      <c r="F23" s="861" t="s">
        <v>48</v>
      </c>
      <c r="G23" s="320"/>
      <c r="H23" s="320"/>
      <c r="J23" s="894" t="s">
        <v>139</v>
      </c>
      <c r="K23" s="894"/>
      <c r="L23" s="895"/>
      <c r="M23" s="896">
        <v>1</v>
      </c>
      <c r="N23" s="897"/>
      <c r="O23" s="893" t="s">
        <v>134</v>
      </c>
      <c r="P23" s="898">
        <f>O6+O7+O8</f>
        <v>1</v>
      </c>
      <c r="Q23" s="943"/>
      <c r="R23" s="320" t="str">
        <f>IF(E7="",IF(E8="",IFERROR(VLOOKUP(E6,职业!AO2:AP21,2,0),""),""),"")</f>
        <v/>
      </c>
      <c r="S23" s="320"/>
      <c r="U23" s="318"/>
      <c r="V23" s="318"/>
      <c r="W23" s="942"/>
      <c r="X23" s="942"/>
      <c r="Y23" s="942"/>
      <c r="AA23" s="967"/>
      <c r="AB23" s="968"/>
      <c r="AC23" s="968"/>
      <c r="AD23" s="968"/>
      <c r="AE23" s="968"/>
      <c r="AF23" s="968"/>
      <c r="AG23" s="968"/>
      <c r="AH23" s="968"/>
      <c r="AI23" s="968"/>
      <c r="AJ23" s="968"/>
      <c r="AK23" s="968"/>
      <c r="AL23" s="968"/>
      <c r="AM23" s="968"/>
      <c r="AN23" s="968"/>
      <c r="AO23" s="968"/>
      <c r="AP23" s="968"/>
      <c r="AQ23" s="968"/>
      <c r="AR23" s="968"/>
      <c r="AS23" s="968"/>
      <c r="AT23" s="990"/>
      <c r="AU23" s="759"/>
      <c r="AW23" s="844" t="str">
        <f>职业!CV14</f>
        <v/>
      </c>
      <c r="AX23" s="818"/>
      <c r="AY23" s="818"/>
      <c r="AZ23" s="818"/>
      <c r="BA23" s="818"/>
      <c r="BB23" s="818"/>
      <c r="BC23" s="847"/>
      <c r="BD23" s="847"/>
      <c r="BE23" s="847"/>
      <c r="BF23" s="847"/>
      <c r="BG23" s="847"/>
      <c r="BH23" s="847"/>
      <c r="BI23" s="847"/>
      <c r="BJ23" s="847"/>
      <c r="BK23" s="847"/>
      <c r="BL23" s="847"/>
      <c r="BM23" s="847"/>
      <c r="BN23" s="847"/>
      <c r="BO23" s="847"/>
      <c r="BP23" s="847"/>
      <c r="BQ23" s="847"/>
      <c r="BR23" s="847"/>
      <c r="BT23" s="997" t="s">
        <v>140</v>
      </c>
      <c r="BU23" s="1000"/>
      <c r="BV23" s="1000"/>
      <c r="BW23" s="1000"/>
      <c r="BX23" s="1000"/>
      <c r="BY23" s="1000"/>
      <c r="BZ23" s="1000"/>
      <c r="CA23" s="1000"/>
      <c r="CB23" s="1000"/>
      <c r="CC23" s="1004"/>
      <c r="CD23" s="1005" t="s">
        <v>46</v>
      </c>
      <c r="CF23" s="997" t="s">
        <v>141</v>
      </c>
      <c r="CG23" s="1000"/>
      <c r="CH23" s="1000"/>
      <c r="CI23" s="1000"/>
      <c r="CJ23" s="1000"/>
      <c r="CK23" s="1000"/>
      <c r="CL23" s="1000"/>
      <c r="CM23" s="1000"/>
      <c r="CN23" s="1004"/>
      <c r="CO23" s="1005" t="s">
        <v>46</v>
      </c>
    </row>
    <row r="24" customHeight="1" spans="7:70">
      <c r="G24" s="293" t="s">
        <v>44</v>
      </c>
      <c r="H24" s="293"/>
      <c r="I24" s="899"/>
      <c r="J24" s="899"/>
      <c r="K24" s="899"/>
      <c r="L24" s="899"/>
      <c r="P24" s="899"/>
      <c r="Q24" s="899"/>
      <c r="AA24" s="969" t="s">
        <v>142</v>
      </c>
      <c r="AB24" s="969"/>
      <c r="AC24" s="969"/>
      <c r="AD24" s="969"/>
      <c r="AE24" s="969"/>
      <c r="AF24" s="969"/>
      <c r="AG24" s="969"/>
      <c r="AH24" s="969"/>
      <c r="AI24" s="969"/>
      <c r="AJ24" s="969"/>
      <c r="AK24" s="969"/>
      <c r="AL24" s="969"/>
      <c r="AM24" s="969"/>
      <c r="AN24" s="969"/>
      <c r="AO24" s="969"/>
      <c r="AP24" s="969"/>
      <c r="AQ24" s="969"/>
      <c r="AR24" s="969"/>
      <c r="AS24" s="969"/>
      <c r="AT24" s="969"/>
      <c r="AU24" s="759"/>
      <c r="AW24" s="845" t="str">
        <f>职业!CV15</f>
        <v/>
      </c>
      <c r="AX24" s="846"/>
      <c r="AY24" s="846"/>
      <c r="AZ24" s="846"/>
      <c r="BA24" s="846"/>
      <c r="BB24" s="846"/>
      <c r="BC24" s="848"/>
      <c r="BD24" s="848"/>
      <c r="BE24" s="848"/>
      <c r="BF24" s="848"/>
      <c r="BG24" s="848"/>
      <c r="BH24" s="848"/>
      <c r="BI24" s="848"/>
      <c r="BJ24" s="848"/>
      <c r="BK24" s="848"/>
      <c r="BL24" s="848"/>
      <c r="BM24" s="848"/>
      <c r="BN24" s="848"/>
      <c r="BO24" s="848"/>
      <c r="BP24" s="848"/>
      <c r="BQ24" s="848"/>
      <c r="BR24" s="848"/>
    </row>
    <row r="25" customHeight="1" spans="2:93">
      <c r="B25" s="865" t="s">
        <v>143</v>
      </c>
      <c r="C25" s="865"/>
      <c r="D25" s="866">
        <f>SUM(8+S3+G25+IF(F26="力量",R13,IF(F26="敏捷",R14,IF(F26="体质",R15,IF(F26="智力",R16,IF(F26="感知",R17,IF(F26="魅力",R18,0)))))))</f>
        <v>10</v>
      </c>
      <c r="E25" s="866"/>
      <c r="F25" s="861" t="s">
        <v>48</v>
      </c>
      <c r="G25" s="320"/>
      <c r="H25" s="320"/>
      <c r="I25" s="900"/>
      <c r="J25" s="850" t="s">
        <v>144</v>
      </c>
      <c r="K25" s="850"/>
      <c r="L25" s="850"/>
      <c r="M25" s="850"/>
      <c r="N25" s="886" t="s">
        <v>145</v>
      </c>
      <c r="O25" s="886"/>
      <c r="P25" s="886"/>
      <c r="Q25" s="886"/>
      <c r="R25" s="886"/>
      <c r="S25" s="850" t="s">
        <v>146</v>
      </c>
      <c r="T25" s="850"/>
      <c r="U25" s="850"/>
      <c r="V25" s="850"/>
      <c r="W25" s="944">
        <v>30</v>
      </c>
      <c r="X25" s="944"/>
      <c r="Y25" s="944"/>
      <c r="Z25" s="944"/>
      <c r="AA25" s="944"/>
      <c r="AC25" s="850" t="s">
        <v>147</v>
      </c>
      <c r="AD25" s="850"/>
      <c r="AE25" s="850"/>
      <c r="AF25" s="850"/>
      <c r="AG25" s="886"/>
      <c r="AH25" s="886"/>
      <c r="AI25" s="886"/>
      <c r="AJ25" s="886"/>
      <c r="AK25" s="886"/>
      <c r="AL25" s="886"/>
      <c r="AM25" s="886"/>
      <c r="AN25" s="886"/>
      <c r="AO25" s="886"/>
      <c r="AP25" s="886"/>
      <c r="AQ25" s="886"/>
      <c r="AR25" s="886"/>
      <c r="AS25" s="886"/>
      <c r="AT25" s="886"/>
      <c r="AU25" s="759"/>
      <c r="AW25" s="844" t="str">
        <f>职业!CV16</f>
        <v/>
      </c>
      <c r="AX25" s="818"/>
      <c r="AY25" s="818"/>
      <c r="AZ25" s="818"/>
      <c r="BA25" s="818"/>
      <c r="BB25" s="818"/>
      <c r="BC25" s="847"/>
      <c r="BD25" s="847"/>
      <c r="BE25" s="847"/>
      <c r="BF25" s="847"/>
      <c r="BG25" s="847"/>
      <c r="BH25" s="847"/>
      <c r="BI25" s="847"/>
      <c r="BJ25" s="847"/>
      <c r="BK25" s="847"/>
      <c r="BL25" s="847"/>
      <c r="BM25" s="847"/>
      <c r="BN25" s="847"/>
      <c r="BO25" s="847"/>
      <c r="BP25" s="847"/>
      <c r="BQ25" s="847"/>
      <c r="BR25" s="847"/>
      <c r="BT25" s="849" t="s">
        <v>148</v>
      </c>
      <c r="BU25" s="849"/>
      <c r="BV25" s="849"/>
      <c r="BW25" s="849"/>
      <c r="BX25" s="849"/>
      <c r="BY25" s="849"/>
      <c r="BZ25" s="849"/>
      <c r="CA25" s="849"/>
      <c r="CB25" s="849"/>
      <c r="CC25" s="849"/>
      <c r="CD25" s="849"/>
      <c r="CE25" s="849"/>
      <c r="CF25" s="849"/>
      <c r="CG25" s="849"/>
      <c r="CH25" s="849"/>
      <c r="CI25" s="849"/>
      <c r="CJ25" s="849"/>
      <c r="CK25" s="849"/>
      <c r="CL25" s="849"/>
      <c r="CM25" s="849"/>
      <c r="CN25" s="849"/>
      <c r="CO25" s="849"/>
    </row>
    <row r="26" customHeight="1" spans="2:93">
      <c r="B26" s="867" t="s">
        <v>92</v>
      </c>
      <c r="C26" s="867"/>
      <c r="D26" s="867"/>
      <c r="E26" s="867"/>
      <c r="F26" s="868" t="s">
        <v>121</v>
      </c>
      <c r="G26" s="868"/>
      <c r="H26" s="868"/>
      <c r="J26" s="901" t="s">
        <v>149</v>
      </c>
      <c r="K26" s="902"/>
      <c r="L26" s="902"/>
      <c r="M26" s="903"/>
      <c r="N26" s="904"/>
      <c r="O26" s="905"/>
      <c r="P26" s="813" t="s">
        <v>134</v>
      </c>
      <c r="Q26" s="945"/>
      <c r="R26" s="946"/>
      <c r="S26" s="901" t="s">
        <v>149</v>
      </c>
      <c r="T26" s="902"/>
      <c r="U26" s="902"/>
      <c r="V26" s="903"/>
      <c r="W26" s="904"/>
      <c r="X26" s="905"/>
      <c r="Y26" s="813" t="s">
        <v>134</v>
      </c>
      <c r="Z26" s="945"/>
      <c r="AA26" s="946"/>
      <c r="AC26" s="867" t="s">
        <v>150</v>
      </c>
      <c r="AD26" s="867"/>
      <c r="AE26" s="867"/>
      <c r="AF26" s="867"/>
      <c r="AG26" s="399"/>
      <c r="AH26" s="399"/>
      <c r="AI26" s="399"/>
      <c r="AJ26" s="399"/>
      <c r="AK26" s="399"/>
      <c r="AL26" s="399"/>
      <c r="AM26" s="399"/>
      <c r="AN26" s="399"/>
      <c r="AO26" s="399"/>
      <c r="AP26" s="399"/>
      <c r="AQ26" s="399"/>
      <c r="AR26" s="399"/>
      <c r="AS26" s="399"/>
      <c r="AT26" s="399"/>
      <c r="AU26" s="759"/>
      <c r="AW26" s="845" t="str">
        <f>职业!CV17</f>
        <v/>
      </c>
      <c r="AX26" s="846"/>
      <c r="AY26" s="846"/>
      <c r="AZ26" s="846"/>
      <c r="BA26" s="846"/>
      <c r="BB26" s="846"/>
      <c r="BC26" s="848"/>
      <c r="BD26" s="848"/>
      <c r="BE26" s="848"/>
      <c r="BF26" s="848"/>
      <c r="BG26" s="848"/>
      <c r="BH26" s="848"/>
      <c r="BI26" s="848"/>
      <c r="BJ26" s="848"/>
      <c r="BK26" s="848"/>
      <c r="BL26" s="848"/>
      <c r="BM26" s="848"/>
      <c r="BN26" s="848"/>
      <c r="BO26" s="848"/>
      <c r="BP26" s="848"/>
      <c r="BQ26" s="848"/>
      <c r="BR26" s="848"/>
      <c r="BT26" s="293" t="s">
        <v>88</v>
      </c>
      <c r="BU26" s="293"/>
      <c r="BV26" s="293"/>
      <c r="BW26" s="293"/>
      <c r="BX26" s="293"/>
      <c r="BY26" s="293"/>
      <c r="BZ26" s="293" t="s">
        <v>89</v>
      </c>
      <c r="CA26" s="293"/>
      <c r="CB26" s="293"/>
      <c r="CC26" s="293"/>
      <c r="CD26" s="293"/>
      <c r="CE26" s="293"/>
      <c r="CF26" s="293"/>
      <c r="CG26" s="293"/>
      <c r="CH26" s="293"/>
      <c r="CI26" s="293"/>
      <c r="CJ26" s="293"/>
      <c r="CK26" s="293"/>
      <c r="CL26" s="293"/>
      <c r="CM26" s="293"/>
      <c r="CN26" s="293"/>
      <c r="CO26" s="293"/>
    </row>
    <row r="27" customHeight="1" spans="2:93">
      <c r="B27" s="851" t="s">
        <v>151</v>
      </c>
      <c r="C27" s="851"/>
      <c r="D27" s="851"/>
      <c r="E27" s="851"/>
      <c r="F27" s="863">
        <f>SUM(10+I44)</f>
        <v>10</v>
      </c>
      <c r="G27" s="863"/>
      <c r="H27" s="863"/>
      <c r="J27" s="906" t="s">
        <v>149</v>
      </c>
      <c r="K27" s="907"/>
      <c r="L27" s="907"/>
      <c r="M27" s="908"/>
      <c r="N27" s="909"/>
      <c r="O27" s="910"/>
      <c r="P27" s="810" t="s">
        <v>134</v>
      </c>
      <c r="Q27" s="947"/>
      <c r="R27" s="948"/>
      <c r="S27" s="906" t="s">
        <v>149</v>
      </c>
      <c r="T27" s="907"/>
      <c r="U27" s="907"/>
      <c r="V27" s="908"/>
      <c r="W27" s="909"/>
      <c r="X27" s="910"/>
      <c r="Y27" s="810" t="s">
        <v>134</v>
      </c>
      <c r="Z27" s="947"/>
      <c r="AA27" s="948"/>
      <c r="AC27" s="851" t="s">
        <v>152</v>
      </c>
      <c r="AD27" s="851"/>
      <c r="AE27" s="851"/>
      <c r="AF27" s="851"/>
      <c r="AG27" s="399"/>
      <c r="AH27" s="399"/>
      <c r="AI27" s="399"/>
      <c r="AJ27" s="399"/>
      <c r="AK27" s="399"/>
      <c r="AL27" s="399"/>
      <c r="AM27" s="399"/>
      <c r="AN27" s="399"/>
      <c r="AO27" s="399"/>
      <c r="AP27" s="399"/>
      <c r="AQ27" s="399"/>
      <c r="AR27" s="399"/>
      <c r="AS27" s="399"/>
      <c r="AT27" s="399"/>
      <c r="AU27" s="759"/>
      <c r="AW27" s="844" t="str">
        <f>职业!CV18</f>
        <v/>
      </c>
      <c r="AX27" s="818"/>
      <c r="AY27" s="818"/>
      <c r="AZ27" s="818"/>
      <c r="BA27" s="818"/>
      <c r="BB27" s="818"/>
      <c r="BC27" s="847"/>
      <c r="BD27" s="847"/>
      <c r="BE27" s="847"/>
      <c r="BF27" s="847"/>
      <c r="BG27" s="847"/>
      <c r="BH27" s="847"/>
      <c r="BI27" s="847"/>
      <c r="BJ27" s="847"/>
      <c r="BK27" s="847"/>
      <c r="BL27" s="847"/>
      <c r="BM27" s="847"/>
      <c r="BN27" s="847"/>
      <c r="BO27" s="847"/>
      <c r="BP27" s="847"/>
      <c r="BQ27" s="847"/>
      <c r="BR27" s="847"/>
      <c r="BT27" s="818" t="s">
        <v>153</v>
      </c>
      <c r="BU27" s="818"/>
      <c r="BV27" s="818"/>
      <c r="BW27" s="818"/>
      <c r="BX27" s="818"/>
      <c r="BY27" s="818"/>
      <c r="BZ27" s="847"/>
      <c r="CA27" s="847"/>
      <c r="CB27" s="847"/>
      <c r="CC27" s="847"/>
      <c r="CD27" s="847"/>
      <c r="CE27" s="847"/>
      <c r="CF27" s="847"/>
      <c r="CG27" s="847"/>
      <c r="CH27" s="847"/>
      <c r="CI27" s="847"/>
      <c r="CJ27" s="847"/>
      <c r="CK27" s="847"/>
      <c r="CL27" s="847"/>
      <c r="CM27" s="847"/>
      <c r="CN27" s="847"/>
      <c r="CO27" s="847"/>
    </row>
    <row r="28" customHeight="1" spans="47:93">
      <c r="AU28" s="759"/>
      <c r="AW28" s="845" t="str">
        <f>职业!CV19</f>
        <v/>
      </c>
      <c r="AX28" s="846"/>
      <c r="AY28" s="846"/>
      <c r="AZ28" s="846"/>
      <c r="BA28" s="846"/>
      <c r="BB28" s="846"/>
      <c r="BC28" s="848"/>
      <c r="BD28" s="848"/>
      <c r="BE28" s="848"/>
      <c r="BF28" s="848"/>
      <c r="BG28" s="848"/>
      <c r="BH28" s="848"/>
      <c r="BI28" s="848"/>
      <c r="BJ28" s="848"/>
      <c r="BK28" s="848"/>
      <c r="BL28" s="848"/>
      <c r="BM28" s="848"/>
      <c r="BN28" s="848"/>
      <c r="BO28" s="848"/>
      <c r="BP28" s="848"/>
      <c r="BQ28" s="848"/>
      <c r="BR28" s="848"/>
      <c r="BT28" s="846" t="s">
        <v>144</v>
      </c>
      <c r="BU28" s="846"/>
      <c r="BV28" s="846"/>
      <c r="BW28" s="846"/>
      <c r="BX28" s="846"/>
      <c r="BY28" s="846"/>
      <c r="BZ28" s="848"/>
      <c r="CA28" s="848"/>
      <c r="CB28" s="848"/>
      <c r="CC28" s="848"/>
      <c r="CD28" s="848"/>
      <c r="CE28" s="848"/>
      <c r="CF28" s="848"/>
      <c r="CG28" s="848"/>
      <c r="CH28" s="848"/>
      <c r="CI28" s="848"/>
      <c r="CJ28" s="848"/>
      <c r="CK28" s="848"/>
      <c r="CL28" s="848"/>
      <c r="CM28" s="848"/>
      <c r="CN28" s="848"/>
      <c r="CO28" s="848"/>
    </row>
    <row r="29" customHeight="1" spans="2:93">
      <c r="B29" s="849" t="s">
        <v>154</v>
      </c>
      <c r="C29" s="849"/>
      <c r="D29" s="849"/>
      <c r="E29" s="849"/>
      <c r="F29" s="849"/>
      <c r="G29" s="849"/>
      <c r="H29" s="849"/>
      <c r="I29" s="849"/>
      <c r="J29" s="849"/>
      <c r="L29" s="849" t="s">
        <v>155</v>
      </c>
      <c r="M29" s="849"/>
      <c r="N29" s="849"/>
      <c r="O29" s="849"/>
      <c r="P29" s="849"/>
      <c r="Q29" s="849"/>
      <c r="R29" s="849"/>
      <c r="S29" s="849"/>
      <c r="T29" s="849"/>
      <c r="U29" s="849"/>
      <c r="V29" s="849"/>
      <c r="W29" s="849"/>
      <c r="X29" s="849"/>
      <c r="Y29" s="849"/>
      <c r="Z29" s="849"/>
      <c r="AA29" s="849"/>
      <c r="AB29" s="849"/>
      <c r="AC29" s="849"/>
      <c r="AD29" s="849"/>
      <c r="AE29" s="970" t="s">
        <v>156</v>
      </c>
      <c r="AF29" s="970"/>
      <c r="AG29" s="970"/>
      <c r="AH29" s="970"/>
      <c r="AI29" s="970"/>
      <c r="AJ29" s="970"/>
      <c r="AK29" s="982">
        <f>SUM(装备!X20:X36)</f>
        <v>0</v>
      </c>
      <c r="AL29" s="982"/>
      <c r="AM29" s="938" t="s">
        <v>157</v>
      </c>
      <c r="AN29" s="938"/>
      <c r="AO29" s="938"/>
      <c r="AP29" s="938"/>
      <c r="AQ29" s="938"/>
      <c r="AR29" s="938"/>
      <c r="AS29" s="991" t="s">
        <v>158</v>
      </c>
      <c r="AT29" s="991"/>
      <c r="AW29" s="844" t="str">
        <f>职业!CV20</f>
        <v/>
      </c>
      <c r="AX29" s="818"/>
      <c r="AY29" s="818"/>
      <c r="AZ29" s="818"/>
      <c r="BA29" s="818"/>
      <c r="BB29" s="818"/>
      <c r="BC29" s="847"/>
      <c r="BD29" s="847"/>
      <c r="BE29" s="847"/>
      <c r="BF29" s="847"/>
      <c r="BG29" s="847"/>
      <c r="BH29" s="847"/>
      <c r="BI29" s="847"/>
      <c r="BJ29" s="847"/>
      <c r="BK29" s="847"/>
      <c r="BL29" s="847"/>
      <c r="BM29" s="847"/>
      <c r="BN29" s="847"/>
      <c r="BO29" s="847"/>
      <c r="BP29" s="847"/>
      <c r="BQ29" s="847"/>
      <c r="BR29" s="847"/>
      <c r="BT29" s="818" t="s">
        <v>146</v>
      </c>
      <c r="BU29" s="818"/>
      <c r="BV29" s="818"/>
      <c r="BW29" s="818"/>
      <c r="BX29" s="818"/>
      <c r="BY29" s="818"/>
      <c r="BZ29" s="847"/>
      <c r="CA29" s="847"/>
      <c r="CB29" s="847"/>
      <c r="CC29" s="847"/>
      <c r="CD29" s="847"/>
      <c r="CE29" s="847"/>
      <c r="CF29" s="847"/>
      <c r="CG29" s="847"/>
      <c r="CH29" s="847"/>
      <c r="CI29" s="847"/>
      <c r="CJ29" s="847"/>
      <c r="CK29" s="847"/>
      <c r="CL29" s="847"/>
      <c r="CM29" s="847"/>
      <c r="CN29" s="847"/>
      <c r="CO29" s="847"/>
    </row>
    <row r="30" customHeight="1" spans="2:93">
      <c r="B30" s="869" t="s">
        <v>159</v>
      </c>
      <c r="C30" s="869"/>
      <c r="D30" s="869"/>
      <c r="E30" s="870"/>
      <c r="F30" s="870"/>
      <c r="G30" s="869" t="s">
        <v>160</v>
      </c>
      <c r="H30" s="869"/>
      <c r="I30" s="869"/>
      <c r="J30" s="870" t="s">
        <v>102</v>
      </c>
      <c r="K30" s="370"/>
      <c r="L30" s="754" t="s">
        <v>161</v>
      </c>
      <c r="M30" s="754"/>
      <c r="N30" s="754"/>
      <c r="O30" s="293"/>
      <c r="P30" s="911" t="s">
        <v>162</v>
      </c>
      <c r="Q30" s="889"/>
      <c r="R30" s="293" t="s">
        <v>88</v>
      </c>
      <c r="S30" s="293"/>
      <c r="T30" s="871"/>
      <c r="U30" s="911" t="s">
        <v>163</v>
      </c>
      <c r="V30" s="761" t="s">
        <v>164</v>
      </c>
      <c r="W30" s="761"/>
      <c r="X30" s="761"/>
      <c r="Y30" s="761"/>
      <c r="Z30" s="761"/>
      <c r="AA30" s="293" t="s">
        <v>165</v>
      </c>
      <c r="AB30" s="293"/>
      <c r="AC30" s="293"/>
      <c r="AD30" s="293" t="s">
        <v>138</v>
      </c>
      <c r="AE30" s="293"/>
      <c r="AF30" s="911" t="s">
        <v>166</v>
      </c>
      <c r="AG30" s="911"/>
      <c r="AH30" s="911"/>
      <c r="AI30" s="760"/>
      <c r="AJ30" s="760" t="s">
        <v>162</v>
      </c>
      <c r="AK30" s="760"/>
      <c r="AL30" s="293" t="s">
        <v>167</v>
      </c>
      <c r="AM30" s="293"/>
      <c r="AN30" s="871"/>
      <c r="AO30" s="293" t="s">
        <v>138</v>
      </c>
      <c r="AP30" s="293"/>
      <c r="AQ30" s="293" t="s">
        <v>165</v>
      </c>
      <c r="AR30" s="293"/>
      <c r="AS30" s="293" t="s">
        <v>168</v>
      </c>
      <c r="AT30" s="293"/>
      <c r="AU30" s="759"/>
      <c r="AW30" s="845" t="str">
        <f>职业!CV21</f>
        <v/>
      </c>
      <c r="AX30" s="846"/>
      <c r="AY30" s="846"/>
      <c r="AZ30" s="846"/>
      <c r="BA30" s="846"/>
      <c r="BB30" s="846"/>
      <c r="BC30" s="848"/>
      <c r="BD30" s="848"/>
      <c r="BE30" s="848"/>
      <c r="BF30" s="848"/>
      <c r="BG30" s="848"/>
      <c r="BH30" s="848"/>
      <c r="BI30" s="848"/>
      <c r="BJ30" s="848"/>
      <c r="BK30" s="848"/>
      <c r="BL30" s="848"/>
      <c r="BM30" s="848"/>
      <c r="BN30" s="848"/>
      <c r="BO30" s="848"/>
      <c r="BP30" s="848"/>
      <c r="BQ30" s="848"/>
      <c r="BR30" s="848"/>
      <c r="BT30" s="846"/>
      <c r="BU30" s="846"/>
      <c r="BV30" s="846"/>
      <c r="BW30" s="846"/>
      <c r="BX30" s="846"/>
      <c r="BY30" s="846"/>
      <c r="BZ30" s="848"/>
      <c r="CA30" s="848"/>
      <c r="CB30" s="848"/>
      <c r="CC30" s="848"/>
      <c r="CD30" s="848"/>
      <c r="CE30" s="848"/>
      <c r="CF30" s="848"/>
      <c r="CG30" s="848"/>
      <c r="CH30" s="848"/>
      <c r="CI30" s="848"/>
      <c r="CJ30" s="848"/>
      <c r="CK30" s="848"/>
      <c r="CL30" s="848"/>
      <c r="CM30" s="848"/>
      <c r="CN30" s="848"/>
      <c r="CO30" s="848"/>
    </row>
    <row r="31" customHeight="1" spans="2:93">
      <c r="B31" s="855" t="s">
        <v>43</v>
      </c>
      <c r="C31" s="871"/>
      <c r="D31" s="760" t="s">
        <v>104</v>
      </c>
      <c r="E31" s="760"/>
      <c r="F31" s="293" t="s">
        <v>44</v>
      </c>
      <c r="G31" s="293"/>
      <c r="H31" s="871"/>
      <c r="I31" s="293" t="s">
        <v>96</v>
      </c>
      <c r="J31" s="293"/>
      <c r="L31" s="912"/>
      <c r="M31" s="912"/>
      <c r="N31" s="912"/>
      <c r="O31" s="912"/>
      <c r="P31" s="859"/>
      <c r="Q31" s="429"/>
      <c r="R31" s="429"/>
      <c r="S31" s="429"/>
      <c r="T31" s="777"/>
      <c r="U31" s="949"/>
      <c r="V31" s="847"/>
      <c r="W31" s="847"/>
      <c r="X31" s="847"/>
      <c r="Y31" s="847"/>
      <c r="Z31" s="847"/>
      <c r="AA31" s="971" t="str">
        <f>装备!AX12</f>
        <v/>
      </c>
      <c r="AB31" s="971"/>
      <c r="AC31" s="972" t="s">
        <v>105</v>
      </c>
      <c r="AD31" s="973">
        <f>装备!AV12+U31</f>
        <v>10</v>
      </c>
      <c r="AE31" s="973"/>
      <c r="AF31" s="1075" t="s">
        <v>169</v>
      </c>
      <c r="AG31" s="973">
        <f>装备!AW12</f>
        <v>0</v>
      </c>
      <c r="AH31" s="973"/>
      <c r="AJ31" s="859"/>
      <c r="AK31" s="983"/>
      <c r="AL31" s="983"/>
      <c r="AM31" s="983"/>
      <c r="AN31" s="983"/>
      <c r="AO31" s="973">
        <v>2</v>
      </c>
      <c r="AP31" s="973"/>
      <c r="AQ31" s="971" t="str">
        <f>IF(AS31="否","",6)</f>
        <v/>
      </c>
      <c r="AR31" s="971"/>
      <c r="AS31" s="973" t="s">
        <v>126</v>
      </c>
      <c r="AT31" s="973"/>
      <c r="AU31" s="759"/>
      <c r="AW31" s="844" t="str">
        <f>职业!CV22</f>
        <v/>
      </c>
      <c r="AX31" s="818"/>
      <c r="AY31" s="818"/>
      <c r="AZ31" s="818"/>
      <c r="BA31" s="818"/>
      <c r="BB31" s="818"/>
      <c r="BC31" s="847"/>
      <c r="BD31" s="847"/>
      <c r="BE31" s="847"/>
      <c r="BF31" s="847"/>
      <c r="BG31" s="847"/>
      <c r="BH31" s="847"/>
      <c r="BI31" s="847"/>
      <c r="BJ31" s="847"/>
      <c r="BK31" s="847"/>
      <c r="BL31" s="847"/>
      <c r="BM31" s="847"/>
      <c r="BN31" s="847"/>
      <c r="BO31" s="847"/>
      <c r="BP31" s="847"/>
      <c r="BQ31" s="847"/>
      <c r="BR31" s="847"/>
      <c r="BT31" s="818"/>
      <c r="BU31" s="818"/>
      <c r="BV31" s="818"/>
      <c r="BW31" s="818"/>
      <c r="BX31" s="818"/>
      <c r="BY31" s="818"/>
      <c r="BZ31" s="847"/>
      <c r="CA31" s="847"/>
      <c r="CB31" s="847"/>
      <c r="CC31" s="847"/>
      <c r="CD31" s="847"/>
      <c r="CE31" s="847"/>
      <c r="CF31" s="847"/>
      <c r="CG31" s="847"/>
      <c r="CH31" s="847"/>
      <c r="CI31" s="847"/>
      <c r="CJ31" s="847"/>
      <c r="CK31" s="847"/>
      <c r="CL31" s="847"/>
      <c r="CM31" s="847"/>
      <c r="CN31" s="847"/>
      <c r="CO31" s="847"/>
    </row>
    <row r="32" customHeight="1" spans="1:93">
      <c r="A32" s="862"/>
      <c r="B32" s="872" t="s">
        <v>102</v>
      </c>
      <c r="C32" s="873" t="s">
        <v>170</v>
      </c>
      <c r="D32" s="874"/>
      <c r="E32" s="874"/>
      <c r="F32" s="429"/>
      <c r="G32" s="429"/>
      <c r="H32" s="763" t="s">
        <v>105</v>
      </c>
      <c r="I32" s="319">
        <f>R13+F32+IF(B32="O",S3,(IF(B32="🅞",S3*2,IF(J30="O",INT(S3/2),0))))+E30</f>
        <v>0</v>
      </c>
      <c r="J32" s="319"/>
      <c r="L32" s="754" t="s">
        <v>171</v>
      </c>
      <c r="M32" s="754"/>
      <c r="N32" s="754"/>
      <c r="O32" s="913"/>
      <c r="P32" s="911" t="s">
        <v>162</v>
      </c>
      <c r="Q32" s="858" t="s">
        <v>172</v>
      </c>
      <c r="R32" s="858"/>
      <c r="S32" s="858"/>
      <c r="T32" s="950"/>
      <c r="U32" s="911" t="s">
        <v>163</v>
      </c>
      <c r="V32" s="293" t="s">
        <v>164</v>
      </c>
      <c r="W32" s="293"/>
      <c r="X32" s="293"/>
      <c r="Y32" s="293"/>
      <c r="Z32" s="293"/>
      <c r="AA32" s="293"/>
      <c r="AB32" s="293"/>
      <c r="AC32" s="754" t="s">
        <v>43</v>
      </c>
      <c r="AD32" s="754"/>
      <c r="AE32" s="293" t="s">
        <v>173</v>
      </c>
      <c r="AF32" s="293"/>
      <c r="AG32" s="293"/>
      <c r="AH32" s="293" t="s">
        <v>174</v>
      </c>
      <c r="AI32" s="293"/>
      <c r="AJ32" s="293"/>
      <c r="AK32" s="293"/>
      <c r="AL32" s="760" t="s">
        <v>175</v>
      </c>
      <c r="AM32" s="760"/>
      <c r="AN32" s="760" t="s">
        <v>176</v>
      </c>
      <c r="AO32" s="760"/>
      <c r="AP32" s="293" t="s">
        <v>165</v>
      </c>
      <c r="AQ32" s="293"/>
      <c r="AR32" s="293" t="s">
        <v>177</v>
      </c>
      <c r="AS32" s="293"/>
      <c r="AT32" s="293"/>
      <c r="AU32" s="759"/>
      <c r="AW32" s="845" t="str">
        <f>职业!CV23</f>
        <v/>
      </c>
      <c r="AX32" s="846"/>
      <c r="AY32" s="846"/>
      <c r="AZ32" s="846"/>
      <c r="BA32" s="846"/>
      <c r="BB32" s="846"/>
      <c r="BC32" s="848"/>
      <c r="BD32" s="848"/>
      <c r="BE32" s="848"/>
      <c r="BF32" s="848"/>
      <c r="BG32" s="848"/>
      <c r="BH32" s="848"/>
      <c r="BI32" s="848"/>
      <c r="BJ32" s="848"/>
      <c r="BK32" s="848"/>
      <c r="BL32" s="848"/>
      <c r="BM32" s="848"/>
      <c r="BN32" s="848"/>
      <c r="BO32" s="848"/>
      <c r="BP32" s="848"/>
      <c r="BQ32" s="848"/>
      <c r="BR32" s="848"/>
      <c r="BT32" s="846"/>
      <c r="BU32" s="846"/>
      <c r="BV32" s="846"/>
      <c r="BW32" s="846"/>
      <c r="BX32" s="846"/>
      <c r="BY32" s="846"/>
      <c r="BZ32" s="848"/>
      <c r="CA32" s="848"/>
      <c r="CB32" s="848"/>
      <c r="CC32" s="848"/>
      <c r="CD32" s="848"/>
      <c r="CE32" s="848"/>
      <c r="CF32" s="848"/>
      <c r="CG32" s="848"/>
      <c r="CH32" s="848"/>
      <c r="CI32" s="848"/>
      <c r="CJ32" s="848"/>
      <c r="CK32" s="848"/>
      <c r="CL32" s="848"/>
      <c r="CM32" s="848"/>
      <c r="CN32" s="848"/>
      <c r="CO32" s="848"/>
    </row>
    <row r="33" customHeight="1" spans="1:93">
      <c r="A33" s="862"/>
      <c r="B33" s="875" t="s">
        <v>109</v>
      </c>
      <c r="C33" s="875"/>
      <c r="D33" s="875"/>
      <c r="E33" s="875"/>
      <c r="F33" s="875"/>
      <c r="G33" s="875"/>
      <c r="H33" s="876"/>
      <c r="I33" s="914"/>
      <c r="J33" s="914"/>
      <c r="K33" s="915"/>
      <c r="L33" s="912"/>
      <c r="M33" s="912"/>
      <c r="N33" s="912"/>
      <c r="O33" s="912"/>
      <c r="P33" s="859"/>
      <c r="Q33" s="429"/>
      <c r="R33" s="429"/>
      <c r="S33" s="429"/>
      <c r="T33" s="777"/>
      <c r="U33" s="949"/>
      <c r="V33" s="951" t="str">
        <f>装备!AS2</f>
        <v/>
      </c>
      <c r="W33" s="951"/>
      <c r="X33" s="951"/>
      <c r="Y33" s="951"/>
      <c r="Z33" s="951"/>
      <c r="AA33" s="951"/>
      <c r="AB33" s="951"/>
      <c r="AC33" s="859" t="s">
        <v>46</v>
      </c>
      <c r="AD33" s="975" t="s">
        <v>178</v>
      </c>
      <c r="AE33" s="976"/>
      <c r="AF33" s="977" t="str">
        <f>装备!AU2</f>
        <v/>
      </c>
      <c r="AG33" s="984"/>
      <c r="AH33" s="755" t="str">
        <f>装备!AQ2</f>
        <v/>
      </c>
      <c r="AI33" s="756"/>
      <c r="AJ33" s="778" t="str">
        <f>装备!AX2</f>
        <v/>
      </c>
      <c r="AK33" s="804"/>
      <c r="AL33" s="429" t="str">
        <f>装备!AR2</f>
        <v/>
      </c>
      <c r="AM33" s="429"/>
      <c r="AN33" s="985" t="str">
        <f>装备!AT2</f>
        <v/>
      </c>
      <c r="AO33" s="985"/>
      <c r="AP33" s="971" t="str">
        <f>装备!AY2</f>
        <v/>
      </c>
      <c r="AQ33" s="971"/>
      <c r="AR33" s="992" t="s">
        <v>179</v>
      </c>
      <c r="AS33" s="320">
        <v>0</v>
      </c>
      <c r="AT33" s="320"/>
      <c r="AU33" s="759"/>
      <c r="AW33" s="844" t="str">
        <f>职业!CV24</f>
        <v/>
      </c>
      <c r="AX33" s="818"/>
      <c r="AY33" s="818"/>
      <c r="AZ33" s="818"/>
      <c r="BA33" s="818"/>
      <c r="BB33" s="818"/>
      <c r="BC33" s="847"/>
      <c r="BD33" s="847"/>
      <c r="BE33" s="847"/>
      <c r="BF33" s="847"/>
      <c r="BG33" s="847"/>
      <c r="BH33" s="847"/>
      <c r="BI33" s="847"/>
      <c r="BJ33" s="847"/>
      <c r="BK33" s="847"/>
      <c r="BL33" s="847"/>
      <c r="BM33" s="847"/>
      <c r="BN33" s="847"/>
      <c r="BO33" s="847"/>
      <c r="BP33" s="847"/>
      <c r="BQ33" s="847"/>
      <c r="BR33" s="847"/>
      <c r="BT33" s="818"/>
      <c r="BU33" s="818"/>
      <c r="BV33" s="818"/>
      <c r="BW33" s="818"/>
      <c r="BX33" s="818"/>
      <c r="BY33" s="818"/>
      <c r="BZ33" s="847"/>
      <c r="CA33" s="847"/>
      <c r="CB33" s="847"/>
      <c r="CC33" s="847"/>
      <c r="CD33" s="847"/>
      <c r="CE33" s="847"/>
      <c r="CF33" s="847"/>
      <c r="CG33" s="847"/>
      <c r="CH33" s="847"/>
      <c r="CI33" s="847"/>
      <c r="CJ33" s="847"/>
      <c r="CK33" s="847"/>
      <c r="CL33" s="847"/>
      <c r="CM33" s="847"/>
      <c r="CN33" s="847"/>
      <c r="CO33" s="847"/>
    </row>
    <row r="34" customHeight="1" spans="1:93">
      <c r="A34" s="862"/>
      <c r="B34" s="872" t="s">
        <v>102</v>
      </c>
      <c r="C34" s="873" t="s">
        <v>180</v>
      </c>
      <c r="D34" s="874"/>
      <c r="E34" s="874"/>
      <c r="F34" s="429"/>
      <c r="G34" s="429"/>
      <c r="H34" s="763" t="s">
        <v>105</v>
      </c>
      <c r="I34" s="319">
        <f>R14+F34+IF(B34="O",S3,(IF(B34="🅞",S3*2,IF(J30="O",INT(S3/2),0))))+E30</f>
        <v>0</v>
      </c>
      <c r="J34" s="319"/>
      <c r="K34" s="915"/>
      <c r="L34" s="916"/>
      <c r="M34" s="916"/>
      <c r="N34" s="916"/>
      <c r="O34" s="916"/>
      <c r="P34" s="859"/>
      <c r="Q34" s="767"/>
      <c r="R34" s="767"/>
      <c r="S34" s="767"/>
      <c r="T34" s="779"/>
      <c r="U34" s="952"/>
      <c r="V34" s="953" t="str">
        <f>装备!AS3</f>
        <v/>
      </c>
      <c r="W34" s="953"/>
      <c r="X34" s="953"/>
      <c r="Y34" s="953"/>
      <c r="Z34" s="953"/>
      <c r="AA34" s="953"/>
      <c r="AB34" s="953"/>
      <c r="AC34" s="859" t="s">
        <v>46</v>
      </c>
      <c r="AD34" s="978" t="s">
        <v>178</v>
      </c>
      <c r="AE34" s="979"/>
      <c r="AF34" s="980" t="str">
        <f>装备!AU3</f>
        <v/>
      </c>
      <c r="AG34" s="986"/>
      <c r="AH34" s="757" t="str">
        <f>装备!AQ3</f>
        <v/>
      </c>
      <c r="AI34" s="758"/>
      <c r="AJ34" s="780" t="str">
        <f>装备!AX3</f>
        <v/>
      </c>
      <c r="AK34" s="805"/>
      <c r="AL34" s="767" t="str">
        <f>装备!AR3</f>
        <v/>
      </c>
      <c r="AM34" s="767"/>
      <c r="AN34" s="321" t="str">
        <f>装备!AT3</f>
        <v/>
      </c>
      <c r="AO34" s="321"/>
      <c r="AP34" s="993" t="str">
        <f>装备!AY3</f>
        <v/>
      </c>
      <c r="AQ34" s="993"/>
      <c r="AR34" s="992" t="s">
        <v>181</v>
      </c>
      <c r="AS34" s="321">
        <v>0</v>
      </c>
      <c r="AT34" s="321"/>
      <c r="AU34" s="759"/>
      <c r="AW34" s="845" t="str">
        <f>职业!CV25</f>
        <v/>
      </c>
      <c r="AX34" s="846"/>
      <c r="AY34" s="846"/>
      <c r="AZ34" s="846"/>
      <c r="BA34" s="846"/>
      <c r="BB34" s="846"/>
      <c r="BC34" s="848"/>
      <c r="BD34" s="848"/>
      <c r="BE34" s="848"/>
      <c r="BF34" s="848"/>
      <c r="BG34" s="848"/>
      <c r="BH34" s="848"/>
      <c r="BI34" s="848"/>
      <c r="BJ34" s="848"/>
      <c r="BK34" s="848"/>
      <c r="BL34" s="848"/>
      <c r="BM34" s="848"/>
      <c r="BN34" s="848"/>
      <c r="BO34" s="848"/>
      <c r="BP34" s="848"/>
      <c r="BQ34" s="848"/>
      <c r="BR34" s="848"/>
      <c r="BT34" s="846"/>
      <c r="BU34" s="846"/>
      <c r="BV34" s="846"/>
      <c r="BW34" s="846"/>
      <c r="BX34" s="846"/>
      <c r="BY34" s="846"/>
      <c r="BZ34" s="848"/>
      <c r="CA34" s="848"/>
      <c r="CB34" s="848"/>
      <c r="CC34" s="848"/>
      <c r="CD34" s="848"/>
      <c r="CE34" s="848"/>
      <c r="CF34" s="848"/>
      <c r="CG34" s="848"/>
      <c r="CH34" s="848"/>
      <c r="CI34" s="848"/>
      <c r="CJ34" s="848"/>
      <c r="CK34" s="848"/>
      <c r="CL34" s="848"/>
      <c r="CM34" s="848"/>
      <c r="CN34" s="848"/>
      <c r="CO34" s="848"/>
    </row>
    <row r="35" customHeight="1" spans="1:93">
      <c r="A35" s="862"/>
      <c r="B35" s="872" t="s">
        <v>102</v>
      </c>
      <c r="C35" s="873" t="s">
        <v>182</v>
      </c>
      <c r="D35" s="874"/>
      <c r="E35" s="874"/>
      <c r="F35" s="429"/>
      <c r="G35" s="429"/>
      <c r="H35" s="763" t="s">
        <v>105</v>
      </c>
      <c r="I35" s="319">
        <f>R14+F35+IF(B35="O",S3,(IF(B35="🅞",S3*2,IF(J30="O",INT(S3/2),0))))+E30</f>
        <v>0</v>
      </c>
      <c r="J35" s="319"/>
      <c r="K35" s="915"/>
      <c r="L35" s="912"/>
      <c r="M35" s="912"/>
      <c r="N35" s="912"/>
      <c r="O35" s="912"/>
      <c r="P35" s="859"/>
      <c r="Q35" s="429"/>
      <c r="R35" s="429"/>
      <c r="S35" s="429"/>
      <c r="T35" s="777"/>
      <c r="U35" s="949"/>
      <c r="V35" s="951" t="str">
        <f>装备!AS4</f>
        <v/>
      </c>
      <c r="W35" s="951"/>
      <c r="X35" s="951"/>
      <c r="Y35" s="951"/>
      <c r="Z35" s="951"/>
      <c r="AA35" s="951"/>
      <c r="AB35" s="951"/>
      <c r="AC35" s="859" t="s">
        <v>46</v>
      </c>
      <c r="AD35" s="975" t="s">
        <v>178</v>
      </c>
      <c r="AE35" s="976"/>
      <c r="AF35" s="977" t="str">
        <f>装备!AU4</f>
        <v/>
      </c>
      <c r="AG35" s="984"/>
      <c r="AH35" s="755" t="str">
        <f>装备!AQ4</f>
        <v/>
      </c>
      <c r="AI35" s="756"/>
      <c r="AJ35" s="778" t="str">
        <f>装备!AX4</f>
        <v/>
      </c>
      <c r="AK35" s="804"/>
      <c r="AL35" s="429" t="str">
        <f>装备!AR4</f>
        <v/>
      </c>
      <c r="AM35" s="429"/>
      <c r="AN35" s="985" t="str">
        <f>装备!AT4</f>
        <v/>
      </c>
      <c r="AO35" s="985"/>
      <c r="AP35" s="971" t="str">
        <f>装备!AY4</f>
        <v/>
      </c>
      <c r="AQ35" s="971"/>
      <c r="AR35" s="992" t="s">
        <v>183</v>
      </c>
      <c r="AS35" s="320">
        <v>0</v>
      </c>
      <c r="AT35" s="320"/>
      <c r="AU35" s="759"/>
      <c r="AW35" s="844" t="str">
        <f>职业!CV26</f>
        <v/>
      </c>
      <c r="AX35" s="818"/>
      <c r="AY35" s="818"/>
      <c r="AZ35" s="818"/>
      <c r="BA35" s="818"/>
      <c r="BB35" s="818"/>
      <c r="BC35" s="847"/>
      <c r="BD35" s="847"/>
      <c r="BE35" s="847"/>
      <c r="BF35" s="847"/>
      <c r="BG35" s="847"/>
      <c r="BH35" s="847"/>
      <c r="BI35" s="847"/>
      <c r="BJ35" s="847"/>
      <c r="BK35" s="847"/>
      <c r="BL35" s="847"/>
      <c r="BM35" s="847"/>
      <c r="BN35" s="847"/>
      <c r="BO35" s="847"/>
      <c r="BP35" s="847"/>
      <c r="BQ35" s="847"/>
      <c r="BR35" s="847"/>
      <c r="BT35" s="818"/>
      <c r="BU35" s="818"/>
      <c r="BV35" s="818"/>
      <c r="BW35" s="818"/>
      <c r="BX35" s="818"/>
      <c r="BY35" s="818"/>
      <c r="BZ35" s="847"/>
      <c r="CA35" s="847"/>
      <c r="CB35" s="847"/>
      <c r="CC35" s="847"/>
      <c r="CD35" s="847"/>
      <c r="CE35" s="847"/>
      <c r="CF35" s="847"/>
      <c r="CG35" s="847"/>
      <c r="CH35" s="847"/>
      <c r="CI35" s="847"/>
      <c r="CJ35" s="847"/>
      <c r="CK35" s="847"/>
      <c r="CL35" s="847"/>
      <c r="CM35" s="847"/>
      <c r="CN35" s="847"/>
      <c r="CO35" s="847"/>
    </row>
    <row r="36" customHeight="1" spans="1:93">
      <c r="A36" s="862"/>
      <c r="B36" s="872" t="s">
        <v>102</v>
      </c>
      <c r="C36" s="873" t="s">
        <v>184</v>
      </c>
      <c r="D36" s="874"/>
      <c r="E36" s="874"/>
      <c r="F36" s="429"/>
      <c r="G36" s="429"/>
      <c r="H36" s="763" t="s">
        <v>105</v>
      </c>
      <c r="I36" s="319">
        <f>R14+F36+IF(B36="O",S3,(IF(B36="🅞",S3*2,IF(J30="O",INT(S3/2),0))))+E30</f>
        <v>0</v>
      </c>
      <c r="J36" s="319"/>
      <c r="K36" s="915"/>
      <c r="L36" s="916"/>
      <c r="M36" s="916"/>
      <c r="N36" s="916"/>
      <c r="O36" s="916"/>
      <c r="P36" s="859"/>
      <c r="Q36" s="767"/>
      <c r="R36" s="767"/>
      <c r="S36" s="767"/>
      <c r="T36" s="779"/>
      <c r="U36" s="952"/>
      <c r="V36" s="953" t="str">
        <f>装备!AS5</f>
        <v/>
      </c>
      <c r="W36" s="953"/>
      <c r="X36" s="953"/>
      <c r="Y36" s="953"/>
      <c r="Z36" s="953"/>
      <c r="AA36" s="953"/>
      <c r="AB36" s="953"/>
      <c r="AC36" s="859" t="s">
        <v>46</v>
      </c>
      <c r="AD36" s="978" t="s">
        <v>178</v>
      </c>
      <c r="AE36" s="979"/>
      <c r="AF36" s="980" t="str">
        <f>装备!AU5</f>
        <v/>
      </c>
      <c r="AG36" s="986"/>
      <c r="AH36" s="757" t="str">
        <f>装备!AQ5</f>
        <v/>
      </c>
      <c r="AI36" s="758"/>
      <c r="AJ36" s="780" t="str">
        <f>装备!AX5</f>
        <v/>
      </c>
      <c r="AK36" s="805"/>
      <c r="AL36" s="767" t="str">
        <f>装备!AR5</f>
        <v/>
      </c>
      <c r="AM36" s="767"/>
      <c r="AN36" s="321" t="str">
        <f>装备!AT5</f>
        <v/>
      </c>
      <c r="AO36" s="321"/>
      <c r="AP36" s="993" t="str">
        <f>装备!AY5</f>
        <v/>
      </c>
      <c r="AQ36" s="993"/>
      <c r="AR36" s="992" t="s">
        <v>185</v>
      </c>
      <c r="AS36" s="321">
        <v>0</v>
      </c>
      <c r="AT36" s="321"/>
      <c r="AU36" s="759"/>
      <c r="AW36" s="845" t="str">
        <f>职业!CV27</f>
        <v/>
      </c>
      <c r="AX36" s="846"/>
      <c r="AY36" s="846"/>
      <c r="AZ36" s="846"/>
      <c r="BA36" s="846"/>
      <c r="BB36" s="846"/>
      <c r="BC36" s="848"/>
      <c r="BD36" s="848"/>
      <c r="BE36" s="848"/>
      <c r="BF36" s="848"/>
      <c r="BG36" s="848"/>
      <c r="BH36" s="848"/>
      <c r="BI36" s="848"/>
      <c r="BJ36" s="848"/>
      <c r="BK36" s="848"/>
      <c r="BL36" s="848"/>
      <c r="BM36" s="848"/>
      <c r="BN36" s="848"/>
      <c r="BO36" s="848"/>
      <c r="BP36" s="848"/>
      <c r="BQ36" s="848"/>
      <c r="BR36" s="848"/>
      <c r="BT36" s="846"/>
      <c r="BU36" s="846"/>
      <c r="BV36" s="846"/>
      <c r="BW36" s="846"/>
      <c r="BX36" s="846"/>
      <c r="BY36" s="846"/>
      <c r="BZ36" s="1001"/>
      <c r="CA36" s="769"/>
      <c r="CB36" s="769"/>
      <c r="CC36" s="769"/>
      <c r="CD36" s="769"/>
      <c r="CE36" s="769"/>
      <c r="CF36" s="769"/>
      <c r="CG36" s="769"/>
      <c r="CH36" s="769"/>
      <c r="CI36" s="769"/>
      <c r="CJ36" s="769"/>
      <c r="CK36" s="769"/>
      <c r="CL36" s="769"/>
      <c r="CM36" s="769"/>
      <c r="CN36" s="769"/>
      <c r="CO36" s="955"/>
    </row>
    <row r="37" customHeight="1" spans="1:93">
      <c r="A37" s="862"/>
      <c r="B37" s="877" t="s">
        <v>116</v>
      </c>
      <c r="C37" s="877"/>
      <c r="D37" s="877"/>
      <c r="E37" s="877"/>
      <c r="F37" s="877"/>
      <c r="G37" s="877"/>
      <c r="H37" s="876"/>
      <c r="I37" s="914"/>
      <c r="J37" s="914"/>
      <c r="K37" s="915"/>
      <c r="L37" s="912"/>
      <c r="M37" s="912"/>
      <c r="N37" s="912"/>
      <c r="O37" s="912"/>
      <c r="P37" s="859"/>
      <c r="Q37" s="429"/>
      <c r="R37" s="429"/>
      <c r="S37" s="429"/>
      <c r="T37" s="777"/>
      <c r="U37" s="949"/>
      <c r="V37" s="951" t="str">
        <f>装备!AS6</f>
        <v/>
      </c>
      <c r="W37" s="951"/>
      <c r="X37" s="951"/>
      <c r="Y37" s="951"/>
      <c r="Z37" s="951"/>
      <c r="AA37" s="951"/>
      <c r="AB37" s="951"/>
      <c r="AC37" s="859" t="s">
        <v>46</v>
      </c>
      <c r="AD37" s="975" t="s">
        <v>178</v>
      </c>
      <c r="AE37" s="976"/>
      <c r="AF37" s="977" t="str">
        <f>装备!AU6</f>
        <v/>
      </c>
      <c r="AG37" s="984"/>
      <c r="AH37" s="755" t="str">
        <f>装备!AQ6</f>
        <v/>
      </c>
      <c r="AI37" s="756"/>
      <c r="AJ37" s="778" t="str">
        <f>装备!AX6</f>
        <v/>
      </c>
      <c r="AK37" s="804"/>
      <c r="AL37" s="429" t="str">
        <f>装备!AR6</f>
        <v/>
      </c>
      <c r="AM37" s="429"/>
      <c r="AN37" s="985" t="str">
        <f>装备!AT6</f>
        <v/>
      </c>
      <c r="AO37" s="985"/>
      <c r="AP37" s="971" t="str">
        <f>装备!AY6</f>
        <v/>
      </c>
      <c r="AQ37" s="971"/>
      <c r="AR37" s="992" t="s">
        <v>186</v>
      </c>
      <c r="AS37" s="320">
        <v>0</v>
      </c>
      <c r="AT37" s="320"/>
      <c r="AU37" s="759"/>
      <c r="AW37" s="844" t="str">
        <f>职业!CV28</f>
        <v/>
      </c>
      <c r="AX37" s="818"/>
      <c r="AY37" s="818"/>
      <c r="AZ37" s="818"/>
      <c r="BA37" s="818"/>
      <c r="BB37" s="818"/>
      <c r="BC37" s="847"/>
      <c r="BD37" s="847"/>
      <c r="BE37" s="847"/>
      <c r="BF37" s="847"/>
      <c r="BG37" s="847"/>
      <c r="BH37" s="847"/>
      <c r="BI37" s="847"/>
      <c r="BJ37" s="847"/>
      <c r="BK37" s="847"/>
      <c r="BL37" s="847"/>
      <c r="BM37" s="847"/>
      <c r="BN37" s="847"/>
      <c r="BO37" s="847"/>
      <c r="BP37" s="847"/>
      <c r="BQ37" s="847"/>
      <c r="BR37" s="847"/>
      <c r="BT37" s="818"/>
      <c r="BU37" s="818"/>
      <c r="BV37" s="818"/>
      <c r="BW37" s="818"/>
      <c r="BX37" s="818"/>
      <c r="BY37" s="818"/>
      <c r="BZ37" s="774"/>
      <c r="CA37" s="765"/>
      <c r="CB37" s="765"/>
      <c r="CC37" s="765"/>
      <c r="CD37" s="765"/>
      <c r="CE37" s="765"/>
      <c r="CF37" s="765"/>
      <c r="CG37" s="765"/>
      <c r="CH37" s="765"/>
      <c r="CI37" s="765"/>
      <c r="CJ37" s="765"/>
      <c r="CK37" s="765"/>
      <c r="CL37" s="765"/>
      <c r="CM37" s="765"/>
      <c r="CN37" s="765"/>
      <c r="CO37" s="787"/>
    </row>
    <row r="38" customHeight="1" spans="1:93">
      <c r="A38" s="862"/>
      <c r="B38" s="872" t="s">
        <v>102</v>
      </c>
      <c r="C38" s="873" t="s">
        <v>187</v>
      </c>
      <c r="D38" s="874"/>
      <c r="E38" s="874"/>
      <c r="F38" s="429"/>
      <c r="G38" s="429"/>
      <c r="H38" s="763" t="s">
        <v>105</v>
      </c>
      <c r="I38" s="319">
        <f>R16+F38+IF(B38="O",S3,(IF(B38="🅞",S3*2,IF(J30="O",INT(S3/2),0))))+E30</f>
        <v>0</v>
      </c>
      <c r="J38" s="319"/>
      <c r="L38" s="917" t="s">
        <v>188</v>
      </c>
      <c r="M38" s="917"/>
      <c r="N38" s="917"/>
      <c r="O38" s="761"/>
      <c r="P38" s="911" t="s">
        <v>162</v>
      </c>
      <c r="Q38" s="954"/>
      <c r="R38" s="293" t="s">
        <v>189</v>
      </c>
      <c r="S38" s="293"/>
      <c r="T38" s="293" t="s">
        <v>164</v>
      </c>
      <c r="U38" s="293"/>
      <c r="V38" s="293"/>
      <c r="W38" s="293"/>
      <c r="X38" s="293"/>
      <c r="Y38" s="293"/>
      <c r="Z38" s="293"/>
      <c r="AA38" s="293"/>
      <c r="AB38" s="293"/>
      <c r="AC38" s="293"/>
      <c r="AD38" s="293"/>
      <c r="AE38" s="293"/>
      <c r="AF38" s="293"/>
      <c r="AG38" s="293"/>
      <c r="AH38" s="293"/>
      <c r="AI38" s="293"/>
      <c r="AJ38" s="293"/>
      <c r="AK38" s="293"/>
      <c r="AL38" s="293"/>
      <c r="AM38" s="293"/>
      <c r="AN38" s="293"/>
      <c r="AO38" s="293"/>
      <c r="AP38" s="293"/>
      <c r="AQ38" s="293"/>
      <c r="AR38" s="293"/>
      <c r="AS38" s="293" t="s">
        <v>165</v>
      </c>
      <c r="AT38" s="293"/>
      <c r="AU38" s="759"/>
      <c r="AW38" s="845" t="str">
        <f>职业!CV29</f>
        <v/>
      </c>
      <c r="AX38" s="846"/>
      <c r="AY38" s="846"/>
      <c r="AZ38" s="846"/>
      <c r="BA38" s="846"/>
      <c r="BB38" s="846"/>
      <c r="BC38" s="848"/>
      <c r="BD38" s="848"/>
      <c r="BE38" s="848"/>
      <c r="BF38" s="848"/>
      <c r="BG38" s="848"/>
      <c r="BH38" s="848"/>
      <c r="BI38" s="848"/>
      <c r="BJ38" s="848"/>
      <c r="BK38" s="848"/>
      <c r="BL38" s="848"/>
      <c r="BM38" s="848"/>
      <c r="BN38" s="848"/>
      <c r="BO38" s="848"/>
      <c r="BP38" s="848"/>
      <c r="BQ38" s="848"/>
      <c r="BR38" s="848"/>
      <c r="BT38" s="846"/>
      <c r="BU38" s="846"/>
      <c r="BV38" s="846"/>
      <c r="BW38" s="846"/>
      <c r="BX38" s="846"/>
      <c r="BY38" s="846"/>
      <c r="BZ38" s="1001"/>
      <c r="CA38" s="769"/>
      <c r="CB38" s="769"/>
      <c r="CC38" s="769"/>
      <c r="CD38" s="769"/>
      <c r="CE38" s="769"/>
      <c r="CF38" s="769"/>
      <c r="CG38" s="769"/>
      <c r="CH38" s="769"/>
      <c r="CI38" s="769"/>
      <c r="CJ38" s="769"/>
      <c r="CK38" s="769"/>
      <c r="CL38" s="769"/>
      <c r="CM38" s="769"/>
      <c r="CN38" s="769"/>
      <c r="CO38" s="955"/>
    </row>
    <row r="39" customHeight="1" spans="1:93">
      <c r="A39" s="862"/>
      <c r="B39" s="872" t="s">
        <v>102</v>
      </c>
      <c r="C39" s="873" t="s">
        <v>190</v>
      </c>
      <c r="D39" s="874"/>
      <c r="E39" s="874"/>
      <c r="F39" s="429"/>
      <c r="G39" s="429"/>
      <c r="H39" s="763" t="s">
        <v>105</v>
      </c>
      <c r="I39" s="319">
        <f>R16+F39+IF(B39="O",S3,(IF(B39="🅞",S3*2,IF(J30="O",INT(S3/2),0))))+E30</f>
        <v>0</v>
      </c>
      <c r="J39" s="319"/>
      <c r="L39" s="912"/>
      <c r="M39" s="912"/>
      <c r="N39" s="912"/>
      <c r="O39" s="918"/>
      <c r="P39" s="859"/>
      <c r="Q39" s="763" t="s">
        <v>105</v>
      </c>
      <c r="R39" s="429"/>
      <c r="S39" s="764"/>
      <c r="T39" s="787"/>
      <c r="U39" s="847"/>
      <c r="V39" s="847"/>
      <c r="W39" s="847"/>
      <c r="X39" s="847"/>
      <c r="Y39" s="847"/>
      <c r="Z39" s="847"/>
      <c r="AA39" s="847"/>
      <c r="AB39" s="847"/>
      <c r="AC39" s="847"/>
      <c r="AD39" s="847"/>
      <c r="AE39" s="847"/>
      <c r="AF39" s="847"/>
      <c r="AG39" s="847"/>
      <c r="AH39" s="847"/>
      <c r="AI39" s="847"/>
      <c r="AJ39" s="847"/>
      <c r="AK39" s="847"/>
      <c r="AL39" s="847"/>
      <c r="AM39" s="847"/>
      <c r="AN39" s="847"/>
      <c r="AO39" s="847"/>
      <c r="AP39" s="847"/>
      <c r="AQ39" s="847"/>
      <c r="AR39" s="847"/>
      <c r="AS39" s="971"/>
      <c r="AT39" s="971"/>
      <c r="AU39" s="759"/>
      <c r="AW39" s="844" t="str">
        <f>职业!CV30</f>
        <v/>
      </c>
      <c r="AX39" s="818"/>
      <c r="AY39" s="818"/>
      <c r="AZ39" s="818"/>
      <c r="BA39" s="818"/>
      <c r="BB39" s="818"/>
      <c r="BC39" s="847"/>
      <c r="BD39" s="847"/>
      <c r="BE39" s="847"/>
      <c r="BF39" s="847"/>
      <c r="BG39" s="847"/>
      <c r="BH39" s="847"/>
      <c r="BI39" s="847"/>
      <c r="BJ39" s="847"/>
      <c r="BK39" s="847"/>
      <c r="BL39" s="847"/>
      <c r="BM39" s="847"/>
      <c r="BN39" s="847"/>
      <c r="BO39" s="847"/>
      <c r="BP39" s="847"/>
      <c r="BQ39" s="847"/>
      <c r="BR39" s="847"/>
      <c r="BT39" s="818"/>
      <c r="BU39" s="818"/>
      <c r="BV39" s="818"/>
      <c r="BW39" s="818"/>
      <c r="BX39" s="818"/>
      <c r="BY39" s="818"/>
      <c r="BZ39" s="774"/>
      <c r="CA39" s="765"/>
      <c r="CB39" s="765"/>
      <c r="CC39" s="765"/>
      <c r="CD39" s="765"/>
      <c r="CE39" s="765"/>
      <c r="CF39" s="765"/>
      <c r="CG39" s="765"/>
      <c r="CH39" s="765"/>
      <c r="CI39" s="765"/>
      <c r="CJ39" s="765"/>
      <c r="CK39" s="765"/>
      <c r="CL39" s="765"/>
      <c r="CM39" s="765"/>
      <c r="CN39" s="765"/>
      <c r="CO39" s="787"/>
    </row>
    <row r="40" customHeight="1" spans="1:70">
      <c r="A40" s="862"/>
      <c r="B40" s="872" t="s">
        <v>102</v>
      </c>
      <c r="C40" s="873" t="s">
        <v>191</v>
      </c>
      <c r="D40" s="874"/>
      <c r="E40" s="874"/>
      <c r="F40" s="429"/>
      <c r="G40" s="429"/>
      <c r="H40" s="763" t="s">
        <v>105</v>
      </c>
      <c r="I40" s="319">
        <f>R16+F40+IF(B40="O",S3,(IF(B40="🅞",S3*2,IF(J30="O",INT(S3/2),0))))+E30</f>
        <v>0</v>
      </c>
      <c r="J40" s="319"/>
      <c r="L40" s="916"/>
      <c r="M40" s="916"/>
      <c r="N40" s="916"/>
      <c r="O40" s="919"/>
      <c r="P40" s="859"/>
      <c r="Q40" s="763" t="s">
        <v>105</v>
      </c>
      <c r="R40" s="767"/>
      <c r="S40" s="768"/>
      <c r="T40" s="955"/>
      <c r="U40" s="848"/>
      <c r="V40" s="848"/>
      <c r="W40" s="848"/>
      <c r="X40" s="848"/>
      <c r="Y40" s="848"/>
      <c r="Z40" s="848"/>
      <c r="AA40" s="848"/>
      <c r="AB40" s="848"/>
      <c r="AC40" s="848"/>
      <c r="AD40" s="848"/>
      <c r="AE40" s="848"/>
      <c r="AF40" s="848"/>
      <c r="AG40" s="848"/>
      <c r="AH40" s="848"/>
      <c r="AI40" s="848"/>
      <c r="AJ40" s="848"/>
      <c r="AK40" s="848"/>
      <c r="AL40" s="848"/>
      <c r="AM40" s="848"/>
      <c r="AN40" s="848"/>
      <c r="AO40" s="848"/>
      <c r="AP40" s="848"/>
      <c r="AQ40" s="848"/>
      <c r="AR40" s="848"/>
      <c r="AS40" s="993"/>
      <c r="AT40" s="993"/>
      <c r="AU40" s="759"/>
      <c r="AW40" s="845" t="str">
        <f>职业!CV31</f>
        <v/>
      </c>
      <c r="AX40" s="846"/>
      <c r="AY40" s="846"/>
      <c r="AZ40" s="846"/>
      <c r="BA40" s="846"/>
      <c r="BB40" s="846"/>
      <c r="BC40" s="848"/>
      <c r="BD40" s="848"/>
      <c r="BE40" s="848"/>
      <c r="BF40" s="848"/>
      <c r="BG40" s="848"/>
      <c r="BH40" s="848"/>
      <c r="BI40" s="848"/>
      <c r="BJ40" s="848"/>
      <c r="BK40" s="848"/>
      <c r="BL40" s="848"/>
      <c r="BM40" s="848"/>
      <c r="BN40" s="848"/>
      <c r="BO40" s="848"/>
      <c r="BP40" s="848"/>
      <c r="BQ40" s="848"/>
      <c r="BR40" s="848"/>
    </row>
    <row r="41" customHeight="1" spans="1:93">
      <c r="A41" s="862"/>
      <c r="B41" s="872" t="s">
        <v>102</v>
      </c>
      <c r="C41" s="873" t="s">
        <v>192</v>
      </c>
      <c r="D41" s="874"/>
      <c r="E41" s="874"/>
      <c r="F41" s="429"/>
      <c r="G41" s="429"/>
      <c r="H41" s="763" t="s">
        <v>105</v>
      </c>
      <c r="I41" s="319">
        <f>R16+F41+IF(B41="O",S3,(IF(B41="🅞",S3*2,IF(J30="O",INT(S3/2),0))))+E30</f>
        <v>0</v>
      </c>
      <c r="J41" s="319"/>
      <c r="L41" s="912"/>
      <c r="M41" s="912"/>
      <c r="N41" s="912"/>
      <c r="O41" s="918"/>
      <c r="P41" s="859"/>
      <c r="Q41" s="763" t="s">
        <v>105</v>
      </c>
      <c r="R41" s="429"/>
      <c r="S41" s="764"/>
      <c r="T41" s="787"/>
      <c r="U41" s="847"/>
      <c r="V41" s="847"/>
      <c r="W41" s="847"/>
      <c r="X41" s="847"/>
      <c r="Y41" s="847"/>
      <c r="Z41" s="847"/>
      <c r="AA41" s="847"/>
      <c r="AB41" s="847"/>
      <c r="AC41" s="847"/>
      <c r="AD41" s="847"/>
      <c r="AE41" s="847"/>
      <c r="AF41" s="847"/>
      <c r="AG41" s="847"/>
      <c r="AH41" s="847"/>
      <c r="AI41" s="847"/>
      <c r="AJ41" s="847"/>
      <c r="AK41" s="847"/>
      <c r="AL41" s="847"/>
      <c r="AM41" s="847"/>
      <c r="AN41" s="847"/>
      <c r="AO41" s="847"/>
      <c r="AP41" s="847"/>
      <c r="AQ41" s="847"/>
      <c r="AR41" s="847"/>
      <c r="AS41" s="971"/>
      <c r="AT41" s="971"/>
      <c r="AU41" s="759"/>
      <c r="AW41" s="844" t="str">
        <f>职业!CV32</f>
        <v/>
      </c>
      <c r="AX41" s="818"/>
      <c r="AY41" s="818"/>
      <c r="AZ41" s="818"/>
      <c r="BA41" s="818"/>
      <c r="BB41" s="818"/>
      <c r="BC41" s="847"/>
      <c r="BD41" s="847"/>
      <c r="BE41" s="847"/>
      <c r="BF41" s="847"/>
      <c r="BG41" s="847"/>
      <c r="BH41" s="847"/>
      <c r="BI41" s="847"/>
      <c r="BJ41" s="847"/>
      <c r="BK41" s="847"/>
      <c r="BL41" s="847"/>
      <c r="BM41" s="847"/>
      <c r="BN41" s="847"/>
      <c r="BO41" s="847"/>
      <c r="BP41" s="847"/>
      <c r="BQ41" s="847"/>
      <c r="BR41" s="847"/>
      <c r="BT41" s="849" t="s">
        <v>6</v>
      </c>
      <c r="BU41" s="849"/>
      <c r="BV41" s="849"/>
      <c r="BW41" s="849"/>
      <c r="BX41" s="849"/>
      <c r="BY41" s="849"/>
      <c r="BZ41" s="849"/>
      <c r="CA41" s="849"/>
      <c r="CB41" s="849"/>
      <c r="CC41" s="849"/>
      <c r="CD41" s="849"/>
      <c r="CE41" s="849"/>
      <c r="CF41" s="849"/>
      <c r="CG41" s="849"/>
      <c r="CH41" s="849"/>
      <c r="CI41" s="849"/>
      <c r="CJ41" s="849"/>
      <c r="CK41" s="849"/>
      <c r="CL41" s="849"/>
      <c r="CM41" s="849"/>
      <c r="CN41" s="849"/>
      <c r="CO41" s="849"/>
    </row>
    <row r="42" customHeight="1" spans="1:93">
      <c r="A42" s="370"/>
      <c r="B42" s="872" t="s">
        <v>102</v>
      </c>
      <c r="C42" s="873" t="s">
        <v>193</v>
      </c>
      <c r="D42" s="874"/>
      <c r="E42" s="874"/>
      <c r="F42" s="429"/>
      <c r="G42" s="429"/>
      <c r="H42" s="763" t="s">
        <v>105</v>
      </c>
      <c r="I42" s="319">
        <f>R16+F42+IF(B42="O",S3,(IF(B42="🅞",S3*2,IF(J30="O",INT(S3/2),0))))+E30</f>
        <v>0</v>
      </c>
      <c r="J42" s="319"/>
      <c r="L42" s="916"/>
      <c r="M42" s="916"/>
      <c r="N42" s="916"/>
      <c r="O42" s="919"/>
      <c r="P42" s="859"/>
      <c r="Q42" s="763" t="s">
        <v>105</v>
      </c>
      <c r="R42" s="767"/>
      <c r="S42" s="768"/>
      <c r="T42" s="955"/>
      <c r="U42" s="848"/>
      <c r="V42" s="848"/>
      <c r="W42" s="848"/>
      <c r="X42" s="848"/>
      <c r="Y42" s="848"/>
      <c r="Z42" s="848"/>
      <c r="AA42" s="848"/>
      <c r="AB42" s="848"/>
      <c r="AC42" s="848"/>
      <c r="AD42" s="848"/>
      <c r="AE42" s="848"/>
      <c r="AF42" s="848"/>
      <c r="AG42" s="848"/>
      <c r="AH42" s="848"/>
      <c r="AI42" s="848"/>
      <c r="AJ42" s="848"/>
      <c r="AK42" s="848"/>
      <c r="AL42" s="848"/>
      <c r="AM42" s="848"/>
      <c r="AN42" s="848"/>
      <c r="AO42" s="848"/>
      <c r="AP42" s="848"/>
      <c r="AQ42" s="848"/>
      <c r="AR42" s="848"/>
      <c r="AS42" s="993"/>
      <c r="AT42" s="993"/>
      <c r="AU42" s="759"/>
      <c r="AW42" s="845" t="str">
        <f>职业!CV33</f>
        <v/>
      </c>
      <c r="AX42" s="846"/>
      <c r="AY42" s="846"/>
      <c r="AZ42" s="846"/>
      <c r="BA42" s="846"/>
      <c r="BB42" s="846"/>
      <c r="BC42" s="848"/>
      <c r="BD42" s="848"/>
      <c r="BE42" s="848"/>
      <c r="BF42" s="848"/>
      <c r="BG42" s="848"/>
      <c r="BH42" s="848"/>
      <c r="BI42" s="848"/>
      <c r="BJ42" s="848"/>
      <c r="BK42" s="848"/>
      <c r="BL42" s="848"/>
      <c r="BM42" s="848"/>
      <c r="BN42" s="848"/>
      <c r="BO42" s="848"/>
      <c r="BP42" s="848"/>
      <c r="BQ42" s="848"/>
      <c r="BR42" s="848"/>
      <c r="BT42" s="293" t="s">
        <v>63</v>
      </c>
      <c r="BU42" s="293" t="s">
        <v>88</v>
      </c>
      <c r="BV42" s="293"/>
      <c r="BW42" s="293"/>
      <c r="BX42" s="293"/>
      <c r="BY42" s="293"/>
      <c r="BZ42" s="293" t="s">
        <v>89</v>
      </c>
      <c r="CA42" s="293"/>
      <c r="CB42" s="293"/>
      <c r="CC42" s="293"/>
      <c r="CD42" s="293"/>
      <c r="CE42" s="293"/>
      <c r="CF42" s="293"/>
      <c r="CG42" s="293"/>
      <c r="CH42" s="293"/>
      <c r="CI42" s="293"/>
      <c r="CJ42" s="293"/>
      <c r="CK42" s="293"/>
      <c r="CL42" s="293"/>
      <c r="CM42" s="293"/>
      <c r="CN42" s="293"/>
      <c r="CO42" s="293"/>
    </row>
    <row r="43" customHeight="1" spans="1:93">
      <c r="A43" s="862"/>
      <c r="B43" s="875" t="s">
        <v>119</v>
      </c>
      <c r="C43" s="875"/>
      <c r="D43" s="875"/>
      <c r="E43" s="875"/>
      <c r="F43" s="875"/>
      <c r="G43" s="875"/>
      <c r="H43" s="876"/>
      <c r="I43" s="914"/>
      <c r="J43" s="914"/>
      <c r="L43" s="912"/>
      <c r="M43" s="912"/>
      <c r="N43" s="912"/>
      <c r="O43" s="918"/>
      <c r="P43" s="859"/>
      <c r="Q43" s="763" t="s">
        <v>105</v>
      </c>
      <c r="R43" s="429"/>
      <c r="S43" s="764"/>
      <c r="T43" s="787"/>
      <c r="U43" s="847"/>
      <c r="V43" s="847"/>
      <c r="W43" s="847"/>
      <c r="X43" s="847"/>
      <c r="Y43" s="847"/>
      <c r="Z43" s="847"/>
      <c r="AA43" s="847"/>
      <c r="AB43" s="847"/>
      <c r="AC43" s="847"/>
      <c r="AD43" s="847"/>
      <c r="AE43" s="847"/>
      <c r="AF43" s="847"/>
      <c r="AG43" s="847"/>
      <c r="AH43" s="847"/>
      <c r="AI43" s="847"/>
      <c r="AJ43" s="847"/>
      <c r="AK43" s="847"/>
      <c r="AL43" s="847"/>
      <c r="AM43" s="847"/>
      <c r="AN43" s="847"/>
      <c r="AO43" s="847"/>
      <c r="AP43" s="847"/>
      <c r="AQ43" s="847"/>
      <c r="AR43" s="847"/>
      <c r="AS43" s="971"/>
      <c r="AT43" s="971"/>
      <c r="AU43" s="759"/>
      <c r="AW43" s="844" t="str">
        <f>职业!CV34</f>
        <v/>
      </c>
      <c r="AX43" s="818"/>
      <c r="AY43" s="818"/>
      <c r="AZ43" s="818"/>
      <c r="BA43" s="818"/>
      <c r="BB43" s="818"/>
      <c r="BC43" s="847"/>
      <c r="BD43" s="847"/>
      <c r="BE43" s="847"/>
      <c r="BF43" s="847"/>
      <c r="BG43" s="847"/>
      <c r="BH43" s="847"/>
      <c r="BI43" s="847"/>
      <c r="BJ43" s="847"/>
      <c r="BK43" s="847"/>
      <c r="BL43" s="847"/>
      <c r="BM43" s="847"/>
      <c r="BN43" s="847"/>
      <c r="BO43" s="847"/>
      <c r="BP43" s="847"/>
      <c r="BQ43" s="847"/>
      <c r="BR43" s="847"/>
      <c r="BT43" s="844">
        <v>1</v>
      </c>
      <c r="BU43" s="818"/>
      <c r="BV43" s="818"/>
      <c r="BW43" s="818"/>
      <c r="BX43" s="818"/>
      <c r="BY43" s="818"/>
      <c r="BZ43" s="847"/>
      <c r="CA43" s="847"/>
      <c r="CB43" s="847"/>
      <c r="CC43" s="847"/>
      <c r="CD43" s="847"/>
      <c r="CE43" s="847"/>
      <c r="CF43" s="847"/>
      <c r="CG43" s="847"/>
      <c r="CH43" s="847"/>
      <c r="CI43" s="847"/>
      <c r="CJ43" s="847"/>
      <c r="CK43" s="847"/>
      <c r="CL43" s="847"/>
      <c r="CM43" s="847"/>
      <c r="CN43" s="847"/>
      <c r="CO43" s="847"/>
    </row>
    <row r="44" customHeight="1" spans="1:93">
      <c r="A44" s="862"/>
      <c r="B44" s="872" t="s">
        <v>102</v>
      </c>
      <c r="C44" s="873" t="s">
        <v>194</v>
      </c>
      <c r="D44" s="874"/>
      <c r="E44" s="874"/>
      <c r="F44" s="429"/>
      <c r="G44" s="429"/>
      <c r="H44" s="763" t="s">
        <v>105</v>
      </c>
      <c r="I44" s="319">
        <f>R17+F44+IF(B44="O",S3,(IF(B44="🅞",S3*2,IF(J30="O",INT(S3/2),0))))+E30</f>
        <v>0</v>
      </c>
      <c r="J44" s="319"/>
      <c r="L44" s="916"/>
      <c r="M44" s="916"/>
      <c r="N44" s="916"/>
      <c r="O44" s="919"/>
      <c r="P44" s="859"/>
      <c r="Q44" s="763" t="s">
        <v>105</v>
      </c>
      <c r="R44" s="767"/>
      <c r="S44" s="768"/>
      <c r="T44" s="955"/>
      <c r="U44" s="848"/>
      <c r="V44" s="848"/>
      <c r="W44" s="848"/>
      <c r="X44" s="848"/>
      <c r="Y44" s="848"/>
      <c r="Z44" s="848"/>
      <c r="AA44" s="848"/>
      <c r="AB44" s="848"/>
      <c r="AC44" s="848"/>
      <c r="AD44" s="848"/>
      <c r="AE44" s="848"/>
      <c r="AF44" s="848"/>
      <c r="AG44" s="848"/>
      <c r="AH44" s="848"/>
      <c r="AI44" s="848"/>
      <c r="AJ44" s="848"/>
      <c r="AK44" s="848"/>
      <c r="AL44" s="848"/>
      <c r="AM44" s="848"/>
      <c r="AN44" s="848"/>
      <c r="AO44" s="848"/>
      <c r="AP44" s="848"/>
      <c r="AQ44" s="848"/>
      <c r="AR44" s="848"/>
      <c r="AS44" s="993"/>
      <c r="AT44" s="993"/>
      <c r="AU44" s="759"/>
      <c r="AW44" s="845" t="str">
        <f>职业!CV35</f>
        <v/>
      </c>
      <c r="AX44" s="846"/>
      <c r="AY44" s="846"/>
      <c r="AZ44" s="846"/>
      <c r="BA44" s="846"/>
      <c r="BB44" s="846"/>
      <c r="BC44" s="848"/>
      <c r="BD44" s="848"/>
      <c r="BE44" s="848"/>
      <c r="BF44" s="848"/>
      <c r="BG44" s="848"/>
      <c r="BH44" s="848"/>
      <c r="BI44" s="848"/>
      <c r="BJ44" s="848"/>
      <c r="BK44" s="848"/>
      <c r="BL44" s="848"/>
      <c r="BM44" s="848"/>
      <c r="BN44" s="848"/>
      <c r="BO44" s="848"/>
      <c r="BP44" s="848"/>
      <c r="BQ44" s="848"/>
      <c r="BR44" s="848"/>
      <c r="BT44" s="845">
        <v>4</v>
      </c>
      <c r="BU44" s="846"/>
      <c r="BV44" s="846"/>
      <c r="BW44" s="846"/>
      <c r="BX44" s="846"/>
      <c r="BY44" s="846"/>
      <c r="BZ44" s="848"/>
      <c r="CA44" s="848"/>
      <c r="CB44" s="848"/>
      <c r="CC44" s="848"/>
      <c r="CD44" s="848"/>
      <c r="CE44" s="848"/>
      <c r="CF44" s="848"/>
      <c r="CG44" s="848"/>
      <c r="CH44" s="848"/>
      <c r="CI44" s="848"/>
      <c r="CJ44" s="848"/>
      <c r="CK44" s="848"/>
      <c r="CL44" s="848"/>
      <c r="CM44" s="848"/>
      <c r="CN44" s="848"/>
      <c r="CO44" s="848"/>
    </row>
    <row r="45" customHeight="1" spans="1:93">
      <c r="A45" s="862"/>
      <c r="B45" s="872" t="s">
        <v>102</v>
      </c>
      <c r="C45" s="873" t="s">
        <v>195</v>
      </c>
      <c r="D45" s="874"/>
      <c r="E45" s="874"/>
      <c r="F45" s="429"/>
      <c r="G45" s="429"/>
      <c r="H45" s="763" t="s">
        <v>105</v>
      </c>
      <c r="I45" s="319">
        <f>R17+F45+IF(B45="O",S3,(IF(B45="🅞",S3*2,IF(J30="O",INT(S3/2),0))))+E30</f>
        <v>0</v>
      </c>
      <c r="J45" s="319"/>
      <c r="L45" s="912"/>
      <c r="M45" s="912"/>
      <c r="N45" s="912"/>
      <c r="O45" s="918"/>
      <c r="P45" s="859"/>
      <c r="Q45" s="763" t="s">
        <v>105</v>
      </c>
      <c r="R45" s="429"/>
      <c r="S45" s="764"/>
      <c r="T45" s="787"/>
      <c r="U45" s="847"/>
      <c r="V45" s="847"/>
      <c r="W45" s="847"/>
      <c r="X45" s="847"/>
      <c r="Y45" s="847"/>
      <c r="Z45" s="847"/>
      <c r="AA45" s="847"/>
      <c r="AB45" s="847"/>
      <c r="AC45" s="847"/>
      <c r="AD45" s="847"/>
      <c r="AE45" s="847"/>
      <c r="AF45" s="847"/>
      <c r="AG45" s="847"/>
      <c r="AH45" s="847"/>
      <c r="AI45" s="847"/>
      <c r="AJ45" s="847"/>
      <c r="AK45" s="847"/>
      <c r="AL45" s="847"/>
      <c r="AM45" s="847"/>
      <c r="AN45" s="847"/>
      <c r="AO45" s="847"/>
      <c r="AP45" s="847"/>
      <c r="AQ45" s="847"/>
      <c r="AR45" s="847"/>
      <c r="AS45" s="971"/>
      <c r="AT45" s="971"/>
      <c r="AU45" s="759"/>
      <c r="AW45" s="844" t="str">
        <f>职业!CV36</f>
        <v/>
      </c>
      <c r="AX45" s="818"/>
      <c r="AY45" s="818"/>
      <c r="AZ45" s="818"/>
      <c r="BA45" s="818"/>
      <c r="BB45" s="818"/>
      <c r="BC45" s="847"/>
      <c r="BD45" s="847"/>
      <c r="BE45" s="847"/>
      <c r="BF45" s="847"/>
      <c r="BG45" s="847"/>
      <c r="BH45" s="847"/>
      <c r="BI45" s="847"/>
      <c r="BJ45" s="847"/>
      <c r="BK45" s="847"/>
      <c r="BL45" s="847"/>
      <c r="BM45" s="847"/>
      <c r="BN45" s="847"/>
      <c r="BO45" s="847"/>
      <c r="BP45" s="847"/>
      <c r="BQ45" s="847"/>
      <c r="BR45" s="847"/>
      <c r="BT45" s="844">
        <v>8</v>
      </c>
      <c r="BU45" s="818"/>
      <c r="BV45" s="818"/>
      <c r="BW45" s="818"/>
      <c r="BX45" s="818"/>
      <c r="BY45" s="818"/>
      <c r="BZ45" s="847"/>
      <c r="CA45" s="847"/>
      <c r="CB45" s="847"/>
      <c r="CC45" s="847"/>
      <c r="CD45" s="847"/>
      <c r="CE45" s="847"/>
      <c r="CF45" s="847"/>
      <c r="CG45" s="847"/>
      <c r="CH45" s="847"/>
      <c r="CI45" s="847"/>
      <c r="CJ45" s="847"/>
      <c r="CK45" s="847"/>
      <c r="CL45" s="847"/>
      <c r="CM45" s="847"/>
      <c r="CN45" s="847"/>
      <c r="CO45" s="847"/>
    </row>
    <row r="46" customHeight="1" spans="1:93">
      <c r="A46" s="862"/>
      <c r="B46" s="872" t="s">
        <v>102</v>
      </c>
      <c r="C46" s="873" t="s">
        <v>196</v>
      </c>
      <c r="D46" s="874"/>
      <c r="E46" s="874"/>
      <c r="F46" s="429"/>
      <c r="G46" s="429"/>
      <c r="H46" s="763" t="s">
        <v>105</v>
      </c>
      <c r="I46" s="319">
        <f>R17+F46+IF(B46="O",S3,(IF(B46="🅞",S3*2,IF(J30="O",INT(S3/2),0))))+E30</f>
        <v>0</v>
      </c>
      <c r="J46" s="319"/>
      <c r="L46" s="916"/>
      <c r="M46" s="916"/>
      <c r="N46" s="916"/>
      <c r="O46" s="919"/>
      <c r="P46" s="859"/>
      <c r="Q46" s="763" t="s">
        <v>105</v>
      </c>
      <c r="R46" s="767"/>
      <c r="S46" s="768"/>
      <c r="T46" s="955"/>
      <c r="U46" s="848"/>
      <c r="V46" s="848"/>
      <c r="W46" s="848"/>
      <c r="X46" s="848"/>
      <c r="Y46" s="848"/>
      <c r="Z46" s="848"/>
      <c r="AA46" s="848"/>
      <c r="AB46" s="848"/>
      <c r="AC46" s="848"/>
      <c r="AD46" s="848"/>
      <c r="AE46" s="848"/>
      <c r="AF46" s="848"/>
      <c r="AG46" s="848"/>
      <c r="AH46" s="848"/>
      <c r="AI46" s="848"/>
      <c r="AJ46" s="848"/>
      <c r="AK46" s="848"/>
      <c r="AL46" s="848"/>
      <c r="AM46" s="848"/>
      <c r="AN46" s="848"/>
      <c r="AO46" s="848"/>
      <c r="AP46" s="848"/>
      <c r="AQ46" s="848"/>
      <c r="AR46" s="848"/>
      <c r="AS46" s="993"/>
      <c r="AT46" s="993"/>
      <c r="AU46" s="759"/>
      <c r="AW46" s="845" t="str">
        <f>职业!CV37</f>
        <v/>
      </c>
      <c r="AX46" s="846"/>
      <c r="AY46" s="846"/>
      <c r="AZ46" s="846"/>
      <c r="BA46" s="846"/>
      <c r="BB46" s="846"/>
      <c r="BC46" s="848"/>
      <c r="BD46" s="848"/>
      <c r="BE46" s="848"/>
      <c r="BF46" s="848"/>
      <c r="BG46" s="848"/>
      <c r="BH46" s="848"/>
      <c r="BI46" s="848"/>
      <c r="BJ46" s="848"/>
      <c r="BK46" s="848"/>
      <c r="BL46" s="848"/>
      <c r="BM46" s="848"/>
      <c r="BN46" s="848"/>
      <c r="BO46" s="848"/>
      <c r="BP46" s="848"/>
      <c r="BQ46" s="848"/>
      <c r="BR46" s="848"/>
      <c r="BT46" s="845">
        <v>12</v>
      </c>
      <c r="BU46" s="846"/>
      <c r="BV46" s="846"/>
      <c r="BW46" s="846"/>
      <c r="BX46" s="846"/>
      <c r="BY46" s="846"/>
      <c r="BZ46" s="848"/>
      <c r="CA46" s="848"/>
      <c r="CB46" s="848"/>
      <c r="CC46" s="848"/>
      <c r="CD46" s="848"/>
      <c r="CE46" s="848"/>
      <c r="CF46" s="848"/>
      <c r="CG46" s="848"/>
      <c r="CH46" s="848"/>
      <c r="CI46" s="848"/>
      <c r="CJ46" s="848"/>
      <c r="CK46" s="848"/>
      <c r="CL46" s="848"/>
      <c r="CM46" s="848"/>
      <c r="CN46" s="848"/>
      <c r="CO46" s="848"/>
    </row>
    <row r="47" customHeight="1" spans="1:93">
      <c r="A47" s="862"/>
      <c r="B47" s="872" t="s">
        <v>102</v>
      </c>
      <c r="C47" s="873" t="s">
        <v>197</v>
      </c>
      <c r="D47" s="874"/>
      <c r="E47" s="874"/>
      <c r="F47" s="429"/>
      <c r="G47" s="429"/>
      <c r="H47" s="763" t="s">
        <v>105</v>
      </c>
      <c r="I47" s="319">
        <f>R17+F47+IF(B47="O",S3,(IF(B47="🅞",S3*2,IF(J30="O",INT(S3/2),0))))+E30</f>
        <v>0</v>
      </c>
      <c r="J47" s="319"/>
      <c r="L47" s="920"/>
      <c r="M47" s="912"/>
      <c r="N47" s="912"/>
      <c r="O47" s="918"/>
      <c r="P47" s="859"/>
      <c r="Q47" s="763" t="s">
        <v>105</v>
      </c>
      <c r="R47" s="429"/>
      <c r="S47" s="764"/>
      <c r="T47" s="787"/>
      <c r="U47" s="847"/>
      <c r="V47" s="847"/>
      <c r="W47" s="847"/>
      <c r="X47" s="847"/>
      <c r="Y47" s="847"/>
      <c r="Z47" s="847"/>
      <c r="AA47" s="847"/>
      <c r="AB47" s="847"/>
      <c r="AC47" s="847"/>
      <c r="AD47" s="847"/>
      <c r="AE47" s="847"/>
      <c r="AF47" s="847"/>
      <c r="AG47" s="847"/>
      <c r="AH47" s="847"/>
      <c r="AI47" s="847"/>
      <c r="AJ47" s="847"/>
      <c r="AK47" s="847"/>
      <c r="AL47" s="847"/>
      <c r="AM47" s="847"/>
      <c r="AN47" s="847"/>
      <c r="AO47" s="847"/>
      <c r="AP47" s="847"/>
      <c r="AQ47" s="847"/>
      <c r="AR47" s="847"/>
      <c r="AS47" s="971"/>
      <c r="AT47" s="971"/>
      <c r="AU47" s="759"/>
      <c r="AW47" s="844" t="str">
        <f>职业!CV38</f>
        <v/>
      </c>
      <c r="AX47" s="818"/>
      <c r="AY47" s="818"/>
      <c r="AZ47" s="818"/>
      <c r="BA47" s="818"/>
      <c r="BB47" s="818"/>
      <c r="BC47" s="847"/>
      <c r="BD47" s="847"/>
      <c r="BE47" s="847"/>
      <c r="BF47" s="847"/>
      <c r="BG47" s="847"/>
      <c r="BH47" s="847"/>
      <c r="BI47" s="847"/>
      <c r="BJ47" s="847"/>
      <c r="BK47" s="847"/>
      <c r="BL47" s="847"/>
      <c r="BM47" s="847"/>
      <c r="BN47" s="847"/>
      <c r="BO47" s="847"/>
      <c r="BP47" s="847"/>
      <c r="BQ47" s="847"/>
      <c r="BR47" s="847"/>
      <c r="BT47" s="844">
        <v>16</v>
      </c>
      <c r="BU47" s="818"/>
      <c r="BV47" s="818"/>
      <c r="BW47" s="818"/>
      <c r="BX47" s="818"/>
      <c r="BY47" s="818"/>
      <c r="BZ47" s="847"/>
      <c r="CA47" s="847"/>
      <c r="CB47" s="847"/>
      <c r="CC47" s="847"/>
      <c r="CD47" s="847"/>
      <c r="CE47" s="847"/>
      <c r="CF47" s="847"/>
      <c r="CG47" s="847"/>
      <c r="CH47" s="847"/>
      <c r="CI47" s="847"/>
      <c r="CJ47" s="847"/>
      <c r="CK47" s="847"/>
      <c r="CL47" s="847"/>
      <c r="CM47" s="847"/>
      <c r="CN47" s="847"/>
      <c r="CO47" s="847"/>
    </row>
    <row r="48" customHeight="1" spans="1:93">
      <c r="A48" s="370"/>
      <c r="B48" s="872" t="s">
        <v>102</v>
      </c>
      <c r="C48" s="873" t="s">
        <v>198</v>
      </c>
      <c r="D48" s="874"/>
      <c r="E48" s="874"/>
      <c r="F48" s="429"/>
      <c r="G48" s="429"/>
      <c r="H48" s="763" t="s">
        <v>105</v>
      </c>
      <c r="I48" s="319">
        <f>R17+F48+IF(B48="O",S3,(IF(B48="🅞",S3*2,IF(J30="O",INT(S3/2),0))))+E30</f>
        <v>0</v>
      </c>
      <c r="J48" s="319"/>
      <c r="L48" s="916"/>
      <c r="M48" s="916"/>
      <c r="N48" s="916"/>
      <c r="O48" s="919"/>
      <c r="P48" s="859"/>
      <c r="Q48" s="763" t="s">
        <v>105</v>
      </c>
      <c r="R48" s="767"/>
      <c r="S48" s="768"/>
      <c r="T48" s="955"/>
      <c r="U48" s="848"/>
      <c r="V48" s="848"/>
      <c r="W48" s="848"/>
      <c r="X48" s="848"/>
      <c r="Y48" s="848"/>
      <c r="Z48" s="848"/>
      <c r="AA48" s="848"/>
      <c r="AB48" s="848"/>
      <c r="AC48" s="848"/>
      <c r="AD48" s="848"/>
      <c r="AE48" s="848"/>
      <c r="AF48" s="848"/>
      <c r="AG48" s="848"/>
      <c r="AH48" s="848"/>
      <c r="AI48" s="848"/>
      <c r="AJ48" s="848"/>
      <c r="AK48" s="848"/>
      <c r="AL48" s="848"/>
      <c r="AM48" s="848"/>
      <c r="AN48" s="848"/>
      <c r="AO48" s="848"/>
      <c r="AP48" s="848"/>
      <c r="AQ48" s="848"/>
      <c r="AR48" s="848"/>
      <c r="AS48" s="993"/>
      <c r="AT48" s="993"/>
      <c r="AU48" s="759"/>
      <c r="AW48" s="845" t="str">
        <f>职业!CV39</f>
        <v/>
      </c>
      <c r="AX48" s="846"/>
      <c r="AY48" s="846"/>
      <c r="AZ48" s="846"/>
      <c r="BA48" s="846"/>
      <c r="BB48" s="846"/>
      <c r="BC48" s="848"/>
      <c r="BD48" s="848"/>
      <c r="BE48" s="848"/>
      <c r="BF48" s="848"/>
      <c r="BG48" s="848"/>
      <c r="BH48" s="848"/>
      <c r="BI48" s="848"/>
      <c r="BJ48" s="848"/>
      <c r="BK48" s="848"/>
      <c r="BL48" s="848"/>
      <c r="BM48" s="848"/>
      <c r="BN48" s="848"/>
      <c r="BO48" s="848"/>
      <c r="BP48" s="848"/>
      <c r="BQ48" s="848"/>
      <c r="BR48" s="848"/>
      <c r="BT48" s="845">
        <v>19</v>
      </c>
      <c r="BU48" s="846"/>
      <c r="BV48" s="846"/>
      <c r="BW48" s="846"/>
      <c r="BX48" s="846"/>
      <c r="BY48" s="846"/>
      <c r="BZ48" s="848"/>
      <c r="CA48" s="848"/>
      <c r="CB48" s="848"/>
      <c r="CC48" s="848"/>
      <c r="CD48" s="848"/>
      <c r="CE48" s="848"/>
      <c r="CF48" s="848"/>
      <c r="CG48" s="848"/>
      <c r="CH48" s="848"/>
      <c r="CI48" s="848"/>
      <c r="CJ48" s="848"/>
      <c r="CK48" s="848"/>
      <c r="CL48" s="848"/>
      <c r="CM48" s="848"/>
      <c r="CN48" s="848"/>
      <c r="CO48" s="848"/>
    </row>
    <row r="49" customHeight="1" spans="1:93">
      <c r="A49" s="862"/>
      <c r="B49" s="875" t="s">
        <v>121</v>
      </c>
      <c r="C49" s="875"/>
      <c r="D49" s="875"/>
      <c r="E49" s="875"/>
      <c r="F49" s="875"/>
      <c r="G49" s="875"/>
      <c r="H49" s="876"/>
      <c r="I49" s="914"/>
      <c r="J49" s="914"/>
      <c r="L49" s="293" t="s">
        <v>199</v>
      </c>
      <c r="M49" s="293"/>
      <c r="N49" s="293"/>
      <c r="O49" s="293"/>
      <c r="P49" s="293"/>
      <c r="Q49" s="293"/>
      <c r="R49" s="293"/>
      <c r="S49" s="293"/>
      <c r="T49" s="293"/>
      <c r="U49" s="293"/>
      <c r="V49" s="293"/>
      <c r="W49" s="293"/>
      <c r="X49" s="293"/>
      <c r="Y49" s="293"/>
      <c r="Z49" s="293"/>
      <c r="AA49" s="293"/>
      <c r="AB49" s="293"/>
      <c r="AC49" s="293"/>
      <c r="AD49" s="293"/>
      <c r="AE49" s="293"/>
      <c r="AG49" s="293" t="s">
        <v>200</v>
      </c>
      <c r="AH49" s="293"/>
      <c r="AI49" s="293"/>
      <c r="AJ49" s="293"/>
      <c r="AK49" s="293"/>
      <c r="AL49" s="293"/>
      <c r="AM49" s="293"/>
      <c r="AN49" s="293"/>
      <c r="AO49" s="293"/>
      <c r="AP49" s="293"/>
      <c r="AQ49" s="293"/>
      <c r="AR49" s="293"/>
      <c r="AS49" s="293"/>
      <c r="AT49" s="293"/>
      <c r="AU49" s="759"/>
      <c r="AW49" s="844" t="str">
        <f>职业!CV40</f>
        <v/>
      </c>
      <c r="AX49" s="818"/>
      <c r="AY49" s="818"/>
      <c r="AZ49" s="818"/>
      <c r="BA49" s="818"/>
      <c r="BB49" s="818"/>
      <c r="BC49" s="847"/>
      <c r="BD49" s="847"/>
      <c r="BE49" s="847"/>
      <c r="BF49" s="847"/>
      <c r="BG49" s="847"/>
      <c r="BH49" s="847"/>
      <c r="BI49" s="847"/>
      <c r="BJ49" s="847"/>
      <c r="BK49" s="847"/>
      <c r="BL49" s="847"/>
      <c r="BM49" s="847"/>
      <c r="BN49" s="847"/>
      <c r="BO49" s="847"/>
      <c r="BP49" s="847"/>
      <c r="BQ49" s="847"/>
      <c r="BR49" s="847"/>
      <c r="BT49" s="844">
        <v>6</v>
      </c>
      <c r="BU49" s="818"/>
      <c r="BV49" s="818"/>
      <c r="BW49" s="818"/>
      <c r="BX49" s="818"/>
      <c r="BY49" s="818"/>
      <c r="BZ49" s="847"/>
      <c r="CA49" s="847"/>
      <c r="CB49" s="847"/>
      <c r="CC49" s="847"/>
      <c r="CD49" s="847"/>
      <c r="CE49" s="847"/>
      <c r="CF49" s="847"/>
      <c r="CG49" s="847"/>
      <c r="CH49" s="847"/>
      <c r="CI49" s="847"/>
      <c r="CJ49" s="847"/>
      <c r="CK49" s="847"/>
      <c r="CL49" s="847"/>
      <c r="CM49" s="847"/>
      <c r="CN49" s="847"/>
      <c r="CO49" s="847"/>
    </row>
    <row r="50" customHeight="1" spans="1:93">
      <c r="A50" s="862"/>
      <c r="B50" s="872" t="s">
        <v>102</v>
      </c>
      <c r="C50" s="873" t="s">
        <v>201</v>
      </c>
      <c r="D50" s="874"/>
      <c r="E50" s="874"/>
      <c r="F50" s="429"/>
      <c r="G50" s="429"/>
      <c r="H50" s="763" t="s">
        <v>105</v>
      </c>
      <c r="I50" s="319">
        <f>R18+F50+IF(B50="O",S3,(IF(B50="🅞",S3*2,IF(J30="O",INT(S3/2),0))))+E30</f>
        <v>0</v>
      </c>
      <c r="J50" s="319"/>
      <c r="L50" s="318" t="s">
        <v>155</v>
      </c>
      <c r="M50" s="318"/>
      <c r="N50" s="921"/>
      <c r="O50" s="922" t="s">
        <v>202</v>
      </c>
      <c r="P50" s="318"/>
      <c r="Q50" s="956"/>
      <c r="R50" s="957" t="s">
        <v>203</v>
      </c>
      <c r="S50" s="318"/>
      <c r="T50" s="318"/>
      <c r="U50" s="763" t="s">
        <v>105</v>
      </c>
      <c r="V50" s="318" t="s">
        <v>204</v>
      </c>
      <c r="W50" s="318"/>
      <c r="X50" s="318"/>
      <c r="Y50" s="318"/>
      <c r="Z50" s="318"/>
      <c r="AA50" s="318"/>
      <c r="AB50" s="932" t="s">
        <v>48</v>
      </c>
      <c r="AC50" s="318" t="s">
        <v>205</v>
      </c>
      <c r="AD50" s="318"/>
      <c r="AE50" s="318"/>
      <c r="AF50" s="763" t="s">
        <v>48</v>
      </c>
      <c r="AG50" s="308" t="s">
        <v>206</v>
      </c>
      <c r="AH50" s="308"/>
      <c r="AI50" s="309"/>
      <c r="AJ50" s="309"/>
      <c r="AK50" s="309"/>
      <c r="AL50" s="309"/>
      <c r="AM50" s="309"/>
      <c r="AN50" s="316" t="s">
        <v>207</v>
      </c>
      <c r="AO50" s="316"/>
      <c r="AP50" s="317"/>
      <c r="AQ50" s="317"/>
      <c r="AR50" s="317"/>
      <c r="AS50" s="317"/>
      <c r="AT50" s="317"/>
      <c r="AU50" s="759"/>
      <c r="AW50" s="845" t="str">
        <f>职业!CV41</f>
        <v/>
      </c>
      <c r="AX50" s="846"/>
      <c r="AY50" s="846"/>
      <c r="AZ50" s="846"/>
      <c r="BA50" s="846"/>
      <c r="BB50" s="846"/>
      <c r="BC50" s="848"/>
      <c r="BD50" s="848"/>
      <c r="BE50" s="848"/>
      <c r="BF50" s="848"/>
      <c r="BG50" s="848"/>
      <c r="BH50" s="848"/>
      <c r="BI50" s="848"/>
      <c r="BJ50" s="848"/>
      <c r="BK50" s="848"/>
      <c r="BL50" s="848"/>
      <c r="BM50" s="848"/>
      <c r="BN50" s="848"/>
      <c r="BO50" s="848"/>
      <c r="BP50" s="848"/>
      <c r="BQ50" s="848"/>
      <c r="BR50" s="848"/>
      <c r="BT50" s="845">
        <v>10</v>
      </c>
      <c r="BU50" s="846"/>
      <c r="BV50" s="846"/>
      <c r="BW50" s="846"/>
      <c r="BX50" s="846"/>
      <c r="BY50" s="846"/>
      <c r="BZ50" s="848"/>
      <c r="CA50" s="848"/>
      <c r="CB50" s="848"/>
      <c r="CC50" s="848"/>
      <c r="CD50" s="848"/>
      <c r="CE50" s="848"/>
      <c r="CF50" s="848"/>
      <c r="CG50" s="848"/>
      <c r="CH50" s="848"/>
      <c r="CI50" s="848"/>
      <c r="CJ50" s="848"/>
      <c r="CK50" s="848"/>
      <c r="CL50" s="848"/>
      <c r="CM50" s="848"/>
      <c r="CN50" s="848"/>
      <c r="CO50" s="848"/>
    </row>
    <row r="51" customHeight="1" spans="1:93">
      <c r="A51" s="862"/>
      <c r="B51" s="872" t="s">
        <v>102</v>
      </c>
      <c r="C51" s="873" t="s">
        <v>208</v>
      </c>
      <c r="D51" s="874"/>
      <c r="E51" s="874"/>
      <c r="F51" s="429"/>
      <c r="G51" s="429"/>
      <c r="H51" s="763" t="s">
        <v>105</v>
      </c>
      <c r="I51" s="319">
        <f>R18+F51+IF(B51="O",S3,(IF(B51="🅞",S3*2,IF(J30="O",INT(S3/2),0))))+E30</f>
        <v>0</v>
      </c>
      <c r="J51" s="319"/>
      <c r="L51" s="406">
        <f>SUM(AA31,AQ31,AP33:AQ37,AS39:AT48,装备!AE2:AE6)</f>
        <v>0</v>
      </c>
      <c r="M51" s="406"/>
      <c r="N51" s="406"/>
      <c r="O51" s="406">
        <f>背包!AS3</f>
        <v>0</v>
      </c>
      <c r="P51" s="406"/>
      <c r="Q51" s="406"/>
      <c r="R51" s="406">
        <f>背包!V27</f>
        <v>0</v>
      </c>
      <c r="S51" s="406"/>
      <c r="T51" s="406"/>
      <c r="U51" s="763"/>
      <c r="V51" s="958">
        <f>SUM(L51:T51)+AC51+AC53</f>
        <v>0</v>
      </c>
      <c r="W51" s="958"/>
      <c r="X51" s="958"/>
      <c r="Y51" s="958"/>
      <c r="Z51" s="958"/>
      <c r="AA51" s="958"/>
      <c r="AB51" s="932"/>
      <c r="AC51" s="981">
        <f>SUM(AI50:AM53,AP50)/50</f>
        <v>0</v>
      </c>
      <c r="AD51" s="981"/>
      <c r="AE51" s="981"/>
      <c r="AF51" s="763"/>
      <c r="AG51" s="310" t="s">
        <v>209</v>
      </c>
      <c r="AH51" s="310"/>
      <c r="AI51" s="311"/>
      <c r="AJ51" s="311"/>
      <c r="AK51" s="311"/>
      <c r="AL51" s="311"/>
      <c r="AM51" s="311"/>
      <c r="AN51" s="318" t="s">
        <v>210</v>
      </c>
      <c r="AO51" s="318"/>
      <c r="AP51" s="318"/>
      <c r="AQ51" s="318"/>
      <c r="AR51" s="318"/>
      <c r="AS51" s="318"/>
      <c r="AT51" s="318"/>
      <c r="AU51" s="759"/>
      <c r="AW51" s="844" t="str">
        <f>职业!CV42</f>
        <v/>
      </c>
      <c r="AX51" s="818"/>
      <c r="AY51" s="818"/>
      <c r="AZ51" s="818"/>
      <c r="BA51" s="818"/>
      <c r="BB51" s="818"/>
      <c r="BC51" s="847"/>
      <c r="BD51" s="847"/>
      <c r="BE51" s="847"/>
      <c r="BF51" s="847"/>
      <c r="BG51" s="847"/>
      <c r="BH51" s="847"/>
      <c r="BI51" s="847"/>
      <c r="BJ51" s="847"/>
      <c r="BK51" s="847"/>
      <c r="BL51" s="847"/>
      <c r="BM51" s="847"/>
      <c r="BN51" s="847"/>
      <c r="BO51" s="847"/>
      <c r="BP51" s="847"/>
      <c r="BQ51" s="847"/>
      <c r="BR51" s="847"/>
      <c r="BT51" s="844"/>
      <c r="BU51" s="818"/>
      <c r="BV51" s="818"/>
      <c r="BW51" s="818"/>
      <c r="BX51" s="818"/>
      <c r="BY51" s="818"/>
      <c r="BZ51" s="847"/>
      <c r="CA51" s="847"/>
      <c r="CB51" s="847"/>
      <c r="CC51" s="847"/>
      <c r="CD51" s="847"/>
      <c r="CE51" s="847"/>
      <c r="CF51" s="847"/>
      <c r="CG51" s="847"/>
      <c r="CH51" s="847"/>
      <c r="CI51" s="847"/>
      <c r="CJ51" s="847"/>
      <c r="CK51" s="847"/>
      <c r="CL51" s="847"/>
      <c r="CM51" s="847"/>
      <c r="CN51" s="847"/>
      <c r="CO51" s="847"/>
    </row>
    <row r="52" customHeight="1" spans="1:93">
      <c r="A52" s="862"/>
      <c r="B52" s="872" t="s">
        <v>102</v>
      </c>
      <c r="C52" s="873" t="s">
        <v>211</v>
      </c>
      <c r="D52" s="874"/>
      <c r="E52" s="874"/>
      <c r="F52" s="429"/>
      <c r="G52" s="429"/>
      <c r="H52" s="763" t="s">
        <v>105</v>
      </c>
      <c r="I52" s="319">
        <f>R18+F52+IF(B52="O",S3,(IF(B52="🅞",S3*2,IF(J30="O",INT(S3/2),0))))+E30</f>
        <v>0</v>
      </c>
      <c r="J52" s="319"/>
      <c r="L52" s="923" t="s">
        <v>212</v>
      </c>
      <c r="M52" s="923"/>
      <c r="N52" s="924"/>
      <c r="O52" s="925" t="s">
        <v>213</v>
      </c>
      <c r="P52" s="923"/>
      <c r="Q52" s="959"/>
      <c r="R52" s="960" t="s">
        <v>214</v>
      </c>
      <c r="S52" s="923"/>
      <c r="T52" s="923"/>
      <c r="V52" s="961" t="s">
        <v>215</v>
      </c>
      <c r="W52" s="961"/>
      <c r="X52" s="961"/>
      <c r="Y52" s="961"/>
      <c r="Z52" s="961"/>
      <c r="AA52" s="961"/>
      <c r="AC52" s="318" t="s">
        <v>216</v>
      </c>
      <c r="AD52" s="318"/>
      <c r="AE52" s="318"/>
      <c r="AG52" s="312" t="s">
        <v>217</v>
      </c>
      <c r="AH52" s="312"/>
      <c r="AI52" s="313"/>
      <c r="AJ52" s="313"/>
      <c r="AK52" s="313"/>
      <c r="AL52" s="313"/>
      <c r="AM52" s="313"/>
      <c r="AN52" s="319" t="str">
        <f>CONCATENATE(SUM(AP50*10+AI51/2+AI50+AI52/10+AI53/100),"GP")</f>
        <v>0GP</v>
      </c>
      <c r="AO52" s="319"/>
      <c r="AP52" s="319"/>
      <c r="AQ52" s="319"/>
      <c r="AR52" s="319"/>
      <c r="AS52" s="319"/>
      <c r="AT52" s="319"/>
      <c r="AU52" s="759"/>
      <c r="AW52" s="845" t="str">
        <f>职业!CV43</f>
        <v/>
      </c>
      <c r="AX52" s="846"/>
      <c r="AY52" s="846"/>
      <c r="AZ52" s="846"/>
      <c r="BA52" s="846"/>
      <c r="BB52" s="846"/>
      <c r="BC52" s="848"/>
      <c r="BD52" s="848"/>
      <c r="BE52" s="848"/>
      <c r="BF52" s="848"/>
      <c r="BG52" s="848"/>
      <c r="BH52" s="848"/>
      <c r="BI52" s="848"/>
      <c r="BJ52" s="848"/>
      <c r="BK52" s="848"/>
      <c r="BL52" s="848"/>
      <c r="BM52" s="848"/>
      <c r="BN52" s="848"/>
      <c r="BO52" s="848"/>
      <c r="BP52" s="848"/>
      <c r="BQ52" s="848"/>
      <c r="BR52" s="848"/>
      <c r="BT52" s="845"/>
      <c r="BU52" s="846"/>
      <c r="BV52" s="846"/>
      <c r="BW52" s="846"/>
      <c r="BX52" s="846"/>
      <c r="BY52" s="846"/>
      <c r="BZ52" s="1001"/>
      <c r="CA52" s="769"/>
      <c r="CB52" s="769"/>
      <c r="CC52" s="769"/>
      <c r="CD52" s="769"/>
      <c r="CE52" s="769"/>
      <c r="CF52" s="769"/>
      <c r="CG52" s="769"/>
      <c r="CH52" s="769"/>
      <c r="CI52" s="769"/>
      <c r="CJ52" s="769"/>
      <c r="CK52" s="769"/>
      <c r="CL52" s="769"/>
      <c r="CM52" s="769"/>
      <c r="CN52" s="769"/>
      <c r="CO52" s="955"/>
    </row>
    <row r="53" customHeight="1" spans="1:93">
      <c r="A53" s="862"/>
      <c r="B53" s="878" t="s">
        <v>102</v>
      </c>
      <c r="C53" s="873" t="s">
        <v>218</v>
      </c>
      <c r="D53" s="874"/>
      <c r="E53" s="874"/>
      <c r="F53" s="429"/>
      <c r="G53" s="429"/>
      <c r="H53" s="763" t="s">
        <v>105</v>
      </c>
      <c r="I53" s="319">
        <f>R18+F53+IF(B53="O",S3,(IF(B53="🅞",S3*2,IF(J30="O",INT(S3/2),0))))+E30</f>
        <v>0</v>
      </c>
      <c r="J53" s="319"/>
      <c r="L53" s="926">
        <v>0</v>
      </c>
      <c r="M53" s="926"/>
      <c r="N53" s="926"/>
      <c r="O53" s="926">
        <f>F13*5</f>
        <v>50</v>
      </c>
      <c r="P53" s="926"/>
      <c r="Q53" s="926"/>
      <c r="R53" s="926">
        <f>F13*10</f>
        <v>100</v>
      </c>
      <c r="S53" s="926"/>
      <c r="T53" s="926"/>
      <c r="V53" s="962">
        <f>IF(V52="最大载重",F13*15,IF(V51&lt;=O53,"轻载",IF(V51&lt;=R53,"重载",IF(V51&gt;R53,"超载"))))</f>
        <v>150</v>
      </c>
      <c r="W53" s="962"/>
      <c r="X53" s="962"/>
      <c r="Y53" s="962"/>
      <c r="Z53" s="962"/>
      <c r="AA53" s="962"/>
      <c r="AC53" s="981">
        <f>IF(背包!AS27="有",15,背包!BD48)</f>
        <v>0</v>
      </c>
      <c r="AD53" s="981"/>
      <c r="AE53" s="981"/>
      <c r="AG53" s="314" t="s">
        <v>219</v>
      </c>
      <c r="AH53" s="314"/>
      <c r="AI53" s="315"/>
      <c r="AJ53" s="315"/>
      <c r="AK53" s="315"/>
      <c r="AL53" s="315"/>
      <c r="AM53" s="315"/>
      <c r="AN53" s="319"/>
      <c r="AO53" s="319"/>
      <c r="AP53" s="319"/>
      <c r="AQ53" s="319"/>
      <c r="AR53" s="319"/>
      <c r="AS53" s="319"/>
      <c r="AT53" s="319"/>
      <c r="AU53" s="759"/>
      <c r="AW53" s="844" t="str">
        <f>职业!CV44</f>
        <v/>
      </c>
      <c r="AX53" s="818"/>
      <c r="AY53" s="818"/>
      <c r="AZ53" s="818"/>
      <c r="BA53" s="818"/>
      <c r="BB53" s="818"/>
      <c r="BC53" s="847"/>
      <c r="BD53" s="847"/>
      <c r="BE53" s="847"/>
      <c r="BF53" s="847"/>
      <c r="BG53" s="847"/>
      <c r="BH53" s="847"/>
      <c r="BI53" s="847"/>
      <c r="BJ53" s="847"/>
      <c r="BK53" s="847"/>
      <c r="BL53" s="847"/>
      <c r="BM53" s="847"/>
      <c r="BN53" s="847"/>
      <c r="BO53" s="847"/>
      <c r="BP53" s="847"/>
      <c r="BQ53" s="847"/>
      <c r="BR53" s="847"/>
      <c r="BT53" s="844"/>
      <c r="BU53" s="818"/>
      <c r="BV53" s="818"/>
      <c r="BW53" s="818"/>
      <c r="BX53" s="818"/>
      <c r="BY53" s="818"/>
      <c r="BZ53" s="774"/>
      <c r="CA53" s="765"/>
      <c r="CB53" s="765"/>
      <c r="CC53" s="765"/>
      <c r="CD53" s="765"/>
      <c r="CE53" s="765"/>
      <c r="CF53" s="765"/>
      <c r="CG53" s="765"/>
      <c r="CH53" s="765"/>
      <c r="CI53" s="765"/>
      <c r="CJ53" s="765"/>
      <c r="CK53" s="765"/>
      <c r="CL53" s="765"/>
      <c r="CM53" s="765"/>
      <c r="CN53" s="765"/>
      <c r="CO53" s="787"/>
    </row>
    <row r="54" customHeight="1" spans="47:70">
      <c r="AU54" s="759"/>
      <c r="AW54" s="845" t="str">
        <f>职业!CV45</f>
        <v/>
      </c>
      <c r="AX54" s="846"/>
      <c r="AY54" s="846"/>
      <c r="AZ54" s="846"/>
      <c r="BA54" s="846"/>
      <c r="BB54" s="846"/>
      <c r="BC54" s="848"/>
      <c r="BD54" s="848"/>
      <c r="BE54" s="848"/>
      <c r="BF54" s="848"/>
      <c r="BG54" s="848"/>
      <c r="BH54" s="848"/>
      <c r="BI54" s="848"/>
      <c r="BJ54" s="848"/>
      <c r="BK54" s="848"/>
      <c r="BL54" s="848"/>
      <c r="BM54" s="848"/>
      <c r="BN54" s="848"/>
      <c r="BO54" s="848"/>
      <c r="BP54" s="848"/>
      <c r="BQ54" s="848"/>
      <c r="BR54" s="848"/>
    </row>
    <row r="55" customHeight="1" spans="2:93">
      <c r="B55" s="849" t="s">
        <v>220</v>
      </c>
      <c r="C55" s="849"/>
      <c r="D55" s="849"/>
      <c r="E55" s="849"/>
      <c r="F55" s="849"/>
      <c r="G55" s="849"/>
      <c r="H55" s="849"/>
      <c r="I55" s="849"/>
      <c r="J55" s="849"/>
      <c r="K55" s="849"/>
      <c r="L55" s="849"/>
      <c r="M55" s="849"/>
      <c r="N55" s="849"/>
      <c r="P55" s="849" t="s">
        <v>221</v>
      </c>
      <c r="Q55" s="849"/>
      <c r="R55" s="849"/>
      <c r="S55" s="849"/>
      <c r="T55" s="849"/>
      <c r="U55" s="849"/>
      <c r="V55" s="849"/>
      <c r="W55" s="759"/>
      <c r="X55" s="849" t="s">
        <v>222</v>
      </c>
      <c r="Y55" s="849"/>
      <c r="Z55" s="849"/>
      <c r="AA55" s="849"/>
      <c r="AB55" s="849"/>
      <c r="AC55" s="849"/>
      <c r="AD55" s="849"/>
      <c r="AE55" s="849"/>
      <c r="AF55" s="849"/>
      <c r="AG55" s="849"/>
      <c r="AH55" s="849"/>
      <c r="AI55" s="849"/>
      <c r="AJ55" s="849"/>
      <c r="AK55" s="849"/>
      <c r="AL55" s="849"/>
      <c r="AM55" s="849"/>
      <c r="AN55" s="849"/>
      <c r="AO55" s="849"/>
      <c r="AP55" s="849"/>
      <c r="AQ55" s="849"/>
      <c r="AR55" s="849"/>
      <c r="AS55" s="849"/>
      <c r="AT55" s="849"/>
      <c r="AU55" s="759"/>
      <c r="AW55" s="844" t="str">
        <f>职业!CV46</f>
        <v/>
      </c>
      <c r="AX55" s="818"/>
      <c r="AY55" s="818"/>
      <c r="AZ55" s="818"/>
      <c r="BA55" s="818"/>
      <c r="BB55" s="818"/>
      <c r="BC55" s="847"/>
      <c r="BD55" s="847"/>
      <c r="BE55" s="847"/>
      <c r="BF55" s="847"/>
      <c r="BG55" s="847"/>
      <c r="BH55" s="847"/>
      <c r="BI55" s="847"/>
      <c r="BJ55" s="847"/>
      <c r="BK55" s="847"/>
      <c r="BL55" s="847"/>
      <c r="BM55" s="847"/>
      <c r="BN55" s="847"/>
      <c r="BO55" s="847"/>
      <c r="BP55" s="847"/>
      <c r="BQ55" s="847"/>
      <c r="BR55" s="847"/>
      <c r="BT55" s="849" t="s">
        <v>223</v>
      </c>
      <c r="BU55" s="849"/>
      <c r="BV55" s="849"/>
      <c r="BW55" s="849"/>
      <c r="BX55" s="849"/>
      <c r="BY55" s="849"/>
      <c r="BZ55" s="849"/>
      <c r="CA55" s="849"/>
      <c r="CB55" s="849"/>
      <c r="CC55" s="849"/>
      <c r="CD55" s="849"/>
      <c r="CE55" s="849"/>
      <c r="CF55" s="849"/>
      <c r="CG55" s="849"/>
      <c r="CH55" s="849"/>
      <c r="CI55" s="849"/>
      <c r="CJ55" s="849"/>
      <c r="CK55" s="849"/>
      <c r="CL55" s="849"/>
      <c r="CM55" s="849"/>
      <c r="CN55" s="849"/>
      <c r="CO55" s="849"/>
    </row>
    <row r="56" customHeight="1" spans="2:93">
      <c r="B56" s="293" t="s">
        <v>224</v>
      </c>
      <c r="C56" s="293"/>
      <c r="D56" s="293"/>
      <c r="E56" s="760" t="s">
        <v>44</v>
      </c>
      <c r="F56" s="760"/>
      <c r="G56" s="293" t="s">
        <v>225</v>
      </c>
      <c r="H56" s="293"/>
      <c r="I56" s="760" t="s">
        <v>44</v>
      </c>
      <c r="J56" s="760"/>
      <c r="K56" s="760" t="s">
        <v>226</v>
      </c>
      <c r="L56" s="760"/>
      <c r="M56" s="760"/>
      <c r="N56" s="760"/>
      <c r="P56" s="293" t="s">
        <v>63</v>
      </c>
      <c r="Q56" s="293" t="s">
        <v>227</v>
      </c>
      <c r="R56" s="293"/>
      <c r="S56" s="293"/>
      <c r="T56" s="293"/>
      <c r="U56" s="293"/>
      <c r="V56" s="293"/>
      <c r="W56" s="954"/>
      <c r="X56" s="293" t="s">
        <v>63</v>
      </c>
      <c r="Y56" s="293" t="s">
        <v>227</v>
      </c>
      <c r="Z56" s="293"/>
      <c r="AA56" s="293"/>
      <c r="AB56" s="293"/>
      <c r="AC56" s="293"/>
      <c r="AD56" s="293"/>
      <c r="AE56" s="293"/>
      <c r="AF56" s="293" t="s">
        <v>63</v>
      </c>
      <c r="AG56" s="293" t="s">
        <v>227</v>
      </c>
      <c r="AH56" s="293"/>
      <c r="AI56" s="293"/>
      <c r="AJ56" s="293"/>
      <c r="AK56" s="293"/>
      <c r="AL56" s="293"/>
      <c r="AM56" s="293"/>
      <c r="AN56" s="293" t="s">
        <v>63</v>
      </c>
      <c r="AO56" s="293" t="s">
        <v>227</v>
      </c>
      <c r="AP56" s="293"/>
      <c r="AQ56" s="293"/>
      <c r="AR56" s="293"/>
      <c r="AS56" s="293"/>
      <c r="AT56" s="293"/>
      <c r="AU56" s="759"/>
      <c r="AW56" s="845" t="str">
        <f>职业!CV47</f>
        <v/>
      </c>
      <c r="AX56" s="846"/>
      <c r="AY56" s="846"/>
      <c r="AZ56" s="846"/>
      <c r="BA56" s="846"/>
      <c r="BB56" s="846"/>
      <c r="BC56" s="848"/>
      <c r="BD56" s="848"/>
      <c r="BE56" s="848"/>
      <c r="BF56" s="848"/>
      <c r="BG56" s="848"/>
      <c r="BH56" s="848"/>
      <c r="BI56" s="848"/>
      <c r="BJ56" s="848"/>
      <c r="BK56" s="848"/>
      <c r="BL56" s="848"/>
      <c r="BM56" s="848"/>
      <c r="BN56" s="848"/>
      <c r="BO56" s="848"/>
      <c r="BP56" s="848"/>
      <c r="BQ56" s="848"/>
      <c r="BR56" s="848"/>
      <c r="BT56" s="293" t="s">
        <v>88</v>
      </c>
      <c r="BU56" s="293"/>
      <c r="BV56" s="293"/>
      <c r="BW56" s="293"/>
      <c r="BX56" s="293"/>
      <c r="BY56" s="293"/>
      <c r="BZ56" s="293" t="s">
        <v>89</v>
      </c>
      <c r="CA56" s="293"/>
      <c r="CB56" s="293"/>
      <c r="CC56" s="293"/>
      <c r="CD56" s="293"/>
      <c r="CE56" s="293"/>
      <c r="CF56" s="293"/>
      <c r="CG56" s="293"/>
      <c r="CH56" s="293"/>
      <c r="CI56" s="293"/>
      <c r="CJ56" s="293"/>
      <c r="CK56" s="293"/>
      <c r="CL56" s="293"/>
      <c r="CM56" s="293"/>
      <c r="CN56" s="293"/>
      <c r="CO56" s="293"/>
    </row>
    <row r="57" customHeight="1" spans="2:93">
      <c r="B57" s="879" t="s">
        <v>116</v>
      </c>
      <c r="C57" s="879"/>
      <c r="D57" s="879"/>
      <c r="E57" s="320"/>
      <c r="F57" s="320"/>
      <c r="G57" s="319">
        <f>IFERROR(SUM(8+S3+E57+R16),"×")</f>
        <v>10</v>
      </c>
      <c r="H57" s="319"/>
      <c r="I57" s="320"/>
      <c r="J57" s="320"/>
      <c r="K57" s="927" t="str">
        <f>IFERROR(CONCATENATE("D20+",SUM(R16+S3+I57)),"x")</f>
        <v>D20+2</v>
      </c>
      <c r="L57" s="927"/>
      <c r="M57" s="927"/>
      <c r="N57" s="927"/>
      <c r="P57" s="928" t="str">
        <f>CONCATENATE(IFERROR(VLOOKUP(Q57,法术大全!$A:$Z,2,FALSE),""),IFERROR(IF(VLOOKUP(Q57,法术大全!$A:$Z,5,FALSE)="√"," ",""),""))</f>
        <v/>
      </c>
      <c r="Q57" s="844"/>
      <c r="R57" s="844"/>
      <c r="S57" s="844"/>
      <c r="T57" s="844"/>
      <c r="U57" s="844"/>
      <c r="V57" s="844"/>
      <c r="W57" s="759"/>
      <c r="X57" s="928" t="str">
        <f>CONCATENATE(IFERROR(VLOOKUP(Y57,法术大全!$A:$Z,2,FALSE),""),IFERROR(IF(VLOOKUP(Y57,法术大全!$A:$Z,5,FALSE)="√"," ",""),""))</f>
        <v/>
      </c>
      <c r="Y57" s="844"/>
      <c r="Z57" s="844"/>
      <c r="AA57" s="844"/>
      <c r="AB57" s="844"/>
      <c r="AC57" s="844"/>
      <c r="AD57" s="844"/>
      <c r="AE57" s="370"/>
      <c r="AF57" s="928" t="str">
        <f>CONCATENATE(IFERROR(VLOOKUP(AG57,法术大全!$A:$Z,2,FALSE),""),IFERROR(IF(VLOOKUP(AG57,法术大全!$A:$Z,5,FALSE)="√"," ",""),""))</f>
        <v/>
      </c>
      <c r="AG57" s="844"/>
      <c r="AH57" s="844"/>
      <c r="AI57" s="844"/>
      <c r="AJ57" s="844"/>
      <c r="AK57" s="844"/>
      <c r="AL57" s="844"/>
      <c r="AM57" s="370"/>
      <c r="AN57" s="928" t="str">
        <f>CONCATENATE(IFERROR(VLOOKUP(AO57,法术大全!$A:$Z,2,FALSE),""),IFERROR(IF(VLOOKUP(AO57,法术大全!$A:$Z,5,FALSE)="√"," ",""),""))</f>
        <v/>
      </c>
      <c r="AO57" s="844"/>
      <c r="AP57" s="844"/>
      <c r="AQ57" s="844"/>
      <c r="AR57" s="844"/>
      <c r="AS57" s="844"/>
      <c r="AT57" s="844"/>
      <c r="AU57" s="759"/>
      <c r="AW57" s="844" t="str">
        <f>职业!CV48</f>
        <v/>
      </c>
      <c r="AX57" s="818"/>
      <c r="AY57" s="818"/>
      <c r="AZ57" s="818"/>
      <c r="BA57" s="818"/>
      <c r="BB57" s="818"/>
      <c r="BC57" s="847"/>
      <c r="BD57" s="847"/>
      <c r="BE57" s="847"/>
      <c r="BF57" s="847"/>
      <c r="BG57" s="847"/>
      <c r="BH57" s="847"/>
      <c r="BI57" s="847"/>
      <c r="BJ57" s="847"/>
      <c r="BK57" s="847"/>
      <c r="BL57" s="847"/>
      <c r="BM57" s="847"/>
      <c r="BN57" s="847"/>
      <c r="BO57" s="847"/>
      <c r="BP57" s="847"/>
      <c r="BQ57" s="847"/>
      <c r="BR57" s="847"/>
      <c r="BT57" s="818"/>
      <c r="BU57" s="818"/>
      <c r="BV57" s="818"/>
      <c r="BW57" s="818"/>
      <c r="BX57" s="818"/>
      <c r="BY57" s="818"/>
      <c r="BZ57" s="847"/>
      <c r="CA57" s="847"/>
      <c r="CB57" s="847"/>
      <c r="CC57" s="847"/>
      <c r="CD57" s="847"/>
      <c r="CE57" s="847"/>
      <c r="CF57" s="847"/>
      <c r="CG57" s="847"/>
      <c r="CH57" s="847"/>
      <c r="CI57" s="847"/>
      <c r="CJ57" s="847"/>
      <c r="CK57" s="847"/>
      <c r="CL57" s="847"/>
      <c r="CM57" s="847"/>
      <c r="CN57" s="847"/>
      <c r="CO57" s="847"/>
    </row>
    <row r="58" customHeight="1" spans="2:93">
      <c r="B58" s="879" t="s">
        <v>119</v>
      </c>
      <c r="C58" s="879"/>
      <c r="D58" s="879"/>
      <c r="E58" s="320"/>
      <c r="F58" s="320"/>
      <c r="G58" s="319">
        <f>IFERROR(SUM(8+S3+E58+R17),"×")</f>
        <v>10</v>
      </c>
      <c r="H58" s="319"/>
      <c r="I58" s="320"/>
      <c r="J58" s="320"/>
      <c r="K58" s="927" t="str">
        <f>IFERROR(CONCATENATE("D20+",SUM(R17+S3+I58)),"x")</f>
        <v>D20+2</v>
      </c>
      <c r="L58" s="927"/>
      <c r="M58" s="927"/>
      <c r="N58" s="927"/>
      <c r="P58" s="928" t="str">
        <f>CONCATENATE(IFERROR(VLOOKUP(Q58,法术大全!$A:$Z,2,FALSE),""),IFERROR(IF(VLOOKUP(Q58,法术大全!$A:$Z,5,FALSE)="√"," ",""),""))</f>
        <v/>
      </c>
      <c r="Q58" s="844"/>
      <c r="R58" s="844"/>
      <c r="S58" s="844"/>
      <c r="T58" s="844"/>
      <c r="U58" s="844"/>
      <c r="V58" s="844"/>
      <c r="W58" s="759"/>
      <c r="X58" s="928" t="str">
        <f>CONCATENATE(IFERROR(VLOOKUP(Y58,法术大全!$A:$Z,2,FALSE),""),IFERROR(IF(VLOOKUP(Y58,法术大全!$A:$Z,5,FALSE)="√"," ",""),""))</f>
        <v/>
      </c>
      <c r="Y58" s="844"/>
      <c r="Z58" s="844"/>
      <c r="AA58" s="844"/>
      <c r="AB58" s="844"/>
      <c r="AC58" s="844"/>
      <c r="AD58" s="844"/>
      <c r="AE58" s="370"/>
      <c r="AF58" s="928" t="str">
        <f>CONCATENATE(IFERROR(VLOOKUP(AG58,法术大全!$A:$Z,2,FALSE),""),IFERROR(IF(VLOOKUP(AG58,法术大全!$A:$Z,5,FALSE)="√"," ",""),""))</f>
        <v/>
      </c>
      <c r="AG58" s="844"/>
      <c r="AH58" s="844"/>
      <c r="AI58" s="844"/>
      <c r="AJ58" s="844"/>
      <c r="AK58" s="844"/>
      <c r="AL58" s="844"/>
      <c r="AM58" s="370"/>
      <c r="AN58" s="928" t="str">
        <f>CONCATENATE(IFERROR(VLOOKUP(AO58,法术大全!$A:$Z,2,FALSE),""),IFERROR(IF(VLOOKUP(AO58,法术大全!$A:$Z,5,FALSE)="√"," ",""),""))</f>
        <v/>
      </c>
      <c r="AO58" s="844"/>
      <c r="AP58" s="844"/>
      <c r="AQ58" s="844"/>
      <c r="AR58" s="844"/>
      <c r="AS58" s="844"/>
      <c r="AT58" s="844"/>
      <c r="AU58" s="759"/>
      <c r="AW58" s="845" t="str">
        <f>职业!CV49</f>
        <v/>
      </c>
      <c r="AX58" s="846"/>
      <c r="AY58" s="846"/>
      <c r="AZ58" s="846"/>
      <c r="BA58" s="846"/>
      <c r="BB58" s="846"/>
      <c r="BC58" s="848"/>
      <c r="BD58" s="848"/>
      <c r="BE58" s="848"/>
      <c r="BF58" s="848"/>
      <c r="BG58" s="848"/>
      <c r="BH58" s="848"/>
      <c r="BI58" s="848"/>
      <c r="BJ58" s="848"/>
      <c r="BK58" s="848"/>
      <c r="BL58" s="848"/>
      <c r="BM58" s="848"/>
      <c r="BN58" s="848"/>
      <c r="BO58" s="848"/>
      <c r="BP58" s="848"/>
      <c r="BQ58" s="848"/>
      <c r="BR58" s="848"/>
      <c r="BT58" s="846"/>
      <c r="BU58" s="846"/>
      <c r="BV58" s="846"/>
      <c r="BW58" s="846"/>
      <c r="BX58" s="846"/>
      <c r="BY58" s="846"/>
      <c r="BZ58" s="848"/>
      <c r="CA58" s="848"/>
      <c r="CB58" s="848"/>
      <c r="CC58" s="848"/>
      <c r="CD58" s="848"/>
      <c r="CE58" s="848"/>
      <c r="CF58" s="848"/>
      <c r="CG58" s="848"/>
      <c r="CH58" s="848"/>
      <c r="CI58" s="848"/>
      <c r="CJ58" s="848"/>
      <c r="CK58" s="848"/>
      <c r="CL58" s="848"/>
      <c r="CM58" s="848"/>
      <c r="CN58" s="848"/>
      <c r="CO58" s="848"/>
    </row>
    <row r="59" customHeight="1" spans="2:93">
      <c r="B59" s="879" t="s">
        <v>121</v>
      </c>
      <c r="C59" s="879"/>
      <c r="D59" s="879"/>
      <c r="E59" s="320"/>
      <c r="F59" s="320"/>
      <c r="G59" s="319">
        <f>IFERROR(SUM(8+S3+E59+R18),"×")</f>
        <v>10</v>
      </c>
      <c r="H59" s="319"/>
      <c r="I59" s="320"/>
      <c r="J59" s="320"/>
      <c r="K59" s="927" t="str">
        <f>IFERROR(CONCATENATE("D20+",SUM(R18+S3+I59)),"x")</f>
        <v>D20+2</v>
      </c>
      <c r="L59" s="927"/>
      <c r="M59" s="927"/>
      <c r="N59" s="927"/>
      <c r="P59" s="928" t="str">
        <f>CONCATENATE(IFERROR(VLOOKUP(Q59,法术大全!$A:$Z,2,FALSE),""),IFERROR(IF(VLOOKUP(Q59,法术大全!$A:$Z,5,FALSE)="√"," ",""),""))</f>
        <v/>
      </c>
      <c r="Q59" s="844"/>
      <c r="R59" s="844"/>
      <c r="S59" s="844"/>
      <c r="T59" s="844"/>
      <c r="U59" s="844"/>
      <c r="V59" s="844"/>
      <c r="W59" s="759"/>
      <c r="X59" s="928" t="str">
        <f>CONCATENATE(IFERROR(VLOOKUP(Y59,法术大全!$A:$Z,2,FALSE),""),IFERROR(IF(VLOOKUP(Y59,法术大全!$A:$Z,5,FALSE)="√"," ",""),""))</f>
        <v/>
      </c>
      <c r="Y59" s="844"/>
      <c r="Z59" s="844"/>
      <c r="AA59" s="844"/>
      <c r="AB59" s="844"/>
      <c r="AC59" s="844"/>
      <c r="AD59" s="844"/>
      <c r="AE59" s="370"/>
      <c r="AF59" s="928" t="str">
        <f>CONCATENATE(IFERROR(VLOOKUP(AG59,法术大全!$A:$Z,2,FALSE),""),IFERROR(IF(VLOOKUP(AG59,法术大全!$A:$Z,5,FALSE)="√"," ",""),""))</f>
        <v/>
      </c>
      <c r="AG59" s="844"/>
      <c r="AH59" s="844"/>
      <c r="AI59" s="844"/>
      <c r="AJ59" s="844"/>
      <c r="AK59" s="844"/>
      <c r="AL59" s="844"/>
      <c r="AM59" s="370"/>
      <c r="AN59" s="928" t="str">
        <f>CONCATENATE(IFERROR(VLOOKUP(AO59,法术大全!$A:$Z,2,FALSE),""),IFERROR(IF(VLOOKUP(AO59,法术大全!$A:$Z,5,FALSE)="√"," ",""),""))</f>
        <v/>
      </c>
      <c r="AO59" s="844"/>
      <c r="AP59" s="844"/>
      <c r="AQ59" s="844"/>
      <c r="AR59" s="844"/>
      <c r="AS59" s="844"/>
      <c r="AT59" s="844"/>
      <c r="AU59" s="759"/>
      <c r="AV59" s="759"/>
      <c r="AW59" s="844" t="str">
        <f>职业!CV50</f>
        <v/>
      </c>
      <c r="AX59" s="818"/>
      <c r="AY59" s="818"/>
      <c r="AZ59" s="818"/>
      <c r="BA59" s="818"/>
      <c r="BB59" s="818"/>
      <c r="BC59" s="847"/>
      <c r="BD59" s="847"/>
      <c r="BE59" s="847"/>
      <c r="BF59" s="847"/>
      <c r="BG59" s="847"/>
      <c r="BH59" s="847"/>
      <c r="BI59" s="847"/>
      <c r="BJ59" s="847"/>
      <c r="BK59" s="847"/>
      <c r="BL59" s="847"/>
      <c r="BM59" s="847"/>
      <c r="BN59" s="847"/>
      <c r="BO59" s="847"/>
      <c r="BP59" s="847"/>
      <c r="BQ59" s="847"/>
      <c r="BR59" s="847"/>
      <c r="BT59" s="818"/>
      <c r="BU59" s="818"/>
      <c r="BV59" s="818"/>
      <c r="BW59" s="818"/>
      <c r="BX59" s="818"/>
      <c r="BY59" s="818"/>
      <c r="BZ59" s="847"/>
      <c r="CA59" s="847"/>
      <c r="CB59" s="847"/>
      <c r="CC59" s="847"/>
      <c r="CD59" s="847"/>
      <c r="CE59" s="847"/>
      <c r="CF59" s="847"/>
      <c r="CG59" s="847"/>
      <c r="CH59" s="847"/>
      <c r="CI59" s="847"/>
      <c r="CJ59" s="847"/>
      <c r="CK59" s="847"/>
      <c r="CL59" s="847"/>
      <c r="CM59" s="847"/>
      <c r="CN59" s="847"/>
      <c r="CO59" s="847"/>
    </row>
    <row r="60" customHeight="1" spans="2:93">
      <c r="B60" s="760" t="s">
        <v>228</v>
      </c>
      <c r="C60" s="760"/>
      <c r="D60" s="760"/>
      <c r="E60" s="760"/>
      <c r="F60" s="293" t="s">
        <v>229</v>
      </c>
      <c r="G60" s="293"/>
      <c r="H60" s="293"/>
      <c r="I60" s="293"/>
      <c r="J60" s="293"/>
      <c r="K60" s="293"/>
      <c r="L60" s="293"/>
      <c r="M60" s="293"/>
      <c r="N60" s="293"/>
      <c r="P60" s="928" t="str">
        <f>CONCATENATE(IFERROR(VLOOKUP(Q60,法术大全!$A:$Z,2,FALSE),""),IFERROR(IF(VLOOKUP(Q60,法术大全!$A:$Z,5,FALSE)="√"," ",""),""))</f>
        <v/>
      </c>
      <c r="Q60" s="844"/>
      <c r="R60" s="844"/>
      <c r="S60" s="844"/>
      <c r="T60" s="844"/>
      <c r="U60" s="844"/>
      <c r="V60" s="844"/>
      <c r="W60" s="759"/>
      <c r="X60" s="928" t="str">
        <f>CONCATENATE(IFERROR(VLOOKUP(Y60,法术大全!$A:$Z,2,FALSE),""),IFERROR(IF(VLOOKUP(Y60,法术大全!$A:$Z,5,FALSE)="√"," ",""),""))</f>
        <v/>
      </c>
      <c r="Y60" s="844"/>
      <c r="Z60" s="844"/>
      <c r="AA60" s="844"/>
      <c r="AB60" s="844"/>
      <c r="AC60" s="844"/>
      <c r="AD60" s="844"/>
      <c r="AE60" s="370"/>
      <c r="AF60" s="928" t="str">
        <f>CONCATENATE(IFERROR(VLOOKUP(AG60,法术大全!$A:$Z,2,FALSE),""),IFERROR(IF(VLOOKUP(AG60,法术大全!$A:$Z,5,FALSE)="√"," ",""),""))</f>
        <v/>
      </c>
      <c r="AG60" s="844"/>
      <c r="AH60" s="844"/>
      <c r="AI60" s="844"/>
      <c r="AJ60" s="844"/>
      <c r="AK60" s="844"/>
      <c r="AL60" s="844"/>
      <c r="AM60" s="370"/>
      <c r="AN60" s="928" t="str">
        <f>CONCATENATE(IFERROR(VLOOKUP(AO60,法术大全!$A:$Z,2,FALSE),""),IFERROR(IF(VLOOKUP(AO60,法术大全!$A:$Z,5,FALSE)="√"," ",""),""))</f>
        <v/>
      </c>
      <c r="AO60" s="844"/>
      <c r="AP60" s="844"/>
      <c r="AQ60" s="844"/>
      <c r="AR60" s="844"/>
      <c r="AS60" s="844"/>
      <c r="AT60" s="844"/>
      <c r="AU60" s="759"/>
      <c r="AW60" s="845" t="str">
        <f>职业!CV51</f>
        <v/>
      </c>
      <c r="AX60" s="846"/>
      <c r="AY60" s="846"/>
      <c r="AZ60" s="846"/>
      <c r="BA60" s="846"/>
      <c r="BB60" s="846"/>
      <c r="BC60" s="848"/>
      <c r="BD60" s="848"/>
      <c r="BE60" s="848"/>
      <c r="BF60" s="848"/>
      <c r="BG60" s="848"/>
      <c r="BH60" s="848"/>
      <c r="BI60" s="848"/>
      <c r="BJ60" s="848"/>
      <c r="BK60" s="848"/>
      <c r="BL60" s="848"/>
      <c r="BM60" s="848"/>
      <c r="BN60" s="848"/>
      <c r="BO60" s="848"/>
      <c r="BP60" s="848"/>
      <c r="BQ60" s="848"/>
      <c r="BR60" s="848"/>
      <c r="BT60" s="846"/>
      <c r="BU60" s="846"/>
      <c r="BV60" s="846"/>
      <c r="BW60" s="846"/>
      <c r="BX60" s="846"/>
      <c r="BY60" s="846"/>
      <c r="BZ60" s="1001"/>
      <c r="CA60" s="769"/>
      <c r="CB60" s="769"/>
      <c r="CC60" s="769"/>
      <c r="CD60" s="769"/>
      <c r="CE60" s="769"/>
      <c r="CF60" s="769"/>
      <c r="CG60" s="769"/>
      <c r="CH60" s="769"/>
      <c r="CI60" s="769"/>
      <c r="CJ60" s="769"/>
      <c r="CK60" s="769"/>
      <c r="CL60" s="769"/>
      <c r="CM60" s="769"/>
      <c r="CN60" s="769"/>
      <c r="CO60" s="955"/>
    </row>
    <row r="61" customHeight="1" spans="2:93">
      <c r="B61" s="320"/>
      <c r="C61" s="320"/>
      <c r="D61" s="320"/>
      <c r="E61" s="320"/>
      <c r="F61" s="880" t="str">
        <f>数据表!P26</f>
        <v/>
      </c>
      <c r="G61" s="880"/>
      <c r="H61" s="880"/>
      <c r="I61" s="880"/>
      <c r="J61" s="880"/>
      <c r="K61" s="880"/>
      <c r="L61" s="880"/>
      <c r="M61" s="880"/>
      <c r="N61" s="880"/>
      <c r="P61" s="928" t="str">
        <f>CONCATENATE(IFERROR(VLOOKUP(Q61,法术大全!$A:$Z,2,FALSE),""),IFERROR(IF(VLOOKUP(Q61,法术大全!$A:$Z,5,FALSE)="√"," ",""),""))</f>
        <v/>
      </c>
      <c r="Q61" s="844"/>
      <c r="R61" s="844"/>
      <c r="S61" s="844"/>
      <c r="T61" s="844"/>
      <c r="U61" s="844"/>
      <c r="V61" s="844"/>
      <c r="W61" s="759"/>
      <c r="X61" s="928" t="str">
        <f>CONCATENATE(IFERROR(VLOOKUP(Y61,法术大全!$A:$Z,2,FALSE),""),IFERROR(IF(VLOOKUP(Y61,法术大全!$A:$Z,5,FALSE)="√"," ",""),""))</f>
        <v/>
      </c>
      <c r="Y61" s="844"/>
      <c r="Z61" s="844"/>
      <c r="AA61" s="844"/>
      <c r="AB61" s="844"/>
      <c r="AC61" s="844"/>
      <c r="AD61" s="844"/>
      <c r="AE61" s="370"/>
      <c r="AF61" s="928" t="str">
        <f>CONCATENATE(IFERROR(VLOOKUP(AG61,法术大全!$A:$Z,2,FALSE),""),IFERROR(IF(VLOOKUP(AG61,法术大全!$A:$Z,5,FALSE)="√"," ",""),""))</f>
        <v/>
      </c>
      <c r="AG61" s="844"/>
      <c r="AH61" s="844"/>
      <c r="AI61" s="844"/>
      <c r="AJ61" s="844"/>
      <c r="AK61" s="844"/>
      <c r="AL61" s="844"/>
      <c r="AM61" s="370"/>
      <c r="AN61" s="928" t="str">
        <f>CONCATENATE(IFERROR(VLOOKUP(AO61,法术大全!$A:$Z,2,FALSE),""),IFERROR(IF(VLOOKUP(AO61,法术大全!$A:$Z,5,FALSE)="√"," ",""),""))</f>
        <v/>
      </c>
      <c r="AO61" s="844"/>
      <c r="AP61" s="844"/>
      <c r="AQ61" s="844"/>
      <c r="AR61" s="844"/>
      <c r="AS61" s="844"/>
      <c r="AT61" s="844"/>
      <c r="AU61" s="759"/>
      <c r="AW61" s="844" t="str">
        <f>职业!CV52</f>
        <v/>
      </c>
      <c r="AX61" s="818"/>
      <c r="AY61" s="818"/>
      <c r="AZ61" s="818"/>
      <c r="BA61" s="818"/>
      <c r="BB61" s="818"/>
      <c r="BC61" s="847"/>
      <c r="BD61" s="847"/>
      <c r="BE61" s="847"/>
      <c r="BF61" s="847"/>
      <c r="BG61" s="847"/>
      <c r="BH61" s="847"/>
      <c r="BI61" s="847"/>
      <c r="BJ61" s="847"/>
      <c r="BK61" s="847"/>
      <c r="BL61" s="847"/>
      <c r="BM61" s="847"/>
      <c r="BN61" s="847"/>
      <c r="BO61" s="847"/>
      <c r="BP61" s="847"/>
      <c r="BQ61" s="847"/>
      <c r="BR61" s="847"/>
      <c r="BT61" s="383"/>
      <c r="BU61" s="383"/>
      <c r="BV61" s="383"/>
      <c r="BW61" s="383"/>
      <c r="BX61" s="383"/>
      <c r="BY61" s="383"/>
      <c r="BZ61" s="383"/>
      <c r="CA61" s="383"/>
      <c r="CB61" s="383"/>
      <c r="CC61" s="383"/>
      <c r="CD61" s="383"/>
      <c r="CE61" s="383"/>
      <c r="CF61" s="383"/>
      <c r="CG61" s="383"/>
      <c r="CH61" s="383"/>
      <c r="CI61" s="383"/>
      <c r="CJ61" s="383"/>
      <c r="CK61" s="383"/>
      <c r="CL61" s="383"/>
      <c r="CM61" s="383"/>
      <c r="CN61" s="383"/>
      <c r="CO61" s="383"/>
    </row>
    <row r="62" customHeight="1" spans="2:93">
      <c r="B62" s="293" t="s">
        <v>230</v>
      </c>
      <c r="C62" s="293"/>
      <c r="D62" s="293"/>
      <c r="E62" s="293" t="s">
        <v>231</v>
      </c>
      <c r="F62" s="293"/>
      <c r="G62" s="293"/>
      <c r="H62" s="293"/>
      <c r="I62" s="293"/>
      <c r="J62" s="293" t="s">
        <v>232</v>
      </c>
      <c r="K62" s="293"/>
      <c r="L62" s="293"/>
      <c r="P62" s="928" t="str">
        <f>CONCATENATE(IFERROR(VLOOKUP(Q62,法术大全!$A:$Z,2,FALSE),""),IFERROR(IF(VLOOKUP(Q62,法术大全!$A:$Z,5,FALSE)="√"," ",""),""))</f>
        <v/>
      </c>
      <c r="Q62" s="844"/>
      <c r="R62" s="844"/>
      <c r="S62" s="844"/>
      <c r="T62" s="844"/>
      <c r="U62" s="844"/>
      <c r="V62" s="844"/>
      <c r="W62" s="759"/>
      <c r="X62" s="928" t="str">
        <f>CONCATENATE(IFERROR(VLOOKUP(Y62,法术大全!$A:$Z,2,FALSE),""),IFERROR(IF(VLOOKUP(Y62,法术大全!$A:$Z,5,FALSE)="√"," ",""),""))</f>
        <v/>
      </c>
      <c r="Y62" s="844"/>
      <c r="Z62" s="844"/>
      <c r="AA62" s="844"/>
      <c r="AB62" s="844"/>
      <c r="AC62" s="844"/>
      <c r="AD62" s="844"/>
      <c r="AE62" s="370"/>
      <c r="AF62" s="928" t="str">
        <f>CONCATENATE(IFERROR(VLOOKUP(AG62,法术大全!$A:$Z,2,FALSE),""),IFERROR(IF(VLOOKUP(AG62,法术大全!$A:$Z,5,FALSE)="√"," ",""),""))</f>
        <v/>
      </c>
      <c r="AG62" s="844"/>
      <c r="AH62" s="844"/>
      <c r="AI62" s="844"/>
      <c r="AJ62" s="844"/>
      <c r="AK62" s="844"/>
      <c r="AL62" s="844"/>
      <c r="AM62" s="370"/>
      <c r="AN62" s="928" t="str">
        <f>CONCATENATE(IFERROR(VLOOKUP(AO62,法术大全!$A:$Z,2,FALSE),""),IFERROR(IF(VLOOKUP(AO62,法术大全!$A:$Z,5,FALSE)="√"," ",""),""))</f>
        <v/>
      </c>
      <c r="AO62" s="844"/>
      <c r="AP62" s="844"/>
      <c r="AQ62" s="844"/>
      <c r="AR62" s="844"/>
      <c r="AS62" s="844"/>
      <c r="AT62" s="844"/>
      <c r="AU62" s="759"/>
      <c r="AW62" s="845" t="str">
        <f>职业!CV53</f>
        <v/>
      </c>
      <c r="AX62" s="846"/>
      <c r="AY62" s="846"/>
      <c r="AZ62" s="846"/>
      <c r="BA62" s="846"/>
      <c r="BB62" s="846"/>
      <c r="BC62" s="848"/>
      <c r="BD62" s="848"/>
      <c r="BE62" s="848"/>
      <c r="BF62" s="848"/>
      <c r="BG62" s="848"/>
      <c r="BH62" s="848"/>
      <c r="BI62" s="848"/>
      <c r="BJ62" s="848"/>
      <c r="BK62" s="848"/>
      <c r="BL62" s="848"/>
      <c r="BM62" s="848"/>
      <c r="BN62" s="848"/>
      <c r="BO62" s="848"/>
      <c r="BP62" s="848"/>
      <c r="BQ62" s="848"/>
      <c r="BR62" s="848"/>
      <c r="BT62" s="998" t="s">
        <v>149</v>
      </c>
      <c r="BU62" s="998"/>
      <c r="BV62" s="998"/>
      <c r="BW62" s="998"/>
      <c r="BX62" s="998"/>
      <c r="BY62" s="998"/>
      <c r="BZ62" s="998"/>
      <c r="CA62" s="998"/>
      <c r="CB62" s="998"/>
      <c r="CC62" s="998"/>
      <c r="CD62" s="998"/>
      <c r="CE62" s="998"/>
      <c r="CF62" s="998"/>
      <c r="CG62" s="998"/>
      <c r="CH62" s="998"/>
      <c r="CI62" s="998"/>
      <c r="CJ62" s="998"/>
      <c r="CK62" s="998"/>
      <c r="CL62" s="998"/>
      <c r="CM62" s="998"/>
      <c r="CN62" s="998"/>
      <c r="CO62" s="998"/>
    </row>
    <row r="63" customHeight="1" spans="2:93">
      <c r="B63" s="817">
        <v>1</v>
      </c>
      <c r="C63" s="817"/>
      <c r="D63" s="817"/>
      <c r="E63" s="881"/>
      <c r="F63" s="882"/>
      <c r="G63" s="883" t="s">
        <v>134</v>
      </c>
      <c r="H63" s="884" t="str">
        <f>职业!AV1</f>
        <v/>
      </c>
      <c r="I63" s="929"/>
      <c r="J63" s="930">
        <v>2</v>
      </c>
      <c r="K63" s="930"/>
      <c r="L63" s="930"/>
      <c r="P63" s="928" t="str">
        <f>CONCATENATE(IFERROR(VLOOKUP(Q63,法术大全!$A:$Z,2,FALSE),""),IFERROR(IF(VLOOKUP(Q63,法术大全!$A:$Z,5,FALSE)="√"," ",""),""))</f>
        <v/>
      </c>
      <c r="Q63" s="844"/>
      <c r="R63" s="844"/>
      <c r="S63" s="844"/>
      <c r="T63" s="844"/>
      <c r="U63" s="844"/>
      <c r="V63" s="844"/>
      <c r="W63" s="759"/>
      <c r="X63" s="928" t="str">
        <f>CONCATENATE(IFERROR(VLOOKUP(Y63,法术大全!$A:$Z,2,FALSE),""),IFERROR(IF(VLOOKUP(Y63,法术大全!$A:$Z,5,FALSE)="√"," ",""),""))</f>
        <v/>
      </c>
      <c r="Y63" s="844"/>
      <c r="Z63" s="844"/>
      <c r="AA63" s="844"/>
      <c r="AB63" s="844"/>
      <c r="AC63" s="844"/>
      <c r="AD63" s="844"/>
      <c r="AE63" s="370"/>
      <c r="AF63" s="928" t="str">
        <f>CONCATENATE(IFERROR(VLOOKUP(AG63,法术大全!$A:$Z,2,FALSE),""),IFERROR(IF(VLOOKUP(AG63,法术大全!$A:$Z,5,FALSE)="√"," ",""),""))</f>
        <v/>
      </c>
      <c r="AG63" s="844"/>
      <c r="AH63" s="844"/>
      <c r="AI63" s="844"/>
      <c r="AJ63" s="844"/>
      <c r="AK63" s="844"/>
      <c r="AL63" s="844"/>
      <c r="AM63" s="370"/>
      <c r="AN63" s="928" t="str">
        <f>CONCATENATE(IFERROR(VLOOKUP(AO63,法术大全!$A:$Z,2,FALSE),""),IFERROR(IF(VLOOKUP(AO63,法术大全!$A:$Z,5,FALSE)="√"," ",""),""))</f>
        <v/>
      </c>
      <c r="AO63" s="844"/>
      <c r="AP63" s="844"/>
      <c r="AQ63" s="844"/>
      <c r="AR63" s="844"/>
      <c r="AS63" s="844"/>
      <c r="AT63" s="844"/>
      <c r="AU63" s="759"/>
      <c r="AW63" s="844" t="str">
        <f>职业!CV54</f>
        <v/>
      </c>
      <c r="AX63" s="818"/>
      <c r="AY63" s="818"/>
      <c r="AZ63" s="818"/>
      <c r="BA63" s="818"/>
      <c r="BB63" s="818"/>
      <c r="BC63" s="847"/>
      <c r="BD63" s="847"/>
      <c r="BE63" s="847"/>
      <c r="BF63" s="847"/>
      <c r="BG63" s="847"/>
      <c r="BH63" s="847"/>
      <c r="BI63" s="847"/>
      <c r="BJ63" s="847"/>
      <c r="BK63" s="847"/>
      <c r="BL63" s="847"/>
      <c r="BM63" s="847"/>
      <c r="BN63" s="847"/>
      <c r="BO63" s="847"/>
      <c r="BP63" s="847"/>
      <c r="BQ63" s="847"/>
      <c r="BR63" s="847"/>
      <c r="BT63" s="293" t="s">
        <v>88</v>
      </c>
      <c r="BU63" s="293"/>
      <c r="BV63" s="293"/>
      <c r="BW63" s="293"/>
      <c r="BX63" s="293"/>
      <c r="BY63" s="293"/>
      <c r="BZ63" s="293" t="s">
        <v>89</v>
      </c>
      <c r="CA63" s="293"/>
      <c r="CB63" s="293"/>
      <c r="CC63" s="293"/>
      <c r="CD63" s="293"/>
      <c r="CE63" s="293"/>
      <c r="CF63" s="293"/>
      <c r="CG63" s="293"/>
      <c r="CH63" s="293"/>
      <c r="CI63" s="293"/>
      <c r="CJ63" s="293"/>
      <c r="CK63" s="293"/>
      <c r="CL63" s="293"/>
      <c r="CM63" s="293"/>
      <c r="CN63" s="293"/>
      <c r="CO63" s="293"/>
    </row>
    <row r="64" customHeight="1" spans="2:93">
      <c r="B64" s="817">
        <v>2</v>
      </c>
      <c r="C64" s="817"/>
      <c r="D64" s="817"/>
      <c r="E64" s="881"/>
      <c r="F64" s="882"/>
      <c r="G64" s="883" t="s">
        <v>134</v>
      </c>
      <c r="H64" s="884" t="str">
        <f>职业!AV2</f>
        <v/>
      </c>
      <c r="I64" s="929"/>
      <c r="J64" s="930">
        <v>3</v>
      </c>
      <c r="K64" s="930"/>
      <c r="L64" s="930"/>
      <c r="P64" s="928" t="str">
        <f>CONCATENATE(IFERROR(VLOOKUP(Q64,法术大全!$A:$Z,2,FALSE),""),IFERROR(IF(VLOOKUP(Q64,法术大全!$A:$Z,5,FALSE)="√"," ",""),""))</f>
        <v/>
      </c>
      <c r="Q64" s="844"/>
      <c r="R64" s="844"/>
      <c r="S64" s="844"/>
      <c r="T64" s="844"/>
      <c r="U64" s="844"/>
      <c r="V64" s="844"/>
      <c r="W64" s="759"/>
      <c r="X64" s="928" t="str">
        <f>CONCATENATE(IFERROR(VLOOKUP(Y64,法术大全!$A:$Z,2,FALSE),""),IFERROR(IF(VLOOKUP(Y64,法术大全!$A:$Z,5,FALSE)="√"," ",""),""))</f>
        <v/>
      </c>
      <c r="Y64" s="844"/>
      <c r="Z64" s="844"/>
      <c r="AA64" s="844"/>
      <c r="AB64" s="844"/>
      <c r="AC64" s="844"/>
      <c r="AD64" s="844"/>
      <c r="AE64" s="370"/>
      <c r="AF64" s="928" t="str">
        <f>CONCATENATE(IFERROR(VLOOKUP(AG64,法术大全!$A:$Z,2,FALSE),""),IFERROR(IF(VLOOKUP(AG64,法术大全!$A:$Z,5,FALSE)="√"," ",""),""))</f>
        <v/>
      </c>
      <c r="AG64" s="844" t="s">
        <v>233</v>
      </c>
      <c r="AH64" s="844"/>
      <c r="AI64" s="844"/>
      <c r="AJ64" s="844"/>
      <c r="AK64" s="844"/>
      <c r="AL64" s="844"/>
      <c r="AM64" s="370"/>
      <c r="AN64" s="928" t="str">
        <f>CONCATENATE(IFERROR(VLOOKUP(AO64,法术大全!$A:$Z,2,FALSE),""),IFERROR(IF(VLOOKUP(AO64,法术大全!$A:$Z,5,FALSE)="√"," ",""),""))</f>
        <v/>
      </c>
      <c r="AO64" s="844"/>
      <c r="AP64" s="844"/>
      <c r="AQ64" s="844"/>
      <c r="AR64" s="844"/>
      <c r="AS64" s="844"/>
      <c r="AT64" s="844"/>
      <c r="AU64" s="759"/>
      <c r="AW64" s="845" t="str">
        <f>职业!CV55</f>
        <v/>
      </c>
      <c r="AX64" s="846"/>
      <c r="AY64" s="846"/>
      <c r="AZ64" s="846"/>
      <c r="BA64" s="846"/>
      <c r="BB64" s="846"/>
      <c r="BC64" s="848"/>
      <c r="BD64" s="848"/>
      <c r="BE64" s="848"/>
      <c r="BF64" s="848"/>
      <c r="BG64" s="848"/>
      <c r="BH64" s="848"/>
      <c r="BI64" s="848"/>
      <c r="BJ64" s="848"/>
      <c r="BK64" s="848"/>
      <c r="BL64" s="848"/>
      <c r="BM64" s="848"/>
      <c r="BN64" s="848"/>
      <c r="BO64" s="848"/>
      <c r="BP64" s="848"/>
      <c r="BQ64" s="848"/>
      <c r="BR64" s="848"/>
      <c r="BT64" s="818"/>
      <c r="BU64" s="818"/>
      <c r="BV64" s="818"/>
      <c r="BW64" s="818"/>
      <c r="BX64" s="818"/>
      <c r="BY64" s="818"/>
      <c r="BZ64" s="847"/>
      <c r="CA64" s="847"/>
      <c r="CB64" s="847"/>
      <c r="CC64" s="847"/>
      <c r="CD64" s="847"/>
      <c r="CE64" s="847"/>
      <c r="CF64" s="847"/>
      <c r="CG64" s="847"/>
      <c r="CH64" s="847"/>
      <c r="CI64" s="847"/>
      <c r="CJ64" s="847"/>
      <c r="CK64" s="847"/>
      <c r="CL64" s="847"/>
      <c r="CM64" s="847"/>
      <c r="CN64" s="847"/>
      <c r="CO64" s="847"/>
    </row>
    <row r="65" customHeight="1" spans="2:93">
      <c r="B65" s="817">
        <v>3</v>
      </c>
      <c r="C65" s="817"/>
      <c r="D65" s="817"/>
      <c r="E65" s="881"/>
      <c r="F65" s="882"/>
      <c r="G65" s="883" t="s">
        <v>134</v>
      </c>
      <c r="H65" s="884" t="str">
        <f>职业!AV3</f>
        <v/>
      </c>
      <c r="I65" s="929"/>
      <c r="J65" s="930">
        <v>5</v>
      </c>
      <c r="K65" s="930"/>
      <c r="L65" s="930"/>
      <c r="W65" s="759"/>
      <c r="Z65" s="759"/>
      <c r="AA65" s="759"/>
      <c r="AB65" s="759"/>
      <c r="AC65" s="759"/>
      <c r="AD65" s="759"/>
      <c r="AE65" s="370"/>
      <c r="AF65" s="928" t="str">
        <f>CONCATENATE(IFERROR(VLOOKUP(AG65,法术大全!$A:$Z,2,FALSE),""),IFERROR(IF(VLOOKUP(AG65,法术大全!$A:$Z,5,FALSE)="√"," ",""),""))</f>
        <v/>
      </c>
      <c r="AG65" s="844"/>
      <c r="AH65" s="844"/>
      <c r="AI65" s="844"/>
      <c r="AJ65" s="844"/>
      <c r="AK65" s="844"/>
      <c r="AL65" s="844"/>
      <c r="AM65" s="370"/>
      <c r="AN65" s="928" t="str">
        <f>CONCATENATE(IFERROR(VLOOKUP(AO65,法术大全!$A:$Z,2,FALSE),""),IFERROR(IF(VLOOKUP(AO65,法术大全!$A:$Z,5,FALSE)="√"," ",""),""))</f>
        <v/>
      </c>
      <c r="AO65" s="844"/>
      <c r="AP65" s="844"/>
      <c r="AQ65" s="844"/>
      <c r="AR65" s="844"/>
      <c r="AS65" s="844"/>
      <c r="AT65" s="844"/>
      <c r="AU65" s="759"/>
      <c r="AW65" s="844" t="str">
        <f>职业!CV56</f>
        <v/>
      </c>
      <c r="AX65" s="818"/>
      <c r="AY65" s="818"/>
      <c r="AZ65" s="818"/>
      <c r="BA65" s="818"/>
      <c r="BB65" s="818"/>
      <c r="BC65" s="847"/>
      <c r="BD65" s="847"/>
      <c r="BE65" s="847"/>
      <c r="BF65" s="847"/>
      <c r="BG65" s="847"/>
      <c r="BH65" s="847"/>
      <c r="BI65" s="847"/>
      <c r="BJ65" s="847"/>
      <c r="BK65" s="847"/>
      <c r="BL65" s="847"/>
      <c r="BM65" s="847"/>
      <c r="BN65" s="847"/>
      <c r="BO65" s="847"/>
      <c r="BP65" s="847"/>
      <c r="BQ65" s="847"/>
      <c r="BR65" s="847"/>
      <c r="BT65" s="846"/>
      <c r="BU65" s="846"/>
      <c r="BV65" s="846"/>
      <c r="BW65" s="846"/>
      <c r="BX65" s="846"/>
      <c r="BY65" s="846"/>
      <c r="BZ65" s="848"/>
      <c r="CA65" s="848"/>
      <c r="CB65" s="848"/>
      <c r="CC65" s="848"/>
      <c r="CD65" s="848"/>
      <c r="CE65" s="848"/>
      <c r="CF65" s="848"/>
      <c r="CG65" s="848"/>
      <c r="CH65" s="848"/>
      <c r="CI65" s="848"/>
      <c r="CJ65" s="848"/>
      <c r="CK65" s="848"/>
      <c r="CL65" s="848"/>
      <c r="CM65" s="848"/>
      <c r="CN65" s="848"/>
      <c r="CO65" s="848"/>
    </row>
    <row r="66" customHeight="1" spans="2:93">
      <c r="B66" s="817">
        <v>4</v>
      </c>
      <c r="C66" s="817"/>
      <c r="D66" s="817"/>
      <c r="E66" s="881"/>
      <c r="F66" s="882"/>
      <c r="G66" s="883" t="s">
        <v>134</v>
      </c>
      <c r="H66" s="884" t="str">
        <f>职业!AV4</f>
        <v/>
      </c>
      <c r="I66" s="929"/>
      <c r="J66" s="930">
        <v>6</v>
      </c>
      <c r="K66" s="930"/>
      <c r="L66" s="930"/>
      <c r="P66" s="849" t="s">
        <v>234</v>
      </c>
      <c r="Q66" s="849"/>
      <c r="R66" s="849"/>
      <c r="S66" s="849"/>
      <c r="T66" s="849"/>
      <c r="U66" s="849"/>
      <c r="V66" s="849"/>
      <c r="W66" s="849"/>
      <c r="X66" s="849"/>
      <c r="Y66" s="849"/>
      <c r="Z66" s="849"/>
      <c r="AA66" s="849"/>
      <c r="AB66" s="849"/>
      <c r="AC66" s="849"/>
      <c r="AD66" s="849"/>
      <c r="AE66" s="370"/>
      <c r="AF66" s="928" t="str">
        <f>CONCATENATE(IFERROR(VLOOKUP(AG66,法术大全!$A:$Z,2,FALSE),""),IFERROR(IF(VLOOKUP(AG66,法术大全!$A:$Z,5,FALSE)="√"," ",""),""))</f>
        <v/>
      </c>
      <c r="AG66" s="844"/>
      <c r="AH66" s="844"/>
      <c r="AI66" s="844"/>
      <c r="AJ66" s="844"/>
      <c r="AK66" s="844"/>
      <c r="AL66" s="844"/>
      <c r="AM66" s="370"/>
      <c r="AN66" s="928" t="str">
        <f>CONCATENATE(IFERROR(VLOOKUP(AO66,法术大全!$A:$Z,2,FALSE),""),IFERROR(IF(VLOOKUP(AO66,法术大全!$A:$Z,5,FALSE)="√"," ",""),""))</f>
        <v/>
      </c>
      <c r="AO66" s="844"/>
      <c r="AP66" s="844"/>
      <c r="AQ66" s="844"/>
      <c r="AR66" s="844"/>
      <c r="AS66" s="844"/>
      <c r="AT66" s="844"/>
      <c r="AU66" s="759"/>
      <c r="AW66" s="845" t="str">
        <f>职业!CV57</f>
        <v/>
      </c>
      <c r="AX66" s="846"/>
      <c r="AY66" s="846"/>
      <c r="AZ66" s="846"/>
      <c r="BA66" s="846"/>
      <c r="BB66" s="846"/>
      <c r="BC66" s="848"/>
      <c r="BD66" s="848"/>
      <c r="BE66" s="848"/>
      <c r="BF66" s="848"/>
      <c r="BG66" s="848"/>
      <c r="BH66" s="848"/>
      <c r="BI66" s="848"/>
      <c r="BJ66" s="848"/>
      <c r="BK66" s="848"/>
      <c r="BL66" s="848"/>
      <c r="BM66" s="848"/>
      <c r="BN66" s="848"/>
      <c r="BO66" s="848"/>
      <c r="BP66" s="848"/>
      <c r="BQ66" s="848"/>
      <c r="BR66" s="848"/>
      <c r="BT66" s="818"/>
      <c r="BU66" s="818"/>
      <c r="BV66" s="818"/>
      <c r="BW66" s="818"/>
      <c r="BX66" s="818"/>
      <c r="BY66" s="818"/>
      <c r="BZ66" s="847"/>
      <c r="CA66" s="847"/>
      <c r="CB66" s="847"/>
      <c r="CC66" s="847"/>
      <c r="CD66" s="847"/>
      <c r="CE66" s="847"/>
      <c r="CF66" s="847"/>
      <c r="CG66" s="847"/>
      <c r="CH66" s="847"/>
      <c r="CI66" s="847"/>
      <c r="CJ66" s="847"/>
      <c r="CK66" s="847"/>
      <c r="CL66" s="847"/>
      <c r="CM66" s="847"/>
      <c r="CN66" s="847"/>
      <c r="CO66" s="847"/>
    </row>
    <row r="67" customHeight="1" spans="2:93">
      <c r="B67" s="817">
        <v>5</v>
      </c>
      <c r="C67" s="817"/>
      <c r="D67" s="817"/>
      <c r="E67" s="881"/>
      <c r="F67" s="882"/>
      <c r="G67" s="883" t="s">
        <v>134</v>
      </c>
      <c r="H67" s="884" t="str">
        <f>职业!AV5</f>
        <v/>
      </c>
      <c r="I67" s="929"/>
      <c r="J67" s="930">
        <v>7</v>
      </c>
      <c r="K67" s="930"/>
      <c r="L67" s="930"/>
      <c r="P67" s="293" t="s">
        <v>63</v>
      </c>
      <c r="Q67" s="293" t="s">
        <v>227</v>
      </c>
      <c r="R67" s="293"/>
      <c r="S67" s="293"/>
      <c r="T67" s="293"/>
      <c r="U67" s="293"/>
      <c r="V67" s="293"/>
      <c r="W67" s="954"/>
      <c r="X67" s="293" t="s">
        <v>63</v>
      </c>
      <c r="Y67" s="293" t="s">
        <v>227</v>
      </c>
      <c r="Z67" s="293"/>
      <c r="AA67" s="293"/>
      <c r="AB67" s="293"/>
      <c r="AC67" s="293"/>
      <c r="AD67" s="293"/>
      <c r="AE67" s="370"/>
      <c r="AF67" s="928" t="str">
        <f>CONCATENATE(IFERROR(VLOOKUP(AG67,法术大全!$A:$Z,2,FALSE),""),IFERROR(IF(VLOOKUP(AG67,法术大全!$A:$Z,5,FALSE)="√"," ",""),""))</f>
        <v/>
      </c>
      <c r="AG67" s="844"/>
      <c r="AH67" s="844"/>
      <c r="AI67" s="844"/>
      <c r="AJ67" s="844"/>
      <c r="AK67" s="844"/>
      <c r="AL67" s="844"/>
      <c r="AM67" s="370"/>
      <c r="AN67" s="928" t="str">
        <f>CONCATENATE(IFERROR(VLOOKUP(AO67,法术大全!$A:$Z,2,FALSE),""),IFERROR(IF(VLOOKUP(AO67,法术大全!$A:$Z,5,FALSE)="√"," ",""),""))</f>
        <v/>
      </c>
      <c r="AO67" s="844"/>
      <c r="AP67" s="844"/>
      <c r="AQ67" s="844"/>
      <c r="AR67" s="844"/>
      <c r="AS67" s="844"/>
      <c r="AT67" s="844"/>
      <c r="AU67" s="759"/>
      <c r="AW67" s="844" t="str">
        <f>职业!CV58</f>
        <v/>
      </c>
      <c r="AX67" s="818"/>
      <c r="AY67" s="818"/>
      <c r="AZ67" s="818"/>
      <c r="BA67" s="818"/>
      <c r="BB67" s="818"/>
      <c r="BC67" s="847"/>
      <c r="BD67" s="847"/>
      <c r="BE67" s="847"/>
      <c r="BF67" s="847"/>
      <c r="BG67" s="847"/>
      <c r="BH67" s="847"/>
      <c r="BI67" s="847"/>
      <c r="BJ67" s="847"/>
      <c r="BK67" s="847"/>
      <c r="BL67" s="847"/>
      <c r="BM67" s="847"/>
      <c r="BN67" s="847"/>
      <c r="BO67" s="847"/>
      <c r="BP67" s="847"/>
      <c r="BQ67" s="847"/>
      <c r="BR67" s="847"/>
      <c r="BT67" s="846"/>
      <c r="BU67" s="846"/>
      <c r="BV67" s="846"/>
      <c r="BW67" s="846"/>
      <c r="BX67" s="846"/>
      <c r="BY67" s="846"/>
      <c r="BZ67" s="848"/>
      <c r="CA67" s="848"/>
      <c r="CB67" s="848"/>
      <c r="CC67" s="848"/>
      <c r="CD67" s="848"/>
      <c r="CE67" s="848"/>
      <c r="CF67" s="848"/>
      <c r="CG67" s="848"/>
      <c r="CH67" s="848"/>
      <c r="CI67" s="848"/>
      <c r="CJ67" s="848"/>
      <c r="CK67" s="848"/>
      <c r="CL67" s="848"/>
      <c r="CM67" s="848"/>
      <c r="CN67" s="848"/>
      <c r="CO67" s="848"/>
    </row>
    <row r="68" customHeight="1" spans="2:93">
      <c r="B68" s="817">
        <v>6</v>
      </c>
      <c r="C68" s="817"/>
      <c r="D68" s="817"/>
      <c r="E68" s="881"/>
      <c r="F68" s="882"/>
      <c r="G68" s="883" t="s">
        <v>134</v>
      </c>
      <c r="H68" s="884" t="str">
        <f>职业!AV6</f>
        <v/>
      </c>
      <c r="I68" s="929"/>
      <c r="J68" s="930">
        <v>9</v>
      </c>
      <c r="K68" s="930"/>
      <c r="L68" s="930"/>
      <c r="P68" s="928" t="str">
        <f>CONCATENATE(IFERROR(VLOOKUP(Q68,法术大全!$A:$Z,2,FALSE),""),IFERROR(IF(VLOOKUP(Q68,法术大全!$A:$Z,5,FALSE)="√"," ",""),""))</f>
        <v/>
      </c>
      <c r="Q68" s="844"/>
      <c r="R68" s="844"/>
      <c r="S68" s="844"/>
      <c r="T68" s="844"/>
      <c r="U68" s="844"/>
      <c r="V68" s="844"/>
      <c r="W68" s="759"/>
      <c r="X68" s="928" t="str">
        <f>CONCATENATE(IFERROR(VLOOKUP(Y68,法术大全!$A:$Z,2,FALSE),""),IFERROR(IF(VLOOKUP(Y68,法术大全!$A:$Z,5,FALSE)="√"," ",""),""))</f>
        <v/>
      </c>
      <c r="Y68" s="844"/>
      <c r="Z68" s="844"/>
      <c r="AA68" s="844"/>
      <c r="AB68" s="844"/>
      <c r="AC68" s="844"/>
      <c r="AD68" s="844"/>
      <c r="AE68" s="370"/>
      <c r="AF68" s="928" t="str">
        <f>CONCATENATE(IFERROR(VLOOKUP(AG68,法术大全!$A:$Z,2,FALSE),""),IFERROR(IF(VLOOKUP(AG68,法术大全!$A:$Z,5,FALSE)="√"," ",""),""))</f>
        <v/>
      </c>
      <c r="AG68" s="844"/>
      <c r="AH68" s="844"/>
      <c r="AI68" s="844"/>
      <c r="AJ68" s="844"/>
      <c r="AK68" s="844"/>
      <c r="AL68" s="844"/>
      <c r="AM68" s="370"/>
      <c r="AN68" s="928" t="str">
        <f>CONCATENATE(IFERROR(VLOOKUP(AO68,法术大全!$A:$Z,2,FALSE),""),IFERROR(IF(VLOOKUP(AO68,法术大全!$A:$Z,5,FALSE)="√"," ",""),""))</f>
        <v/>
      </c>
      <c r="AO68" s="844"/>
      <c r="AP68" s="844"/>
      <c r="AQ68" s="844"/>
      <c r="AR68" s="844"/>
      <c r="AS68" s="844"/>
      <c r="AT68" s="844"/>
      <c r="AU68" s="759"/>
      <c r="AW68" s="845" t="str">
        <f>职业!CV59</f>
        <v/>
      </c>
      <c r="AX68" s="846"/>
      <c r="AY68" s="846"/>
      <c r="AZ68" s="846"/>
      <c r="BA68" s="846"/>
      <c r="BB68" s="846"/>
      <c r="BC68" s="848"/>
      <c r="BD68" s="848"/>
      <c r="BE68" s="848"/>
      <c r="BF68" s="848"/>
      <c r="BG68" s="848"/>
      <c r="BH68" s="848"/>
      <c r="BI68" s="848"/>
      <c r="BJ68" s="848"/>
      <c r="BK68" s="848"/>
      <c r="BL68" s="848"/>
      <c r="BM68" s="848"/>
      <c r="BN68" s="848"/>
      <c r="BO68" s="848"/>
      <c r="BP68" s="848"/>
      <c r="BQ68" s="848"/>
      <c r="BR68" s="848"/>
      <c r="BT68" s="818"/>
      <c r="BU68" s="818"/>
      <c r="BV68" s="818"/>
      <c r="BW68" s="818"/>
      <c r="BX68" s="818"/>
      <c r="BY68" s="818"/>
      <c r="BZ68" s="847"/>
      <c r="CA68" s="847"/>
      <c r="CB68" s="847"/>
      <c r="CC68" s="847"/>
      <c r="CD68" s="847"/>
      <c r="CE68" s="847"/>
      <c r="CF68" s="847"/>
      <c r="CG68" s="847"/>
      <c r="CH68" s="847"/>
      <c r="CI68" s="847"/>
      <c r="CJ68" s="847"/>
      <c r="CK68" s="847"/>
      <c r="CL68" s="847"/>
      <c r="CM68" s="847"/>
      <c r="CN68" s="847"/>
      <c r="CO68" s="847"/>
    </row>
    <row r="69" customHeight="1" spans="2:47">
      <c r="B69" s="817">
        <v>7</v>
      </c>
      <c r="C69" s="817"/>
      <c r="D69" s="817"/>
      <c r="E69" s="881"/>
      <c r="F69" s="882"/>
      <c r="G69" s="883" t="s">
        <v>134</v>
      </c>
      <c r="H69" s="884" t="str">
        <f>职业!AV7</f>
        <v/>
      </c>
      <c r="I69" s="929"/>
      <c r="J69" s="930">
        <v>10</v>
      </c>
      <c r="K69" s="930"/>
      <c r="L69" s="930"/>
      <c r="P69" s="928" t="str">
        <f>CONCATENATE(IFERROR(VLOOKUP(Q69,法术大全!$A:$Z,2,FALSE),""),IFERROR(IF(VLOOKUP(Q69,法术大全!$A:$Z,5,FALSE)="√"," ",""),""))</f>
        <v/>
      </c>
      <c r="Q69" s="844"/>
      <c r="R69" s="844"/>
      <c r="S69" s="844"/>
      <c r="T69" s="844"/>
      <c r="U69" s="844"/>
      <c r="V69" s="844"/>
      <c r="W69" s="759"/>
      <c r="X69" s="928" t="str">
        <f>CONCATENATE(IFERROR(VLOOKUP(Y69,法术大全!$A:$Z,2,FALSE),""),IFERROR(IF(VLOOKUP(Y69,法术大全!$A:$Z,5,FALSE)="√"," ",""),""))</f>
        <v/>
      </c>
      <c r="Y69" s="844"/>
      <c r="Z69" s="844"/>
      <c r="AA69" s="844"/>
      <c r="AB69" s="844"/>
      <c r="AC69" s="844"/>
      <c r="AD69" s="844"/>
      <c r="AE69" s="370"/>
      <c r="AF69" s="928" t="str">
        <f>CONCATENATE(IFERROR(VLOOKUP(AG69,法术大全!$A:$Z,2,FALSE),""),IFERROR(IF(VLOOKUP(AG69,法术大全!$A:$Z,5,FALSE)="√"," ",""),""))</f>
        <v/>
      </c>
      <c r="AG69" s="844"/>
      <c r="AH69" s="844"/>
      <c r="AI69" s="844"/>
      <c r="AJ69" s="844"/>
      <c r="AK69" s="844"/>
      <c r="AL69" s="844"/>
      <c r="AM69" s="370"/>
      <c r="AN69" s="928" t="str">
        <f>CONCATENATE(IFERROR(VLOOKUP(AO69,法术大全!$A:$Z,2,FALSE),""),IFERROR(IF(VLOOKUP(AO69,法术大全!$A:$Z,5,FALSE)="√"," ",""),""))</f>
        <v/>
      </c>
      <c r="AO69" s="844"/>
      <c r="AP69" s="844"/>
      <c r="AQ69" s="844"/>
      <c r="AR69" s="844"/>
      <c r="AS69" s="844"/>
      <c r="AT69" s="844"/>
      <c r="AU69" s="759"/>
    </row>
    <row r="70" customHeight="1" spans="2:124">
      <c r="B70" s="817">
        <v>8</v>
      </c>
      <c r="C70" s="817"/>
      <c r="D70" s="817"/>
      <c r="E70" s="881"/>
      <c r="F70" s="882"/>
      <c r="G70" s="883" t="s">
        <v>134</v>
      </c>
      <c r="H70" s="884" t="str">
        <f>职业!AV8</f>
        <v/>
      </c>
      <c r="I70" s="929"/>
      <c r="J70" s="930">
        <v>11</v>
      </c>
      <c r="K70" s="930"/>
      <c r="L70" s="930"/>
      <c r="P70" s="928" t="str">
        <f>CONCATENATE(IFERROR(VLOOKUP(Q70,法术大全!$A:$Z,2,FALSE),""),IFERROR(IF(VLOOKUP(Q70,法术大全!$A:$Z,5,FALSE)="√"," ",""),""))</f>
        <v/>
      </c>
      <c r="Q70" s="844"/>
      <c r="R70" s="844"/>
      <c r="S70" s="844"/>
      <c r="T70" s="844"/>
      <c r="U70" s="844"/>
      <c r="V70" s="844"/>
      <c r="W70" s="759"/>
      <c r="X70" s="928" t="str">
        <f>CONCATENATE(IFERROR(VLOOKUP(Y70,法术大全!$A:$Z,2,FALSE),""),IFERROR(IF(VLOOKUP(Y70,法术大全!$A:$Z,5,FALSE)="√"," ",""),""))</f>
        <v/>
      </c>
      <c r="Y70" s="844"/>
      <c r="Z70" s="844"/>
      <c r="AA70" s="844"/>
      <c r="AB70" s="844"/>
      <c r="AC70" s="844"/>
      <c r="AD70" s="844"/>
      <c r="AE70" s="370"/>
      <c r="AF70" s="928" t="str">
        <f>CONCATENATE(IFERROR(VLOOKUP(AG70,法术大全!$A:$Z,2,FALSE),""),IFERROR(IF(VLOOKUP(AG70,法术大全!$A:$Z,5,FALSE)="√"," ",""),""))</f>
        <v/>
      </c>
      <c r="AG70" s="844"/>
      <c r="AH70" s="844"/>
      <c r="AI70" s="844"/>
      <c r="AJ70" s="844"/>
      <c r="AK70" s="844"/>
      <c r="AL70" s="844"/>
      <c r="AM70" s="370"/>
      <c r="AN70" s="928" t="str">
        <f>CONCATENATE(IFERROR(VLOOKUP(AO70,法术大全!$A:$Z,2,FALSE),""),IFERROR(IF(VLOOKUP(AO70,法术大全!$A:$Z,5,FALSE)="√"," ",""),""))</f>
        <v/>
      </c>
      <c r="AO70" s="844"/>
      <c r="AP70" s="844"/>
      <c r="AQ70" s="844"/>
      <c r="AR70" s="844"/>
      <c r="AS70" s="844"/>
      <c r="AT70" s="844"/>
      <c r="AU70" s="759"/>
      <c r="AW70" s="752"/>
      <c r="AX70" s="753"/>
      <c r="AY70" s="753"/>
      <c r="AZ70" s="753"/>
      <c r="BA70" s="753"/>
      <c r="BB70" s="753"/>
      <c r="BC70" s="753"/>
      <c r="BD70" s="753"/>
      <c r="BE70" s="753"/>
      <c r="BF70" s="753"/>
      <c r="BG70" s="753"/>
      <c r="BH70" s="753"/>
      <c r="BI70" s="753"/>
      <c r="BJ70" s="753"/>
      <c r="BK70" s="753"/>
      <c r="BL70" s="753" t="s">
        <v>235</v>
      </c>
      <c r="BM70" s="753"/>
      <c r="BN70" s="753"/>
      <c r="BO70" s="753"/>
      <c r="BP70" s="753"/>
      <c r="BQ70" s="753"/>
      <c r="BR70" s="753"/>
      <c r="BS70" s="753"/>
      <c r="BT70" s="753"/>
      <c r="BU70" s="753"/>
      <c r="BV70" s="753"/>
      <c r="BW70" s="753"/>
      <c r="BX70" s="753"/>
      <c r="BY70" s="753"/>
      <c r="BZ70" s="753"/>
      <c r="CA70" s="753"/>
      <c r="CB70" s="753"/>
      <c r="CC70" s="753"/>
      <c r="CD70" s="753"/>
      <c r="CE70" s="753"/>
      <c r="CF70" s="753"/>
      <c r="CG70" s="753"/>
      <c r="CH70" s="753"/>
      <c r="CI70" s="753"/>
      <c r="CJ70" s="753"/>
      <c r="CK70" s="753"/>
      <c r="CL70" s="753"/>
      <c r="CM70" s="753"/>
      <c r="CN70" s="753"/>
      <c r="CO70" s="775"/>
      <c r="CY70" s="1014"/>
      <c r="CZ70" s="1015"/>
      <c r="DA70" s="1015"/>
      <c r="DB70" s="1015"/>
      <c r="DC70" s="1015"/>
      <c r="DD70" s="1015"/>
      <c r="DE70" s="1015"/>
      <c r="DF70" s="1015"/>
      <c r="DG70" s="1015"/>
      <c r="DH70" s="1015"/>
      <c r="DI70" s="1015"/>
      <c r="DJ70" s="1015"/>
      <c r="DK70" s="1015"/>
      <c r="DL70" s="1015"/>
      <c r="DM70" s="1015"/>
      <c r="DN70" s="1015"/>
      <c r="DO70" s="1015"/>
      <c r="DP70" s="1015"/>
      <c r="DQ70" s="1015"/>
      <c r="DR70" s="1015"/>
      <c r="DS70" s="1015"/>
      <c r="DT70" s="1020"/>
    </row>
    <row r="71" customHeight="1" spans="2:124">
      <c r="B71" s="817">
        <v>9</v>
      </c>
      <c r="C71" s="817"/>
      <c r="D71" s="817"/>
      <c r="E71" s="881"/>
      <c r="F71" s="882"/>
      <c r="G71" s="883" t="s">
        <v>134</v>
      </c>
      <c r="H71" s="884" t="str">
        <f>职业!AV9</f>
        <v/>
      </c>
      <c r="I71" s="929"/>
      <c r="J71" s="930">
        <v>13</v>
      </c>
      <c r="K71" s="930"/>
      <c r="L71" s="930"/>
      <c r="P71" s="928" t="str">
        <f>CONCATENATE(IFERROR(VLOOKUP(Q71,法术大全!$A:$Z,2,FALSE),""),IFERROR(IF(VLOOKUP(Q71,法术大全!$A:$Z,5,FALSE)="√"," ",""),""))</f>
        <v/>
      </c>
      <c r="Q71" s="844"/>
      <c r="R71" s="844"/>
      <c r="S71" s="844"/>
      <c r="T71" s="844"/>
      <c r="U71" s="844"/>
      <c r="V71" s="844"/>
      <c r="W71" s="759"/>
      <c r="X71" s="928" t="str">
        <f>CONCATENATE(IFERROR(VLOOKUP(Y71,法术大全!$A:$Z,2,FALSE),""),IFERROR(IF(VLOOKUP(Y71,法术大全!$A:$Z,5,FALSE)="√"," ",""),""))</f>
        <v/>
      </c>
      <c r="Y71" s="844"/>
      <c r="Z71" s="844"/>
      <c r="AA71" s="844"/>
      <c r="AB71" s="844"/>
      <c r="AC71" s="844"/>
      <c r="AD71" s="844"/>
      <c r="AE71" s="370"/>
      <c r="AF71" s="928" t="str">
        <f>CONCATENATE(IFERROR(VLOOKUP(AG71,法术大全!$A:$Z,2,FALSE),""),IFERROR(IF(VLOOKUP(AG71,法术大全!$A:$Z,5,FALSE)="√"," ",""),""))</f>
        <v/>
      </c>
      <c r="AG71" s="844"/>
      <c r="AH71" s="844"/>
      <c r="AI71" s="844"/>
      <c r="AJ71" s="844"/>
      <c r="AK71" s="844"/>
      <c r="AL71" s="844"/>
      <c r="AM71" s="370"/>
      <c r="AN71" s="928" t="str">
        <f>CONCATENATE(IFERROR(VLOOKUP(AO71,法术大全!$A:$Z,2,FALSE),""),IFERROR(IF(VLOOKUP(AO71,法术大全!$A:$Z,5,FALSE)="√"," ",""),""))</f>
        <v/>
      </c>
      <c r="AO71" s="844"/>
      <c r="AP71" s="844"/>
      <c r="AQ71" s="844"/>
      <c r="AR71" s="844"/>
      <c r="AS71" s="844"/>
      <c r="AT71" s="844"/>
      <c r="AU71" s="759"/>
      <c r="AW71" s="750"/>
      <c r="AX71" s="750"/>
      <c r="AY71" s="750"/>
      <c r="AZ71" s="750"/>
      <c r="BA71" s="750"/>
      <c r="BB71" s="750"/>
      <c r="BC71" s="750"/>
      <c r="BD71" s="750"/>
      <c r="BE71" s="750"/>
      <c r="BF71" s="750"/>
      <c r="BG71" s="750"/>
      <c r="BH71" s="750"/>
      <c r="BI71" s="750"/>
      <c r="BJ71" s="750"/>
      <c r="BK71" s="750"/>
      <c r="BL71" s="750"/>
      <c r="BM71" s="750"/>
      <c r="BN71" s="750"/>
      <c r="BO71" s="750"/>
      <c r="BP71" s="750"/>
      <c r="BQ71" s="750"/>
      <c r="BR71" s="750"/>
      <c r="BS71" s="750"/>
      <c r="BT71" s="750"/>
      <c r="BU71" s="750"/>
      <c r="BV71" s="750"/>
      <c r="BW71" s="750"/>
      <c r="BX71" s="750"/>
      <c r="BY71" s="750"/>
      <c r="BZ71" s="750"/>
      <c r="CA71" s="750"/>
      <c r="CB71" s="750"/>
      <c r="CC71" s="750"/>
      <c r="CD71" s="750"/>
      <c r="CE71" s="750"/>
      <c r="CF71" s="750"/>
      <c r="CG71" s="750"/>
      <c r="CH71" s="750"/>
      <c r="CI71" s="750"/>
      <c r="CJ71" s="750"/>
      <c r="CK71" s="750"/>
      <c r="CL71" s="750"/>
      <c r="CM71" s="750"/>
      <c r="CN71" s="750"/>
      <c r="CO71" s="750"/>
      <c r="CY71" s="1016"/>
      <c r="CZ71" s="1017"/>
      <c r="DA71" s="1017"/>
      <c r="DB71" s="1017"/>
      <c r="DC71" s="1017"/>
      <c r="DD71" s="1017"/>
      <c r="DE71" s="1017"/>
      <c r="DF71" s="1017"/>
      <c r="DG71" s="1017"/>
      <c r="DH71" s="1017"/>
      <c r="DI71" s="1017"/>
      <c r="DJ71" s="1017"/>
      <c r="DK71" s="1017"/>
      <c r="DL71" s="1017"/>
      <c r="DM71" s="1017"/>
      <c r="DN71" s="1017"/>
      <c r="DO71" s="1017"/>
      <c r="DP71" s="1017"/>
      <c r="DQ71" s="1017"/>
      <c r="DR71" s="1017"/>
      <c r="DS71" s="1017"/>
      <c r="DT71" s="1021"/>
    </row>
    <row r="72" customHeight="1" spans="2:124">
      <c r="B72" s="817" t="s">
        <v>232</v>
      </c>
      <c r="C72" s="817"/>
      <c r="D72" s="817"/>
      <c r="E72" s="817"/>
      <c r="F72" s="311"/>
      <c r="G72" s="1009"/>
      <c r="H72" s="1009"/>
      <c r="I72" s="883" t="s">
        <v>134</v>
      </c>
      <c r="J72" s="1010">
        <f>职业!AR21</f>
        <v>0</v>
      </c>
      <c r="K72" s="1010"/>
      <c r="L72" s="311"/>
      <c r="P72" s="928" t="str">
        <f>CONCATENATE(IFERROR(VLOOKUP(Q72,法术大全!$A:$Z,2,FALSE),""),IFERROR(IF(VLOOKUP(Q72,法术大全!$A:$Z,5,FALSE)="√"," ",""),""))</f>
        <v/>
      </c>
      <c r="Q72" s="844" t="s">
        <v>233</v>
      </c>
      <c r="R72" s="844"/>
      <c r="S72" s="844"/>
      <c r="T72" s="844"/>
      <c r="U72" s="844"/>
      <c r="V72" s="844"/>
      <c r="W72" s="759"/>
      <c r="X72" s="928" t="str">
        <f>CONCATENATE(IFERROR(VLOOKUP(Y72,法术大全!$A:$Z,2,FALSE),""),IFERROR(IF(VLOOKUP(Y72,法术大全!$A:$Z,5,FALSE)="√"," ",""),""))</f>
        <v/>
      </c>
      <c r="Y72" s="844"/>
      <c r="Z72" s="844"/>
      <c r="AA72" s="844"/>
      <c r="AB72" s="844"/>
      <c r="AC72" s="844"/>
      <c r="AD72" s="844"/>
      <c r="AE72" s="370"/>
      <c r="AF72" s="928" t="str">
        <f>CONCATENATE(IFERROR(VLOOKUP(AG72,法术大全!$A:$Z,2,FALSE),""),IFERROR(IF(VLOOKUP(AG72,法术大全!$A:$Z,5,FALSE)="√"," ",""),""))</f>
        <v/>
      </c>
      <c r="AG72" s="844"/>
      <c r="AH72" s="844"/>
      <c r="AI72" s="844"/>
      <c r="AJ72" s="844"/>
      <c r="AK72" s="844"/>
      <c r="AL72" s="844"/>
      <c r="AM72" s="370"/>
      <c r="AN72" s="928" t="str">
        <f>CONCATENATE(IFERROR(VLOOKUP(AO72,法术大全!$A:$Z,2,FALSE),""),IFERROR(IF(VLOOKUP(AO72,法术大全!$A:$Z,5,FALSE)="√"," ",""),""))</f>
        <v/>
      </c>
      <c r="AO72" s="844"/>
      <c r="AP72" s="844"/>
      <c r="AQ72" s="844"/>
      <c r="AR72" s="844"/>
      <c r="AS72" s="844"/>
      <c r="AT72" s="844"/>
      <c r="AU72" s="759"/>
      <c r="AW72" s="750"/>
      <c r="AX72" s="750"/>
      <c r="AY72" s="750"/>
      <c r="AZ72" s="750"/>
      <c r="BA72" s="750"/>
      <c r="BB72" s="750"/>
      <c r="BC72" s="750"/>
      <c r="BD72" s="750"/>
      <c r="BE72" s="750"/>
      <c r="BF72" s="750"/>
      <c r="BG72" s="750"/>
      <c r="BH72" s="750"/>
      <c r="BI72" s="750"/>
      <c r="BJ72" s="750"/>
      <c r="BK72" s="750"/>
      <c r="BL72" s="750"/>
      <c r="BM72" s="750"/>
      <c r="BN72" s="750"/>
      <c r="BO72" s="750"/>
      <c r="BP72" s="750"/>
      <c r="BQ72" s="750"/>
      <c r="BR72" s="750"/>
      <c r="BS72" s="750"/>
      <c r="BT72" s="750"/>
      <c r="BU72" s="750"/>
      <c r="BV72" s="750"/>
      <c r="BW72" s="750"/>
      <c r="BX72" s="750"/>
      <c r="BY72" s="750"/>
      <c r="BZ72" s="750"/>
      <c r="CA72" s="750"/>
      <c r="CB72" s="750"/>
      <c r="CC72" s="750"/>
      <c r="CD72" s="750"/>
      <c r="CE72" s="750"/>
      <c r="CF72" s="750"/>
      <c r="CG72" s="750"/>
      <c r="CH72" s="750"/>
      <c r="CI72" s="750"/>
      <c r="CJ72" s="750"/>
      <c r="CK72" s="750"/>
      <c r="CL72" s="750"/>
      <c r="CM72" s="750"/>
      <c r="CN72" s="750"/>
      <c r="CO72" s="750"/>
      <c r="CY72" s="1016"/>
      <c r="CZ72" s="1017"/>
      <c r="DA72" s="1017"/>
      <c r="DB72" s="1017"/>
      <c r="DC72" s="1017"/>
      <c r="DD72" s="1017"/>
      <c r="DE72" s="1017"/>
      <c r="DF72" s="1017"/>
      <c r="DG72" s="1017"/>
      <c r="DH72" s="1017"/>
      <c r="DI72" s="1017"/>
      <c r="DJ72" s="1017"/>
      <c r="DK72" s="1017"/>
      <c r="DL72" s="1017"/>
      <c r="DM72" s="1017"/>
      <c r="DN72" s="1017"/>
      <c r="DO72" s="1017"/>
      <c r="DP72" s="1017"/>
      <c r="DQ72" s="1017"/>
      <c r="DR72" s="1017"/>
      <c r="DS72" s="1017"/>
      <c r="DT72" s="1021"/>
    </row>
    <row r="73" customHeight="1" spans="49:124">
      <c r="AW73" s="750"/>
      <c r="AX73" s="750"/>
      <c r="AY73" s="750"/>
      <c r="AZ73" s="750"/>
      <c r="BA73" s="750"/>
      <c r="BB73" s="750"/>
      <c r="BC73" s="750"/>
      <c r="BD73" s="750"/>
      <c r="BE73" s="750"/>
      <c r="BF73" s="750"/>
      <c r="BG73" s="750"/>
      <c r="BH73" s="750"/>
      <c r="BI73" s="750"/>
      <c r="BJ73" s="750"/>
      <c r="BK73" s="750"/>
      <c r="BL73" s="750"/>
      <c r="BM73" s="750"/>
      <c r="BN73" s="750"/>
      <c r="BO73" s="750"/>
      <c r="BP73" s="750"/>
      <c r="BQ73" s="750"/>
      <c r="BR73" s="750"/>
      <c r="BS73" s="750"/>
      <c r="BT73" s="750"/>
      <c r="BU73" s="750"/>
      <c r="BV73" s="750"/>
      <c r="BW73" s="750"/>
      <c r="BX73" s="750"/>
      <c r="BY73" s="750"/>
      <c r="BZ73" s="750"/>
      <c r="CA73" s="750"/>
      <c r="CB73" s="750"/>
      <c r="CC73" s="750"/>
      <c r="CD73" s="750"/>
      <c r="CE73" s="750"/>
      <c r="CF73" s="750"/>
      <c r="CG73" s="750"/>
      <c r="CH73" s="750"/>
      <c r="CI73" s="750"/>
      <c r="CJ73" s="750"/>
      <c r="CK73" s="750"/>
      <c r="CL73" s="750"/>
      <c r="CM73" s="750"/>
      <c r="CN73" s="750"/>
      <c r="CO73" s="750"/>
      <c r="CY73" s="1016"/>
      <c r="CZ73" s="1017"/>
      <c r="DA73" s="1017"/>
      <c r="DB73" s="1017"/>
      <c r="DC73" s="1017"/>
      <c r="DD73" s="1017"/>
      <c r="DE73" s="1017"/>
      <c r="DF73" s="1017"/>
      <c r="DG73" s="1017"/>
      <c r="DH73" s="1017"/>
      <c r="DI73" s="1017"/>
      <c r="DJ73" s="1017"/>
      <c r="DK73" s="1017"/>
      <c r="DL73" s="1017"/>
      <c r="DM73" s="1017"/>
      <c r="DN73" s="1017"/>
      <c r="DO73" s="1017"/>
      <c r="DP73" s="1017"/>
      <c r="DQ73" s="1017"/>
      <c r="DR73" s="1017"/>
      <c r="DS73" s="1017"/>
      <c r="DT73" s="1021"/>
    </row>
    <row r="74" customHeight="1" spans="2:124">
      <c r="B74" s="789" t="s">
        <v>236</v>
      </c>
      <c r="C74" s="789"/>
      <c r="D74" s="789"/>
      <c r="E74" s="789"/>
      <c r="F74" s="789"/>
      <c r="G74" s="789"/>
      <c r="H74" s="789"/>
      <c r="I74" s="789"/>
      <c r="J74" s="789"/>
      <c r="K74" s="789"/>
      <c r="L74" s="789"/>
      <c r="M74" s="789"/>
      <c r="N74" s="789"/>
      <c r="O74" s="789"/>
      <c r="P74" s="789"/>
      <c r="R74" s="1012" t="s">
        <v>237</v>
      </c>
      <c r="S74" s="1012"/>
      <c r="T74" s="1012"/>
      <c r="U74" s="1012"/>
      <c r="V74" s="1012"/>
      <c r="W74" s="1012"/>
      <c r="X74" s="1012"/>
      <c r="Y74" s="1012"/>
      <c r="Z74" s="1012"/>
      <c r="AA74" s="1012"/>
      <c r="AB74" s="1012"/>
      <c r="AC74" s="1012"/>
      <c r="AD74" s="1012"/>
      <c r="AE74" s="1012"/>
      <c r="AF74" s="1012"/>
      <c r="AG74" s="1012"/>
      <c r="AH74" s="1012"/>
      <c r="AI74" s="1012"/>
      <c r="AJ74" s="1012"/>
      <c r="AK74" s="1012"/>
      <c r="AL74" s="1012"/>
      <c r="AM74" s="1012"/>
      <c r="AN74" s="1012"/>
      <c r="AO74" s="1012"/>
      <c r="AP74" s="1012"/>
      <c r="AQ74" s="1012"/>
      <c r="AR74" s="1012"/>
      <c r="AS74" s="1012"/>
      <c r="AT74" s="1012"/>
      <c r="AW74" s="750"/>
      <c r="AX74" s="750"/>
      <c r="AY74" s="750"/>
      <c r="AZ74" s="750"/>
      <c r="BA74" s="750"/>
      <c r="BB74" s="750"/>
      <c r="BC74" s="750"/>
      <c r="BD74" s="750"/>
      <c r="BE74" s="750"/>
      <c r="BF74" s="750"/>
      <c r="BG74" s="750"/>
      <c r="BH74" s="750"/>
      <c r="BI74" s="750"/>
      <c r="BJ74" s="750"/>
      <c r="BK74" s="750"/>
      <c r="BL74" s="750"/>
      <c r="BM74" s="750"/>
      <c r="BN74" s="750"/>
      <c r="BO74" s="750"/>
      <c r="BP74" s="750"/>
      <c r="BQ74" s="750"/>
      <c r="BR74" s="750"/>
      <c r="BS74" s="750"/>
      <c r="BT74" s="750"/>
      <c r="BU74" s="750"/>
      <c r="BV74" s="750"/>
      <c r="BW74" s="750"/>
      <c r="BX74" s="750"/>
      <c r="BY74" s="750"/>
      <c r="BZ74" s="750"/>
      <c r="CA74" s="750"/>
      <c r="CB74" s="750"/>
      <c r="CC74" s="750"/>
      <c r="CD74" s="750"/>
      <c r="CE74" s="750"/>
      <c r="CF74" s="750"/>
      <c r="CG74" s="750"/>
      <c r="CH74" s="750"/>
      <c r="CI74" s="750"/>
      <c r="CJ74" s="750"/>
      <c r="CK74" s="750"/>
      <c r="CL74" s="750"/>
      <c r="CM74" s="750"/>
      <c r="CN74" s="750"/>
      <c r="CO74" s="750"/>
      <c r="CY74" s="1016"/>
      <c r="CZ74" s="1017"/>
      <c r="DA74" s="1017"/>
      <c r="DB74" s="1017"/>
      <c r="DC74" s="1017"/>
      <c r="DD74" s="1017"/>
      <c r="DE74" s="1017"/>
      <c r="DF74" s="1017"/>
      <c r="DG74" s="1017"/>
      <c r="DH74" s="1017"/>
      <c r="DI74" s="1017"/>
      <c r="DJ74" s="1017"/>
      <c r="DK74" s="1017"/>
      <c r="DL74" s="1017"/>
      <c r="DM74" s="1017"/>
      <c r="DN74" s="1017"/>
      <c r="DO74" s="1017"/>
      <c r="DP74" s="1017"/>
      <c r="DQ74" s="1017"/>
      <c r="DR74" s="1017"/>
      <c r="DS74" s="1017"/>
      <c r="DT74" s="1021"/>
    </row>
    <row r="75" customHeight="1" spans="2:124">
      <c r="B75" s="760" t="s">
        <v>238</v>
      </c>
      <c r="C75" s="760"/>
      <c r="D75" s="760"/>
      <c r="E75" s="760"/>
      <c r="F75" s="760"/>
      <c r="G75" s="760"/>
      <c r="I75" s="760" t="s">
        <v>239</v>
      </c>
      <c r="J75" s="760"/>
      <c r="K75" s="760"/>
      <c r="L75" s="760"/>
      <c r="M75" s="760"/>
      <c r="N75" s="760"/>
      <c r="O75" s="760"/>
      <c r="P75" s="760"/>
      <c r="R75" s="1013" t="str">
        <f>IFERROR(VLOOKUP(B76,法术大全!$A:$Z,13,FALSE),"")</f>
        <v/>
      </c>
      <c r="S75" s="1013"/>
      <c r="T75" s="1013"/>
      <c r="U75" s="1013"/>
      <c r="V75" s="1013"/>
      <c r="W75" s="1013"/>
      <c r="X75" s="1013"/>
      <c r="Y75" s="1013"/>
      <c r="Z75" s="1013"/>
      <c r="AA75" s="1013"/>
      <c r="AB75" s="1013"/>
      <c r="AC75" s="1013"/>
      <c r="AD75" s="1013"/>
      <c r="AE75" s="1013"/>
      <c r="AF75" s="1013"/>
      <c r="AG75" s="1013"/>
      <c r="AH75" s="1013"/>
      <c r="AI75" s="1013"/>
      <c r="AJ75" s="1013"/>
      <c r="AK75" s="1013"/>
      <c r="AL75" s="1013"/>
      <c r="AM75" s="1013"/>
      <c r="AN75" s="1013"/>
      <c r="AO75" s="1013"/>
      <c r="AP75" s="1013"/>
      <c r="AQ75" s="1013"/>
      <c r="AR75" s="1013"/>
      <c r="AS75" s="1013"/>
      <c r="AT75" s="1013"/>
      <c r="AW75" s="750"/>
      <c r="AX75" s="750"/>
      <c r="AY75" s="750"/>
      <c r="AZ75" s="750"/>
      <c r="BA75" s="750"/>
      <c r="BB75" s="750"/>
      <c r="BC75" s="750"/>
      <c r="BD75" s="750"/>
      <c r="BE75" s="750"/>
      <c r="BF75" s="750"/>
      <c r="BG75" s="750"/>
      <c r="BH75" s="750"/>
      <c r="BI75" s="750"/>
      <c r="BJ75" s="750"/>
      <c r="BK75" s="750"/>
      <c r="BL75" s="750"/>
      <c r="BM75" s="750"/>
      <c r="BN75" s="750"/>
      <c r="BO75" s="750"/>
      <c r="BP75" s="750"/>
      <c r="BQ75" s="750"/>
      <c r="BR75" s="750"/>
      <c r="BS75" s="750"/>
      <c r="BT75" s="750"/>
      <c r="BU75" s="750"/>
      <c r="BV75" s="750"/>
      <c r="BW75" s="750"/>
      <c r="BX75" s="750"/>
      <c r="BY75" s="750"/>
      <c r="BZ75" s="750"/>
      <c r="CA75" s="750"/>
      <c r="CB75" s="750"/>
      <c r="CC75" s="750"/>
      <c r="CD75" s="750"/>
      <c r="CE75" s="750"/>
      <c r="CF75" s="750"/>
      <c r="CG75" s="750"/>
      <c r="CH75" s="750"/>
      <c r="CI75" s="750"/>
      <c r="CJ75" s="750"/>
      <c r="CK75" s="750"/>
      <c r="CL75" s="750"/>
      <c r="CM75" s="750"/>
      <c r="CN75" s="750"/>
      <c r="CO75" s="750"/>
      <c r="CY75" s="1016"/>
      <c r="CZ75" s="1017"/>
      <c r="DA75" s="1017"/>
      <c r="DB75" s="1017"/>
      <c r="DC75" s="1017"/>
      <c r="DD75" s="1017"/>
      <c r="DE75" s="1017"/>
      <c r="DF75" s="1017"/>
      <c r="DG75" s="1017"/>
      <c r="DH75" s="1017"/>
      <c r="DI75" s="1017"/>
      <c r="DJ75" s="1017"/>
      <c r="DK75" s="1017"/>
      <c r="DL75" s="1017"/>
      <c r="DM75" s="1017"/>
      <c r="DN75" s="1017"/>
      <c r="DO75" s="1017"/>
      <c r="DP75" s="1017"/>
      <c r="DQ75" s="1017"/>
      <c r="DR75" s="1017"/>
      <c r="DS75" s="1017"/>
      <c r="DT75" s="1021"/>
    </row>
    <row r="76" customHeight="1" spans="2:124">
      <c r="B76" s="844"/>
      <c r="C76" s="844"/>
      <c r="D76" s="844"/>
      <c r="E76" s="844"/>
      <c r="F76" s="844"/>
      <c r="G76" s="844"/>
      <c r="I76" s="885" t="str">
        <f>IFERROR(VLOOKUP(B76,法术大全!$A:$Z,7,FALSE),"")</f>
        <v/>
      </c>
      <c r="J76" s="885"/>
      <c r="K76" s="885"/>
      <c r="L76" s="885"/>
      <c r="M76" s="885"/>
      <c r="N76" s="885"/>
      <c r="O76" s="885"/>
      <c r="P76" s="885"/>
      <c r="R76" s="1013"/>
      <c r="S76" s="1013"/>
      <c r="T76" s="1013"/>
      <c r="U76" s="1013"/>
      <c r="V76" s="1013"/>
      <c r="W76" s="1013"/>
      <c r="X76" s="1013"/>
      <c r="Y76" s="1013"/>
      <c r="Z76" s="1013"/>
      <c r="AA76" s="1013"/>
      <c r="AB76" s="1013"/>
      <c r="AC76" s="1013"/>
      <c r="AD76" s="1013"/>
      <c r="AE76" s="1013"/>
      <c r="AF76" s="1013"/>
      <c r="AG76" s="1013"/>
      <c r="AH76" s="1013"/>
      <c r="AI76" s="1013"/>
      <c r="AJ76" s="1013"/>
      <c r="AK76" s="1013"/>
      <c r="AL76" s="1013"/>
      <c r="AM76" s="1013"/>
      <c r="AN76" s="1013"/>
      <c r="AO76" s="1013"/>
      <c r="AP76" s="1013"/>
      <c r="AQ76" s="1013"/>
      <c r="AR76" s="1013"/>
      <c r="AS76" s="1013"/>
      <c r="AT76" s="1013"/>
      <c r="AW76" s="750"/>
      <c r="AX76" s="750"/>
      <c r="AY76" s="750"/>
      <c r="AZ76" s="750"/>
      <c r="BA76" s="750"/>
      <c r="BB76" s="750"/>
      <c r="BC76" s="750"/>
      <c r="BD76" s="750"/>
      <c r="BE76" s="750"/>
      <c r="BF76" s="750"/>
      <c r="BG76" s="750"/>
      <c r="BH76" s="750"/>
      <c r="BI76" s="750"/>
      <c r="BJ76" s="750"/>
      <c r="BK76" s="750"/>
      <c r="BL76" s="750"/>
      <c r="BM76" s="750"/>
      <c r="BN76" s="750"/>
      <c r="BO76" s="750"/>
      <c r="BP76" s="750"/>
      <c r="BQ76" s="750"/>
      <c r="BR76" s="750"/>
      <c r="BS76" s="750"/>
      <c r="BT76" s="750"/>
      <c r="BU76" s="750"/>
      <c r="BV76" s="750"/>
      <c r="BW76" s="750"/>
      <c r="BX76" s="750"/>
      <c r="BY76" s="750"/>
      <c r="BZ76" s="750"/>
      <c r="CA76" s="750"/>
      <c r="CB76" s="750"/>
      <c r="CC76" s="750"/>
      <c r="CD76" s="750"/>
      <c r="CE76" s="750"/>
      <c r="CF76" s="750"/>
      <c r="CG76" s="750"/>
      <c r="CH76" s="750"/>
      <c r="CI76" s="750"/>
      <c r="CJ76" s="750"/>
      <c r="CK76" s="750"/>
      <c r="CL76" s="750"/>
      <c r="CM76" s="750"/>
      <c r="CN76" s="750"/>
      <c r="CO76" s="750"/>
      <c r="CY76" s="1016"/>
      <c r="CZ76" s="1017"/>
      <c r="DA76" s="1017"/>
      <c r="DB76" s="1017"/>
      <c r="DC76" s="1017"/>
      <c r="DD76" s="1017"/>
      <c r="DE76" s="1017"/>
      <c r="DF76" s="1017"/>
      <c r="DG76" s="1017"/>
      <c r="DH76" s="1017"/>
      <c r="DI76" s="1017"/>
      <c r="DJ76" s="1017"/>
      <c r="DK76" s="1017"/>
      <c r="DL76" s="1017"/>
      <c r="DM76" s="1017"/>
      <c r="DN76" s="1017"/>
      <c r="DO76" s="1017"/>
      <c r="DP76" s="1017"/>
      <c r="DQ76" s="1017"/>
      <c r="DR76" s="1017"/>
      <c r="DS76" s="1017"/>
      <c r="DT76" s="1021"/>
    </row>
    <row r="77" customHeight="1" spans="2:124">
      <c r="B77" s="760" t="s">
        <v>240</v>
      </c>
      <c r="C77" s="760"/>
      <c r="D77" s="760"/>
      <c r="E77" s="760"/>
      <c r="G77" s="760" t="s">
        <v>241</v>
      </c>
      <c r="H77" s="760"/>
      <c r="I77" s="760"/>
      <c r="J77" s="760"/>
      <c r="K77" s="1011"/>
      <c r="L77" s="760" t="s">
        <v>242</v>
      </c>
      <c r="M77" s="760"/>
      <c r="N77" s="760"/>
      <c r="O77" s="760"/>
      <c r="P77" s="760"/>
      <c r="R77" s="1013"/>
      <c r="S77" s="1013"/>
      <c r="T77" s="1013"/>
      <c r="U77" s="1013"/>
      <c r="V77" s="1013"/>
      <c r="W77" s="1013"/>
      <c r="X77" s="1013"/>
      <c r="Y77" s="1013"/>
      <c r="Z77" s="1013"/>
      <c r="AA77" s="1013"/>
      <c r="AB77" s="1013"/>
      <c r="AC77" s="1013"/>
      <c r="AD77" s="1013"/>
      <c r="AE77" s="1013"/>
      <c r="AF77" s="1013"/>
      <c r="AG77" s="1013"/>
      <c r="AH77" s="1013"/>
      <c r="AI77" s="1013"/>
      <c r="AJ77" s="1013"/>
      <c r="AK77" s="1013"/>
      <c r="AL77" s="1013"/>
      <c r="AM77" s="1013"/>
      <c r="AN77" s="1013"/>
      <c r="AO77" s="1013"/>
      <c r="AP77" s="1013"/>
      <c r="AQ77" s="1013"/>
      <c r="AR77" s="1013"/>
      <c r="AS77" s="1013"/>
      <c r="AT77" s="1013"/>
      <c r="AW77" s="750"/>
      <c r="AX77" s="750"/>
      <c r="AY77" s="750"/>
      <c r="AZ77" s="750"/>
      <c r="BA77" s="750"/>
      <c r="BB77" s="750"/>
      <c r="BC77" s="750"/>
      <c r="BD77" s="750"/>
      <c r="BE77" s="750"/>
      <c r="BF77" s="750"/>
      <c r="BG77" s="750"/>
      <c r="BH77" s="750"/>
      <c r="BI77" s="750"/>
      <c r="BJ77" s="750"/>
      <c r="BK77" s="750"/>
      <c r="BL77" s="750"/>
      <c r="BM77" s="750"/>
      <c r="BN77" s="750"/>
      <c r="BO77" s="750"/>
      <c r="BP77" s="750"/>
      <c r="BQ77" s="750"/>
      <c r="BR77" s="750"/>
      <c r="BS77" s="750"/>
      <c r="BT77" s="750"/>
      <c r="BU77" s="750"/>
      <c r="BV77" s="750"/>
      <c r="BW77" s="750"/>
      <c r="BX77" s="750"/>
      <c r="BY77" s="750"/>
      <c r="BZ77" s="750"/>
      <c r="CA77" s="750"/>
      <c r="CB77" s="750"/>
      <c r="CC77" s="750"/>
      <c r="CD77" s="750"/>
      <c r="CE77" s="750"/>
      <c r="CF77" s="750"/>
      <c r="CG77" s="750"/>
      <c r="CH77" s="750"/>
      <c r="CI77" s="750"/>
      <c r="CJ77" s="750"/>
      <c r="CK77" s="750"/>
      <c r="CL77" s="750"/>
      <c r="CM77" s="750"/>
      <c r="CN77" s="750"/>
      <c r="CO77" s="750"/>
      <c r="CY77" s="1016"/>
      <c r="CZ77" s="1017"/>
      <c r="DA77" s="1017"/>
      <c r="DB77" s="1017"/>
      <c r="DC77" s="1017"/>
      <c r="DD77" s="1017"/>
      <c r="DE77" s="1017"/>
      <c r="DF77" s="1017"/>
      <c r="DG77" s="1017"/>
      <c r="DH77" s="1017"/>
      <c r="DI77" s="1017"/>
      <c r="DJ77" s="1017"/>
      <c r="DK77" s="1017"/>
      <c r="DL77" s="1017"/>
      <c r="DM77" s="1017"/>
      <c r="DN77" s="1017"/>
      <c r="DO77" s="1017"/>
      <c r="DP77" s="1017"/>
      <c r="DQ77" s="1017"/>
      <c r="DR77" s="1017"/>
      <c r="DS77" s="1017"/>
      <c r="DT77" s="1021"/>
    </row>
    <row r="78" customHeight="1" spans="2:124">
      <c r="B78" s="885" t="str">
        <f>IFERROR(VLOOKUP(B76,法术大全!$A:$Z,6,FALSE),"")</f>
        <v/>
      </c>
      <c r="C78" s="885"/>
      <c r="D78" s="885"/>
      <c r="E78" s="885"/>
      <c r="G78" s="885" t="str">
        <f>IFERROR(VLOOKUP(B76,法术大全!$A:$Z,3,FALSE),"")</f>
        <v/>
      </c>
      <c r="H78" s="885"/>
      <c r="I78" s="885"/>
      <c r="J78" s="885"/>
      <c r="K78" s="1011"/>
      <c r="L78" s="885" t="str">
        <f>IFERROR(VLOOKUP(B76,法术大全!$A:$Z,12,FALSE),"")</f>
        <v/>
      </c>
      <c r="M78" s="885"/>
      <c r="N78" s="885"/>
      <c r="O78" s="885"/>
      <c r="P78" s="885"/>
      <c r="R78" s="1013"/>
      <c r="S78" s="1013"/>
      <c r="T78" s="1013"/>
      <c r="U78" s="1013"/>
      <c r="V78" s="1013"/>
      <c r="W78" s="1013"/>
      <c r="X78" s="1013"/>
      <c r="Y78" s="1013"/>
      <c r="Z78" s="1013"/>
      <c r="AA78" s="1013"/>
      <c r="AB78" s="1013"/>
      <c r="AC78" s="1013"/>
      <c r="AD78" s="1013"/>
      <c r="AE78" s="1013"/>
      <c r="AF78" s="1013"/>
      <c r="AG78" s="1013"/>
      <c r="AH78" s="1013"/>
      <c r="AI78" s="1013"/>
      <c r="AJ78" s="1013"/>
      <c r="AK78" s="1013"/>
      <c r="AL78" s="1013"/>
      <c r="AM78" s="1013"/>
      <c r="AN78" s="1013"/>
      <c r="AO78" s="1013"/>
      <c r="AP78" s="1013"/>
      <c r="AQ78" s="1013"/>
      <c r="AR78" s="1013"/>
      <c r="AS78" s="1013"/>
      <c r="AT78" s="1013"/>
      <c r="AW78" s="750"/>
      <c r="AX78" s="750"/>
      <c r="AY78" s="750"/>
      <c r="AZ78" s="750"/>
      <c r="BA78" s="750"/>
      <c r="BB78" s="750"/>
      <c r="BC78" s="750"/>
      <c r="BD78" s="750"/>
      <c r="BE78" s="750"/>
      <c r="BF78" s="750"/>
      <c r="BG78" s="750"/>
      <c r="BH78" s="750"/>
      <c r="BI78" s="750"/>
      <c r="BJ78" s="750"/>
      <c r="BK78" s="750"/>
      <c r="BL78" s="750"/>
      <c r="BM78" s="750"/>
      <c r="BN78" s="750"/>
      <c r="BO78" s="750"/>
      <c r="BP78" s="750"/>
      <c r="BQ78" s="750"/>
      <c r="BR78" s="750"/>
      <c r="BS78" s="750"/>
      <c r="BT78" s="750"/>
      <c r="BU78" s="750"/>
      <c r="BV78" s="750"/>
      <c r="BW78" s="750"/>
      <c r="BX78" s="750"/>
      <c r="BY78" s="750"/>
      <c r="BZ78" s="750"/>
      <c r="CA78" s="750"/>
      <c r="CB78" s="750"/>
      <c r="CC78" s="750"/>
      <c r="CD78" s="750"/>
      <c r="CE78" s="750"/>
      <c r="CF78" s="750"/>
      <c r="CG78" s="750"/>
      <c r="CH78" s="750"/>
      <c r="CI78" s="750"/>
      <c r="CJ78" s="750"/>
      <c r="CK78" s="750"/>
      <c r="CL78" s="750"/>
      <c r="CM78" s="750"/>
      <c r="CN78" s="750"/>
      <c r="CO78" s="750"/>
      <c r="CY78" s="1016"/>
      <c r="CZ78" s="1017"/>
      <c r="DA78" s="1017"/>
      <c r="DB78" s="1017"/>
      <c r="DC78" s="1017"/>
      <c r="DD78" s="1017"/>
      <c r="DE78" s="1017"/>
      <c r="DF78" s="1017"/>
      <c r="DG78" s="1017"/>
      <c r="DH78" s="1017"/>
      <c r="DI78" s="1017"/>
      <c r="DJ78" s="1017"/>
      <c r="DK78" s="1017"/>
      <c r="DL78" s="1017"/>
      <c r="DM78" s="1017"/>
      <c r="DN78" s="1017"/>
      <c r="DO78" s="1017"/>
      <c r="DP78" s="1017"/>
      <c r="DQ78" s="1017"/>
      <c r="DR78" s="1017"/>
      <c r="DS78" s="1017"/>
      <c r="DT78" s="1021"/>
    </row>
    <row r="79" customHeight="1" spans="2:124">
      <c r="B79" s="760" t="s">
        <v>243</v>
      </c>
      <c r="C79" s="760"/>
      <c r="D79" s="760"/>
      <c r="E79" s="760"/>
      <c r="F79" s="760"/>
      <c r="G79" s="822" t="str">
        <f>IF(B76="","",CONCATENATE(IF(VLOOKUP(B76,法术大全!$A:$Z,8,0)="V","语言（V）",""),IF(VLOOKUP(B76,法术大全!$A:$Z,9,0)="S","姿势（S）",""),IF(VLOOKUP(B76,法术大全!$A:$Z,10,0)="M","材料(M)","")))</f>
        <v/>
      </c>
      <c r="H79" s="822"/>
      <c r="I79" s="822"/>
      <c r="J79" s="822"/>
      <c r="K79" s="822"/>
      <c r="L79" s="822"/>
      <c r="M79" s="822"/>
      <c r="N79" s="822"/>
      <c r="O79" s="822"/>
      <c r="P79" s="822"/>
      <c r="R79" s="1013"/>
      <c r="S79" s="1013"/>
      <c r="T79" s="1013"/>
      <c r="U79" s="1013"/>
      <c r="V79" s="1013"/>
      <c r="W79" s="1013"/>
      <c r="X79" s="1013"/>
      <c r="Y79" s="1013"/>
      <c r="Z79" s="1013"/>
      <c r="AA79" s="1013"/>
      <c r="AB79" s="1013"/>
      <c r="AC79" s="1013"/>
      <c r="AD79" s="1013"/>
      <c r="AE79" s="1013"/>
      <c r="AF79" s="1013"/>
      <c r="AG79" s="1013"/>
      <c r="AH79" s="1013"/>
      <c r="AI79" s="1013"/>
      <c r="AJ79" s="1013"/>
      <c r="AK79" s="1013"/>
      <c r="AL79" s="1013"/>
      <c r="AM79" s="1013"/>
      <c r="AN79" s="1013"/>
      <c r="AO79" s="1013"/>
      <c r="AP79" s="1013"/>
      <c r="AQ79" s="1013"/>
      <c r="AR79" s="1013"/>
      <c r="AS79" s="1013"/>
      <c r="AT79" s="1013"/>
      <c r="AW79" s="750"/>
      <c r="AX79" s="750"/>
      <c r="AY79" s="750"/>
      <c r="AZ79" s="750"/>
      <c r="BA79" s="750"/>
      <c r="BB79" s="750"/>
      <c r="BC79" s="750"/>
      <c r="BD79" s="750"/>
      <c r="BE79" s="750"/>
      <c r="BF79" s="750"/>
      <c r="BG79" s="750"/>
      <c r="BH79" s="750"/>
      <c r="BI79" s="750"/>
      <c r="BJ79" s="750"/>
      <c r="BK79" s="750"/>
      <c r="BL79" s="750"/>
      <c r="BM79" s="750"/>
      <c r="BN79" s="750"/>
      <c r="BO79" s="750"/>
      <c r="BP79" s="750"/>
      <c r="BQ79" s="750"/>
      <c r="BR79" s="750"/>
      <c r="BS79" s="750"/>
      <c r="BT79" s="750"/>
      <c r="BU79" s="750"/>
      <c r="BV79" s="750"/>
      <c r="BW79" s="750"/>
      <c r="BX79" s="750"/>
      <c r="BY79" s="750"/>
      <c r="BZ79" s="750"/>
      <c r="CA79" s="750"/>
      <c r="CB79" s="750"/>
      <c r="CC79" s="750"/>
      <c r="CD79" s="750"/>
      <c r="CE79" s="750"/>
      <c r="CF79" s="750"/>
      <c r="CG79" s="750"/>
      <c r="CH79" s="750"/>
      <c r="CI79" s="750"/>
      <c r="CJ79" s="750"/>
      <c r="CK79" s="750"/>
      <c r="CL79" s="750"/>
      <c r="CM79" s="750"/>
      <c r="CN79" s="750"/>
      <c r="CO79" s="750"/>
      <c r="CY79" s="1016"/>
      <c r="CZ79" s="1017"/>
      <c r="DA79" s="1017"/>
      <c r="DB79" s="1017"/>
      <c r="DC79" s="1017"/>
      <c r="DD79" s="1017"/>
      <c r="DE79" s="1017"/>
      <c r="DF79" s="1017"/>
      <c r="DG79" s="1017"/>
      <c r="DH79" s="1017"/>
      <c r="DI79" s="1017"/>
      <c r="DJ79" s="1017"/>
      <c r="DK79" s="1017"/>
      <c r="DL79" s="1017"/>
      <c r="DM79" s="1017"/>
      <c r="DN79" s="1017"/>
      <c r="DO79" s="1017"/>
      <c r="DP79" s="1017"/>
      <c r="DQ79" s="1017"/>
      <c r="DR79" s="1017"/>
      <c r="DS79" s="1017"/>
      <c r="DT79" s="1021"/>
    </row>
    <row r="80" customHeight="1" spans="2:124">
      <c r="B80" s="928" t="str">
        <f>IFERROR(IF(VLOOKUP(B76,法术大全!$A:$Z,10,FALSE)="M",VLOOKUP(B76,法术大全!$A:$Z,11,FALSE),""),"")</f>
        <v/>
      </c>
      <c r="C80" s="928"/>
      <c r="D80" s="928"/>
      <c r="E80" s="928"/>
      <c r="F80" s="928"/>
      <c r="G80" s="928"/>
      <c r="H80" s="928"/>
      <c r="I80" s="928"/>
      <c r="J80" s="928"/>
      <c r="K80" s="928"/>
      <c r="L80" s="928"/>
      <c r="M80" s="928"/>
      <c r="N80" s="928"/>
      <c r="O80" s="928"/>
      <c r="P80" s="928"/>
      <c r="R80" s="1013"/>
      <c r="S80" s="1013"/>
      <c r="T80" s="1013"/>
      <c r="U80" s="1013"/>
      <c r="V80" s="1013"/>
      <c r="W80" s="1013"/>
      <c r="X80" s="1013"/>
      <c r="Y80" s="1013"/>
      <c r="Z80" s="1013"/>
      <c r="AA80" s="1013"/>
      <c r="AB80" s="1013"/>
      <c r="AC80" s="1013"/>
      <c r="AD80" s="1013"/>
      <c r="AE80" s="1013"/>
      <c r="AF80" s="1013"/>
      <c r="AG80" s="1013"/>
      <c r="AH80" s="1013"/>
      <c r="AI80" s="1013"/>
      <c r="AJ80" s="1013"/>
      <c r="AK80" s="1013"/>
      <c r="AL80" s="1013"/>
      <c r="AM80" s="1013"/>
      <c r="AN80" s="1013"/>
      <c r="AO80" s="1013"/>
      <c r="AP80" s="1013"/>
      <c r="AQ80" s="1013"/>
      <c r="AR80" s="1013"/>
      <c r="AS80" s="1013"/>
      <c r="AT80" s="1013"/>
      <c r="AW80" s="750"/>
      <c r="AX80" s="750"/>
      <c r="AY80" s="750"/>
      <c r="AZ80" s="750"/>
      <c r="BA80" s="750"/>
      <c r="BB80" s="750"/>
      <c r="BC80" s="750"/>
      <c r="BD80" s="750"/>
      <c r="BE80" s="750"/>
      <c r="BF80" s="750"/>
      <c r="BG80" s="750"/>
      <c r="BH80" s="750"/>
      <c r="BI80" s="750"/>
      <c r="BJ80" s="750"/>
      <c r="BK80" s="750"/>
      <c r="BL80" s="750"/>
      <c r="BM80" s="750"/>
      <c r="BN80" s="750"/>
      <c r="BO80" s="750"/>
      <c r="BP80" s="750"/>
      <c r="BQ80" s="750"/>
      <c r="BR80" s="750"/>
      <c r="BS80" s="750"/>
      <c r="BT80" s="750"/>
      <c r="BU80" s="750"/>
      <c r="BV80" s="750"/>
      <c r="BW80" s="750"/>
      <c r="BX80" s="750"/>
      <c r="BY80" s="750"/>
      <c r="BZ80" s="750"/>
      <c r="CA80" s="750"/>
      <c r="CB80" s="750"/>
      <c r="CC80" s="750"/>
      <c r="CD80" s="750"/>
      <c r="CE80" s="750"/>
      <c r="CF80" s="750"/>
      <c r="CG80" s="750"/>
      <c r="CH80" s="750"/>
      <c r="CI80" s="750"/>
      <c r="CJ80" s="750"/>
      <c r="CK80" s="750"/>
      <c r="CL80" s="750"/>
      <c r="CM80" s="750"/>
      <c r="CN80" s="750"/>
      <c r="CO80" s="750"/>
      <c r="CY80" s="1016"/>
      <c r="CZ80" s="1017"/>
      <c r="DA80" s="1017"/>
      <c r="DB80" s="1017"/>
      <c r="DC80" s="1017"/>
      <c r="DD80" s="1017"/>
      <c r="DE80" s="1017"/>
      <c r="DF80" s="1017"/>
      <c r="DG80" s="1017"/>
      <c r="DH80" s="1017"/>
      <c r="DI80" s="1017"/>
      <c r="DJ80" s="1017"/>
      <c r="DK80" s="1017"/>
      <c r="DL80" s="1017"/>
      <c r="DM80" s="1017"/>
      <c r="DN80" s="1017"/>
      <c r="DO80" s="1017"/>
      <c r="DP80" s="1017"/>
      <c r="DQ80" s="1017"/>
      <c r="DR80" s="1017"/>
      <c r="DS80" s="1017"/>
      <c r="DT80" s="1021"/>
    </row>
    <row r="81" customHeight="1" spans="2:124">
      <c r="B81" s="928"/>
      <c r="C81" s="928"/>
      <c r="D81" s="928"/>
      <c r="E81" s="928"/>
      <c r="F81" s="928"/>
      <c r="G81" s="928"/>
      <c r="H81" s="928"/>
      <c r="I81" s="928"/>
      <c r="J81" s="928"/>
      <c r="K81" s="928"/>
      <c r="L81" s="928"/>
      <c r="M81" s="928"/>
      <c r="N81" s="928"/>
      <c r="O81" s="928"/>
      <c r="P81" s="928"/>
      <c r="R81" s="1013"/>
      <c r="S81" s="1013"/>
      <c r="T81" s="1013"/>
      <c r="U81" s="1013"/>
      <c r="V81" s="1013"/>
      <c r="W81" s="1013"/>
      <c r="X81" s="1013"/>
      <c r="Y81" s="1013"/>
      <c r="Z81" s="1013"/>
      <c r="AA81" s="1013"/>
      <c r="AB81" s="1013"/>
      <c r="AC81" s="1013"/>
      <c r="AD81" s="1013"/>
      <c r="AE81" s="1013"/>
      <c r="AF81" s="1013"/>
      <c r="AG81" s="1013"/>
      <c r="AH81" s="1013"/>
      <c r="AI81" s="1013"/>
      <c r="AJ81" s="1013"/>
      <c r="AK81" s="1013"/>
      <c r="AL81" s="1013"/>
      <c r="AM81" s="1013"/>
      <c r="AN81" s="1013"/>
      <c r="AO81" s="1013"/>
      <c r="AP81" s="1013"/>
      <c r="AQ81" s="1013"/>
      <c r="AR81" s="1013"/>
      <c r="AS81" s="1013"/>
      <c r="AT81" s="1013"/>
      <c r="AW81" s="750"/>
      <c r="AX81" s="750"/>
      <c r="AY81" s="750"/>
      <c r="AZ81" s="750"/>
      <c r="BA81" s="750"/>
      <c r="BB81" s="750"/>
      <c r="BC81" s="750"/>
      <c r="BD81" s="750"/>
      <c r="BE81" s="750"/>
      <c r="BF81" s="750"/>
      <c r="BG81" s="750"/>
      <c r="BH81" s="750"/>
      <c r="BI81" s="750"/>
      <c r="BJ81" s="750"/>
      <c r="BK81" s="750"/>
      <c r="BL81" s="750"/>
      <c r="BM81" s="750"/>
      <c r="BN81" s="750"/>
      <c r="BO81" s="750"/>
      <c r="BP81" s="750"/>
      <c r="BQ81" s="750"/>
      <c r="BR81" s="750"/>
      <c r="BS81" s="750"/>
      <c r="BT81" s="750"/>
      <c r="BU81" s="750"/>
      <c r="BV81" s="750"/>
      <c r="BW81" s="750"/>
      <c r="BX81" s="750"/>
      <c r="BY81" s="750"/>
      <c r="BZ81" s="750"/>
      <c r="CA81" s="750"/>
      <c r="CB81" s="750"/>
      <c r="CC81" s="750"/>
      <c r="CD81" s="750"/>
      <c r="CE81" s="750"/>
      <c r="CF81" s="750"/>
      <c r="CG81" s="750"/>
      <c r="CH81" s="750"/>
      <c r="CI81" s="750"/>
      <c r="CJ81" s="750"/>
      <c r="CK81" s="750"/>
      <c r="CL81" s="750"/>
      <c r="CM81" s="750"/>
      <c r="CN81" s="750"/>
      <c r="CO81" s="750"/>
      <c r="CY81" s="1016"/>
      <c r="CZ81" s="1017"/>
      <c r="DA81" s="1017"/>
      <c r="DB81" s="1017"/>
      <c r="DC81" s="1017"/>
      <c r="DD81" s="1017"/>
      <c r="DE81" s="1017"/>
      <c r="DF81" s="1017"/>
      <c r="DG81" s="1017"/>
      <c r="DH81" s="1017"/>
      <c r="DI81" s="1017"/>
      <c r="DJ81" s="1017"/>
      <c r="DK81" s="1017"/>
      <c r="DL81" s="1017"/>
      <c r="DM81" s="1017"/>
      <c r="DN81" s="1017"/>
      <c r="DO81" s="1017"/>
      <c r="DP81" s="1017"/>
      <c r="DQ81" s="1017"/>
      <c r="DR81" s="1017"/>
      <c r="DS81" s="1017"/>
      <c r="DT81" s="1021"/>
    </row>
    <row r="82" customHeight="1" spans="2:124">
      <c r="B82" s="760" t="s">
        <v>244</v>
      </c>
      <c r="C82" s="760"/>
      <c r="D82" s="760"/>
      <c r="E82" s="760"/>
      <c r="F82" s="760"/>
      <c r="G82" s="760"/>
      <c r="H82" s="760"/>
      <c r="I82" s="760"/>
      <c r="J82" s="760"/>
      <c r="K82" s="760"/>
      <c r="L82" s="760"/>
      <c r="M82" s="760"/>
      <c r="N82" s="760"/>
      <c r="O82" s="760"/>
      <c r="P82" s="760"/>
      <c r="R82" s="1013"/>
      <c r="S82" s="1013"/>
      <c r="T82" s="1013"/>
      <c r="U82" s="1013"/>
      <c r="V82" s="1013"/>
      <c r="W82" s="1013"/>
      <c r="X82" s="1013"/>
      <c r="Y82" s="1013"/>
      <c r="Z82" s="1013"/>
      <c r="AA82" s="1013"/>
      <c r="AB82" s="1013"/>
      <c r="AC82" s="1013"/>
      <c r="AD82" s="1013"/>
      <c r="AE82" s="1013"/>
      <c r="AF82" s="1013"/>
      <c r="AG82" s="1013"/>
      <c r="AH82" s="1013"/>
      <c r="AI82" s="1013"/>
      <c r="AJ82" s="1013"/>
      <c r="AK82" s="1013"/>
      <c r="AL82" s="1013"/>
      <c r="AM82" s="1013"/>
      <c r="AN82" s="1013"/>
      <c r="AO82" s="1013"/>
      <c r="AP82" s="1013"/>
      <c r="AQ82" s="1013"/>
      <c r="AR82" s="1013"/>
      <c r="AS82" s="1013"/>
      <c r="AT82" s="1013"/>
      <c r="AW82" s="750"/>
      <c r="AX82" s="750"/>
      <c r="AY82" s="750"/>
      <c r="AZ82" s="750"/>
      <c r="BA82" s="750"/>
      <c r="BB82" s="750"/>
      <c r="BC82" s="750"/>
      <c r="BD82" s="750"/>
      <c r="BE82" s="750"/>
      <c r="BF82" s="750"/>
      <c r="BG82" s="750"/>
      <c r="BH82" s="750"/>
      <c r="BI82" s="750"/>
      <c r="BJ82" s="750"/>
      <c r="BK82" s="750"/>
      <c r="BL82" s="750"/>
      <c r="BM82" s="750"/>
      <c r="BN82" s="750"/>
      <c r="BO82" s="750"/>
      <c r="BP82" s="750"/>
      <c r="BQ82" s="750"/>
      <c r="BR82" s="750"/>
      <c r="BS82" s="750"/>
      <c r="BT82" s="750"/>
      <c r="BU82" s="750"/>
      <c r="BV82" s="750"/>
      <c r="BW82" s="750"/>
      <c r="BX82" s="750"/>
      <c r="BY82" s="750"/>
      <c r="BZ82" s="750"/>
      <c r="CA82" s="750"/>
      <c r="CB82" s="750"/>
      <c r="CC82" s="750"/>
      <c r="CD82" s="750"/>
      <c r="CE82" s="750"/>
      <c r="CF82" s="750"/>
      <c r="CG82" s="750"/>
      <c r="CH82" s="750"/>
      <c r="CI82" s="750"/>
      <c r="CJ82" s="750"/>
      <c r="CK82" s="750"/>
      <c r="CL82" s="750"/>
      <c r="CM82" s="750"/>
      <c r="CN82" s="750"/>
      <c r="CO82" s="750"/>
      <c r="CY82" s="1016"/>
      <c r="CZ82" s="1017"/>
      <c r="DA82" s="1017"/>
      <c r="DB82" s="1017"/>
      <c r="DC82" s="1017"/>
      <c r="DD82" s="1017"/>
      <c r="DE82" s="1017"/>
      <c r="DF82" s="1017"/>
      <c r="DG82" s="1017"/>
      <c r="DH82" s="1017"/>
      <c r="DI82" s="1017"/>
      <c r="DJ82" s="1017"/>
      <c r="DK82" s="1017"/>
      <c r="DL82" s="1017"/>
      <c r="DM82" s="1017"/>
      <c r="DN82" s="1017"/>
      <c r="DO82" s="1017"/>
      <c r="DP82" s="1017"/>
      <c r="DQ82" s="1017"/>
      <c r="DR82" s="1017"/>
      <c r="DS82" s="1017"/>
      <c r="DT82" s="1021"/>
    </row>
    <row r="83" customHeight="1" spans="2:124">
      <c r="B83" s="928" t="str">
        <f>IF(B76="","",CONCATENATE(IF(VLOOKUP(B76,法术大全!$A:$Z,15,0)="√","吟游诗人 ",""),IF(VLOOKUP(B76,法术大全!$A:$Z,16,0)="√","牧师 ",""),IF(VLOOKUP(B76,法术大全!$A:$Z,17,0)="√","德鲁伊 ",""),IF(VLOOKUP(B76,法术大全!$A:$Z,18,0)="√","圣武士 ",""),IF(VLOOKUP(B76,法术大全!$A:$Z,19,0)="√","游侠 ",""),IF(VLOOKUP(B76,法术大全!$A:$Z,20,0)="√","术士 ",""),IF(VLOOKUP(B76,法术大全!$A:$Z,21,0)="√","魔契师 ",""),IF(VLOOKUP(B76,法术大全!$A:$Z,22,0)="√","法师 ",""),IF(VLOOKUP(B76,法术大全!$A:$Z,23,0)="√","奇械师 ",""),IF(VLOOKUP(B76,法术大全!$A:$Z,24,0)="√","灵能使 ",""),IF(VLOOKUP(B76,法术大全!$A:$Z,25,0)="√","药剂师 ","")))</f>
        <v/>
      </c>
      <c r="C83" s="928"/>
      <c r="D83" s="928"/>
      <c r="E83" s="928"/>
      <c r="F83" s="928"/>
      <c r="G83" s="928"/>
      <c r="H83" s="928"/>
      <c r="I83" s="928"/>
      <c r="J83" s="928"/>
      <c r="K83" s="928"/>
      <c r="L83" s="928"/>
      <c r="M83" s="928"/>
      <c r="N83" s="928"/>
      <c r="O83" s="928"/>
      <c r="P83" s="928"/>
      <c r="R83" s="1013"/>
      <c r="S83" s="1013"/>
      <c r="T83" s="1013"/>
      <c r="U83" s="1013"/>
      <c r="V83" s="1013"/>
      <c r="W83" s="1013"/>
      <c r="X83" s="1013"/>
      <c r="Y83" s="1013"/>
      <c r="Z83" s="1013"/>
      <c r="AA83" s="1013"/>
      <c r="AB83" s="1013"/>
      <c r="AC83" s="1013"/>
      <c r="AD83" s="1013"/>
      <c r="AE83" s="1013"/>
      <c r="AF83" s="1013"/>
      <c r="AG83" s="1013"/>
      <c r="AH83" s="1013"/>
      <c r="AI83" s="1013"/>
      <c r="AJ83" s="1013"/>
      <c r="AK83" s="1013"/>
      <c r="AL83" s="1013"/>
      <c r="AM83" s="1013"/>
      <c r="AN83" s="1013"/>
      <c r="AO83" s="1013"/>
      <c r="AP83" s="1013"/>
      <c r="AQ83" s="1013"/>
      <c r="AR83" s="1013"/>
      <c r="AS83" s="1013"/>
      <c r="AT83" s="1013"/>
      <c r="AW83" s="750"/>
      <c r="AX83" s="750"/>
      <c r="AY83" s="750"/>
      <c r="AZ83" s="750"/>
      <c r="BA83" s="750"/>
      <c r="BB83" s="750"/>
      <c r="BC83" s="750"/>
      <c r="BD83" s="750"/>
      <c r="BE83" s="750"/>
      <c r="BF83" s="750"/>
      <c r="BG83" s="750"/>
      <c r="BH83" s="750"/>
      <c r="BI83" s="750"/>
      <c r="BJ83" s="750"/>
      <c r="BK83" s="750"/>
      <c r="BL83" s="750"/>
      <c r="BM83" s="750"/>
      <c r="BN83" s="750"/>
      <c r="BO83" s="750"/>
      <c r="BP83" s="750"/>
      <c r="BQ83" s="750"/>
      <c r="BR83" s="750"/>
      <c r="BS83" s="750"/>
      <c r="BT83" s="750"/>
      <c r="BU83" s="750"/>
      <c r="BV83" s="750"/>
      <c r="BW83" s="750"/>
      <c r="BX83" s="750"/>
      <c r="BY83" s="750"/>
      <c r="BZ83" s="750"/>
      <c r="CA83" s="750"/>
      <c r="CB83" s="750"/>
      <c r="CC83" s="750"/>
      <c r="CD83" s="750"/>
      <c r="CE83" s="750"/>
      <c r="CF83" s="750"/>
      <c r="CG83" s="750"/>
      <c r="CH83" s="750"/>
      <c r="CI83" s="750"/>
      <c r="CJ83" s="750"/>
      <c r="CK83" s="750"/>
      <c r="CL83" s="750"/>
      <c r="CM83" s="750"/>
      <c r="CN83" s="750"/>
      <c r="CO83" s="750"/>
      <c r="CY83" s="1016"/>
      <c r="CZ83" s="1017"/>
      <c r="DA83" s="1017"/>
      <c r="DB83" s="1017"/>
      <c r="DC83" s="1017"/>
      <c r="DD83" s="1017"/>
      <c r="DE83" s="1017"/>
      <c r="DF83" s="1017"/>
      <c r="DG83" s="1017"/>
      <c r="DH83" s="1017"/>
      <c r="DI83" s="1017"/>
      <c r="DJ83" s="1017"/>
      <c r="DK83" s="1017"/>
      <c r="DL83" s="1017"/>
      <c r="DM83" s="1017"/>
      <c r="DN83" s="1017"/>
      <c r="DO83" s="1017"/>
      <c r="DP83" s="1017"/>
      <c r="DQ83" s="1017"/>
      <c r="DR83" s="1017"/>
      <c r="DS83" s="1017"/>
      <c r="DT83" s="1021"/>
    </row>
    <row r="84" customHeight="1" spans="2:124">
      <c r="B84" s="928"/>
      <c r="C84" s="928"/>
      <c r="D84" s="928"/>
      <c r="E84" s="928"/>
      <c r="F84" s="928"/>
      <c r="G84" s="928"/>
      <c r="H84" s="928"/>
      <c r="I84" s="928"/>
      <c r="J84" s="928"/>
      <c r="K84" s="928"/>
      <c r="L84" s="928"/>
      <c r="M84" s="928"/>
      <c r="N84" s="928"/>
      <c r="O84" s="928"/>
      <c r="P84" s="928"/>
      <c r="R84" s="1013"/>
      <c r="S84" s="1013"/>
      <c r="T84" s="1013"/>
      <c r="U84" s="1013"/>
      <c r="V84" s="1013"/>
      <c r="W84" s="1013"/>
      <c r="X84" s="1013"/>
      <c r="Y84" s="1013"/>
      <c r="Z84" s="1013"/>
      <c r="AA84" s="1013"/>
      <c r="AB84" s="1013"/>
      <c r="AC84" s="1013"/>
      <c r="AD84" s="1013"/>
      <c r="AE84" s="1013"/>
      <c r="AF84" s="1013"/>
      <c r="AG84" s="1013"/>
      <c r="AH84" s="1013"/>
      <c r="AI84" s="1013"/>
      <c r="AJ84" s="1013"/>
      <c r="AK84" s="1013"/>
      <c r="AL84" s="1013"/>
      <c r="AM84" s="1013"/>
      <c r="AN84" s="1013"/>
      <c r="AO84" s="1013"/>
      <c r="AP84" s="1013"/>
      <c r="AQ84" s="1013"/>
      <c r="AR84" s="1013"/>
      <c r="AS84" s="1013"/>
      <c r="AT84" s="1013"/>
      <c r="AW84" s="750"/>
      <c r="AX84" s="750"/>
      <c r="AY84" s="750"/>
      <c r="AZ84" s="750"/>
      <c r="BA84" s="750"/>
      <c r="BB84" s="750"/>
      <c r="BC84" s="750"/>
      <c r="BD84" s="750"/>
      <c r="BE84" s="750"/>
      <c r="BF84" s="750"/>
      <c r="BG84" s="750"/>
      <c r="BH84" s="750"/>
      <c r="BI84" s="750"/>
      <c r="BJ84" s="750"/>
      <c r="BK84" s="750"/>
      <c r="BL84" s="750"/>
      <c r="BM84" s="750"/>
      <c r="BN84" s="750"/>
      <c r="BO84" s="750"/>
      <c r="BP84" s="750"/>
      <c r="BQ84" s="750"/>
      <c r="BR84" s="750"/>
      <c r="BS84" s="750"/>
      <c r="BT84" s="750"/>
      <c r="BU84" s="750"/>
      <c r="BV84" s="750"/>
      <c r="BW84" s="750"/>
      <c r="BX84" s="750"/>
      <c r="BY84" s="750"/>
      <c r="BZ84" s="750"/>
      <c r="CA84" s="750"/>
      <c r="CB84" s="750"/>
      <c r="CC84" s="750"/>
      <c r="CD84" s="750"/>
      <c r="CE84" s="750"/>
      <c r="CF84" s="750"/>
      <c r="CG84" s="750"/>
      <c r="CH84" s="750"/>
      <c r="CI84" s="750"/>
      <c r="CJ84" s="750"/>
      <c r="CK84" s="750"/>
      <c r="CL84" s="750"/>
      <c r="CM84" s="750"/>
      <c r="CN84" s="750"/>
      <c r="CO84" s="750"/>
      <c r="CY84" s="1016"/>
      <c r="CZ84" s="1017"/>
      <c r="DA84" s="1017"/>
      <c r="DB84" s="1017"/>
      <c r="DC84" s="1017"/>
      <c r="DD84" s="1017"/>
      <c r="DE84" s="1017"/>
      <c r="DF84" s="1017"/>
      <c r="DG84" s="1017"/>
      <c r="DH84" s="1017"/>
      <c r="DI84" s="1017"/>
      <c r="DJ84" s="1017"/>
      <c r="DK84" s="1017"/>
      <c r="DL84" s="1017"/>
      <c r="DM84" s="1017"/>
      <c r="DN84" s="1017"/>
      <c r="DO84" s="1017"/>
      <c r="DP84" s="1017"/>
      <c r="DQ84" s="1017"/>
      <c r="DR84" s="1017"/>
      <c r="DS84" s="1017"/>
      <c r="DT84" s="1021"/>
    </row>
    <row r="85" customHeight="1" spans="103:124">
      <c r="CY85" s="1016"/>
      <c r="CZ85" s="1017"/>
      <c r="DA85" s="1017"/>
      <c r="DB85" s="1017"/>
      <c r="DC85" s="1017"/>
      <c r="DD85" s="1017"/>
      <c r="DE85" s="1017"/>
      <c r="DF85" s="1017"/>
      <c r="DG85" s="1017"/>
      <c r="DH85" s="1017"/>
      <c r="DI85" s="1017"/>
      <c r="DJ85" s="1017"/>
      <c r="DK85" s="1017"/>
      <c r="DL85" s="1017"/>
      <c r="DM85" s="1017"/>
      <c r="DN85" s="1017"/>
      <c r="DO85" s="1017"/>
      <c r="DP85" s="1017"/>
      <c r="DQ85" s="1017"/>
      <c r="DR85" s="1017"/>
      <c r="DS85" s="1017"/>
      <c r="DT85" s="1021"/>
    </row>
    <row r="86" customHeight="1" spans="103:124">
      <c r="CY86" s="1018"/>
      <c r="CZ86" s="1019"/>
      <c r="DA86" s="1019"/>
      <c r="DB86" s="1019"/>
      <c r="DC86" s="1019"/>
      <c r="DD86" s="1019"/>
      <c r="DE86" s="1019"/>
      <c r="DF86" s="1019"/>
      <c r="DG86" s="1019"/>
      <c r="DH86" s="1019"/>
      <c r="DI86" s="1019"/>
      <c r="DJ86" s="1019"/>
      <c r="DK86" s="1019"/>
      <c r="DL86" s="1019"/>
      <c r="DM86" s="1019"/>
      <c r="DN86" s="1019"/>
      <c r="DO86" s="1019"/>
      <c r="DP86" s="1019"/>
      <c r="DQ86" s="1019"/>
      <c r="DR86" s="1019"/>
      <c r="DS86" s="1019"/>
      <c r="DT86" s="1022"/>
    </row>
  </sheetData>
  <sheetProtection sheet="1"/>
  <mergeCells count="842">
    <mergeCell ref="A1:AU1"/>
    <mergeCell ref="AW1:BI1"/>
    <mergeCell ref="BJ1:BP1"/>
    <mergeCell ref="BQ1:BR1"/>
    <mergeCell ref="BT1:CO1"/>
    <mergeCell ref="AX2:AY2"/>
    <mergeCell ref="AZ2:BA2"/>
    <mergeCell ref="BB2:BC2"/>
    <mergeCell ref="BD2:BE2"/>
    <mergeCell ref="BF2:BG2"/>
    <mergeCell ref="BH2:BI2"/>
    <mergeCell ref="BJ2:BK2"/>
    <mergeCell ref="BL2:BM2"/>
    <mergeCell ref="BN2:BO2"/>
    <mergeCell ref="BP2:BQ2"/>
    <mergeCell ref="BT2:CD2"/>
    <mergeCell ref="CF2:CO2"/>
    <mergeCell ref="B3:D3"/>
    <mergeCell ref="E3:N3"/>
    <mergeCell ref="W3:X3"/>
    <mergeCell ref="AX3:AY3"/>
    <mergeCell ref="AZ3:BA3"/>
    <mergeCell ref="BB3:BC3"/>
    <mergeCell ref="BD3:BE3"/>
    <mergeCell ref="BF3:BG3"/>
    <mergeCell ref="BH3:BI3"/>
    <mergeCell ref="BJ3:BK3"/>
    <mergeCell ref="BL3:BM3"/>
    <mergeCell ref="BN3:BO3"/>
    <mergeCell ref="BP3:BQ3"/>
    <mergeCell ref="BT3:CC3"/>
    <mergeCell ref="CF3:CN3"/>
    <mergeCell ref="B4:D4"/>
    <mergeCell ref="E4:N4"/>
    <mergeCell ref="W4:X4"/>
    <mergeCell ref="AX4:AY4"/>
    <mergeCell ref="AZ4:BA4"/>
    <mergeCell ref="BB4:BC4"/>
    <mergeCell ref="BD4:BE4"/>
    <mergeCell ref="BF4:BG4"/>
    <mergeCell ref="BH4:BI4"/>
    <mergeCell ref="BJ4:BK4"/>
    <mergeCell ref="BL4:BM4"/>
    <mergeCell ref="BN4:BO4"/>
    <mergeCell ref="BP4:BQ4"/>
    <mergeCell ref="BT4:CC4"/>
    <mergeCell ref="CF4:CN4"/>
    <mergeCell ref="E5:H5"/>
    <mergeCell ref="I5:N5"/>
    <mergeCell ref="O5:P5"/>
    <mergeCell ref="AX5:AY5"/>
    <mergeCell ref="AZ5:BA5"/>
    <mergeCell ref="BB5:BC5"/>
    <mergeCell ref="BD5:BE5"/>
    <mergeCell ref="BF5:BG5"/>
    <mergeCell ref="BH5:BI5"/>
    <mergeCell ref="BJ5:BK5"/>
    <mergeCell ref="BL5:BM5"/>
    <mergeCell ref="BN5:BO5"/>
    <mergeCell ref="BP5:BQ5"/>
    <mergeCell ref="BT5:CC5"/>
    <mergeCell ref="CF5:CN5"/>
    <mergeCell ref="B6:D6"/>
    <mergeCell ref="E6:H6"/>
    <mergeCell ref="I6:N6"/>
    <mergeCell ref="O6:P6"/>
    <mergeCell ref="R6:S6"/>
    <mergeCell ref="T6:X6"/>
    <mergeCell ref="AX6:AZ6"/>
    <mergeCell ref="BB6:BD6"/>
    <mergeCell ref="BF6:BH6"/>
    <mergeCell ref="BT6:CC6"/>
    <mergeCell ref="CF6:CN6"/>
    <mergeCell ref="B7:D7"/>
    <mergeCell ref="E7:H7"/>
    <mergeCell ref="I7:N7"/>
    <mergeCell ref="O7:P7"/>
    <mergeCell ref="R7:S7"/>
    <mergeCell ref="T7:X7"/>
    <mergeCell ref="AX7:AZ7"/>
    <mergeCell ref="BB7:BD7"/>
    <mergeCell ref="BF7:BH7"/>
    <mergeCell ref="BT7:CC7"/>
    <mergeCell ref="CF7:CN7"/>
    <mergeCell ref="B8:D8"/>
    <mergeCell ref="E8:H8"/>
    <mergeCell ref="I8:N8"/>
    <mergeCell ref="O8:P8"/>
    <mergeCell ref="R8:S8"/>
    <mergeCell ref="T8:X8"/>
    <mergeCell ref="BT8:CC8"/>
    <mergeCell ref="CF8:CN8"/>
    <mergeCell ref="B9:D9"/>
    <mergeCell ref="E9:N9"/>
    <mergeCell ref="O9:P9"/>
    <mergeCell ref="R9:S9"/>
    <mergeCell ref="T9:X9"/>
    <mergeCell ref="AW9:BB9"/>
    <mergeCell ref="BD9:BI9"/>
    <mergeCell ref="BJ9:BR9"/>
    <mergeCell ref="BT9:CD9"/>
    <mergeCell ref="CF9:CN9"/>
    <mergeCell ref="AX10:BB10"/>
    <mergeCell ref="BC10:BR10"/>
    <mergeCell ref="BT10:CC10"/>
    <mergeCell ref="CF10:CN10"/>
    <mergeCell ref="B11:Y11"/>
    <mergeCell ref="AX11:BB11"/>
    <mergeCell ref="BC11:BR11"/>
    <mergeCell ref="BT11:CC11"/>
    <mergeCell ref="CF11:CN11"/>
    <mergeCell ref="F12:G12"/>
    <mergeCell ref="H12:J12"/>
    <mergeCell ref="K12:L12"/>
    <mergeCell ref="M12:N12"/>
    <mergeCell ref="O12:P12"/>
    <mergeCell ref="Q12:S12"/>
    <mergeCell ref="T12:U12"/>
    <mergeCell ref="W12:X12"/>
    <mergeCell ref="AX12:BB12"/>
    <mergeCell ref="BC12:BR12"/>
    <mergeCell ref="BT12:CC12"/>
    <mergeCell ref="CF12:CN12"/>
    <mergeCell ref="C13:E13"/>
    <mergeCell ref="F13:G13"/>
    <mergeCell ref="I13:J13"/>
    <mergeCell ref="K13:L13"/>
    <mergeCell ref="M13:N13"/>
    <mergeCell ref="O13:P13"/>
    <mergeCell ref="R13:S13"/>
    <mergeCell ref="T13:U13"/>
    <mergeCell ref="W13:X13"/>
    <mergeCell ref="AX13:BB13"/>
    <mergeCell ref="BC13:BR13"/>
    <mergeCell ref="BT13:CC13"/>
    <mergeCell ref="CF13:CN13"/>
    <mergeCell ref="C14:E14"/>
    <mergeCell ref="F14:G14"/>
    <mergeCell ref="I14:J14"/>
    <mergeCell ref="K14:L14"/>
    <mergeCell ref="M14:N14"/>
    <mergeCell ref="O14:P14"/>
    <mergeCell ref="R14:S14"/>
    <mergeCell ref="T14:U14"/>
    <mergeCell ref="W14:X14"/>
    <mergeCell ref="AX14:BB14"/>
    <mergeCell ref="BC14:BR14"/>
    <mergeCell ref="BT14:CC14"/>
    <mergeCell ref="CF14:CN14"/>
    <mergeCell ref="C15:E15"/>
    <mergeCell ref="F15:G15"/>
    <mergeCell ref="I15:J15"/>
    <mergeCell ref="K15:L15"/>
    <mergeCell ref="M15:N15"/>
    <mergeCell ref="O15:P15"/>
    <mergeCell ref="R15:S15"/>
    <mergeCell ref="T15:U15"/>
    <mergeCell ref="W15:X15"/>
    <mergeCell ref="AX15:BB15"/>
    <mergeCell ref="BC15:BR15"/>
    <mergeCell ref="BT15:CC15"/>
    <mergeCell ref="CF15:CN15"/>
    <mergeCell ref="C16:E16"/>
    <mergeCell ref="F16:G16"/>
    <mergeCell ref="I16:J16"/>
    <mergeCell ref="K16:L16"/>
    <mergeCell ref="M16:N16"/>
    <mergeCell ref="O16:P16"/>
    <mergeCell ref="R16:S16"/>
    <mergeCell ref="T16:U16"/>
    <mergeCell ref="W16:X16"/>
    <mergeCell ref="AX16:BB16"/>
    <mergeCell ref="BC16:BR16"/>
    <mergeCell ref="BT16:CC16"/>
    <mergeCell ref="CF16:CN16"/>
    <mergeCell ref="C17:E17"/>
    <mergeCell ref="F17:G17"/>
    <mergeCell ref="I17:J17"/>
    <mergeCell ref="K17:L17"/>
    <mergeCell ref="M17:N17"/>
    <mergeCell ref="O17:P17"/>
    <mergeCell ref="R17:S17"/>
    <mergeCell ref="T17:U17"/>
    <mergeCell ref="W17:X17"/>
    <mergeCell ref="AX17:BB17"/>
    <mergeCell ref="BC17:BR17"/>
    <mergeCell ref="BT17:CC17"/>
    <mergeCell ref="CF17:CN17"/>
    <mergeCell ref="C18:E18"/>
    <mergeCell ref="F18:G18"/>
    <mergeCell ref="I18:J18"/>
    <mergeCell ref="K18:L18"/>
    <mergeCell ref="M18:N18"/>
    <mergeCell ref="O18:P18"/>
    <mergeCell ref="R18:S18"/>
    <mergeCell ref="T18:U18"/>
    <mergeCell ref="W18:X18"/>
    <mergeCell ref="AX18:BB18"/>
    <mergeCell ref="BC18:BR18"/>
    <mergeCell ref="BT18:CC18"/>
    <mergeCell ref="CF18:CN18"/>
    <mergeCell ref="AX19:BB19"/>
    <mergeCell ref="BC19:BR19"/>
    <mergeCell ref="BT19:CC19"/>
    <mergeCell ref="CF19:CN19"/>
    <mergeCell ref="B20:Q20"/>
    <mergeCell ref="R20:W20"/>
    <mergeCell ref="X20:Y20"/>
    <mergeCell ref="AX20:BB20"/>
    <mergeCell ref="BC20:BR20"/>
    <mergeCell ref="BT20:CC20"/>
    <mergeCell ref="CF20:CN20"/>
    <mergeCell ref="G21:H21"/>
    <mergeCell ref="N21:O21"/>
    <mergeCell ref="Q21:R21"/>
    <mergeCell ref="AX21:BB21"/>
    <mergeCell ref="BC21:BR21"/>
    <mergeCell ref="BT21:CC21"/>
    <mergeCell ref="CF21:CN21"/>
    <mergeCell ref="B22:C22"/>
    <mergeCell ref="D22:E22"/>
    <mergeCell ref="G22:H22"/>
    <mergeCell ref="J22:L22"/>
    <mergeCell ref="M22:O22"/>
    <mergeCell ref="Q22:S22"/>
    <mergeCell ref="AX22:BB22"/>
    <mergeCell ref="BC22:BR22"/>
    <mergeCell ref="BT22:CC22"/>
    <mergeCell ref="CF22:CN22"/>
    <mergeCell ref="B23:C23"/>
    <mergeCell ref="D23:E23"/>
    <mergeCell ref="G23:H23"/>
    <mergeCell ref="J23:L23"/>
    <mergeCell ref="M23:N23"/>
    <mergeCell ref="P23:Q23"/>
    <mergeCell ref="R23:S23"/>
    <mergeCell ref="AX23:BB23"/>
    <mergeCell ref="BC23:BR23"/>
    <mergeCell ref="BT23:CC23"/>
    <mergeCell ref="CF23:CN23"/>
    <mergeCell ref="G24:H24"/>
    <mergeCell ref="P24:Q24"/>
    <mergeCell ref="AA24:AT24"/>
    <mergeCell ref="AX24:BB24"/>
    <mergeCell ref="BC24:BR24"/>
    <mergeCell ref="B25:C25"/>
    <mergeCell ref="D25:E25"/>
    <mergeCell ref="G25:H25"/>
    <mergeCell ref="J25:M25"/>
    <mergeCell ref="N25:R25"/>
    <mergeCell ref="S25:V25"/>
    <mergeCell ref="W25:AA25"/>
    <mergeCell ref="AC25:AF25"/>
    <mergeCell ref="AG25:AT25"/>
    <mergeCell ref="AX25:BB25"/>
    <mergeCell ref="BC25:BR25"/>
    <mergeCell ref="BT25:CO25"/>
    <mergeCell ref="B26:E26"/>
    <mergeCell ref="F26:H26"/>
    <mergeCell ref="J26:M26"/>
    <mergeCell ref="N26:O26"/>
    <mergeCell ref="Q26:R26"/>
    <mergeCell ref="S26:V26"/>
    <mergeCell ref="W26:X26"/>
    <mergeCell ref="Z26:AA26"/>
    <mergeCell ref="AC26:AF26"/>
    <mergeCell ref="AG26:AT26"/>
    <mergeCell ref="AX26:BB26"/>
    <mergeCell ref="BC26:BR26"/>
    <mergeCell ref="BT26:BY26"/>
    <mergeCell ref="BZ26:CO26"/>
    <mergeCell ref="B27:E27"/>
    <mergeCell ref="F27:H27"/>
    <mergeCell ref="J27:M27"/>
    <mergeCell ref="N27:O27"/>
    <mergeCell ref="Q27:R27"/>
    <mergeCell ref="S27:V27"/>
    <mergeCell ref="W27:X27"/>
    <mergeCell ref="Z27:AA27"/>
    <mergeCell ref="AC27:AF27"/>
    <mergeCell ref="AG27:AT27"/>
    <mergeCell ref="AX27:BB27"/>
    <mergeCell ref="BC27:BR27"/>
    <mergeCell ref="BT27:BY27"/>
    <mergeCell ref="BZ27:CO27"/>
    <mergeCell ref="AX28:BB28"/>
    <mergeCell ref="BC28:BR28"/>
    <mergeCell ref="BT28:BY28"/>
    <mergeCell ref="BZ28:CO28"/>
    <mergeCell ref="B29:J29"/>
    <mergeCell ref="L29:AD29"/>
    <mergeCell ref="AE29:AJ29"/>
    <mergeCell ref="AK29:AL29"/>
    <mergeCell ref="AM29:AR29"/>
    <mergeCell ref="AS29:AT29"/>
    <mergeCell ref="AX29:BB29"/>
    <mergeCell ref="BC29:BR29"/>
    <mergeCell ref="BT29:BY29"/>
    <mergeCell ref="BZ29:CO29"/>
    <mergeCell ref="B30:D30"/>
    <mergeCell ref="E30:F30"/>
    <mergeCell ref="G30:I30"/>
    <mergeCell ref="L30:N30"/>
    <mergeCell ref="R30:S30"/>
    <mergeCell ref="V30:Z30"/>
    <mergeCell ref="AA30:AB30"/>
    <mergeCell ref="AD30:AE30"/>
    <mergeCell ref="AF30:AH30"/>
    <mergeCell ref="AL30:AM30"/>
    <mergeCell ref="AO30:AP30"/>
    <mergeCell ref="AQ30:AR30"/>
    <mergeCell ref="AS30:AT30"/>
    <mergeCell ref="AX30:BB30"/>
    <mergeCell ref="BC30:BR30"/>
    <mergeCell ref="BT30:BY30"/>
    <mergeCell ref="BZ30:CO30"/>
    <mergeCell ref="D31:E31"/>
    <mergeCell ref="F31:G31"/>
    <mergeCell ref="I31:J31"/>
    <mergeCell ref="L31:O31"/>
    <mergeCell ref="Q31:T31"/>
    <mergeCell ref="V31:Z31"/>
    <mergeCell ref="AA31:AB31"/>
    <mergeCell ref="AD31:AE31"/>
    <mergeCell ref="AG31:AH31"/>
    <mergeCell ref="AK31:AN31"/>
    <mergeCell ref="AO31:AP31"/>
    <mergeCell ref="AQ31:AR31"/>
    <mergeCell ref="AS31:AT31"/>
    <mergeCell ref="AX31:BB31"/>
    <mergeCell ref="BC31:BR31"/>
    <mergeCell ref="BT31:BY31"/>
    <mergeCell ref="BZ31:CO31"/>
    <mergeCell ref="C32:E32"/>
    <mergeCell ref="F32:G32"/>
    <mergeCell ref="I32:J32"/>
    <mergeCell ref="L32:N32"/>
    <mergeCell ref="Q32:S32"/>
    <mergeCell ref="V32:AB32"/>
    <mergeCell ref="AC32:AD32"/>
    <mergeCell ref="AE32:AG32"/>
    <mergeCell ref="AH32:AK32"/>
    <mergeCell ref="AL32:AM32"/>
    <mergeCell ref="AN32:AO32"/>
    <mergeCell ref="AP32:AQ32"/>
    <mergeCell ref="AR32:AT32"/>
    <mergeCell ref="AX32:BB32"/>
    <mergeCell ref="BC32:BR32"/>
    <mergeCell ref="BT32:BY32"/>
    <mergeCell ref="BZ32:CO32"/>
    <mergeCell ref="B33:G33"/>
    <mergeCell ref="L33:O33"/>
    <mergeCell ref="Q33:T33"/>
    <mergeCell ref="V33:AB33"/>
    <mergeCell ref="AD33:AE33"/>
    <mergeCell ref="AF33:AG33"/>
    <mergeCell ref="AH33:AI33"/>
    <mergeCell ref="AJ33:AK33"/>
    <mergeCell ref="AL33:AM33"/>
    <mergeCell ref="AN33:AO33"/>
    <mergeCell ref="AP33:AQ33"/>
    <mergeCell ref="AS33:AT33"/>
    <mergeCell ref="AX33:BB33"/>
    <mergeCell ref="BC33:BR33"/>
    <mergeCell ref="BT33:BY33"/>
    <mergeCell ref="BZ33:CO33"/>
    <mergeCell ref="C34:E34"/>
    <mergeCell ref="F34:G34"/>
    <mergeCell ref="I34:J34"/>
    <mergeCell ref="L34:O34"/>
    <mergeCell ref="Q34:T34"/>
    <mergeCell ref="V34:AB34"/>
    <mergeCell ref="AD34:AE34"/>
    <mergeCell ref="AF34:AG34"/>
    <mergeCell ref="AH34:AI34"/>
    <mergeCell ref="AJ34:AK34"/>
    <mergeCell ref="AL34:AM34"/>
    <mergeCell ref="AN34:AO34"/>
    <mergeCell ref="AP34:AQ34"/>
    <mergeCell ref="AS34:AT34"/>
    <mergeCell ref="AX34:BB34"/>
    <mergeCell ref="BC34:BR34"/>
    <mergeCell ref="BT34:BY34"/>
    <mergeCell ref="BZ34:CO34"/>
    <mergeCell ref="C35:E35"/>
    <mergeCell ref="F35:G35"/>
    <mergeCell ref="I35:J35"/>
    <mergeCell ref="L35:O35"/>
    <mergeCell ref="Q35:T35"/>
    <mergeCell ref="V35:AB35"/>
    <mergeCell ref="AD35:AE35"/>
    <mergeCell ref="AF35:AG35"/>
    <mergeCell ref="AH35:AI35"/>
    <mergeCell ref="AJ35:AK35"/>
    <mergeCell ref="AL35:AM35"/>
    <mergeCell ref="AN35:AO35"/>
    <mergeCell ref="AP35:AQ35"/>
    <mergeCell ref="AS35:AT35"/>
    <mergeCell ref="AX35:BB35"/>
    <mergeCell ref="BC35:BR35"/>
    <mergeCell ref="BT35:BY35"/>
    <mergeCell ref="BZ35:CO35"/>
    <mergeCell ref="C36:E36"/>
    <mergeCell ref="F36:G36"/>
    <mergeCell ref="I36:J36"/>
    <mergeCell ref="L36:O36"/>
    <mergeCell ref="Q36:T36"/>
    <mergeCell ref="V36:AB36"/>
    <mergeCell ref="AD36:AE36"/>
    <mergeCell ref="AF36:AG36"/>
    <mergeCell ref="AH36:AI36"/>
    <mergeCell ref="AJ36:AK36"/>
    <mergeCell ref="AL36:AM36"/>
    <mergeCell ref="AN36:AO36"/>
    <mergeCell ref="AP36:AQ36"/>
    <mergeCell ref="AS36:AT36"/>
    <mergeCell ref="AX36:BB36"/>
    <mergeCell ref="BC36:BR36"/>
    <mergeCell ref="BT36:BY36"/>
    <mergeCell ref="BZ36:CO36"/>
    <mergeCell ref="B37:G37"/>
    <mergeCell ref="L37:O37"/>
    <mergeCell ref="Q37:T37"/>
    <mergeCell ref="V37:AB37"/>
    <mergeCell ref="AD37:AE37"/>
    <mergeCell ref="AF37:AG37"/>
    <mergeCell ref="AH37:AI37"/>
    <mergeCell ref="AJ37:AK37"/>
    <mergeCell ref="AL37:AM37"/>
    <mergeCell ref="AN37:AO37"/>
    <mergeCell ref="AP37:AQ37"/>
    <mergeCell ref="AS37:AT37"/>
    <mergeCell ref="AX37:BB37"/>
    <mergeCell ref="BC37:BR37"/>
    <mergeCell ref="BT37:BY37"/>
    <mergeCell ref="BZ37:CO37"/>
    <mergeCell ref="C38:E38"/>
    <mergeCell ref="F38:G38"/>
    <mergeCell ref="I38:J38"/>
    <mergeCell ref="L38:N38"/>
    <mergeCell ref="R38:S38"/>
    <mergeCell ref="T38:AR38"/>
    <mergeCell ref="AS38:AT38"/>
    <mergeCell ref="AX38:BB38"/>
    <mergeCell ref="BC38:BR38"/>
    <mergeCell ref="BT38:BY38"/>
    <mergeCell ref="BZ38:CO38"/>
    <mergeCell ref="C39:E39"/>
    <mergeCell ref="F39:G39"/>
    <mergeCell ref="I39:J39"/>
    <mergeCell ref="L39:O39"/>
    <mergeCell ref="R39:S39"/>
    <mergeCell ref="T39:AR39"/>
    <mergeCell ref="AS39:AT39"/>
    <mergeCell ref="AX39:BB39"/>
    <mergeCell ref="BC39:BR39"/>
    <mergeCell ref="BT39:BY39"/>
    <mergeCell ref="BZ39:CO39"/>
    <mergeCell ref="C40:E40"/>
    <mergeCell ref="F40:G40"/>
    <mergeCell ref="I40:J40"/>
    <mergeCell ref="L40:O40"/>
    <mergeCell ref="R40:S40"/>
    <mergeCell ref="T40:AR40"/>
    <mergeCell ref="AS40:AT40"/>
    <mergeCell ref="AX40:BB40"/>
    <mergeCell ref="BC40:BR40"/>
    <mergeCell ref="C41:E41"/>
    <mergeCell ref="F41:G41"/>
    <mergeCell ref="I41:J41"/>
    <mergeCell ref="L41:O41"/>
    <mergeCell ref="R41:S41"/>
    <mergeCell ref="T41:AR41"/>
    <mergeCell ref="AS41:AT41"/>
    <mergeCell ref="AX41:BB41"/>
    <mergeCell ref="BC41:BR41"/>
    <mergeCell ref="BT41:CO41"/>
    <mergeCell ref="C42:E42"/>
    <mergeCell ref="F42:G42"/>
    <mergeCell ref="I42:J42"/>
    <mergeCell ref="L42:O42"/>
    <mergeCell ref="R42:S42"/>
    <mergeCell ref="T42:AR42"/>
    <mergeCell ref="AS42:AT42"/>
    <mergeCell ref="AX42:BB42"/>
    <mergeCell ref="BC42:BR42"/>
    <mergeCell ref="BU42:BY42"/>
    <mergeCell ref="BZ42:CO42"/>
    <mergeCell ref="B43:G43"/>
    <mergeCell ref="L43:O43"/>
    <mergeCell ref="R43:S43"/>
    <mergeCell ref="T43:AR43"/>
    <mergeCell ref="AS43:AT43"/>
    <mergeCell ref="AX43:BB43"/>
    <mergeCell ref="BC43:BR43"/>
    <mergeCell ref="BU43:BY43"/>
    <mergeCell ref="BZ43:CO43"/>
    <mergeCell ref="C44:E44"/>
    <mergeCell ref="F44:G44"/>
    <mergeCell ref="I44:J44"/>
    <mergeCell ref="L44:O44"/>
    <mergeCell ref="R44:S44"/>
    <mergeCell ref="T44:AR44"/>
    <mergeCell ref="AS44:AT44"/>
    <mergeCell ref="AX44:BB44"/>
    <mergeCell ref="BC44:BR44"/>
    <mergeCell ref="BU44:BY44"/>
    <mergeCell ref="BZ44:CO44"/>
    <mergeCell ref="C45:E45"/>
    <mergeCell ref="F45:G45"/>
    <mergeCell ref="I45:J45"/>
    <mergeCell ref="L45:O45"/>
    <mergeCell ref="R45:S45"/>
    <mergeCell ref="T45:AR45"/>
    <mergeCell ref="AS45:AT45"/>
    <mergeCell ref="AX45:BB45"/>
    <mergeCell ref="BC45:BR45"/>
    <mergeCell ref="BU45:BY45"/>
    <mergeCell ref="BZ45:CO45"/>
    <mergeCell ref="C46:E46"/>
    <mergeCell ref="F46:G46"/>
    <mergeCell ref="I46:J46"/>
    <mergeCell ref="L46:O46"/>
    <mergeCell ref="R46:S46"/>
    <mergeCell ref="T46:AR46"/>
    <mergeCell ref="AS46:AT46"/>
    <mergeCell ref="AX46:BB46"/>
    <mergeCell ref="BC46:BR46"/>
    <mergeCell ref="BU46:BY46"/>
    <mergeCell ref="BZ46:CO46"/>
    <mergeCell ref="C47:E47"/>
    <mergeCell ref="F47:G47"/>
    <mergeCell ref="I47:J47"/>
    <mergeCell ref="L47:O47"/>
    <mergeCell ref="R47:S47"/>
    <mergeCell ref="T47:AR47"/>
    <mergeCell ref="AS47:AT47"/>
    <mergeCell ref="AX47:BB47"/>
    <mergeCell ref="BC47:BR47"/>
    <mergeCell ref="BU47:BY47"/>
    <mergeCell ref="BZ47:CO47"/>
    <mergeCell ref="C48:E48"/>
    <mergeCell ref="F48:G48"/>
    <mergeCell ref="I48:J48"/>
    <mergeCell ref="L48:O48"/>
    <mergeCell ref="R48:S48"/>
    <mergeCell ref="T48:AR48"/>
    <mergeCell ref="AS48:AT48"/>
    <mergeCell ref="AX48:BB48"/>
    <mergeCell ref="BC48:BR48"/>
    <mergeCell ref="BU48:BY48"/>
    <mergeCell ref="BZ48:CO48"/>
    <mergeCell ref="B49:G49"/>
    <mergeCell ref="L49:AE49"/>
    <mergeCell ref="AG49:AT49"/>
    <mergeCell ref="AX49:BB49"/>
    <mergeCell ref="BC49:BR49"/>
    <mergeCell ref="BU49:BY49"/>
    <mergeCell ref="BZ49:CO49"/>
    <mergeCell ref="C50:E50"/>
    <mergeCell ref="F50:G50"/>
    <mergeCell ref="I50:J50"/>
    <mergeCell ref="L50:N50"/>
    <mergeCell ref="O50:Q50"/>
    <mergeCell ref="R50:T50"/>
    <mergeCell ref="V50:AA50"/>
    <mergeCell ref="AC50:AE50"/>
    <mergeCell ref="AG50:AH50"/>
    <mergeCell ref="AI50:AM50"/>
    <mergeCell ref="AN50:AO50"/>
    <mergeCell ref="AP50:AT50"/>
    <mergeCell ref="AX50:BB50"/>
    <mergeCell ref="BC50:BR50"/>
    <mergeCell ref="BU50:BY50"/>
    <mergeCell ref="BZ50:CO50"/>
    <mergeCell ref="C51:E51"/>
    <mergeCell ref="F51:G51"/>
    <mergeCell ref="I51:J51"/>
    <mergeCell ref="L51:N51"/>
    <mergeCell ref="O51:Q51"/>
    <mergeCell ref="R51:T51"/>
    <mergeCell ref="V51:AA51"/>
    <mergeCell ref="AC51:AE51"/>
    <mergeCell ref="AG51:AH51"/>
    <mergeCell ref="AI51:AM51"/>
    <mergeCell ref="AN51:AT51"/>
    <mergeCell ref="AX51:BB51"/>
    <mergeCell ref="BC51:BR51"/>
    <mergeCell ref="BU51:BY51"/>
    <mergeCell ref="BZ51:CO51"/>
    <mergeCell ref="C52:E52"/>
    <mergeCell ref="F52:G52"/>
    <mergeCell ref="I52:J52"/>
    <mergeCell ref="L52:N52"/>
    <mergeCell ref="O52:Q52"/>
    <mergeCell ref="R52:T52"/>
    <mergeCell ref="V52:AA52"/>
    <mergeCell ref="AC52:AE52"/>
    <mergeCell ref="AG52:AH52"/>
    <mergeCell ref="AI52:AM52"/>
    <mergeCell ref="AX52:BB52"/>
    <mergeCell ref="BC52:BR52"/>
    <mergeCell ref="BU52:BY52"/>
    <mergeCell ref="BZ52:CO52"/>
    <mergeCell ref="C53:E53"/>
    <mergeCell ref="F53:G53"/>
    <mergeCell ref="I53:J53"/>
    <mergeCell ref="L53:N53"/>
    <mergeCell ref="O53:Q53"/>
    <mergeCell ref="R53:T53"/>
    <mergeCell ref="V53:AA53"/>
    <mergeCell ref="AC53:AE53"/>
    <mergeCell ref="AG53:AH53"/>
    <mergeCell ref="AI53:AM53"/>
    <mergeCell ref="AX53:BB53"/>
    <mergeCell ref="BC53:BR53"/>
    <mergeCell ref="BU53:BY53"/>
    <mergeCell ref="BZ53:CO53"/>
    <mergeCell ref="AX54:BB54"/>
    <mergeCell ref="BC54:BR54"/>
    <mergeCell ref="B55:N55"/>
    <mergeCell ref="P55:V55"/>
    <mergeCell ref="X55:AT55"/>
    <mergeCell ref="AX55:BB55"/>
    <mergeCell ref="BC55:BR55"/>
    <mergeCell ref="BT55:CO55"/>
    <mergeCell ref="B56:D56"/>
    <mergeCell ref="E56:F56"/>
    <mergeCell ref="G56:H56"/>
    <mergeCell ref="I56:J56"/>
    <mergeCell ref="K56:N56"/>
    <mergeCell ref="Q56:V56"/>
    <mergeCell ref="Y56:AD56"/>
    <mergeCell ref="AG56:AL56"/>
    <mergeCell ref="AO56:AT56"/>
    <mergeCell ref="AX56:BB56"/>
    <mergeCell ref="BC56:BR56"/>
    <mergeCell ref="BT56:BY56"/>
    <mergeCell ref="BZ56:CO56"/>
    <mergeCell ref="B57:D57"/>
    <mergeCell ref="E57:F57"/>
    <mergeCell ref="G57:H57"/>
    <mergeCell ref="I57:J57"/>
    <mergeCell ref="K57:N57"/>
    <mergeCell ref="Q57:V57"/>
    <mergeCell ref="Y57:AD57"/>
    <mergeCell ref="AG57:AL57"/>
    <mergeCell ref="AO57:AT57"/>
    <mergeCell ref="AX57:BB57"/>
    <mergeCell ref="BC57:BR57"/>
    <mergeCell ref="BT57:BY57"/>
    <mergeCell ref="BZ57:CO57"/>
    <mergeCell ref="B58:D58"/>
    <mergeCell ref="E58:F58"/>
    <mergeCell ref="G58:H58"/>
    <mergeCell ref="I58:J58"/>
    <mergeCell ref="K58:N58"/>
    <mergeCell ref="Q58:V58"/>
    <mergeCell ref="Y58:AD58"/>
    <mergeCell ref="AG58:AL58"/>
    <mergeCell ref="AO58:AT58"/>
    <mergeCell ref="AX58:BB58"/>
    <mergeCell ref="BC58:BR58"/>
    <mergeCell ref="BT58:BY58"/>
    <mergeCell ref="BZ58:CO58"/>
    <mergeCell ref="B59:D59"/>
    <mergeCell ref="E59:F59"/>
    <mergeCell ref="G59:H59"/>
    <mergeCell ref="I59:J59"/>
    <mergeCell ref="K59:N59"/>
    <mergeCell ref="Q59:V59"/>
    <mergeCell ref="Y59:AD59"/>
    <mergeCell ref="AG59:AL59"/>
    <mergeCell ref="AO59:AT59"/>
    <mergeCell ref="AX59:BB59"/>
    <mergeCell ref="BC59:BR59"/>
    <mergeCell ref="BT59:BY59"/>
    <mergeCell ref="BZ59:CO59"/>
    <mergeCell ref="B60:E60"/>
    <mergeCell ref="F60:N60"/>
    <mergeCell ref="Q60:V60"/>
    <mergeCell ref="Y60:AD60"/>
    <mergeCell ref="AG60:AL60"/>
    <mergeCell ref="AO60:AT60"/>
    <mergeCell ref="AX60:BB60"/>
    <mergeCell ref="BC60:BR60"/>
    <mergeCell ref="BT60:BY60"/>
    <mergeCell ref="BZ60:CO60"/>
    <mergeCell ref="B61:E61"/>
    <mergeCell ref="F61:N61"/>
    <mergeCell ref="Q61:V61"/>
    <mergeCell ref="Y61:AD61"/>
    <mergeCell ref="AG61:AL61"/>
    <mergeCell ref="AO61:AT61"/>
    <mergeCell ref="AX61:BB61"/>
    <mergeCell ref="BC61:BR61"/>
    <mergeCell ref="B62:D62"/>
    <mergeCell ref="E62:I62"/>
    <mergeCell ref="J62:L62"/>
    <mergeCell ref="Q62:V62"/>
    <mergeCell ref="Y62:AD62"/>
    <mergeCell ref="AG62:AL62"/>
    <mergeCell ref="AO62:AT62"/>
    <mergeCell ref="AX62:BB62"/>
    <mergeCell ref="BC62:BR62"/>
    <mergeCell ref="BT62:CO62"/>
    <mergeCell ref="B63:D63"/>
    <mergeCell ref="E63:F63"/>
    <mergeCell ref="H63:I63"/>
    <mergeCell ref="J63:L63"/>
    <mergeCell ref="Q63:V63"/>
    <mergeCell ref="Y63:AD63"/>
    <mergeCell ref="AG63:AL63"/>
    <mergeCell ref="AO63:AT63"/>
    <mergeCell ref="AX63:BB63"/>
    <mergeCell ref="BC63:BR63"/>
    <mergeCell ref="BT63:BY63"/>
    <mergeCell ref="BZ63:CO63"/>
    <mergeCell ref="B64:D64"/>
    <mergeCell ref="E64:F64"/>
    <mergeCell ref="H64:I64"/>
    <mergeCell ref="J64:L64"/>
    <mergeCell ref="Q64:V64"/>
    <mergeCell ref="Y64:AD64"/>
    <mergeCell ref="AG64:AL64"/>
    <mergeCell ref="AO64:AT64"/>
    <mergeCell ref="AX64:BB64"/>
    <mergeCell ref="BC64:BR64"/>
    <mergeCell ref="BT64:BY64"/>
    <mergeCell ref="BZ64:CO64"/>
    <mergeCell ref="B65:D65"/>
    <mergeCell ref="E65:F65"/>
    <mergeCell ref="H65:I65"/>
    <mergeCell ref="J65:L65"/>
    <mergeCell ref="AG65:AL65"/>
    <mergeCell ref="AO65:AT65"/>
    <mergeCell ref="AX65:BB65"/>
    <mergeCell ref="BC65:BR65"/>
    <mergeCell ref="BT65:BY65"/>
    <mergeCell ref="BZ65:CO65"/>
    <mergeCell ref="B66:D66"/>
    <mergeCell ref="E66:F66"/>
    <mergeCell ref="H66:I66"/>
    <mergeCell ref="J66:L66"/>
    <mergeCell ref="P66:AD66"/>
    <mergeCell ref="AG66:AL66"/>
    <mergeCell ref="AO66:AT66"/>
    <mergeCell ref="AX66:BB66"/>
    <mergeCell ref="BC66:BR66"/>
    <mergeCell ref="BT66:BY66"/>
    <mergeCell ref="BZ66:CO66"/>
    <mergeCell ref="B67:D67"/>
    <mergeCell ref="E67:F67"/>
    <mergeCell ref="H67:I67"/>
    <mergeCell ref="J67:L67"/>
    <mergeCell ref="Q67:V67"/>
    <mergeCell ref="Y67:AD67"/>
    <mergeCell ref="AG67:AL67"/>
    <mergeCell ref="AO67:AT67"/>
    <mergeCell ref="AX67:BB67"/>
    <mergeCell ref="BC67:BR67"/>
    <mergeCell ref="BT67:BY67"/>
    <mergeCell ref="BZ67:CO67"/>
    <mergeCell ref="B68:D68"/>
    <mergeCell ref="E68:F68"/>
    <mergeCell ref="H68:I68"/>
    <mergeCell ref="J68:L68"/>
    <mergeCell ref="Q68:V68"/>
    <mergeCell ref="Y68:AD68"/>
    <mergeCell ref="AG68:AL68"/>
    <mergeCell ref="AO68:AT68"/>
    <mergeCell ref="AX68:BB68"/>
    <mergeCell ref="BC68:BR68"/>
    <mergeCell ref="BT68:BY68"/>
    <mergeCell ref="BZ68:CO68"/>
    <mergeCell ref="B69:D69"/>
    <mergeCell ref="E69:F69"/>
    <mergeCell ref="H69:I69"/>
    <mergeCell ref="J69:L69"/>
    <mergeCell ref="Q69:V69"/>
    <mergeCell ref="Y69:AD69"/>
    <mergeCell ref="AG69:AL69"/>
    <mergeCell ref="AO69:AT69"/>
    <mergeCell ref="B70:D70"/>
    <mergeCell ref="E70:F70"/>
    <mergeCell ref="H70:I70"/>
    <mergeCell ref="J70:L70"/>
    <mergeCell ref="Q70:V70"/>
    <mergeCell ref="Y70:AD70"/>
    <mergeCell ref="AG70:AL70"/>
    <mergeCell ref="AO70:AT70"/>
    <mergeCell ref="AW70:BK70"/>
    <mergeCell ref="BL70:BZ70"/>
    <mergeCell ref="CA70:CO70"/>
    <mergeCell ref="B71:D71"/>
    <mergeCell ref="E71:F71"/>
    <mergeCell ref="H71:I71"/>
    <mergeCell ref="J71:L71"/>
    <mergeCell ref="Q71:V71"/>
    <mergeCell ref="Y71:AD71"/>
    <mergeCell ref="AG71:AL71"/>
    <mergeCell ref="AO71:AT71"/>
    <mergeCell ref="B72:E72"/>
    <mergeCell ref="F72:H72"/>
    <mergeCell ref="J72:L72"/>
    <mergeCell ref="Q72:V72"/>
    <mergeCell ref="Y72:AD72"/>
    <mergeCell ref="AG72:AL72"/>
    <mergeCell ref="AO72:AT72"/>
    <mergeCell ref="B74:P74"/>
    <mergeCell ref="R74:AT74"/>
    <mergeCell ref="B75:G75"/>
    <mergeCell ref="I75:P75"/>
    <mergeCell ref="B76:G76"/>
    <mergeCell ref="I76:P76"/>
    <mergeCell ref="B77:E77"/>
    <mergeCell ref="G77:J77"/>
    <mergeCell ref="L77:P77"/>
    <mergeCell ref="B78:E78"/>
    <mergeCell ref="G78:J78"/>
    <mergeCell ref="L78:P78"/>
    <mergeCell ref="B79:F79"/>
    <mergeCell ref="G79:P79"/>
    <mergeCell ref="B82:P82"/>
    <mergeCell ref="U50:U51"/>
    <mergeCell ref="AB50:AB51"/>
    <mergeCell ref="AF50:AF51"/>
    <mergeCell ref="AW3:AW7"/>
    <mergeCell ref="CY70:DT86"/>
    <mergeCell ref="AW71:BK84"/>
    <mergeCell ref="BL71:BZ84"/>
    <mergeCell ref="CA71:CO84"/>
    <mergeCell ref="B80:P81"/>
    <mergeCell ref="R75:AT84"/>
    <mergeCell ref="B83:P84"/>
    <mergeCell ref="AN52:AT53"/>
    <mergeCell ref="AA3:AT23"/>
    <mergeCell ref="U22:V23"/>
    <mergeCell ref="W22:Y23"/>
    <mergeCell ref="S3:U4"/>
    <mergeCell ref="Q3:R4"/>
    <mergeCell ref="BI6:BQ7"/>
  </mergeCells>
  <conditionalFormatting sqref="E9:J9">
    <cfRule type="dataBar" priority="472">
      <dataBar>
        <cfvo type="formula" val="数据表!$CI$23"/>
        <cfvo type="formula" val="数据表!$CJ$23"/>
        <color indexed="65"/>
      </dataBar>
      <extLst>
        <ext xmlns:x14="http://schemas.microsoft.com/office/spreadsheetml/2009/9/main" uri="{B025F937-C7B1-47D3-B67F-A62EFF666E3E}">
          <x14:id>{678edce9-4379-4cdc-83d4-08e397d28a63}</x14:id>
        </ext>
      </extLst>
    </cfRule>
  </conditionalFormatting>
  <conditionalFormatting sqref="C13:E13">
    <cfRule type="expression" dxfId="0" priority="6">
      <formula>$B$13="O"</formula>
    </cfRule>
  </conditionalFormatting>
  <conditionalFormatting sqref="C14:E14">
    <cfRule type="expression" dxfId="0" priority="5">
      <formula>$B$14="O"</formula>
    </cfRule>
  </conditionalFormatting>
  <conditionalFormatting sqref="C15:E15">
    <cfRule type="expression" dxfId="0" priority="4">
      <formula>$B$15="O"</formula>
    </cfRule>
  </conditionalFormatting>
  <conditionalFormatting sqref="C16:E16">
    <cfRule type="expression" dxfId="0" priority="3">
      <formula>$B$16="O"</formula>
    </cfRule>
  </conditionalFormatting>
  <conditionalFormatting sqref="C17:E17">
    <cfRule type="expression" dxfId="0" priority="2">
      <formula>$B$17="O"</formula>
    </cfRule>
  </conditionalFormatting>
  <conditionalFormatting sqref="C18:E18">
    <cfRule type="expression" dxfId="0" priority="1">
      <formula>$B$18="O"</formula>
    </cfRule>
  </conditionalFormatting>
  <conditionalFormatting sqref="C32">
    <cfRule type="expression" dxfId="0" priority="467">
      <formula>$B$32="O"</formula>
    </cfRule>
    <cfRule type="expression" dxfId="1" priority="449">
      <formula>$B$32="🅞"</formula>
    </cfRule>
  </conditionalFormatting>
  <conditionalFormatting sqref="C34:E34">
    <cfRule type="expression" dxfId="1" priority="24">
      <formula>$B$34="🅞"</formula>
    </cfRule>
    <cfRule type="expression" dxfId="0" priority="41">
      <formula>$B$34="O"</formula>
    </cfRule>
  </conditionalFormatting>
  <conditionalFormatting sqref="C35:E35">
    <cfRule type="expression" dxfId="1" priority="23">
      <formula>$B$35="🅞"</formula>
    </cfRule>
    <cfRule type="expression" dxfId="0" priority="40">
      <formula>$B$35="O"</formula>
    </cfRule>
  </conditionalFormatting>
  <conditionalFormatting sqref="C36:E36">
    <cfRule type="expression" dxfId="0" priority="39">
      <formula>$B$36="O"</formula>
    </cfRule>
    <cfRule type="expression" dxfId="1" priority="22">
      <formula>$B$36="🅞"</formula>
    </cfRule>
  </conditionalFormatting>
  <conditionalFormatting sqref="C38:E38">
    <cfRule type="expression" dxfId="0" priority="38">
      <formula>$B$38="O"</formula>
    </cfRule>
    <cfRule type="expression" dxfId="1" priority="21">
      <formula>$B$38="🅞"</formula>
    </cfRule>
  </conditionalFormatting>
  <conditionalFormatting sqref="C39:E39">
    <cfRule type="expression" dxfId="0" priority="37">
      <formula>$B$39="O"</formula>
    </cfRule>
    <cfRule type="expression" dxfId="1" priority="20">
      <formula>$B$39="🅞"</formula>
    </cfRule>
  </conditionalFormatting>
  <conditionalFormatting sqref="C40:E40">
    <cfRule type="expression" dxfId="0" priority="36">
      <formula>$B$40="O"</formula>
    </cfRule>
    <cfRule type="expression" dxfId="1" priority="19">
      <formula>$B$40="🅞"</formula>
    </cfRule>
  </conditionalFormatting>
  <conditionalFormatting sqref="C41:E41">
    <cfRule type="expression" dxfId="0" priority="35">
      <formula>$B$41="O"</formula>
    </cfRule>
    <cfRule type="expression" dxfId="1" priority="18">
      <formula>$B$41="🅞"</formula>
    </cfRule>
  </conditionalFormatting>
  <conditionalFormatting sqref="C42:E42">
    <cfRule type="expression" dxfId="0" priority="34">
      <formula>$B$42="O"</formula>
    </cfRule>
    <cfRule type="expression" dxfId="1" priority="17">
      <formula>$B$42="🅞"</formula>
    </cfRule>
  </conditionalFormatting>
  <conditionalFormatting sqref="C44:E44">
    <cfRule type="expression" dxfId="1" priority="16">
      <formula>$B$44="🅞"</formula>
    </cfRule>
    <cfRule type="expression" dxfId="0" priority="33">
      <formula>$B$44="O"</formula>
    </cfRule>
  </conditionalFormatting>
  <conditionalFormatting sqref="C45:E45">
    <cfRule type="expression" dxfId="0" priority="32">
      <formula>$B$45="O"</formula>
    </cfRule>
    <cfRule type="expression" dxfId="1" priority="15">
      <formula>$B$45="🅞"</formula>
    </cfRule>
  </conditionalFormatting>
  <conditionalFormatting sqref="C46:E46">
    <cfRule type="expression" dxfId="1" priority="14">
      <formula>$B$46="🅞"</formula>
    </cfRule>
    <cfRule type="expression" dxfId="0" priority="31">
      <formula>$B$46="O"</formula>
    </cfRule>
  </conditionalFormatting>
  <conditionalFormatting sqref="C47:E47">
    <cfRule type="expression" dxfId="1" priority="13">
      <formula>$B$47="🅞"</formula>
    </cfRule>
    <cfRule type="expression" dxfId="0" priority="30">
      <formula>$B$47="O"</formula>
    </cfRule>
  </conditionalFormatting>
  <conditionalFormatting sqref="C48:E48">
    <cfRule type="expression" dxfId="1" priority="11">
      <formula>$B$48="🅞"</formula>
    </cfRule>
    <cfRule type="expression" dxfId="0" priority="29">
      <formula>$B$48="O"</formula>
    </cfRule>
  </conditionalFormatting>
  <conditionalFormatting sqref="C50:E50">
    <cfRule type="expression" dxfId="1" priority="10">
      <formula>$B$50="🅞"</formula>
    </cfRule>
    <cfRule type="expression" dxfId="0" priority="28">
      <formula>$B$50="O"</formula>
    </cfRule>
  </conditionalFormatting>
  <conditionalFormatting sqref="C51:E51">
    <cfRule type="expression" dxfId="1" priority="9">
      <formula>$B$51="🅞"</formula>
    </cfRule>
    <cfRule type="expression" dxfId="0" priority="27">
      <formula>$B$51="O"</formula>
    </cfRule>
  </conditionalFormatting>
  <conditionalFormatting sqref="C52:E52">
    <cfRule type="expression" dxfId="0" priority="26">
      <formula>$B$52="O"</formula>
    </cfRule>
    <cfRule type="expression" dxfId="1" priority="8">
      <formula>$B$52="🅞"</formula>
    </cfRule>
  </conditionalFormatting>
  <conditionalFormatting sqref="C53:E53">
    <cfRule type="expression" dxfId="0" priority="25">
      <formula>$B$53="O"</formula>
    </cfRule>
    <cfRule type="expression" dxfId="1" priority="7">
      <formula>$B$53="🅞"</formula>
    </cfRule>
  </conditionalFormatting>
  <conditionalFormatting sqref="Q57:V57">
    <cfRule type="expression" dxfId="2" priority="106">
      <formula>数据表!$I$2=1</formula>
    </cfRule>
  </conditionalFormatting>
  <conditionalFormatting sqref="Y57:AD57">
    <cfRule type="expression" dxfId="2" priority="97">
      <formula>数据表!$I$20=1</formula>
    </cfRule>
  </conditionalFormatting>
  <conditionalFormatting sqref="AG57:AL57">
    <cfRule type="expression" dxfId="2" priority="75">
      <formula>数据表!$I$28=1</formula>
    </cfRule>
  </conditionalFormatting>
  <conditionalFormatting sqref="AO57:AT57">
    <cfRule type="expression" dxfId="2" priority="59">
      <formula>数据表!$I$44=1</formula>
    </cfRule>
  </conditionalFormatting>
  <conditionalFormatting sqref="Q58">
    <cfRule type="expression" dxfId="2" priority="104">
      <formula>数据表!$I$3=1</formula>
    </cfRule>
  </conditionalFormatting>
  <conditionalFormatting sqref="Y58">
    <cfRule type="expression" dxfId="2" priority="96">
      <formula>数据表!$I$21=1</formula>
    </cfRule>
  </conditionalFormatting>
  <conditionalFormatting sqref="AG58">
    <cfRule type="expression" dxfId="2" priority="74">
      <formula>数据表!$I$29=1</formula>
    </cfRule>
  </conditionalFormatting>
  <conditionalFormatting sqref="AO58">
    <cfRule type="expression" dxfId="2" priority="58">
      <formula>数据表!$I$45=1</formula>
    </cfRule>
  </conditionalFormatting>
  <conditionalFormatting sqref="Q59">
    <cfRule type="expression" dxfId="2" priority="103">
      <formula>数据表!$I$4=1</formula>
    </cfRule>
  </conditionalFormatting>
  <conditionalFormatting sqref="Y59">
    <cfRule type="expression" dxfId="2" priority="95">
      <formula>数据表!$I$22=1</formula>
    </cfRule>
  </conditionalFormatting>
  <conditionalFormatting sqref="AG59">
    <cfRule type="expression" dxfId="2" priority="73">
      <formula>数据表!$I$30=1</formula>
    </cfRule>
  </conditionalFormatting>
  <conditionalFormatting sqref="AO59">
    <cfRule type="expression" dxfId="2" priority="57">
      <formula>数据表!$I$46=1</formula>
    </cfRule>
  </conditionalFormatting>
  <conditionalFormatting sqref="Q60">
    <cfRule type="expression" dxfId="2" priority="102">
      <formula>数据表!$I$5=1</formula>
    </cfRule>
  </conditionalFormatting>
  <conditionalFormatting sqref="Y60">
    <cfRule type="expression" dxfId="2" priority="94">
      <formula>数据表!$I$23=1</formula>
    </cfRule>
  </conditionalFormatting>
  <conditionalFormatting sqref="AG60">
    <cfRule type="expression" dxfId="2" priority="72">
      <formula>数据表!$I$31=1</formula>
    </cfRule>
  </conditionalFormatting>
  <conditionalFormatting sqref="AO60">
    <cfRule type="expression" dxfId="2" priority="56">
      <formula>数据表!$I$47=1</formula>
    </cfRule>
  </conditionalFormatting>
  <conditionalFormatting sqref="Q61">
    <cfRule type="expression" dxfId="2" priority="101">
      <formula>数据表!$I$6=1</formula>
    </cfRule>
  </conditionalFormatting>
  <conditionalFormatting sqref="Y61">
    <cfRule type="expression" dxfId="2" priority="93">
      <formula>数据表!$I$24=1</formula>
    </cfRule>
  </conditionalFormatting>
  <conditionalFormatting sqref="AG61">
    <cfRule type="expression" dxfId="2" priority="71">
      <formula>数据表!$I$32=1</formula>
    </cfRule>
  </conditionalFormatting>
  <conditionalFormatting sqref="AO61">
    <cfRule type="expression" dxfId="2" priority="55">
      <formula>数据表!$I$48=1</formula>
    </cfRule>
  </conditionalFormatting>
  <conditionalFormatting sqref="Q62">
    <cfRule type="expression" dxfId="2" priority="100">
      <formula>数据表!$I$7=1</formula>
    </cfRule>
  </conditionalFormatting>
  <conditionalFormatting sqref="Y62">
    <cfRule type="expression" dxfId="2" priority="92">
      <formula>数据表!$I$25=1</formula>
    </cfRule>
  </conditionalFormatting>
  <conditionalFormatting sqref="AG62">
    <cfRule type="expression" dxfId="2" priority="70">
      <formula>数据表!$I$33=1</formula>
    </cfRule>
  </conditionalFormatting>
  <conditionalFormatting sqref="AO62">
    <cfRule type="expression" dxfId="2" priority="54">
      <formula>数据表!$I$49=1</formula>
    </cfRule>
  </conditionalFormatting>
  <conditionalFormatting sqref="Q63">
    <cfRule type="expression" dxfId="2" priority="99">
      <formula>数据表!$I$8=1</formula>
    </cfRule>
  </conditionalFormatting>
  <conditionalFormatting sqref="Y63">
    <cfRule type="expression" dxfId="2" priority="91">
      <formula>数据表!$I$26=1</formula>
    </cfRule>
  </conditionalFormatting>
  <conditionalFormatting sqref="AG63">
    <cfRule type="expression" dxfId="2" priority="69">
      <formula>数据表!$I$34=1</formula>
    </cfRule>
  </conditionalFormatting>
  <conditionalFormatting sqref="AO63">
    <cfRule type="expression" dxfId="2" priority="53">
      <formula>数据表!$I$50=1</formula>
    </cfRule>
  </conditionalFormatting>
  <conditionalFormatting sqref="Q64">
    <cfRule type="expression" dxfId="2" priority="98">
      <formula>数据表!$I$9=1</formula>
    </cfRule>
  </conditionalFormatting>
  <conditionalFormatting sqref="Y64">
    <cfRule type="expression" dxfId="2" priority="90">
      <formula>数据表!$I$27=1</formula>
    </cfRule>
  </conditionalFormatting>
  <conditionalFormatting sqref="AG64">
    <cfRule type="expression" dxfId="2" priority="68">
      <formula>数据表!$I$35=1</formula>
    </cfRule>
  </conditionalFormatting>
  <conditionalFormatting sqref="AO64">
    <cfRule type="expression" dxfId="2" priority="52">
      <formula>数据表!$I$51=1</formula>
    </cfRule>
  </conditionalFormatting>
  <conditionalFormatting sqref="AG65">
    <cfRule type="expression" dxfId="2" priority="67">
      <formula>数据表!$I$36=1</formula>
    </cfRule>
  </conditionalFormatting>
  <conditionalFormatting sqref="AO65">
    <cfRule type="expression" dxfId="2" priority="51">
      <formula>数据表!$I$52=1</formula>
    </cfRule>
  </conditionalFormatting>
  <conditionalFormatting sqref="AG66">
    <cfRule type="expression" dxfId="2" priority="66">
      <formula>数据表!$I$37=1</formula>
    </cfRule>
  </conditionalFormatting>
  <conditionalFormatting sqref="AO66">
    <cfRule type="expression" dxfId="2" priority="50">
      <formula>数据表!$I$53=1</formula>
    </cfRule>
  </conditionalFormatting>
  <conditionalFormatting sqref="AG67">
    <cfRule type="expression" dxfId="2" priority="65">
      <formula>数据表!$I$38=1</formula>
    </cfRule>
  </conditionalFormatting>
  <conditionalFormatting sqref="AO67">
    <cfRule type="expression" dxfId="2" priority="49">
      <formula>数据表!$I$54=1</formula>
    </cfRule>
  </conditionalFormatting>
  <conditionalFormatting sqref="Y68:AD68">
    <cfRule type="expression" dxfId="2" priority="80">
      <formula>数据表!$I$15=1</formula>
    </cfRule>
  </conditionalFormatting>
  <conditionalFormatting sqref="AG68">
    <cfRule type="expression" dxfId="2" priority="64">
      <formula>数据表!$I$39=1</formula>
    </cfRule>
  </conditionalFormatting>
  <conditionalFormatting sqref="AO68">
    <cfRule type="expression" dxfId="2" priority="48">
      <formula>数据表!$I$55=1</formula>
    </cfRule>
  </conditionalFormatting>
  <conditionalFormatting sqref="Q69">
    <cfRule type="expression" dxfId="2" priority="88">
      <formula>数据表!$I$11=1</formula>
    </cfRule>
  </conditionalFormatting>
  <conditionalFormatting sqref="Y69">
    <cfRule type="expression" dxfId="2" priority="79">
      <formula>数据表!$I$16=1</formula>
    </cfRule>
  </conditionalFormatting>
  <conditionalFormatting sqref="AG69">
    <cfRule type="expression" dxfId="2" priority="63">
      <formula>数据表!$I$40=1</formula>
    </cfRule>
  </conditionalFormatting>
  <conditionalFormatting sqref="AO69">
    <cfRule type="expression" dxfId="2" priority="47">
      <formula>数据表!$I$56=1</formula>
    </cfRule>
  </conditionalFormatting>
  <conditionalFormatting sqref="Q70">
    <cfRule type="expression" dxfId="2" priority="87">
      <formula>数据表!$I$12=1</formula>
    </cfRule>
  </conditionalFormatting>
  <conditionalFormatting sqref="Y70">
    <cfRule type="expression" dxfId="2" priority="78">
      <formula>数据表!$I$17=1</formula>
    </cfRule>
  </conditionalFormatting>
  <conditionalFormatting sqref="AG70">
    <cfRule type="expression" dxfId="2" priority="62">
      <formula>数据表!$I$41=1</formula>
    </cfRule>
  </conditionalFormatting>
  <conditionalFormatting sqref="AO70">
    <cfRule type="expression" dxfId="2" priority="46">
      <formula>数据表!$I$57=1</formula>
    </cfRule>
  </conditionalFormatting>
  <conditionalFormatting sqref="Q71">
    <cfRule type="expression" dxfId="2" priority="82">
      <formula>数据表!$I$13=1</formula>
    </cfRule>
  </conditionalFormatting>
  <conditionalFormatting sqref="Y71">
    <cfRule type="expression" dxfId="2" priority="77">
      <formula>数据表!$I$18=1</formula>
    </cfRule>
  </conditionalFormatting>
  <conditionalFormatting sqref="AG71">
    <cfRule type="expression" dxfId="2" priority="61">
      <formula>数据表!$I$42=1</formula>
    </cfRule>
  </conditionalFormatting>
  <conditionalFormatting sqref="AO71">
    <cfRule type="expression" dxfId="2" priority="45">
      <formula>数据表!$I$58=1</formula>
    </cfRule>
  </conditionalFormatting>
  <conditionalFormatting sqref="Q72">
    <cfRule type="expression" dxfId="2" priority="81">
      <formula>数据表!$I$14=1</formula>
    </cfRule>
  </conditionalFormatting>
  <conditionalFormatting sqref="Y72">
    <cfRule type="expression" dxfId="2" priority="76">
      <formula>数据表!$I$19=1</formula>
    </cfRule>
  </conditionalFormatting>
  <conditionalFormatting sqref="AG72">
    <cfRule type="expression" dxfId="2" priority="60">
      <formula>数据表!$I$43=1</formula>
    </cfRule>
  </conditionalFormatting>
  <conditionalFormatting sqref="AO72">
    <cfRule type="expression" dxfId="2" priority="44">
      <formula>数据表!$I$59=1</formula>
    </cfRule>
  </conditionalFormatting>
  <conditionalFormatting sqref="AX3:BQ3 AX5:BQ5">
    <cfRule type="expression" dxfId="3" priority="471">
      <formula>$BQ$1="是"</formula>
    </cfRule>
  </conditionalFormatting>
  <conditionalFormatting sqref="P57:P64 X57:X64 AF57:AF72 AN57:AN72 P68:P72 X68:X72">
    <cfRule type="containsText" dxfId="4" priority="107" operator="between" text=" ">
      <formula>NOT(ISERROR(SEARCH(" ",P57)))</formula>
    </cfRule>
  </conditionalFormatting>
  <conditionalFormatting sqref="Q68:V72 Y68:AD72 AO57:AT72 AG57:AL72 Y57:AD64 Q57:V64">
    <cfRule type="duplicateValues" dxfId="5" priority="343"/>
  </conditionalFormatting>
  <conditionalFormatting sqref="X57:X64 AF57:AF72 AN57:AN72">
    <cfRule type="containsText" dxfId="6" priority="236" operator="between" text=".">
      <formula>NOT(ISERROR(SEARCH(".",X57)))</formula>
    </cfRule>
  </conditionalFormatting>
  <conditionalFormatting sqref="Q68:V72">
    <cfRule type="expression" dxfId="2" priority="89">
      <formula>数据表!$I$10=1</formula>
    </cfRule>
  </conditionalFormatting>
  <dataValidations count="97">
    <dataValidation type="list" allowBlank="1" showInputMessage="1" showErrorMessage="1" sqref="BQ1 X20 AS31:AT31">
      <formula1>"是,否"</formula1>
    </dataValidation>
    <dataValidation allowBlank="1" showInputMessage="1" showErrorMessage="1" promptTitle="此扩展包括以下内容：" prompt="27个子职&#10;15个种族专长&#10;以及83道法术" sqref="BT3:CC3"/>
    <dataValidation allowBlank="1" showInputMessage="1" showErrorMessage="1" promptTitle="此扩展包括以下内容：" prompt="血猎手职业及其4项子职" sqref="CF3:CN3"/>
    <dataValidation allowBlank="1" showInputMessage="1" showErrorMessage="1" promptTitle="此扩展包括以下内容：" prompt="19个子职&#10;5个专长&#10;21道法术" sqref="BT4:CC4"/>
    <dataValidation allowBlank="1" showInputMessage="1" showErrorMessage="1" promptTitle="此扩展包括以下内容：" prompt="5个背景&#10;9个子职&#10;7个专长&#10;以及2道法术" sqref="CF4:CN4"/>
    <dataValidation allowBlank="1" showInputMessage="1" showErrorMessage="1" promptTitle="此扩展包括以下内容：" prompt="27个种族&#10;注：部分种族被后续更新的扩展所覆盖" sqref="BT5:CC5"/>
    <dataValidation allowBlank="1" showInputMessage="1" showErrorMessage="1" promptTitle="此扩展包括以下内容：" prompt="2个种族&#10;6个子职&#10;以及10道法术" sqref="CF5:CN5"/>
    <dataValidation type="list" allowBlank="1" showInputMessage="1" sqref="I6:N6">
      <formula1>OFFSET(职业!$AD$2,,,SUMPRODUCT(N(LEN(职业!$AD$2:$AD$24)&gt;0)),)</formula1>
    </dataValidation>
    <dataValidation type="list" allowBlank="1" showInputMessage="1" sqref="T6:X6">
      <formula1>OFFSET(种族!$BQ$2:$BQ$120,,,SUMPRODUCT(N(LEN(种族!$BQ$2:$BQ$120)&gt;0)),)</formula1>
    </dataValidation>
    <dataValidation allowBlank="1" showInputMessage="1" showErrorMessage="1" promptTitle="此扩展包括以下内容：" prompt="2个子职&#10;以及3个专长" sqref="BT6:CC6"/>
    <dataValidation allowBlank="1" showInputMessage="1" showErrorMessage="1" promptTitle="此扩展包括以下内容：" prompt="5个背景&#10;（以下均未被不全书收录）&#10;药剂师职业及其6个子职&#10;15个子职&#10;37道法术" sqref="CF6:CN6"/>
    <dataValidation type="list" allowBlank="1" showInputMessage="1" sqref="I7:N7">
      <formula1>OFFSET(职业!$AG$2,,,SUMPRODUCT(N(LEN(职业!$AG$2:$AG$24)&gt;0)),)</formula1>
    </dataValidation>
    <dataValidation type="list" allowBlank="1" showInputMessage="1" sqref="T7:X7">
      <formula1>OFFSET(种族!$BS$2,,,SUMPRODUCT(N(LEN(种族!$BS$2:$BS$15)&gt;0)),)</formula1>
    </dataValidation>
    <dataValidation allowBlank="1" showInputMessage="1" showErrorMessage="1" prompt="在此处填上额外生命值成长数值，如专长，种族，职业特性等带来的每级生命值" sqref="AX7:AZ7"/>
    <dataValidation allowBlank="1" showInputMessage="1" showErrorMessage="1" prompt="在此处填上如援助术等效果所提供的最大生命值" sqref="BB7:BD7"/>
    <dataValidation allowBlank="1" showInputMessage="1" showErrorMessage="1" promptTitle="此扩展包括以下内容：" prompt="1个子职&#10;2个背景&#10;8个专长" sqref="BT7:CC7"/>
    <dataValidation allowBlank="1" showInputMessage="1" showErrorMessage="1" promptTitle="此扩展包括以下内容：" prompt="10个种族&#10;4个职业&#10;以及10道法术" sqref="CF7:CN7"/>
    <dataValidation type="list" allowBlank="1" showInputMessage="1" sqref="I8:N8">
      <formula1>OFFSET(职业!$AJ$2,,,SUMPRODUCT(N(LEN(职业!$AJ$2:$AJ$24)&gt;0)),)</formula1>
    </dataValidation>
    <dataValidation type="list" allowBlank="1" showInputMessage="1" sqref="T8">
      <formula1>"守序善良,中立善良,混乱善良,守序中立,绝对中立,混乱中立,守序邪恶,中立邪恶,混乱邪恶,无阵营"</formula1>
    </dataValidation>
    <dataValidation allowBlank="1" showInputMessage="1" showErrorMessage="1" promptTitle="此扩展包括以下内容：" prompt="2个背景&#10;1个专长&#10;以及3道法术" sqref="BT8:CC8"/>
    <dataValidation allowBlank="1" showInputMessage="1" showErrorMessage="1" promptTitle="此扩展包括以下内容：" prompt="14个种族&#10;10个子职&#10;以及52道法术" sqref="CF8:CN8"/>
    <dataValidation type="list" allowBlank="1" showInputMessage="1" sqref="E9:N9">
      <formula1>数据表!$CI$3:$CI$22</formula1>
    </dataValidation>
    <dataValidation type="list" allowBlank="1" showInputMessage="1" sqref="AW9:BB9 E6:H8">
      <formula1>OFFSET(职业!$AA$3:$AA$22,,,SUMPRODUCT(N(LEN(职业!$AA$3:$AA$22)&gt;0)),)</formula1>
    </dataValidation>
    <dataValidation type="list" allowBlank="1" showInputMessage="1" prompt="该表格整合收录了部分拓展职业，如果要使用拓展职业请先咨询下你家的DM哦~&#10;" sqref="BD9:BI9">
      <formula1>OFFSET(职业!$AM$2,,,SUMPRODUCT(N(LEN(职业!$AM$2:$AM$24)&gt;0)),)</formula1>
    </dataValidation>
    <dataValidation allowBlank="1" showInputMessage="1" showErrorMessage="1" promptTitle="此扩展包括以下内容：" prompt="邪狱使职业及其5项子职&#10;以及8道法术" sqref="CF9:CN9"/>
    <dataValidation allowBlank="1" showInputMessage="1" showErrorMessage="1" promptTitle="此扩展包括以下内容：" prompt="8个子职&#10;18个新背景&#10;8个起源专长，13个通用专长，13个传奇恩惠&#10;以及19道法术" sqref="BT10:CC10"/>
    <dataValidation allowBlank="1" showInputMessage="1" showErrorMessage="1" promptTitle="此扩展包括以下内容：" prompt="2个种族&#10;以及12个子职" sqref="CF10:CN10"/>
    <dataValidation allowBlank="1" showInputMessage="1" showErrorMessage="1" promptTitle="此扩展包括以下内容：" prompt="2个背景&#10;2个起源专长&#10;5个种族，2个精灵亚种" sqref="BT11:CC11"/>
    <dataValidation allowBlank="1" showInputMessage="1" showErrorMessage="1" promptTitle="此扩展包括以下内容：" prompt="4个种族&#10;11个子职&#10;6个背景&#10;新武器、工具、护甲&#10;20个专长&#10;以及50道法术" sqref="CF11:CN11"/>
    <dataValidation allowBlank="1" showInputMessage="1" showErrorMessage="1" promptTitle="此扩展包括以下内容：" sqref="BT12:CC12 BT14:CC14 BT16:CC16 CF17:CN22"/>
    <dataValidation allowBlank="1" showInputMessage="1" showErrorMessage="1" promptTitle="此扩展包括以下内容：" prompt="铳士及其6个子职&#10;6个新子职&#10;2个种族&#10;4个专长&#10;以及23道法术" sqref="CF12:CN12"/>
    <dataValidation allowBlank="1" showInputMessage="1" showErrorMessage="1" promptTitle="此扩展包括以下内容：" prompt="奇械师职业及其5项子职&#10;1道新法术&#10;17个背景&#10;13个起源专长&#10;14个通用专长&#10;以及1个传奇恩惠&#10;注：此处的种族覆盖了MPMM的部分种族选项" sqref="BT13:CC13"/>
    <dataValidation allowBlank="1" showInputMessage="1" showErrorMessage="1" promptTitle="此扩展包括以下内容：" prompt="13个种族&#10;15个子职&#10;13个背景&#10;12个起源专长&#10;2个通用专长&#10;以及40道法术" sqref="CF13:CN13"/>
    <dataValidation allowBlank="1" showInputMessage="1" showErrorMessage="1" promptTitle="此扩展包括以下内容：" prompt="1个背景&#10;2个工具&#10;5个起源专长&#10;12个子职&#10;以及25道法术" sqref="CF14:CN14"/>
    <dataValidation allowBlank="1" showInputMessage="1" showErrorMessage="1" promptTitle="此扩展包括以下内容：" prompt="3个种族&#10;以及10个背景" sqref="BT15:CC15"/>
    <dataValidation allowBlank="1" showInputMessage="1" showErrorMessage="1" promptTitle="此扩展包括以下内容：" prompt="4个种族" sqref="CF15:CN15"/>
    <dataValidation allowBlank="1" showInputMessage="1" showErrorMessage="1" promptTitle="此扩展包括以下内容：" prompt="拳斗士职业及其6个子职&#10;以及3个简易近战武器" sqref="CF16:CN16"/>
    <dataValidation allowBlank="1" showInputMessage="1" showErrorMessage="1" promptTitle="此扩展包括以下内容：" prompt="5个背景&#10;1个种族&#10;以及7道法术" sqref="BT17:CC17"/>
    <dataValidation allowBlank="1" showInputMessage="1" showErrorMessage="1" promptTitle="此扩展包括以下内容：" prompt="1个背景&#10;以及1个种族" sqref="BT18:CC18"/>
    <dataValidation allowBlank="1" showInputMessage="1" showErrorMessage="1" promptTitle="此扩展包括以下内容：" prompt="3个血统&#10;2个背景&#10;以及2个子职" sqref="BT19:CC19"/>
    <dataValidation allowBlank="1" showInputMessage="1" showErrorMessage="1" promptTitle="此扩展包括以下内容：" prompt="1个种族&#10;5个背景&#10;2个专长&#10;以及5道法术" sqref="BT20:CC20"/>
    <dataValidation allowBlank="1" showInputMessage="1" showErrorMessage="1" promptTitle="此扩展包括以下内容：" prompt="2个背景&#10;以及6个种族" sqref="BT21:CC21"/>
    <dataValidation allowBlank="1" showInputMessage="1" showErrorMessage="1" promptTitle="此扩展包括以下内容：" prompt="2个背景&#10;以及2道法术" sqref="BT22:CC22"/>
    <dataValidation allowBlank="1" showInputMessage="1" showErrorMessage="1" promptTitle="此扩展包括以下内容：" prompt="3个子职&#10;2个背景&#10;以及15道法术" sqref="BT23:CC23"/>
    <dataValidation allowBlank="1" showInputMessage="1" showErrorMessage="1" promptTitle="此扩展包括以下内容：" prompt="灵能使职业及其3项子职&#10;灵能1期的10个专长" sqref="CF23:CN23"/>
    <dataValidation type="list" allowBlank="1" showInputMessage="1" sqref="N25:R25">
      <formula1>数据表!$CL$16:$CL$21</formula1>
    </dataValidation>
    <dataValidation type="list" allowBlank="1" showInputMessage="1" showErrorMessage="1" sqref="F26 H26">
      <formula1>"力量,敏捷,体质,智力,感知,魅力"</formula1>
    </dataValidation>
    <dataValidation type="list" allowBlank="1" showInputMessage="1" sqref="BZ27:CO27">
      <formula1>种族!$CA$2</formula1>
    </dataValidation>
    <dataValidation type="list" allowBlank="1" showInputMessage="1" sqref="BZ28:CO28">
      <formula1>种族!$CA$3</formula1>
    </dataValidation>
    <dataValidation type="list" allowBlank="1" showInputMessage="1" showErrorMessage="1" sqref="AS29:AT29">
      <formula1>"默认,力量,敏捷,体质,智力,感知,魅力"</formula1>
    </dataValidation>
    <dataValidation type="list" allowBlank="1" showInputMessage="1" sqref="BZ29:CO29">
      <formula1>种族!$CA$4</formula1>
    </dataValidation>
    <dataValidation type="list" allowBlank="1" showInputMessage="1" showErrorMessage="1" sqref="J30">
      <formula1>"X,O"</formula1>
    </dataValidation>
    <dataValidation type="list" allowBlank="1" showInputMessage="1" sqref="BZ30:CO30">
      <formula1>种族!$CA$5</formula1>
    </dataValidation>
    <dataValidation type="list" allowBlank="1" showInputMessage="1" sqref="L31:O31">
      <formula1>OFFSET(装备!$AZ$11:$AZ$50,,,SUMPRODUCT(N(LEN(装备!$AZ$11:$AZ$50)&gt;0)),)</formula1>
    </dataValidation>
    <dataValidation type="list" allowBlank="1" showInputMessage="1" prompt="X=无同调&#10;O=有同调" sqref="P31 AJ31 P33:P37 P39:P48">
      <formula1>"X,O"</formula1>
    </dataValidation>
    <dataValidation type="list" allowBlank="1" showInputMessage="1" sqref="V31:Z31">
      <formula1>装备!$AY$12</formula1>
    </dataValidation>
    <dataValidation type="list" allowBlank="1" showInputMessage="1" sqref="BZ31:CO31">
      <formula1>种族!$CA$6</formula1>
    </dataValidation>
    <dataValidation type="list" allowBlank="1" showInputMessage="1" prompt="X=无熟练&#10;O=有熟练&#10;🅞=双倍熟练" sqref="B32 B34:B36 B38:B42 B44:B48 B50:B53">
      <formula1>"X,O,🅞"</formula1>
    </dataValidation>
    <dataValidation type="list" allowBlank="1" showInputMessage="1" sqref="BZ32:CO32">
      <formula1>种族!$CA$7</formula1>
    </dataValidation>
    <dataValidation type="list" allowBlank="1" showInputMessage="1" sqref="V33:AB33">
      <formula1>装备!$AS$2</formula1>
    </dataValidation>
    <dataValidation type="list" allowBlank="1" showInputMessage="1" sqref="BZ33:CO33">
      <formula1>种族!$CA$8</formula1>
    </dataValidation>
    <dataValidation type="list" allowBlank="1" showInputMessage="1" sqref="V34:AB34">
      <formula1>装备!$AS$3</formula1>
    </dataValidation>
    <dataValidation type="list" allowBlank="1" showInputMessage="1" sqref="BZ34:CO34">
      <formula1>种族!$CA$9</formula1>
    </dataValidation>
    <dataValidation type="list" allowBlank="1" showInputMessage="1" sqref="V35:AB35">
      <formula1>装备!$AS$4</formula1>
    </dataValidation>
    <dataValidation type="list" allowBlank="1" showInputMessage="1" sqref="BZ35:CO35">
      <formula1>种族!$CA$10</formula1>
    </dataValidation>
    <dataValidation type="list" allowBlank="1" showInputMessage="1" sqref="V36:AB36">
      <formula1>装备!$AS$5</formula1>
    </dataValidation>
    <dataValidation type="list" allowBlank="1" showInputMessage="1" sqref="BZ36:CO36">
      <formula1>种族!$CA$11</formula1>
    </dataValidation>
    <dataValidation type="list" allowBlank="1" showInputMessage="1" sqref="V37:AB37">
      <formula1>装备!$AS$6</formula1>
    </dataValidation>
    <dataValidation type="list" allowBlank="1" showInputMessage="1" sqref="BZ37:CO37">
      <formula1>种族!$CA$12</formula1>
    </dataValidation>
    <dataValidation type="list" allowBlank="1" showInputMessage="1" sqref="BZ38:CO38">
      <formula1>种族!$CA$13</formula1>
    </dataValidation>
    <dataValidation type="list" allowBlank="1" showInputMessage="1" sqref="BZ39:CO39">
      <formula1>种族!$CA$14</formula1>
    </dataValidation>
    <dataValidation allowBlank="1" showInputMessage="1" showErrorMessage="1" prompt="金币是度量财富的标准单位&#10;一枚钱币的重量大约有三分之一盎司，50枚钱币则大约有一磅沉。" sqref="AI50:AM50"/>
    <dataValidation allowBlank="1" showInputMessage="1" showErrorMessage="1" prompt="一枚铂金币价值十枚金币" sqref="AP50:AT50"/>
    <dataValidation allowBlank="1" showInputMessage="1" showErrorMessage="1" prompt="一枚金银币价值五枚银币，即半枚金币" sqref="AI51:AM51"/>
    <dataValidation type="list" allowBlank="1" showInputMessage="1" showErrorMessage="1" sqref="V52">
      <formula1>"最大载重,负重状态"</formula1>
    </dataValidation>
    <dataValidation allowBlank="1" showInputMessage="1" showErrorMessage="1" prompt="十枚银币值一枚金币" sqref="AI52:AM52"/>
    <dataValidation allowBlank="1" showInputMessage="1" showErrorMessage="1" prompt="十枚铜币值一枚银币&#10;一百枚铜币值一枚金币" sqref="AI53:AM53"/>
    <dataValidation type="list" allowBlank="1" showInputMessage="1" sqref="BZ57:CO57">
      <formula1>专长与据点!$I$4</formula1>
    </dataValidation>
    <dataValidation type="list" allowBlank="1" showInputMessage="1" sqref="BZ58:CO58">
      <formula1>专长与据点!$I$5</formula1>
    </dataValidation>
    <dataValidation type="list" allowBlank="1" showInputMessage="1" sqref="BZ59:CO59">
      <formula1>专长与据点!$I$6</formula1>
    </dataValidation>
    <dataValidation type="list" allowBlank="1" showInputMessage="1" sqref="BT60:BY60">
      <formula1>专长与据点!$D$4:$D$15</formula1>
    </dataValidation>
    <dataValidation type="list" allowBlank="1" showInputMessage="1" sqref="BZ60:CO60">
      <formula1>专长与据点!$I$7</formula1>
    </dataValidation>
    <dataValidation type="list" allowBlank="1" showInputMessage="1" sqref="B61:E61">
      <formula1>数据表!$O$2:$O$19</formula1>
    </dataValidation>
    <dataValidation type="list" allowBlank="1" showInputMessage="1" sqref="B76:G76">
      <formula1>OFFSET(数据表!$K$1:$K$59,,,SUMPRODUCT(N(LEN(数据表!$K$1:$K$59)&gt;0)))</formula1>
    </dataValidation>
    <dataValidation type="list" allowBlank="1" showInputMessage="1" prompt="X=无熟练&#10;O=有熟练" sqref="B13:B18 AC33:AC37">
      <formula1>"X,O"</formula1>
    </dataValidation>
    <dataValidation allowBlank="1" showInputMessage="1" showErrorMessage="1" prompt="由于部分武器仅具有命中或伤害加值，因此该处加值只会被攻击骰结算。&#10;如需加上伤害骰加值可以直接修改伤害骰。&#10;" sqref="U33:U37"/>
    <dataValidation allowBlank="1" showInputMessage="1" showErrorMessage="1" sqref="AK34:AK37"/>
    <dataValidation type="list" allowBlank="1" showInputMessage="1" sqref="CD3:CD8 CD10:CD23 CO3:CO23">
      <formula1>"O,X"</formula1>
    </dataValidation>
    <dataValidation type="list" allowBlank="1" showInputMessage="1" sqref="R39:S48">
      <formula1>装备!$AD$10:$AD$33</formula1>
    </dataValidation>
    <dataValidation type="list" allowBlank="1" showInputMessage="1" sqref="L33:O37">
      <formula1>OFFSET(装备!$AG$3:$AG$90,,,SUMPRODUCT(N(LEN(装备!$AG$3:$AG$90)&gt;0)),)</formula1>
    </dataValidation>
    <dataValidation type="list" allowBlank="1" showInputMessage="1" sqref="BT27:BY39">
      <formula1>OFFSET(种族!$BY$2,,,SUMPRODUCT(N(LEN(种族!$BY$2:$BY$17)&gt;0)),)</formula1>
    </dataValidation>
    <dataValidation type="list" allowBlank="1" showInputMessage="1" sqref="BT57:BY59">
      <formula1>专长与据点!$D$4:$D$17</formula1>
    </dataValidation>
    <dataValidation type="list" allowBlank="1" showInputMessage="1" sqref="Q57:V64 Q68:V72 Y57:AD64 Y68:AD72 AG57:AL72 AO57:AT72">
      <formula1>OFFSET(数据表!$F$2:$F$301,,,SUMPRODUCT(N(LEN(数据表!$F$2:$F$301)&gt;0)),)</formula1>
    </dataValidation>
    <dataValidation type="list" allowBlank="1" showInputMessage="1" sqref="AX11:BB68">
      <formula1>OFFSET(职业!$CU$2,,,SUMPRODUCT(N(LEN(职业!$CU$2:$CU$101)&gt;0)))</formula1>
    </dataValidation>
    <dataValidation type="list" allowBlank="1" showInputMessage="1" sqref="BU43:BY53">
      <formula1>OFFSET(专长与据点!$A:$A,,,SUMPRODUCT(N(LEN(专长与据点!$A:$A)&gt;0)),)</formula1>
    </dataValidation>
    <dataValidation type="list" allowBlank="1" showInputMessage="1" sqref="BZ43:CO53">
      <formula1>专长与据点!$G4</formula1>
    </dataValidation>
    <dataValidation type="list" allowBlank="1" showInputMessage="1" sqref="BC11:BR68">
      <formula1>职业!$CX2</formula1>
    </dataValidation>
  </dataValidations>
  <printOptions horizontalCentered="1"/>
  <pageMargins left="0" right="0" top="0" bottom="0" header="0" footer="0"/>
  <pageSetup paperSize="9" scale="95" fitToHeight="0" orientation="portrait"/>
  <headerFooter/>
  <rowBreaks count="1" manualBreakCount="1">
    <brk id="100" max="45" man="1"/>
  </rowBreaks>
  <drawing r:id="rId2"/>
  <legacyDrawing r:id="rId3"/>
  <extLst>
    <ext xmlns:x14="http://schemas.microsoft.com/office/spreadsheetml/2009/9/main" uri="{78C0D931-6437-407d-A8EE-F0AAD7539E65}">
      <x14:conditionalFormattings>
        <x14:conditionalFormatting xmlns:xm="http://schemas.microsoft.com/office/excel/2006/main">
          <x14:cfRule type="dataBar" id="{678edce9-4379-4cdc-83d4-08e397d28a63}">
            <x14:dataBar minLength="0" maxLength="100" direction="leftToRight" axisPosition="none">
              <x14:cfvo type="formula">
                <xm:f>数据表!$CI$23</xm:f>
              </x14:cfvo>
              <x14:cfvo type="formula">
                <xm:f>数据表!$CJ$23</xm:f>
              </x14:cfvo>
              <x14:negativeFillColor rgb="FFFF0000"/>
              <x14:axisColor rgb="FF000000"/>
            </x14:dataBar>
          </x14:cfRule>
          <xm:sqref>E9:J9</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CP363"/>
  <sheetViews>
    <sheetView zoomScale="70" zoomScaleNormal="70" topLeftCell="J1" workbookViewId="0">
      <selection activeCell="AA23" sqref="AA23"/>
    </sheetView>
  </sheetViews>
  <sheetFormatPr defaultColWidth="9" defaultRowHeight="16.5" customHeight="1"/>
  <cols>
    <col min="1" max="1" width="3.78181818181818" style="729" customWidth="1"/>
    <col min="2" max="2" width="9.78181818181818" style="551" customWidth="1"/>
    <col min="3" max="4" width="3.78181818181818" style="551" customWidth="1"/>
    <col min="5" max="5" width="3.78181818181818" style="729" customWidth="1"/>
    <col min="6" max="6" width="9.78181818181818" style="551" customWidth="1"/>
    <col min="7" max="7" width="7.33636363636364" style="551" customWidth="1"/>
    <col min="8" max="8" width="9" style="551"/>
    <col min="9" max="10" width="3.78181818181818" style="551" customWidth="1"/>
    <col min="11" max="12" width="9" style="551"/>
    <col min="13" max="13" width="14.5545454545455" style="551" customWidth="1"/>
    <col min="14" max="15" width="9" style="551"/>
    <col min="16" max="16" width="10.1090909090909" style="551" customWidth="1"/>
    <col min="17" max="35" width="5.33636363636364" style="551" customWidth="1"/>
    <col min="36" max="36" width="6" style="551" customWidth="1"/>
    <col min="37" max="37" width="5.33636363636364" style="551" customWidth="1"/>
    <col min="38" max="83" width="2.33636363636364" style="551" customWidth="1"/>
    <col min="84" max="84" width="9" style="551"/>
    <col min="86" max="16384" width="9" style="551"/>
  </cols>
  <sheetData>
    <row r="1" customHeight="1" spans="2:94">
      <c r="B1" s="551" t="s">
        <v>245</v>
      </c>
      <c r="C1" s="551" t="s">
        <v>246</v>
      </c>
      <c r="D1" s="551" t="s">
        <v>247</v>
      </c>
      <c r="E1" s="551" t="s">
        <v>248</v>
      </c>
      <c r="I1" s="551" t="s">
        <v>249</v>
      </c>
      <c r="J1" s="551" t="s">
        <v>250</v>
      </c>
      <c r="K1" s="558" t="str" cm="1">
        <f t="array" ref="K1">IFERROR(INDEX($H$1:$H$68,SMALL(IF($H$2:$H$68&lt;&gt;"",ROW($H$2:$H$68),4^8),ROW(1:1)))&amp;"","")</f>
        <v/>
      </c>
      <c r="M1" s="559" t="s">
        <v>24</v>
      </c>
      <c r="O1" s="736"/>
      <c r="P1" s="560">
        <v>1</v>
      </c>
      <c r="Q1" s="560">
        <v>2</v>
      </c>
      <c r="R1" s="560">
        <v>3</v>
      </c>
      <c r="S1" s="560">
        <v>4</v>
      </c>
      <c r="T1" s="560">
        <v>5</v>
      </c>
      <c r="U1" s="560">
        <v>6</v>
      </c>
      <c r="V1" s="560">
        <v>7</v>
      </c>
      <c r="W1" s="560">
        <v>8</v>
      </c>
      <c r="X1" s="560">
        <v>9</v>
      </c>
      <c r="Y1" s="560">
        <v>10</v>
      </c>
      <c r="Z1" s="560">
        <v>11</v>
      </c>
      <c r="AA1" s="560">
        <v>12</v>
      </c>
      <c r="AB1" s="560">
        <v>13</v>
      </c>
      <c r="AC1" s="560">
        <v>14</v>
      </c>
      <c r="AD1" s="560">
        <v>15</v>
      </c>
      <c r="AE1" s="560">
        <v>16</v>
      </c>
      <c r="AF1" s="560">
        <v>17</v>
      </c>
      <c r="AG1" s="560">
        <v>18</v>
      </c>
      <c r="AH1" s="560">
        <v>19</v>
      </c>
      <c r="AI1" s="736">
        <v>20</v>
      </c>
      <c r="AJ1" s="743" t="s">
        <v>251</v>
      </c>
      <c r="CI1" s="560" t="s">
        <v>81</v>
      </c>
      <c r="CJ1" s="560"/>
      <c r="CK1" s="560"/>
      <c r="CL1" s="560"/>
      <c r="CM1" s="560" t="s">
        <v>251</v>
      </c>
      <c r="CN1" s="560" t="s">
        <v>252</v>
      </c>
      <c r="CO1" s="560" t="s">
        <v>253</v>
      </c>
      <c r="CP1" s="560" t="s">
        <v>252</v>
      </c>
    </row>
    <row r="2" customHeight="1" spans="1:94">
      <c r="A2" s="729">
        <v>1</v>
      </c>
      <c r="B2" s="551" t="str">
        <f>IF(法术书!X3="","",法术书!X3)</f>
        <v/>
      </c>
      <c r="C2" s="551" t="str">
        <f>IFERROR(VLOOKUP(B2,法术大全!$A:$W,5,FALSE),"")</f>
        <v/>
      </c>
      <c r="D2" s="730" t="str">
        <f>IFERROR(VLOOKUP(B2,法术大全!$A:$W,4,FALSE),"")</f>
        <v/>
      </c>
      <c r="E2" s="729">
        <v>1</v>
      </c>
      <c r="F2" s="731" t="str" cm="1">
        <f t="array" ref="F2">IFERROR(INDEX($B$1:$B$301,SMALL(IF($B$1:$B$301&lt;&gt;"",ROW($B$1:$B$301),4^8),ROW(2:2)))&amp;"","")</f>
        <v/>
      </c>
      <c r="G2" s="558" t="s">
        <v>254</v>
      </c>
      <c r="H2" s="732" t="str">
        <f>IF(主要!Q57&lt;&gt;"",主要!Q57,"")</f>
        <v/>
      </c>
      <c r="I2" s="551">
        <f>IF(VLOOKUP(H2,法术大全!$A$3:$E$864,4,0)="√",1,0)</f>
        <v>0</v>
      </c>
      <c r="J2" s="551">
        <f>IF(VLOOKUP(H2,法术大全!$A$3:$E$864,5,0)="√",1,0)</f>
        <v>0</v>
      </c>
      <c r="K2" s="558" t="str" cm="1">
        <f t="array" ref="K2">IFERROR(INDEX($H$1:$H$68,SMALL(IF($H$2:$H$68&lt;&gt;"",ROW($H$2:$H$68),4^8),ROW(2:2)))&amp;"","")</f>
        <v/>
      </c>
      <c r="M2" s="493" t="s">
        <v>255</v>
      </c>
      <c r="O2" s="737" t="s">
        <v>256</v>
      </c>
      <c r="P2" s="561">
        <v>4</v>
      </c>
      <c r="Q2" s="561">
        <v>5</v>
      </c>
      <c r="R2" s="561">
        <v>6</v>
      </c>
      <c r="S2" s="561">
        <v>7</v>
      </c>
      <c r="T2" s="561">
        <v>9</v>
      </c>
      <c r="U2" s="561">
        <v>10</v>
      </c>
      <c r="V2" s="561">
        <v>11</v>
      </c>
      <c r="W2" s="561">
        <v>12</v>
      </c>
      <c r="X2" s="561">
        <v>14</v>
      </c>
      <c r="Y2" s="561">
        <v>15</v>
      </c>
      <c r="Z2" s="561">
        <v>16</v>
      </c>
      <c r="AA2" s="561">
        <v>16</v>
      </c>
      <c r="AB2" s="561">
        <v>17</v>
      </c>
      <c r="AC2" s="561">
        <v>17</v>
      </c>
      <c r="AD2" s="561">
        <v>18</v>
      </c>
      <c r="AE2" s="561">
        <v>18</v>
      </c>
      <c r="AF2" s="561">
        <v>19</v>
      </c>
      <c r="AG2" s="561">
        <v>20</v>
      </c>
      <c r="AH2" s="561">
        <v>21</v>
      </c>
      <c r="AI2" s="737">
        <v>22</v>
      </c>
      <c r="AJ2" s="561">
        <f>职业!$AZ$3</f>
        <v>0</v>
      </c>
      <c r="AK2" s="561"/>
      <c r="AL2" s="749" t="s">
        <v>235</v>
      </c>
      <c r="AM2" s="749"/>
      <c r="AN2" s="749"/>
      <c r="AO2" s="749"/>
      <c r="AP2" s="749"/>
      <c r="AQ2" s="749"/>
      <c r="AR2" s="749"/>
      <c r="AS2" s="749"/>
      <c r="AT2" s="749"/>
      <c r="AU2" s="749"/>
      <c r="AV2" s="749"/>
      <c r="AW2" s="749"/>
      <c r="AX2" s="749"/>
      <c r="AY2" s="749"/>
      <c r="AZ2" s="749"/>
      <c r="BA2" s="749"/>
      <c r="BB2" s="749"/>
      <c r="BC2" s="749"/>
      <c r="BD2" s="749"/>
      <c r="BE2" s="749"/>
      <c r="BF2" s="749"/>
      <c r="BG2" s="749"/>
      <c r="BJ2" s="789" t="s">
        <v>236</v>
      </c>
      <c r="BK2" s="789"/>
      <c r="BL2" s="789"/>
      <c r="BM2" s="789"/>
      <c r="BN2" s="789"/>
      <c r="BO2" s="789"/>
      <c r="BP2" s="789"/>
      <c r="BQ2" s="789"/>
      <c r="BR2" s="789"/>
      <c r="BS2" s="789"/>
      <c r="BT2" s="789"/>
      <c r="BU2" s="789"/>
      <c r="BV2" s="789"/>
      <c r="BW2" s="789"/>
      <c r="BX2" s="789"/>
      <c r="BY2" s="789"/>
      <c r="BZ2" s="789"/>
      <c r="CA2" s="789"/>
      <c r="CB2" s="789"/>
      <c r="CC2" s="789"/>
      <c r="CD2" s="789"/>
      <c r="CE2" s="789"/>
      <c r="CI2" s="832" t="s">
        <v>257</v>
      </c>
      <c r="CJ2" s="833" t="s">
        <v>63</v>
      </c>
      <c r="CK2" s="742" t="s">
        <v>258</v>
      </c>
      <c r="CL2" s="551">
        <v>0</v>
      </c>
      <c r="CM2" s="742">
        <v>1</v>
      </c>
      <c r="CN2" s="551">
        <v>2</v>
      </c>
      <c r="CO2" s="843">
        <v>0</v>
      </c>
      <c r="CP2" s="730">
        <v>2</v>
      </c>
    </row>
    <row r="3" customHeight="1" spans="1:94">
      <c r="A3" s="729">
        <v>2</v>
      </c>
      <c r="B3" s="551" t="str">
        <f>IF(法术书!X4="","",法术书!X4)</f>
        <v/>
      </c>
      <c r="C3" s="551" t="str">
        <f>IFERROR(VLOOKUP(B3,法术大全!$A:$W,5,FALSE),"")</f>
        <v/>
      </c>
      <c r="D3" s="730" t="str">
        <f>IFERROR(VLOOKUP(B3,法术大全!$A:$W,4,FALSE),"")</f>
        <v/>
      </c>
      <c r="E3" s="729">
        <v>2</v>
      </c>
      <c r="F3" s="731" t="str" cm="1">
        <f t="array" ref="F3">IFERROR(INDEX($B$1:$B$301,SMALL(IF($B$1:$B$301&lt;&gt;"",ROW($B$1:$B$301),4^8),ROW(3:3)))&amp;"","")</f>
        <v/>
      </c>
      <c r="G3" s="558"/>
      <c r="H3" s="732" t="str">
        <f>IF(主要!Q58&lt;&gt;"",主要!Q58,"")</f>
        <v/>
      </c>
      <c r="I3" s="551">
        <f>IF(VLOOKUP(H3,法术大全!$A$3:$E$864,4,0)="√",1,0)</f>
        <v>0</v>
      </c>
      <c r="J3" s="551">
        <f>IF(VLOOKUP(H3,法术大全!$A$3:$E$864,5,0)="√",1,0)</f>
        <v>0</v>
      </c>
      <c r="K3" s="558" t="str" cm="1">
        <f t="array" ref="K3">IFERROR(INDEX($H$1:$H$68,SMALL(IF($H$2:$H$68&lt;&gt;"",ROW($H$2:$H$68),4^8),ROW(3:3)))&amp;"","")</f>
        <v/>
      </c>
      <c r="M3" s="493" t="s">
        <v>259</v>
      </c>
      <c r="O3" s="738" t="s">
        <v>260</v>
      </c>
      <c r="P3" s="739">
        <v>4</v>
      </c>
      <c r="Q3" s="739">
        <v>5</v>
      </c>
      <c r="R3" s="739">
        <v>6</v>
      </c>
      <c r="S3" s="739">
        <v>7</v>
      </c>
      <c r="T3" s="739">
        <v>9</v>
      </c>
      <c r="U3" s="739">
        <v>10</v>
      </c>
      <c r="V3" s="739">
        <v>11</v>
      </c>
      <c r="W3" s="739">
        <v>12</v>
      </c>
      <c r="X3" s="739">
        <v>14</v>
      </c>
      <c r="Y3" s="739">
        <v>15</v>
      </c>
      <c r="Z3" s="739">
        <v>16</v>
      </c>
      <c r="AA3" s="739">
        <v>16</v>
      </c>
      <c r="AB3" s="739">
        <v>17</v>
      </c>
      <c r="AC3" s="739">
        <v>17</v>
      </c>
      <c r="AD3" s="739">
        <v>18</v>
      </c>
      <c r="AE3" s="739">
        <v>18</v>
      </c>
      <c r="AF3" s="739">
        <v>19</v>
      </c>
      <c r="AG3" s="739">
        <v>20</v>
      </c>
      <c r="AH3" s="739">
        <v>21</v>
      </c>
      <c r="AI3" s="738">
        <v>22</v>
      </c>
      <c r="AJ3" s="739">
        <f>职业!$AZ$4</f>
        <v>0</v>
      </c>
      <c r="AK3" s="561"/>
      <c r="AL3" s="750"/>
      <c r="AM3" s="750"/>
      <c r="AN3" s="750"/>
      <c r="AO3" s="750"/>
      <c r="AP3" s="750"/>
      <c r="AQ3" s="750"/>
      <c r="AR3" s="750"/>
      <c r="AS3" s="750"/>
      <c r="AT3" s="750"/>
      <c r="AU3" s="750"/>
      <c r="AV3" s="750"/>
      <c r="AW3" s="750"/>
      <c r="AX3" s="750"/>
      <c r="AY3" s="750"/>
      <c r="AZ3" s="750"/>
      <c r="BA3" s="750"/>
      <c r="BB3" s="750"/>
      <c r="BC3" s="750"/>
      <c r="BD3" s="750"/>
      <c r="BE3" s="750"/>
      <c r="BF3" s="750"/>
      <c r="BG3" s="750"/>
      <c r="BJ3" s="760" t="s">
        <v>238</v>
      </c>
      <c r="BK3" s="760"/>
      <c r="BL3" s="760"/>
      <c r="BM3" s="760"/>
      <c r="BN3" s="760"/>
      <c r="BO3" s="760"/>
      <c r="BP3" s="383"/>
      <c r="BQ3" s="760" t="s">
        <v>239</v>
      </c>
      <c r="BR3" s="760"/>
      <c r="BS3" s="760"/>
      <c r="BT3" s="760"/>
      <c r="BU3" s="760"/>
      <c r="BV3" s="760"/>
      <c r="BW3" s="760"/>
      <c r="BX3" s="760"/>
      <c r="BY3" s="383"/>
      <c r="BZ3" s="760" t="s">
        <v>261</v>
      </c>
      <c r="CA3" s="760"/>
      <c r="CB3" s="760"/>
      <c r="CC3" s="760"/>
      <c r="CD3" s="760"/>
      <c r="CE3" s="760"/>
      <c r="CI3" s="834">
        <v>0</v>
      </c>
      <c r="CJ3" s="835">
        <v>1</v>
      </c>
      <c r="CK3" s="551" t="s">
        <v>262</v>
      </c>
      <c r="CL3" s="551">
        <v>1</v>
      </c>
      <c r="CM3" s="742">
        <v>2</v>
      </c>
      <c r="CN3" s="551">
        <v>2</v>
      </c>
      <c r="CO3" s="843" t="s">
        <v>263</v>
      </c>
      <c r="CP3" s="730">
        <v>2</v>
      </c>
    </row>
    <row r="4" customHeight="1" spans="1:94">
      <c r="A4" s="729">
        <v>3</v>
      </c>
      <c r="B4" s="551" t="str">
        <f>IF(法术书!X5="","",法术书!X5)</f>
        <v/>
      </c>
      <c r="C4" s="551" t="str">
        <f>IFERROR(VLOOKUP(B4,法术大全!$A:$W,5,FALSE),"")</f>
        <v/>
      </c>
      <c r="D4" s="730" t="str">
        <f>IFERROR(VLOOKUP(B4,法术大全!$A:$W,4,FALSE),"")</f>
        <v/>
      </c>
      <c r="E4" s="729">
        <v>3</v>
      </c>
      <c r="F4" s="731" t="str" cm="1">
        <f t="array" ref="F4">IFERROR(INDEX($B$1:$B$301,SMALL(IF($B$1:$B$301&lt;&gt;"",ROW($B$1:$B$301),4^8),ROW(4:4)))&amp;"","")</f>
        <v/>
      </c>
      <c r="G4" s="558"/>
      <c r="H4" s="732" t="str">
        <f>IF(主要!Q59&lt;&gt;"",主要!Q59,"")</f>
        <v/>
      </c>
      <c r="I4" s="551">
        <f>IF(VLOOKUP(H4,法术大全!$A$3:$E$864,4,0)="√",1,0)</f>
        <v>0</v>
      </c>
      <c r="J4" s="551">
        <f>IF(VLOOKUP(H4,法术大全!$A$3:$E$864,5,0)="√",1,0)</f>
        <v>0</v>
      </c>
      <c r="K4" s="558" t="str" cm="1">
        <f t="array" ref="K4">IFERROR(INDEX($H$1:$H$68,SMALL(IF($H$2:$H$68&lt;&gt;"",ROW($H$2:$H$68),4^8),ROW(4:4)))&amp;"","")</f>
        <v/>
      </c>
      <c r="M4" s="493" t="s">
        <v>264</v>
      </c>
      <c r="O4" s="737" t="s">
        <v>265</v>
      </c>
      <c r="P4" s="561">
        <v>4</v>
      </c>
      <c r="Q4" s="561">
        <v>5</v>
      </c>
      <c r="R4" s="561">
        <v>6</v>
      </c>
      <c r="S4" s="561">
        <v>7</v>
      </c>
      <c r="T4" s="561">
        <v>9</v>
      </c>
      <c r="U4" s="561">
        <v>10</v>
      </c>
      <c r="V4" s="561">
        <v>11</v>
      </c>
      <c r="W4" s="561">
        <v>12</v>
      </c>
      <c r="X4" s="561">
        <v>14</v>
      </c>
      <c r="Y4" s="561">
        <v>15</v>
      </c>
      <c r="Z4" s="561">
        <v>16</v>
      </c>
      <c r="AA4" s="561">
        <v>16</v>
      </c>
      <c r="AB4" s="561">
        <v>17</v>
      </c>
      <c r="AC4" s="561">
        <v>17</v>
      </c>
      <c r="AD4" s="561">
        <v>18</v>
      </c>
      <c r="AE4" s="561">
        <v>18</v>
      </c>
      <c r="AF4" s="561">
        <v>19</v>
      </c>
      <c r="AG4" s="561">
        <v>20</v>
      </c>
      <c r="AH4" s="561">
        <v>21</v>
      </c>
      <c r="AI4" s="737">
        <v>22</v>
      </c>
      <c r="AJ4" s="561">
        <f>职业!$AZ$5</f>
        <v>0</v>
      </c>
      <c r="AK4" s="561"/>
      <c r="AL4" s="750"/>
      <c r="AM4" s="750"/>
      <c r="AN4" s="750"/>
      <c r="AO4" s="750"/>
      <c r="AP4" s="750"/>
      <c r="AQ4" s="750"/>
      <c r="AR4" s="750"/>
      <c r="AS4" s="750"/>
      <c r="AT4" s="750"/>
      <c r="AU4" s="750"/>
      <c r="AV4" s="750"/>
      <c r="AW4" s="750"/>
      <c r="AX4" s="750"/>
      <c r="AY4" s="750"/>
      <c r="AZ4" s="750"/>
      <c r="BA4" s="750"/>
      <c r="BB4" s="750"/>
      <c r="BC4" s="750"/>
      <c r="BD4" s="750"/>
      <c r="BE4" s="750"/>
      <c r="BF4" s="750"/>
      <c r="BG4" s="750"/>
      <c r="BJ4" s="790"/>
      <c r="BK4" s="791"/>
      <c r="BL4" s="791"/>
      <c r="BM4" s="791"/>
      <c r="BN4" s="791"/>
      <c r="BO4" s="819"/>
      <c r="BP4" s="383"/>
      <c r="BQ4" s="820" t="str">
        <f>IFERROR(VLOOKUP(BJ4,法术大全!$A:$Z,7,FALSE),"")</f>
        <v/>
      </c>
      <c r="BR4" s="821"/>
      <c r="BS4" s="821"/>
      <c r="BT4" s="821"/>
      <c r="BU4" s="821"/>
      <c r="BV4" s="821"/>
      <c r="BW4" s="821"/>
      <c r="BX4" s="825"/>
      <c r="BY4" s="383"/>
      <c r="BZ4" s="826" t="str">
        <f>IF(BJ4="","",IF(VLOOKUP(BJ4,法术大全!$A:$Z,2,FALSE),CONCATENATE(VLOOKUP(BJ4,法术大全!$A:$Z,2,FALSE),"环"),"戏法"))</f>
        <v/>
      </c>
      <c r="CA4" s="827"/>
      <c r="CB4" s="827"/>
      <c r="CC4" s="827"/>
      <c r="CD4" s="827"/>
      <c r="CE4" s="836"/>
      <c r="CI4" s="834">
        <v>300</v>
      </c>
      <c r="CJ4" s="835">
        <v>2</v>
      </c>
      <c r="CK4" s="551" t="s">
        <v>266</v>
      </c>
      <c r="CL4" s="551">
        <v>2</v>
      </c>
      <c r="CM4" s="742">
        <v>3</v>
      </c>
      <c r="CN4" s="551">
        <v>2</v>
      </c>
      <c r="CO4" s="843" t="s">
        <v>267</v>
      </c>
      <c r="CP4" s="730">
        <v>2</v>
      </c>
    </row>
    <row r="5" customHeight="1" spans="1:94">
      <c r="A5" s="729">
        <v>4</v>
      </c>
      <c r="B5" s="551" t="str">
        <f>IF(法术书!X6="","",法术书!X6)</f>
        <v/>
      </c>
      <c r="C5" s="551" t="str">
        <f>IFERROR(VLOOKUP(B5,法术大全!$A:$W,5,FALSE),"")</f>
        <v/>
      </c>
      <c r="D5" s="730" t="str">
        <f>IFERROR(VLOOKUP(B5,法术大全!$A:$W,4,FALSE),"")</f>
        <v/>
      </c>
      <c r="E5" s="729">
        <v>4</v>
      </c>
      <c r="F5" s="731" t="str" cm="1">
        <f t="array" ref="F5">IFERROR(INDEX($B$1:$B$301,SMALL(IF($B$1:$B$301&lt;&gt;"",ROW($B$1:$B$301),4^8),ROW(5:5)))&amp;"","")</f>
        <v/>
      </c>
      <c r="G5" s="558"/>
      <c r="H5" s="732" t="str">
        <f>IF(主要!Q60&lt;&gt;"",主要!Q60,"")</f>
        <v/>
      </c>
      <c r="I5" s="551">
        <f>IF(VLOOKUP(H5,法术大全!$A$3:$E$864,4,0)="√",1,0)</f>
        <v>0</v>
      </c>
      <c r="J5" s="551">
        <f>IF(VLOOKUP(H5,法术大全!$A$3:$E$864,5,0)="√",1,0)</f>
        <v>0</v>
      </c>
      <c r="K5" s="558" t="str" cm="1">
        <f t="array" ref="K5">IFERROR(INDEX($H$1:$H$68,SMALL(IF($H$2:$H$68&lt;&gt;"",ROW($H$2:$H$68),4^8),ROW(5:5)))&amp;"","")</f>
        <v/>
      </c>
      <c r="M5" s="493" t="s">
        <v>268</v>
      </c>
      <c r="O5" s="738" t="s">
        <v>269</v>
      </c>
      <c r="P5" s="739">
        <v>2</v>
      </c>
      <c r="Q5" s="747">
        <v>3</v>
      </c>
      <c r="R5" s="739">
        <v>4</v>
      </c>
      <c r="S5" s="747">
        <v>5</v>
      </c>
      <c r="T5" s="739">
        <v>6</v>
      </c>
      <c r="U5" s="747">
        <v>6</v>
      </c>
      <c r="V5" s="739">
        <v>7</v>
      </c>
      <c r="W5" s="747">
        <v>7</v>
      </c>
      <c r="X5" s="739">
        <v>9</v>
      </c>
      <c r="Y5" s="747">
        <v>9</v>
      </c>
      <c r="Z5" s="739">
        <v>10</v>
      </c>
      <c r="AA5" s="747">
        <v>10</v>
      </c>
      <c r="AB5" s="739">
        <v>11</v>
      </c>
      <c r="AC5" s="747">
        <v>11</v>
      </c>
      <c r="AD5" s="739">
        <v>12</v>
      </c>
      <c r="AE5" s="747">
        <v>12</v>
      </c>
      <c r="AF5" s="739">
        <v>14</v>
      </c>
      <c r="AG5" s="747">
        <v>14</v>
      </c>
      <c r="AH5" s="739">
        <v>15</v>
      </c>
      <c r="AI5" s="738">
        <v>15</v>
      </c>
      <c r="AJ5" s="739">
        <f>职业!$AZ$8</f>
        <v>0</v>
      </c>
      <c r="AK5" s="561"/>
      <c r="AL5" s="750"/>
      <c r="AM5" s="750"/>
      <c r="AN5" s="750"/>
      <c r="AO5" s="750"/>
      <c r="AP5" s="750"/>
      <c r="AQ5" s="750"/>
      <c r="AR5" s="750"/>
      <c r="AS5" s="750"/>
      <c r="AT5" s="750"/>
      <c r="AU5" s="750"/>
      <c r="AV5" s="750"/>
      <c r="AW5" s="750"/>
      <c r="AX5" s="750"/>
      <c r="AY5" s="750"/>
      <c r="AZ5" s="750"/>
      <c r="BA5" s="750"/>
      <c r="BB5" s="750"/>
      <c r="BC5" s="750"/>
      <c r="BD5" s="750"/>
      <c r="BE5" s="750"/>
      <c r="BF5" s="750"/>
      <c r="BG5" s="750"/>
      <c r="BJ5" s="760" t="s">
        <v>243</v>
      </c>
      <c r="BK5" s="760"/>
      <c r="BL5" s="760"/>
      <c r="BM5" s="760"/>
      <c r="BN5" s="760"/>
      <c r="BO5" s="822" t="str">
        <f>IF(BJ4="","",CONCATENATE(IF(VLOOKUP(BJ4,法术大全!$A:$Z,8,0)="V","语言（V）",""),IF(VLOOKUP(BJ4,法术大全!$A:$Z,9,0)="S","姿势（S）",""),IF(VLOOKUP(BJ4,法术大全!$A:$Z,10,0)="M","材料(M)","")))</f>
        <v/>
      </c>
      <c r="BP5" s="822"/>
      <c r="BQ5" s="822"/>
      <c r="BR5" s="822"/>
      <c r="BS5" s="822"/>
      <c r="BT5" s="822"/>
      <c r="BU5" s="822"/>
      <c r="BV5" s="822"/>
      <c r="BW5" s="822"/>
      <c r="BX5" s="822"/>
      <c r="BY5" s="383"/>
      <c r="BZ5" s="760" t="s">
        <v>240</v>
      </c>
      <c r="CA5" s="760"/>
      <c r="CB5" s="760"/>
      <c r="CC5" s="760"/>
      <c r="CD5" s="760"/>
      <c r="CE5" s="760"/>
      <c r="CI5" s="834">
        <v>900</v>
      </c>
      <c r="CJ5" s="835">
        <v>3</v>
      </c>
      <c r="CK5" s="551" t="s">
        <v>270</v>
      </c>
      <c r="CL5" s="551">
        <v>3</v>
      </c>
      <c r="CM5" s="742">
        <v>4</v>
      </c>
      <c r="CN5" s="551">
        <v>2</v>
      </c>
      <c r="CO5" s="843" t="s">
        <v>271</v>
      </c>
      <c r="CP5" s="730">
        <v>2</v>
      </c>
    </row>
    <row r="6" customHeight="1" spans="1:94">
      <c r="A6" s="729">
        <v>5</v>
      </c>
      <c r="B6" s="551" t="str">
        <f>IF(法术书!X7="","",法术书!X7)</f>
        <v/>
      </c>
      <c r="C6" s="551" t="str">
        <f>IFERROR(VLOOKUP(B6,法术大全!$A:$W,5,FALSE),"")</f>
        <v/>
      </c>
      <c r="D6" s="730" t="str">
        <f>IFERROR(VLOOKUP(B6,法术大全!$A:$W,4,FALSE),"")</f>
        <v/>
      </c>
      <c r="E6" s="729">
        <v>5</v>
      </c>
      <c r="F6" s="731" t="str" cm="1">
        <f t="array" ref="F6">IFERROR(INDEX($B$1:$B$301,SMALL(IF($B$1:$B$301&lt;&gt;"",ROW($B$1:$B$301),4^8),ROW(6:6)))&amp;"","")</f>
        <v/>
      </c>
      <c r="G6" s="558"/>
      <c r="H6" s="732" t="str">
        <f>IF(主要!Q61&lt;&gt;"",主要!Q61,"")</f>
        <v/>
      </c>
      <c r="I6" s="551">
        <f>IF(VLOOKUP(H6,法术大全!$A$3:$E$864,4,0)="√",1,0)</f>
        <v>0</v>
      </c>
      <c r="J6" s="551">
        <f>IF(VLOOKUP(H6,法术大全!$A$3:$E$864,5,0)="√",1,0)</f>
        <v>0</v>
      </c>
      <c r="K6" s="558" t="str" cm="1">
        <f t="array" ref="K6">IFERROR(INDEX($H$1:$H$68,SMALL(IF($H$2:$H$68&lt;&gt;"",ROW($H$2:$H$68),4^8),ROW(6:6)))&amp;"","")</f>
        <v/>
      </c>
      <c r="M6" s="493" t="s">
        <v>272</v>
      </c>
      <c r="O6" s="737" t="s">
        <v>273</v>
      </c>
      <c r="P6" s="561">
        <v>2</v>
      </c>
      <c r="Q6" s="561">
        <v>3</v>
      </c>
      <c r="R6" s="561">
        <v>4</v>
      </c>
      <c r="S6" s="561">
        <v>5</v>
      </c>
      <c r="T6" s="561">
        <v>6</v>
      </c>
      <c r="U6" s="561">
        <v>6</v>
      </c>
      <c r="V6" s="561">
        <v>7</v>
      </c>
      <c r="W6" s="561">
        <v>7</v>
      </c>
      <c r="X6" s="561">
        <v>9</v>
      </c>
      <c r="Y6" s="561">
        <v>9</v>
      </c>
      <c r="Z6" s="561">
        <v>10</v>
      </c>
      <c r="AA6" s="561">
        <v>10</v>
      </c>
      <c r="AB6" s="561">
        <v>11</v>
      </c>
      <c r="AC6" s="561">
        <v>11</v>
      </c>
      <c r="AD6" s="561">
        <v>12</v>
      </c>
      <c r="AE6" s="561">
        <v>12</v>
      </c>
      <c r="AF6" s="561">
        <v>14</v>
      </c>
      <c r="AG6" s="561">
        <v>14</v>
      </c>
      <c r="AH6" s="561">
        <v>15</v>
      </c>
      <c r="AI6" s="737">
        <v>15</v>
      </c>
      <c r="AJ6" s="561">
        <f>职业!$AZ$9</f>
        <v>0</v>
      </c>
      <c r="AK6" s="561"/>
      <c r="AL6" s="750"/>
      <c r="AM6" s="750"/>
      <c r="AN6" s="750"/>
      <c r="AO6" s="750"/>
      <c r="AP6" s="750"/>
      <c r="AQ6" s="750"/>
      <c r="AR6" s="750"/>
      <c r="AS6" s="750"/>
      <c r="AT6" s="750"/>
      <c r="AU6" s="750"/>
      <c r="AV6" s="750"/>
      <c r="AW6" s="750"/>
      <c r="AX6" s="750"/>
      <c r="AY6" s="750"/>
      <c r="AZ6" s="750"/>
      <c r="BA6" s="750"/>
      <c r="BB6" s="750"/>
      <c r="BC6" s="750"/>
      <c r="BD6" s="750"/>
      <c r="BE6" s="750"/>
      <c r="BF6" s="750"/>
      <c r="BG6" s="750"/>
      <c r="BJ6" s="792" t="str">
        <f>IFERROR(IF(VLOOKUP(BJ4,法术大全!$A:$Z,10,FALSE)="M",VLOOKUP(BJ4,法术大全!$A:$Z,11,FALSE),""),"")</f>
        <v/>
      </c>
      <c r="BK6" s="793"/>
      <c r="BL6" s="793"/>
      <c r="BM6" s="793"/>
      <c r="BN6" s="793"/>
      <c r="BO6" s="793"/>
      <c r="BP6" s="793"/>
      <c r="BQ6" s="793"/>
      <c r="BR6" s="793"/>
      <c r="BS6" s="793"/>
      <c r="BT6" s="793"/>
      <c r="BU6" s="793"/>
      <c r="BV6" s="793"/>
      <c r="BW6" s="793"/>
      <c r="BX6" s="828"/>
      <c r="BY6" s="383"/>
      <c r="BZ6" s="826" t="str">
        <f>IFERROR(VLOOKUP(BJ4,法术大全!$A:$Z,6,FALSE),"")</f>
        <v/>
      </c>
      <c r="CA6" s="827"/>
      <c r="CB6" s="827"/>
      <c r="CC6" s="827"/>
      <c r="CD6" s="827"/>
      <c r="CE6" s="836"/>
      <c r="CI6" s="834">
        <f>CI5*CJ5</f>
        <v>2700</v>
      </c>
      <c r="CJ6" s="835">
        <v>4</v>
      </c>
      <c r="CK6" s="551" t="s">
        <v>274</v>
      </c>
      <c r="CL6" s="551">
        <v>4</v>
      </c>
      <c r="CM6" s="742">
        <v>5</v>
      </c>
      <c r="CN6" s="551">
        <v>3</v>
      </c>
      <c r="CO6" s="742">
        <v>1</v>
      </c>
      <c r="CP6" s="730">
        <v>2</v>
      </c>
    </row>
    <row r="7" customHeight="1" spans="1:94">
      <c r="A7" s="729">
        <v>6</v>
      </c>
      <c r="B7" s="551" t="str">
        <f>IF(法术书!X8="","",法术书!X8)</f>
        <v/>
      </c>
      <c r="C7" s="551" t="str">
        <f>IFERROR(VLOOKUP(B7,法术大全!$A:$W,5,FALSE),"")</f>
        <v/>
      </c>
      <c r="D7" s="730" t="str">
        <f>IFERROR(VLOOKUP(B7,法术大全!$A:$W,4,FALSE),"")</f>
        <v/>
      </c>
      <c r="E7" s="729">
        <v>6</v>
      </c>
      <c r="F7" s="731" t="str" cm="1">
        <f t="array" ref="F7">IFERROR(INDEX($B$1:$B$301,SMALL(IF($B$1:$B$301&lt;&gt;"",ROW($B$1:$B$301),4^8),ROW(7:7)))&amp;"","")</f>
        <v/>
      </c>
      <c r="G7" s="558"/>
      <c r="H7" s="732" t="str">
        <f>IF(主要!Q62&lt;&gt;"",主要!Q62,"")</f>
        <v/>
      </c>
      <c r="I7" s="551">
        <f>IF(VLOOKUP(H7,法术大全!$A$3:$E$864,4,0)="√",1,0)</f>
        <v>0</v>
      </c>
      <c r="J7" s="551">
        <f>IF(VLOOKUP(H7,法术大全!$A$3:$E$864,5,0)="√",1,0)</f>
        <v>0</v>
      </c>
      <c r="K7" s="558" t="str" cm="1">
        <f t="array" ref="K7">IFERROR(INDEX($H$1:$H$68,SMALL(IF($H$2:$H$68&lt;&gt;"",ROW($H$2:$H$68),4^8),ROW(7:7)))&amp;"","")</f>
        <v/>
      </c>
      <c r="M7" s="493" t="s">
        <v>275</v>
      </c>
      <c r="O7" s="738" t="s">
        <v>276</v>
      </c>
      <c r="P7" s="739">
        <v>2</v>
      </c>
      <c r="Q7" s="739">
        <v>4</v>
      </c>
      <c r="R7" s="739">
        <v>6</v>
      </c>
      <c r="S7" s="739">
        <v>7</v>
      </c>
      <c r="T7" s="739">
        <v>9</v>
      </c>
      <c r="U7" s="739">
        <v>10</v>
      </c>
      <c r="V7" s="739">
        <v>11</v>
      </c>
      <c r="W7" s="739">
        <v>12</v>
      </c>
      <c r="X7" s="739">
        <v>14</v>
      </c>
      <c r="Y7" s="739">
        <v>15</v>
      </c>
      <c r="Z7" s="739">
        <v>16</v>
      </c>
      <c r="AA7" s="739">
        <v>16</v>
      </c>
      <c r="AB7" s="739">
        <v>17</v>
      </c>
      <c r="AC7" s="739">
        <v>17</v>
      </c>
      <c r="AD7" s="739">
        <v>18</v>
      </c>
      <c r="AE7" s="739">
        <v>18</v>
      </c>
      <c r="AF7" s="739">
        <v>19</v>
      </c>
      <c r="AG7" s="739">
        <v>20</v>
      </c>
      <c r="AH7" s="739">
        <v>21</v>
      </c>
      <c r="AI7" s="738">
        <v>22</v>
      </c>
      <c r="AJ7" s="739">
        <f>职业!$AZ$11</f>
        <v>0</v>
      </c>
      <c r="AK7" s="561"/>
      <c r="AL7" s="750"/>
      <c r="AM7" s="750"/>
      <c r="AN7" s="750"/>
      <c r="AO7" s="750"/>
      <c r="AP7" s="750"/>
      <c r="AQ7" s="750"/>
      <c r="AR7" s="750"/>
      <c r="AS7" s="750"/>
      <c r="AT7" s="750"/>
      <c r="AU7" s="750"/>
      <c r="AV7" s="750"/>
      <c r="AW7" s="750"/>
      <c r="AX7" s="750"/>
      <c r="AY7" s="750"/>
      <c r="AZ7" s="750"/>
      <c r="BA7" s="750"/>
      <c r="BB7" s="750"/>
      <c r="BC7" s="750"/>
      <c r="BD7" s="750"/>
      <c r="BE7" s="750"/>
      <c r="BF7" s="750"/>
      <c r="BG7" s="750"/>
      <c r="BJ7" s="794"/>
      <c r="BK7" s="795"/>
      <c r="BL7" s="795"/>
      <c r="BM7" s="795"/>
      <c r="BN7" s="795"/>
      <c r="BO7" s="795"/>
      <c r="BP7" s="795"/>
      <c r="BQ7" s="795"/>
      <c r="BR7" s="795"/>
      <c r="BS7" s="795"/>
      <c r="BT7" s="795"/>
      <c r="BU7" s="795"/>
      <c r="BV7" s="795"/>
      <c r="BW7" s="795"/>
      <c r="BX7" s="829"/>
      <c r="BY7" s="383"/>
      <c r="BZ7" s="760" t="s">
        <v>241</v>
      </c>
      <c r="CA7" s="760"/>
      <c r="CB7" s="760"/>
      <c r="CC7" s="760"/>
      <c r="CD7" s="760"/>
      <c r="CE7" s="760"/>
      <c r="CI7" s="742">
        <v>6500</v>
      </c>
      <c r="CJ7" s="730">
        <v>5</v>
      </c>
      <c r="CK7" s="551" t="s">
        <v>277</v>
      </c>
      <c r="CL7" s="551">
        <v>5</v>
      </c>
      <c r="CM7" s="742">
        <v>6</v>
      </c>
      <c r="CN7" s="551">
        <v>3</v>
      </c>
      <c r="CO7" s="742">
        <v>2</v>
      </c>
      <c r="CP7" s="730">
        <v>2</v>
      </c>
    </row>
    <row r="8" customHeight="1" spans="1:94">
      <c r="A8" s="729">
        <v>7</v>
      </c>
      <c r="B8" s="551" t="str">
        <f>IF(法术书!X9="","",法术书!X9)</f>
        <v/>
      </c>
      <c r="C8" s="551" t="str">
        <f>IFERROR(VLOOKUP(B8,法术大全!$A:$W,5,FALSE),"")</f>
        <v/>
      </c>
      <c r="D8" s="730" t="str">
        <f>IFERROR(VLOOKUP(B8,法术大全!$A:$W,4,FALSE),"")</f>
        <v/>
      </c>
      <c r="E8" s="729">
        <v>7</v>
      </c>
      <c r="F8" s="731" t="str" cm="1">
        <f t="array" ref="F8">IFERROR(INDEX($B$1:$B$301,SMALL(IF($B$1:$B$301&lt;&gt;"",ROW($B$1:$B$301),4^8),ROW(8:8)))&amp;"","")</f>
        <v/>
      </c>
      <c r="G8" s="558"/>
      <c r="H8" s="732" t="str">
        <f>IF(主要!Q63&lt;&gt;"",主要!Q63,"")</f>
        <v/>
      </c>
      <c r="I8" s="551">
        <f>IF(VLOOKUP(H8,法术大全!$A$3:$E$864,4,0)="√",1,0)</f>
        <v>0</v>
      </c>
      <c r="J8" s="551">
        <f>IF(VLOOKUP(H8,法术大全!$A$3:$E$864,5,0)="√",1,0)</f>
        <v>0</v>
      </c>
      <c r="K8" s="558" t="str" cm="1">
        <f t="array" ref="K8">IFERROR(INDEX($H$1:$H$68,SMALL(IF($H$2:$H$68&lt;&gt;"",ROW($H$2:$H$68),4^8),ROW(8:8)))&amp;"","")</f>
        <v/>
      </c>
      <c r="M8" s="493" t="s">
        <v>278</v>
      </c>
      <c r="O8" s="737" t="s">
        <v>279</v>
      </c>
      <c r="P8" s="561">
        <v>2</v>
      </c>
      <c r="Q8" s="561">
        <v>3</v>
      </c>
      <c r="R8" s="561">
        <v>4</v>
      </c>
      <c r="S8" s="561">
        <v>5</v>
      </c>
      <c r="T8" s="561">
        <v>6</v>
      </c>
      <c r="U8" s="561">
        <v>7</v>
      </c>
      <c r="V8" s="561">
        <v>8</v>
      </c>
      <c r="W8" s="561">
        <v>9</v>
      </c>
      <c r="X8" s="561">
        <v>10</v>
      </c>
      <c r="Y8" s="561">
        <v>10</v>
      </c>
      <c r="Z8" s="561">
        <v>11</v>
      </c>
      <c r="AA8" s="561">
        <v>11</v>
      </c>
      <c r="AB8" s="561">
        <v>12</v>
      </c>
      <c r="AC8" s="561">
        <v>12</v>
      </c>
      <c r="AD8" s="561">
        <v>13</v>
      </c>
      <c r="AE8" s="561">
        <v>13</v>
      </c>
      <c r="AF8" s="561">
        <v>14</v>
      </c>
      <c r="AG8" s="561">
        <v>14</v>
      </c>
      <c r="AH8" s="561">
        <v>15</v>
      </c>
      <c r="AI8" s="737">
        <v>15</v>
      </c>
      <c r="AJ8" s="561">
        <f>职业!$AZ$12</f>
        <v>0</v>
      </c>
      <c r="AK8" s="561"/>
      <c r="AL8" s="750"/>
      <c r="AM8" s="750"/>
      <c r="AN8" s="750"/>
      <c r="AO8" s="750"/>
      <c r="AP8" s="750"/>
      <c r="AQ8" s="750"/>
      <c r="AR8" s="750"/>
      <c r="AS8" s="750"/>
      <c r="AT8" s="750"/>
      <c r="AU8" s="750"/>
      <c r="AV8" s="750"/>
      <c r="AW8" s="750"/>
      <c r="AX8" s="750"/>
      <c r="AY8" s="750"/>
      <c r="AZ8" s="750"/>
      <c r="BA8" s="750"/>
      <c r="BB8" s="750"/>
      <c r="BC8" s="750"/>
      <c r="BD8" s="750"/>
      <c r="BE8" s="750"/>
      <c r="BF8" s="750"/>
      <c r="BG8" s="750"/>
      <c r="BJ8" s="760" t="s">
        <v>244</v>
      </c>
      <c r="BK8" s="760"/>
      <c r="BL8" s="760"/>
      <c r="BM8" s="760"/>
      <c r="BN8" s="760"/>
      <c r="BO8" s="760"/>
      <c r="BP8" s="760"/>
      <c r="BQ8" s="760"/>
      <c r="BR8" s="760"/>
      <c r="BS8" s="760"/>
      <c r="BT8" s="760"/>
      <c r="BU8" s="760"/>
      <c r="BV8" s="760"/>
      <c r="BW8" s="760"/>
      <c r="BX8" s="760"/>
      <c r="BY8" s="383"/>
      <c r="BZ8" s="826" t="str">
        <f>IFERROR(VLOOKUP(BJ4,法术大全!$A:$Z,3,FALSE),"")</f>
        <v/>
      </c>
      <c r="CA8" s="827"/>
      <c r="CB8" s="827"/>
      <c r="CC8" s="827"/>
      <c r="CD8" s="827"/>
      <c r="CE8" s="836"/>
      <c r="CI8" s="742">
        <v>14000</v>
      </c>
      <c r="CJ8" s="730">
        <v>6</v>
      </c>
      <c r="CK8" s="551" t="s">
        <v>280</v>
      </c>
      <c r="CL8" s="551">
        <v>6</v>
      </c>
      <c r="CM8" s="742">
        <v>7</v>
      </c>
      <c r="CN8" s="551">
        <v>3</v>
      </c>
      <c r="CO8" s="742">
        <v>3</v>
      </c>
      <c r="CP8" s="730">
        <v>2</v>
      </c>
    </row>
    <row r="9" customHeight="1" spans="1:94">
      <c r="A9" s="729">
        <v>8</v>
      </c>
      <c r="B9" s="551" t="str">
        <f>IF(法术书!X10="","",法术书!X10)</f>
        <v/>
      </c>
      <c r="C9" s="551" t="str">
        <f>IFERROR(VLOOKUP(B9,法术大全!$A:$W,5,FALSE),"")</f>
        <v/>
      </c>
      <c r="D9" s="730" t="str">
        <f>IFERROR(VLOOKUP(B9,法术大全!$A:$W,4,FALSE),"")</f>
        <v/>
      </c>
      <c r="E9" s="729">
        <v>8</v>
      </c>
      <c r="F9" s="731" t="str" cm="1">
        <f t="array" ref="F9">IFERROR(INDEX($B$1:$B$301,SMALL(IF($B$1:$B$301&lt;&gt;"",ROW($B$1:$B$301),4^8),ROW(9:9)))&amp;"","")</f>
        <v/>
      </c>
      <c r="G9" s="558"/>
      <c r="H9" s="732" t="str">
        <f>IF(主要!Q64&lt;&gt;"",主要!Q64,"")</f>
        <v/>
      </c>
      <c r="I9" s="551">
        <f>IF(VLOOKUP(H9,法术大全!$A$3:$E$864,4,0)="√",1,0)</f>
        <v>0</v>
      </c>
      <c r="J9" s="551">
        <f>IF(VLOOKUP(H9,法术大全!$A$3:$E$864,5,0)="√",1,0)</f>
        <v>0</v>
      </c>
      <c r="K9" s="558" t="str" cm="1">
        <f t="array" ref="K9">IFERROR(INDEX($H$1:$H$68,SMALL(IF($H$2:$H$68&lt;&gt;"",ROW($H$2:$H$68),4^8),ROW(9:9)))&amp;"","")</f>
        <v/>
      </c>
      <c r="M9" s="493" t="s">
        <v>281</v>
      </c>
      <c r="O9" s="738" t="s">
        <v>282</v>
      </c>
      <c r="P9" s="739">
        <v>4</v>
      </c>
      <c r="Q9" s="739">
        <v>5</v>
      </c>
      <c r="R9" s="739">
        <v>6</v>
      </c>
      <c r="S9" s="739">
        <v>7</v>
      </c>
      <c r="T9" s="739">
        <v>9</v>
      </c>
      <c r="U9" s="739">
        <v>10</v>
      </c>
      <c r="V9" s="739">
        <v>11</v>
      </c>
      <c r="W9" s="739">
        <v>12</v>
      </c>
      <c r="X9" s="739">
        <v>14</v>
      </c>
      <c r="Y9" s="739">
        <v>15</v>
      </c>
      <c r="Z9" s="739">
        <v>16</v>
      </c>
      <c r="AA9" s="739">
        <v>16</v>
      </c>
      <c r="AB9" s="739">
        <v>17</v>
      </c>
      <c r="AC9" s="739">
        <v>18</v>
      </c>
      <c r="AD9" s="739">
        <v>19</v>
      </c>
      <c r="AE9" s="739">
        <v>21</v>
      </c>
      <c r="AF9" s="739">
        <v>22</v>
      </c>
      <c r="AG9" s="739">
        <v>23</v>
      </c>
      <c r="AH9" s="739">
        <v>24</v>
      </c>
      <c r="AI9" s="738">
        <v>25</v>
      </c>
      <c r="AJ9" s="739">
        <f>职业!$AZ$13</f>
        <v>0</v>
      </c>
      <c r="AK9" s="561"/>
      <c r="AL9" s="750"/>
      <c r="AM9" s="750"/>
      <c r="AN9" s="750"/>
      <c r="AO9" s="750"/>
      <c r="AP9" s="750"/>
      <c r="AQ9" s="750"/>
      <c r="AR9" s="750"/>
      <c r="AS9" s="750"/>
      <c r="AT9" s="750"/>
      <c r="AU9" s="750"/>
      <c r="AV9" s="750"/>
      <c r="AW9" s="750"/>
      <c r="AX9" s="750"/>
      <c r="AY9" s="750"/>
      <c r="AZ9" s="750"/>
      <c r="BA9" s="750"/>
      <c r="BB9" s="750"/>
      <c r="BC9" s="750"/>
      <c r="BD9" s="750"/>
      <c r="BE9" s="750"/>
      <c r="BF9" s="750"/>
      <c r="BG9" s="750"/>
      <c r="BJ9" s="796" t="str">
        <f>IF(BJ4="","",CONCATENATE(IF(VLOOKUP(BJ4,法术大全!$A:$Z,15,0)="√","吟游诗人 ",""),IF(VLOOKUP(BJ4,法术大全!$A:$Z,16,0)="√","牧师 ",""),IF(VLOOKUP(BJ4,法术大全!$A:$Z,17,0)="√","德鲁伊 ",""),IF(VLOOKUP(BJ4,法术大全!$A:$Z,18,0)="√","圣武士 ",""),IF(VLOOKUP(BJ4,法术大全!$A:$Z,19,0)="√","游侠 ",""),IF(VLOOKUP(BJ4,法术大全!$A:$Z,20,0)="√","术士 ",""),IF(VLOOKUP(BJ4,法术大全!$A:$Z,21,0)="√","邪术师 ",""),IF(VLOOKUP(BJ4,法术大全!$A:$Z,22,0)="√","法师 ",""),IF(VLOOKUP(BJ4,法术大全!$A:$Z,23,0)="√","奇械师 ",""),IF(VLOOKUP(BJ4,法术大全!$A:$Z,25,0)="√","灵能使 ",""),IF(VLOOKUP(BJ4,法术大全!$A:$Z,25,0)="√","药剂师 ","")))</f>
        <v/>
      </c>
      <c r="BK9" s="797"/>
      <c r="BL9" s="797"/>
      <c r="BM9" s="797"/>
      <c r="BN9" s="797"/>
      <c r="BO9" s="797"/>
      <c r="BP9" s="797"/>
      <c r="BQ9" s="797"/>
      <c r="BR9" s="797"/>
      <c r="BS9" s="797"/>
      <c r="BT9" s="797"/>
      <c r="BU9" s="797"/>
      <c r="BV9" s="797"/>
      <c r="BW9" s="797"/>
      <c r="BX9" s="830"/>
      <c r="BY9" s="383"/>
      <c r="BZ9" s="760" t="s">
        <v>242</v>
      </c>
      <c r="CA9" s="760"/>
      <c r="CB9" s="760"/>
      <c r="CC9" s="760"/>
      <c r="CD9" s="760"/>
      <c r="CE9" s="760"/>
      <c r="CI9" s="742">
        <v>23000</v>
      </c>
      <c r="CJ9" s="730">
        <v>7</v>
      </c>
      <c r="CK9" s="551" t="s">
        <v>283</v>
      </c>
      <c r="CL9" s="551">
        <v>7</v>
      </c>
      <c r="CM9" s="742">
        <v>8</v>
      </c>
      <c r="CN9" s="551">
        <v>3</v>
      </c>
      <c r="CO9" s="742">
        <v>4</v>
      </c>
      <c r="CP9" s="730">
        <v>2</v>
      </c>
    </row>
    <row r="10" customHeight="1" spans="1:94">
      <c r="A10" s="729">
        <v>9</v>
      </c>
      <c r="B10" s="551" t="str">
        <f>IF(法术书!X11="","",法术书!X11)</f>
        <v/>
      </c>
      <c r="C10" s="551" t="str">
        <f>IFERROR(VLOOKUP(B10,法术大全!$A:$W,5,FALSE),"")</f>
        <v/>
      </c>
      <c r="D10" s="730" t="str">
        <f>IFERROR(VLOOKUP(B10,法术大全!$A:$W,4,FALSE),"")</f>
        <v/>
      </c>
      <c r="E10" s="729">
        <v>9</v>
      </c>
      <c r="F10" s="731" t="str" cm="1">
        <f t="array" ref="F10">IFERROR(INDEX($B$1:$B$301,SMALL(IF($B$1:$B$301&lt;&gt;"",ROW($B$1:$B$301),4^8),ROW(10:10)))&amp;"","")</f>
        <v/>
      </c>
      <c r="G10" s="558" t="s">
        <v>284</v>
      </c>
      <c r="H10" s="733" t="str">
        <f>IF(主要!Q68&lt;&gt;"",主要!Q68,"")</f>
        <v/>
      </c>
      <c r="I10" s="551">
        <f>IF(VLOOKUP(H10,法术大全!$A$3:$E$864,4,0)="√",1,0)</f>
        <v>0</v>
      </c>
      <c r="J10" s="551">
        <f>IF(VLOOKUP(H10,法术大全!$A$3:$E$864,5,0)="√",1,0)</f>
        <v>0</v>
      </c>
      <c r="K10" s="558" t="str" cm="1">
        <f t="array" ref="K10">IFERROR(INDEX($H$1:$H$68,SMALL(IF($H$2:$H$68&lt;&gt;"",ROW($H$2:$H$68),4^8),ROW(10:10)))&amp;"","")</f>
        <v/>
      </c>
      <c r="M10" s="493" t="s">
        <v>285</v>
      </c>
      <c r="O10" s="737" t="s">
        <v>286</v>
      </c>
      <c r="P10" s="561">
        <v>2</v>
      </c>
      <c r="Q10" s="561">
        <v>3</v>
      </c>
      <c r="R10" s="561">
        <v>4</v>
      </c>
      <c r="S10" s="561">
        <v>5</v>
      </c>
      <c r="T10" s="561">
        <v>6</v>
      </c>
      <c r="U10" s="561">
        <v>6</v>
      </c>
      <c r="V10" s="561">
        <v>7</v>
      </c>
      <c r="W10" s="561">
        <v>7</v>
      </c>
      <c r="X10" s="561">
        <v>9</v>
      </c>
      <c r="Y10" s="561">
        <v>9</v>
      </c>
      <c r="Z10" s="561">
        <v>10</v>
      </c>
      <c r="AA10" s="561">
        <v>10</v>
      </c>
      <c r="AB10" s="561">
        <v>11</v>
      </c>
      <c r="AC10" s="561">
        <v>11</v>
      </c>
      <c r="AD10" s="561">
        <v>12</v>
      </c>
      <c r="AE10" s="561">
        <v>12</v>
      </c>
      <c r="AF10" s="561">
        <v>14</v>
      </c>
      <c r="AG10" s="561">
        <v>14</v>
      </c>
      <c r="AH10" s="561">
        <v>15</v>
      </c>
      <c r="AI10" s="737">
        <v>15</v>
      </c>
      <c r="AJ10" s="561">
        <f>职业!$AZ$14</f>
        <v>0</v>
      </c>
      <c r="AK10" s="561"/>
      <c r="AL10" s="750"/>
      <c r="AM10" s="750"/>
      <c r="AN10" s="750"/>
      <c r="AO10" s="750"/>
      <c r="AP10" s="750"/>
      <c r="AQ10" s="750"/>
      <c r="AR10" s="750"/>
      <c r="AS10" s="750"/>
      <c r="AT10" s="750"/>
      <c r="AU10" s="750"/>
      <c r="AV10" s="750"/>
      <c r="AW10" s="750"/>
      <c r="AX10" s="750"/>
      <c r="AY10" s="750"/>
      <c r="AZ10" s="750"/>
      <c r="BA10" s="750"/>
      <c r="BB10" s="750"/>
      <c r="BC10" s="750"/>
      <c r="BD10" s="750"/>
      <c r="BE10" s="750"/>
      <c r="BF10" s="750"/>
      <c r="BG10" s="750"/>
      <c r="BJ10" s="798"/>
      <c r="BK10" s="799"/>
      <c r="BL10" s="799"/>
      <c r="BM10" s="799"/>
      <c r="BN10" s="799"/>
      <c r="BO10" s="799"/>
      <c r="BP10" s="799"/>
      <c r="BQ10" s="799"/>
      <c r="BR10" s="799"/>
      <c r="BS10" s="799"/>
      <c r="BT10" s="799"/>
      <c r="BU10" s="799"/>
      <c r="BV10" s="799"/>
      <c r="BW10" s="799"/>
      <c r="BX10" s="831"/>
      <c r="BY10" s="383"/>
      <c r="BZ10" s="826" t="str">
        <f>IFERROR(VLOOKUP(BJ4,法术大全!$A:$Z,12,FALSE),"")</f>
        <v/>
      </c>
      <c r="CA10" s="827"/>
      <c r="CB10" s="827"/>
      <c r="CC10" s="827"/>
      <c r="CD10" s="827"/>
      <c r="CE10" s="836"/>
      <c r="CI10" s="742">
        <v>34000</v>
      </c>
      <c r="CJ10" s="730">
        <v>8</v>
      </c>
      <c r="CK10" s="551" t="s">
        <v>287</v>
      </c>
      <c r="CL10" s="551">
        <v>8</v>
      </c>
      <c r="CM10" s="742">
        <v>9</v>
      </c>
      <c r="CN10" s="551">
        <v>4</v>
      </c>
      <c r="CO10" s="742">
        <v>5</v>
      </c>
      <c r="CP10" s="730">
        <v>3</v>
      </c>
    </row>
    <row r="11" customHeight="1" spans="1:94">
      <c r="A11" s="729">
        <v>10</v>
      </c>
      <c r="B11" s="551" t="str">
        <f>IF(法术书!X12="","",法术书!X12)</f>
        <v/>
      </c>
      <c r="C11" s="551" t="str">
        <f>IFERROR(VLOOKUP(B11,法术大全!$A:$W,5,FALSE),"")</f>
        <v/>
      </c>
      <c r="D11" s="730" t="str">
        <f>IFERROR(VLOOKUP(B11,法术大全!$A:$W,4,FALSE),"")</f>
        <v/>
      </c>
      <c r="E11" s="729">
        <v>10</v>
      </c>
      <c r="F11" s="731" t="str" cm="1">
        <f t="array" ref="F11">IFERROR(INDEX($B$1:$B$301,SMALL(IF($B$1:$B$301&lt;&gt;"",ROW($B$1:$B$301),4^8),ROW(11:11)))&amp;"","")</f>
        <v/>
      </c>
      <c r="G11" s="558"/>
      <c r="H11" s="733" t="str">
        <f>IF(主要!Q69&lt;&gt;"",主要!Q69,"")</f>
        <v/>
      </c>
      <c r="I11" s="551">
        <f>IF(VLOOKUP(H11,法术大全!$A$3:$E$864,4,0)="√",1,0)</f>
        <v>0</v>
      </c>
      <c r="J11" s="551">
        <f>IF(VLOOKUP(H11,法术大全!$A$3:$E$864,5,0)="√",1,0)</f>
        <v>0</v>
      </c>
      <c r="K11" s="558" t="str" cm="1">
        <f t="array" ref="K11">IFERROR(INDEX($H$1:$H$68,SMALL(IF($H$2:$H$68&lt;&gt;"",ROW($H$2:$H$68),4^8),ROW(11:11)))&amp;"","")</f>
        <v/>
      </c>
      <c r="M11" s="493" t="s">
        <v>288</v>
      </c>
      <c r="O11" s="738" t="s">
        <v>289</v>
      </c>
      <c r="P11" s="739">
        <f>职业!$AZ$17+主要!$R$16</f>
        <v>0</v>
      </c>
      <c r="Q11" s="739">
        <f>职业!$AZ$17+主要!$R$16</f>
        <v>0</v>
      </c>
      <c r="R11" s="739">
        <f>职业!$AZ$17+主要!$R$16</f>
        <v>0</v>
      </c>
      <c r="S11" s="739">
        <f>职业!$AZ$17+主要!$R$16</f>
        <v>0</v>
      </c>
      <c r="T11" s="739">
        <f>职业!$AZ$17+主要!$R$16</f>
        <v>0</v>
      </c>
      <c r="U11" s="739">
        <f>职业!$AZ$17+主要!$R$16</f>
        <v>0</v>
      </c>
      <c r="V11" s="739">
        <f>职业!$AZ$17+主要!$R$16</f>
        <v>0</v>
      </c>
      <c r="W11" s="739">
        <f>职业!$AZ$17+主要!$R$16</f>
        <v>0</v>
      </c>
      <c r="X11" s="739">
        <f>职业!$AZ$17+主要!$R$16</f>
        <v>0</v>
      </c>
      <c r="Y11" s="739">
        <f>职业!$AZ$17+主要!$R$16</f>
        <v>0</v>
      </c>
      <c r="Z11" s="739">
        <f>职业!$AZ$17+主要!$R$16</f>
        <v>0</v>
      </c>
      <c r="AA11" s="739">
        <f>职业!$AZ$17+主要!$R$16</f>
        <v>0</v>
      </c>
      <c r="AB11" s="739">
        <f>职业!$AZ$17+主要!$R$16</f>
        <v>0</v>
      </c>
      <c r="AC11" s="739">
        <f>职业!$AZ$17+主要!$R$16</f>
        <v>0</v>
      </c>
      <c r="AD11" s="739">
        <f>职业!$AZ$17+主要!$R$16</f>
        <v>0</v>
      </c>
      <c r="AE11" s="739">
        <f>职业!$AZ$17+主要!$R$16</f>
        <v>0</v>
      </c>
      <c r="AF11" s="739">
        <f>职业!$AZ$17+主要!$R$16</f>
        <v>0</v>
      </c>
      <c r="AG11" s="739">
        <f>职业!$AZ$17+主要!$R$16</f>
        <v>0</v>
      </c>
      <c r="AH11" s="739">
        <f>职业!$AZ$17+主要!$R$16</f>
        <v>0</v>
      </c>
      <c r="AI11" s="738">
        <f>职业!$AZ$17+主要!$R$16</f>
        <v>0</v>
      </c>
      <c r="AJ11" s="739">
        <f>职业!$AZ$17</f>
        <v>0</v>
      </c>
      <c r="AL11" s="750"/>
      <c r="AM11" s="750"/>
      <c r="AN11" s="750"/>
      <c r="AO11" s="750"/>
      <c r="AP11" s="750"/>
      <c r="AQ11" s="750"/>
      <c r="AR11" s="750"/>
      <c r="AS11" s="750"/>
      <c r="AT11" s="750"/>
      <c r="AU11" s="750"/>
      <c r="AV11" s="750"/>
      <c r="AW11" s="750"/>
      <c r="AX11" s="750"/>
      <c r="AY11" s="750"/>
      <c r="AZ11" s="750"/>
      <c r="BA11" s="750"/>
      <c r="BB11" s="750"/>
      <c r="BC11" s="750"/>
      <c r="BD11" s="750"/>
      <c r="BE11" s="750"/>
      <c r="BF11" s="750"/>
      <c r="BG11" s="750"/>
      <c r="BJ11" s="760" t="s">
        <v>237</v>
      </c>
      <c r="BK11" s="760"/>
      <c r="BL11" s="760"/>
      <c r="BM11" s="760"/>
      <c r="BN11" s="760"/>
      <c r="BO11" s="760"/>
      <c r="BP11" s="760"/>
      <c r="BQ11" s="760"/>
      <c r="BR11" s="760"/>
      <c r="BS11" s="760"/>
      <c r="BT11" s="760"/>
      <c r="BU11" s="760"/>
      <c r="BV11" s="760"/>
      <c r="BW11" s="760"/>
      <c r="BX11" s="760"/>
      <c r="BY11" s="760"/>
      <c r="BZ11" s="760"/>
      <c r="CA11" s="760"/>
      <c r="CB11" s="760"/>
      <c r="CC11" s="760"/>
      <c r="CD11" s="760"/>
      <c r="CE11" s="760"/>
      <c r="CI11" s="742">
        <v>48000</v>
      </c>
      <c r="CJ11" s="730">
        <v>9</v>
      </c>
      <c r="CK11" s="560" t="s">
        <v>290</v>
      </c>
      <c r="CL11" s="560">
        <v>9</v>
      </c>
      <c r="CM11" s="742">
        <v>10</v>
      </c>
      <c r="CN11" s="551">
        <v>4</v>
      </c>
      <c r="CO11" s="742">
        <v>6</v>
      </c>
      <c r="CP11" s="730">
        <v>3</v>
      </c>
    </row>
    <row r="12" customHeight="1" spans="1:94">
      <c r="A12" s="729">
        <v>11</v>
      </c>
      <c r="B12" s="551" t="str">
        <f>IF(法术书!X13="","",法术书!X13)</f>
        <v/>
      </c>
      <c r="C12" s="551" t="str">
        <f>IFERROR(VLOOKUP(B12,法术大全!$A:$W,5,FALSE),"")</f>
        <v/>
      </c>
      <c r="D12" s="730" t="str">
        <f>IFERROR(VLOOKUP(B12,法术大全!$A:$W,4,FALSE),"")</f>
        <v/>
      </c>
      <c r="E12" s="729">
        <v>11</v>
      </c>
      <c r="F12" s="731" t="str" cm="1">
        <f t="array" ref="F12">IFERROR(INDEX($B$1:$B$301,SMALL(IF($B$1:$B$301&lt;&gt;"",ROW($B$1:$B$301),4^8),ROW(12:12)))&amp;"","")</f>
        <v/>
      </c>
      <c r="G12" s="558"/>
      <c r="H12" s="733" t="str">
        <f>IF(主要!Q70&lt;&gt;"",主要!Q70,"")</f>
        <v/>
      </c>
      <c r="I12" s="551">
        <f>IF(VLOOKUP(H12,法术大全!$A$3:$E$864,4,0)="√",1,0)</f>
        <v>0</v>
      </c>
      <c r="J12" s="551">
        <f>IF(VLOOKUP(H12,法术大全!$A$3:$E$864,5,0)="√",1,0)</f>
        <v>0</v>
      </c>
      <c r="K12" s="558" t="str" cm="1">
        <f t="array" ref="K12">IFERROR(INDEX($H$1:$H$68,SMALL(IF($H$2:$H$68&lt;&gt;"",ROW($H$2:$H$68),4^8),ROW(12:12)))&amp;"","")</f>
        <v/>
      </c>
      <c r="M12" s="493" t="s">
        <v>291</v>
      </c>
      <c r="O12" s="737" t="s">
        <v>292</v>
      </c>
      <c r="P12" s="561">
        <v>4</v>
      </c>
      <c r="Q12" s="561">
        <v>5</v>
      </c>
      <c r="R12" s="561">
        <v>6</v>
      </c>
      <c r="S12" s="561">
        <v>7</v>
      </c>
      <c r="T12" s="561">
        <v>9</v>
      </c>
      <c r="U12" s="561">
        <v>10</v>
      </c>
      <c r="V12" s="561">
        <v>11</v>
      </c>
      <c r="W12" s="561">
        <v>12</v>
      </c>
      <c r="X12" s="561">
        <v>14</v>
      </c>
      <c r="Y12" s="561">
        <v>15</v>
      </c>
      <c r="Z12" s="561">
        <v>16</v>
      </c>
      <c r="AA12" s="561">
        <v>16</v>
      </c>
      <c r="AB12" s="561">
        <v>17</v>
      </c>
      <c r="AC12" s="561">
        <v>17</v>
      </c>
      <c r="AD12" s="561">
        <v>18</v>
      </c>
      <c r="AE12" s="561">
        <v>18</v>
      </c>
      <c r="AF12" s="561">
        <v>19</v>
      </c>
      <c r="AG12" s="561">
        <v>20</v>
      </c>
      <c r="AH12" s="561">
        <v>21</v>
      </c>
      <c r="AI12" s="737">
        <v>22</v>
      </c>
      <c r="AJ12" s="551">
        <f>职业!$AZ$15</f>
        <v>0</v>
      </c>
      <c r="AL12" s="750"/>
      <c r="AM12" s="750"/>
      <c r="AN12" s="750"/>
      <c r="AO12" s="750"/>
      <c r="AP12" s="750"/>
      <c r="AQ12" s="750"/>
      <c r="AR12" s="750"/>
      <c r="AS12" s="750"/>
      <c r="AT12" s="750"/>
      <c r="AU12" s="750"/>
      <c r="AV12" s="750"/>
      <c r="AW12" s="750"/>
      <c r="AX12" s="750"/>
      <c r="AY12" s="750"/>
      <c r="AZ12" s="750"/>
      <c r="BA12" s="750"/>
      <c r="BB12" s="750"/>
      <c r="BC12" s="750"/>
      <c r="BD12" s="750"/>
      <c r="BE12" s="750"/>
      <c r="BF12" s="750"/>
      <c r="BG12" s="750"/>
      <c r="BJ12" s="800" t="str">
        <f>IFERROR(VLOOKUP(BJ4,法术大全!$A:$Z,13,FALSE),"")</f>
        <v/>
      </c>
      <c r="BK12" s="801"/>
      <c r="BL12" s="801"/>
      <c r="BM12" s="801"/>
      <c r="BN12" s="801"/>
      <c r="BO12" s="801"/>
      <c r="BP12" s="801"/>
      <c r="BQ12" s="801"/>
      <c r="BR12" s="801"/>
      <c r="BS12" s="801"/>
      <c r="BT12" s="801"/>
      <c r="BU12" s="801"/>
      <c r="BV12" s="801"/>
      <c r="BW12" s="801"/>
      <c r="BX12" s="801"/>
      <c r="BY12" s="801"/>
      <c r="BZ12" s="801"/>
      <c r="CA12" s="801"/>
      <c r="CB12" s="801"/>
      <c r="CC12" s="801"/>
      <c r="CD12" s="801"/>
      <c r="CE12" s="837"/>
      <c r="CI12" s="742">
        <v>64000</v>
      </c>
      <c r="CJ12" s="730">
        <v>10</v>
      </c>
      <c r="CM12" s="742">
        <v>11</v>
      </c>
      <c r="CN12" s="551">
        <v>4</v>
      </c>
      <c r="CO12" s="742">
        <v>7</v>
      </c>
      <c r="CP12" s="730">
        <v>3</v>
      </c>
    </row>
    <row r="13" customHeight="1" spans="1:94">
      <c r="A13" s="729">
        <v>12</v>
      </c>
      <c r="B13" s="551" t="str">
        <f>IF(法术书!X14="","",法术书!X14)</f>
        <v/>
      </c>
      <c r="C13" s="551" t="str">
        <f>IFERROR(VLOOKUP(B13,法术大全!$A:$W,5,FALSE),"")</f>
        <v/>
      </c>
      <c r="D13" s="730" t="str">
        <f>IFERROR(VLOOKUP(B13,法术大全!$A:$W,4,FALSE),"")</f>
        <v/>
      </c>
      <c r="E13" s="729">
        <v>12</v>
      </c>
      <c r="F13" s="731" t="str" cm="1">
        <f t="array" ref="F13">IFERROR(INDEX($B$1:$B$301,SMALL(IF($B$1:$B$301&lt;&gt;"",ROW($B$1:$B$301),4^8),ROW(13:13)))&amp;"","")</f>
        <v/>
      </c>
      <c r="G13" s="558"/>
      <c r="H13" s="733" t="str">
        <f>IF(主要!Q71&lt;&gt;"",主要!Q71,"")</f>
        <v/>
      </c>
      <c r="I13" s="551">
        <f>IF(VLOOKUP(H13,法术大全!$A$3:$E$864,4,0)="√",1,0)</f>
        <v>0</v>
      </c>
      <c r="J13" s="551">
        <f>IF(VLOOKUP(H13,法术大全!$A$3:$E$864,5,0)="√",1,0)</f>
        <v>0</v>
      </c>
      <c r="K13" s="558" t="str" cm="1">
        <f t="array" ref="K13">IFERROR(INDEX($H$1:$H$68,SMALL(IF($H$2:$H$68&lt;&gt;"",ROW($H$2:$H$68),4^8),ROW(13:13)))&amp;"","")</f>
        <v/>
      </c>
      <c r="M13" s="493" t="s">
        <v>293</v>
      </c>
      <c r="O13" s="738" t="s">
        <v>294</v>
      </c>
      <c r="P13" s="739">
        <v>0</v>
      </c>
      <c r="Q13" s="739">
        <v>0</v>
      </c>
      <c r="R13" s="739">
        <v>3</v>
      </c>
      <c r="S13" s="739">
        <v>4</v>
      </c>
      <c r="T13" s="739">
        <v>4</v>
      </c>
      <c r="U13" s="739">
        <v>4</v>
      </c>
      <c r="V13" s="739">
        <v>5</v>
      </c>
      <c r="W13" s="739">
        <v>6</v>
      </c>
      <c r="X13" s="739">
        <v>6</v>
      </c>
      <c r="Y13" s="739">
        <v>7</v>
      </c>
      <c r="Z13" s="739">
        <v>8</v>
      </c>
      <c r="AA13" s="739">
        <v>8</v>
      </c>
      <c r="AB13" s="739">
        <v>9</v>
      </c>
      <c r="AC13" s="739">
        <v>10</v>
      </c>
      <c r="AD13" s="739">
        <v>10</v>
      </c>
      <c r="AE13" s="739">
        <v>11</v>
      </c>
      <c r="AF13" s="739">
        <v>11</v>
      </c>
      <c r="AG13" s="739">
        <v>11</v>
      </c>
      <c r="AH13" s="739">
        <v>12</v>
      </c>
      <c r="AI13" s="738">
        <v>13</v>
      </c>
      <c r="AJ13" s="751">
        <f>职业!$BC$6</f>
        <v>0</v>
      </c>
      <c r="AL13" s="750"/>
      <c r="AM13" s="750"/>
      <c r="AN13" s="750"/>
      <c r="AO13" s="750"/>
      <c r="AP13" s="750"/>
      <c r="AQ13" s="750"/>
      <c r="AR13" s="750"/>
      <c r="AS13" s="750"/>
      <c r="AT13" s="750"/>
      <c r="AU13" s="750"/>
      <c r="AV13" s="750"/>
      <c r="AW13" s="750"/>
      <c r="AX13" s="750"/>
      <c r="AY13" s="750"/>
      <c r="AZ13" s="750"/>
      <c r="BA13" s="750"/>
      <c r="BB13" s="750"/>
      <c r="BC13" s="750"/>
      <c r="BD13" s="750"/>
      <c r="BE13" s="750"/>
      <c r="BF13" s="750"/>
      <c r="BG13" s="750"/>
      <c r="BJ13" s="802"/>
      <c r="BK13" s="803"/>
      <c r="BL13" s="803"/>
      <c r="BM13" s="803"/>
      <c r="BN13" s="803"/>
      <c r="BO13" s="803"/>
      <c r="BP13" s="803"/>
      <c r="BQ13" s="803"/>
      <c r="BR13" s="803"/>
      <c r="BS13" s="803"/>
      <c r="BT13" s="803"/>
      <c r="BU13" s="803"/>
      <c r="BV13" s="803"/>
      <c r="BW13" s="803"/>
      <c r="BX13" s="803"/>
      <c r="BY13" s="803"/>
      <c r="BZ13" s="803"/>
      <c r="CA13" s="803"/>
      <c r="CB13" s="803"/>
      <c r="CC13" s="803"/>
      <c r="CD13" s="803"/>
      <c r="CE13" s="838"/>
      <c r="CI13" s="839">
        <v>85000</v>
      </c>
      <c r="CJ13" s="840">
        <v>11</v>
      </c>
      <c r="CM13" s="742">
        <v>12</v>
      </c>
      <c r="CN13" s="551">
        <v>4</v>
      </c>
      <c r="CO13" s="742">
        <v>8</v>
      </c>
      <c r="CP13" s="730">
        <v>3</v>
      </c>
    </row>
    <row r="14" customHeight="1" spans="1:94">
      <c r="A14" s="729">
        <v>13</v>
      </c>
      <c r="B14" s="551" t="str">
        <f>IF(法术书!X15="","",法术书!X15)</f>
        <v/>
      </c>
      <c r="C14" s="551" t="str">
        <f>IFERROR(VLOOKUP(B14,法术大全!$A:$W,5,FALSE),"")</f>
        <v/>
      </c>
      <c r="D14" s="730" t="str">
        <f>IFERROR(VLOOKUP(B14,法术大全!$A:$W,4,FALSE),"")</f>
        <v/>
      </c>
      <c r="E14" s="729">
        <v>13</v>
      </c>
      <c r="F14" s="731" t="str" cm="1">
        <f t="array" ref="F14">IFERROR(INDEX($B$1:$B$301,SMALL(IF($B$1:$B$301&lt;&gt;"",ROW($B$1:$B$301),4^8),ROW(14:14)))&amp;"","")</f>
        <v/>
      </c>
      <c r="G14" s="558"/>
      <c r="H14" s="733" t="str">
        <f>IF(主要!Q72&lt;&gt;"",主要!Q72,"")</f>
        <v/>
      </c>
      <c r="I14" s="551">
        <f>IF(VLOOKUP(H14,法术大全!$A$3:$E$864,4,0)="√",1,0)</f>
        <v>0</v>
      </c>
      <c r="J14" s="551">
        <f>IF(VLOOKUP(H14,法术大全!$A$3:$E$864,5,0)="√",1,0)</f>
        <v>0</v>
      </c>
      <c r="K14" s="558" t="str" cm="1">
        <f t="array" ref="K14">IFERROR(INDEX($H$1:$H$68,SMALL(IF($H$2:$H$68&lt;&gt;"",ROW($H$2:$H$68),4^8),ROW(14:14)))&amp;"","")</f>
        <v/>
      </c>
      <c r="M14" s="493" t="s">
        <v>295</v>
      </c>
      <c r="O14" s="737" t="s">
        <v>296</v>
      </c>
      <c r="P14" s="561">
        <v>0</v>
      </c>
      <c r="Q14" s="561">
        <v>0</v>
      </c>
      <c r="R14" s="561">
        <v>3</v>
      </c>
      <c r="S14" s="561">
        <v>4</v>
      </c>
      <c r="T14" s="561">
        <v>4</v>
      </c>
      <c r="U14" s="561">
        <v>4</v>
      </c>
      <c r="V14" s="561">
        <v>5</v>
      </c>
      <c r="W14" s="561">
        <v>6</v>
      </c>
      <c r="X14" s="561">
        <v>6</v>
      </c>
      <c r="Y14" s="561">
        <v>7</v>
      </c>
      <c r="Z14" s="561">
        <v>8</v>
      </c>
      <c r="AA14" s="561">
        <v>8</v>
      </c>
      <c r="AB14" s="561">
        <v>9</v>
      </c>
      <c r="AC14" s="561">
        <v>10</v>
      </c>
      <c r="AD14" s="561">
        <v>10</v>
      </c>
      <c r="AE14" s="561">
        <v>11</v>
      </c>
      <c r="AF14" s="561">
        <v>11</v>
      </c>
      <c r="AG14" s="561">
        <v>11</v>
      </c>
      <c r="AH14" s="561">
        <v>12</v>
      </c>
      <c r="AI14" s="737">
        <v>13</v>
      </c>
      <c r="AJ14" s="551">
        <f>职业!$BC$7</f>
        <v>0</v>
      </c>
      <c r="BJ14" s="802"/>
      <c r="BK14" s="803"/>
      <c r="BL14" s="803"/>
      <c r="BM14" s="803"/>
      <c r="BN14" s="803"/>
      <c r="BO14" s="803"/>
      <c r="BP14" s="803"/>
      <c r="BQ14" s="803"/>
      <c r="BR14" s="803"/>
      <c r="BS14" s="803"/>
      <c r="BT14" s="803"/>
      <c r="BU14" s="803"/>
      <c r="BV14" s="803"/>
      <c r="BW14" s="803"/>
      <c r="BX14" s="803"/>
      <c r="BY14" s="803"/>
      <c r="BZ14" s="803"/>
      <c r="CA14" s="803"/>
      <c r="CB14" s="803"/>
      <c r="CC14" s="803"/>
      <c r="CD14" s="803"/>
      <c r="CE14" s="838"/>
      <c r="CI14" s="839">
        <v>100000</v>
      </c>
      <c r="CJ14" s="840">
        <v>12</v>
      </c>
      <c r="CM14" s="742">
        <v>13</v>
      </c>
      <c r="CN14" s="551">
        <v>5</v>
      </c>
      <c r="CO14" s="742">
        <v>9</v>
      </c>
      <c r="CP14" s="730">
        <v>4</v>
      </c>
    </row>
    <row r="15" customHeight="1" spans="1:94">
      <c r="A15" s="729">
        <v>14</v>
      </c>
      <c r="B15" s="551" t="str">
        <f>IF(法术书!X16="","",法术书!X16)</f>
        <v/>
      </c>
      <c r="C15" s="551" t="str">
        <f>IFERROR(VLOOKUP(B15,法术大全!$A:$W,5,FALSE),"")</f>
        <v/>
      </c>
      <c r="D15" s="730" t="str">
        <f>IFERROR(VLOOKUP(B15,法术大全!$A:$W,4,FALSE),"")</f>
        <v/>
      </c>
      <c r="E15" s="729">
        <v>14</v>
      </c>
      <c r="F15" s="731" t="str" cm="1">
        <f t="array" ref="F15">IFERROR(INDEX($B$1:$B$301,SMALL(IF($B$1:$B$301&lt;&gt;"",ROW($B$1:$B$301),4^8),ROW(15:15)))&amp;"","")</f>
        <v/>
      </c>
      <c r="G15" s="558" t="s">
        <v>297</v>
      </c>
      <c r="H15" s="733" t="str">
        <f>IF(主要!Y68&lt;&gt;"",主要!Y68,"")</f>
        <v/>
      </c>
      <c r="I15" s="551">
        <f>IF(VLOOKUP(H15,法术大全!$A$3:$E$864,4,0)="√",1,0)</f>
        <v>0</v>
      </c>
      <c r="J15" s="551">
        <f>IF(VLOOKUP(H15,法术大全!$A$3:$E$864,5,0)="√",1,0)</f>
        <v>0</v>
      </c>
      <c r="K15" s="558" t="str" cm="1">
        <f t="array" ref="K15">IFERROR(INDEX($H$1:$H$68,SMALL(IF($H$2:$H$68&lt;&gt;"",ROW($H$2:$H$68),4^8),ROW(15:15)))&amp;"","")</f>
        <v/>
      </c>
      <c r="M15" s="493" t="s">
        <v>298</v>
      </c>
      <c r="O15" s="738" t="s">
        <v>299</v>
      </c>
      <c r="P15" s="739">
        <v>0</v>
      </c>
      <c r="Q15" s="739">
        <v>0</v>
      </c>
      <c r="R15" s="739">
        <v>2</v>
      </c>
      <c r="S15" s="739">
        <v>2</v>
      </c>
      <c r="T15" s="739">
        <v>3</v>
      </c>
      <c r="U15" s="739">
        <v>3</v>
      </c>
      <c r="V15" s="739">
        <v>4</v>
      </c>
      <c r="W15" s="739">
        <v>4</v>
      </c>
      <c r="X15" s="739">
        <v>5</v>
      </c>
      <c r="Y15" s="739">
        <v>5</v>
      </c>
      <c r="Z15" s="739">
        <v>6</v>
      </c>
      <c r="AA15" s="739">
        <v>6</v>
      </c>
      <c r="AB15" s="739">
        <v>7</v>
      </c>
      <c r="AC15" s="739">
        <v>7</v>
      </c>
      <c r="AD15" s="739">
        <v>8</v>
      </c>
      <c r="AE15" s="739">
        <v>8</v>
      </c>
      <c r="AF15" s="739">
        <v>9</v>
      </c>
      <c r="AG15" s="739">
        <v>9</v>
      </c>
      <c r="AH15" s="739">
        <v>10</v>
      </c>
      <c r="AI15" s="738">
        <v>11</v>
      </c>
      <c r="AJ15" s="751">
        <f>职业!$BC$16</f>
        <v>0</v>
      </c>
      <c r="AL15" s="752" t="s">
        <v>235</v>
      </c>
      <c r="AM15" s="753"/>
      <c r="AN15" s="753"/>
      <c r="AO15" s="753"/>
      <c r="AP15" s="753"/>
      <c r="AQ15" s="753"/>
      <c r="AR15" s="753"/>
      <c r="AS15" s="753"/>
      <c r="AT15" s="753"/>
      <c r="AU15" s="753"/>
      <c r="AV15" s="753"/>
      <c r="AW15" s="753"/>
      <c r="AX15" s="753"/>
      <c r="AY15" s="753"/>
      <c r="AZ15" s="775"/>
      <c r="BJ15" s="802"/>
      <c r="BK15" s="803"/>
      <c r="BL15" s="803"/>
      <c r="BM15" s="803"/>
      <c r="BN15" s="803"/>
      <c r="BO15" s="803"/>
      <c r="BP15" s="803"/>
      <c r="BQ15" s="803"/>
      <c r="BR15" s="803"/>
      <c r="BS15" s="803"/>
      <c r="BT15" s="803"/>
      <c r="BU15" s="803"/>
      <c r="BV15" s="803"/>
      <c r="BW15" s="803"/>
      <c r="BX15" s="803"/>
      <c r="BY15" s="803"/>
      <c r="BZ15" s="803"/>
      <c r="CA15" s="803"/>
      <c r="CB15" s="803"/>
      <c r="CC15" s="803"/>
      <c r="CD15" s="803"/>
      <c r="CE15" s="838"/>
      <c r="CI15" s="839">
        <v>120000</v>
      </c>
      <c r="CJ15" s="840">
        <v>13</v>
      </c>
      <c r="CL15" s="551" t="s">
        <v>144</v>
      </c>
      <c r="CM15" s="742">
        <v>14</v>
      </c>
      <c r="CN15" s="551">
        <v>5</v>
      </c>
      <c r="CO15" s="742">
        <v>10</v>
      </c>
      <c r="CP15" s="730">
        <v>4</v>
      </c>
    </row>
    <row r="16" customHeight="1" spans="1:94">
      <c r="A16" s="729">
        <v>15</v>
      </c>
      <c r="B16" s="551" t="str">
        <f>IF(法术书!X17="","",法术书!X17)</f>
        <v/>
      </c>
      <c r="C16" s="551" t="str">
        <f>IFERROR(VLOOKUP(B16,法术大全!$A:$W,5,FALSE),"")</f>
        <v/>
      </c>
      <c r="D16" s="730" t="str">
        <f>IFERROR(VLOOKUP(B16,法术大全!$A:$W,4,FALSE),"")</f>
        <v/>
      </c>
      <c r="E16" s="729">
        <v>15</v>
      </c>
      <c r="F16" s="731" t="str" cm="1">
        <f t="array" ref="F16">IFERROR(INDEX($B$1:$B$301,SMALL(IF($B$1:$B$301&lt;&gt;"",ROW($B$1:$B$301),4^8),ROW(16:16)))&amp;"","")</f>
        <v/>
      </c>
      <c r="G16" s="558"/>
      <c r="H16" s="733" t="str">
        <f>IF(主要!Y69&lt;&gt;"",主要!Y69,"")</f>
        <v/>
      </c>
      <c r="I16" s="551">
        <f>IF(VLOOKUP(H16,法术大全!$A$3:$E$864,4,0)="√",1,0)</f>
        <v>0</v>
      </c>
      <c r="J16" s="551">
        <f>IF(VLOOKUP(H16,法术大全!$A$3:$E$864,5,0)="√",1,0)</f>
        <v>0</v>
      </c>
      <c r="K16" s="558" t="str" cm="1">
        <f t="array" ref="K16">IFERROR(INDEX($H$1:$H$68,SMALL(IF($H$2:$H$68&lt;&gt;"",ROW($H$2:$H$68),4^8),ROW(16:16)))&amp;"","")</f>
        <v/>
      </c>
      <c r="M16" s="493" t="s">
        <v>300</v>
      </c>
      <c r="O16" s="737" t="s">
        <v>301</v>
      </c>
      <c r="P16" s="561">
        <v>0</v>
      </c>
      <c r="Q16" s="561">
        <v>0</v>
      </c>
      <c r="R16" s="561">
        <v>3</v>
      </c>
      <c r="S16" s="561">
        <v>4</v>
      </c>
      <c r="T16" s="561">
        <v>4</v>
      </c>
      <c r="U16" s="561">
        <v>4</v>
      </c>
      <c r="V16" s="561">
        <v>5</v>
      </c>
      <c r="W16" s="561">
        <v>6</v>
      </c>
      <c r="X16" s="561">
        <v>6</v>
      </c>
      <c r="Y16" s="561">
        <v>7</v>
      </c>
      <c r="Z16" s="561">
        <v>8</v>
      </c>
      <c r="AA16" s="561">
        <v>8</v>
      </c>
      <c r="AB16" s="561">
        <v>9</v>
      </c>
      <c r="AC16" s="561">
        <v>10</v>
      </c>
      <c r="AD16" s="561">
        <v>10</v>
      </c>
      <c r="AE16" s="561">
        <v>11</v>
      </c>
      <c r="AF16" s="561">
        <v>11</v>
      </c>
      <c r="AG16" s="561">
        <v>11</v>
      </c>
      <c r="AH16" s="561">
        <v>12</v>
      </c>
      <c r="AI16" s="737">
        <v>13</v>
      </c>
      <c r="AJ16" s="551">
        <f>职业!$BC$8</f>
        <v>0</v>
      </c>
      <c r="AL16" s="750"/>
      <c r="AM16" s="750"/>
      <c r="AN16" s="750"/>
      <c r="AO16" s="750"/>
      <c r="AP16" s="750"/>
      <c r="AQ16" s="750"/>
      <c r="AR16" s="750"/>
      <c r="AS16" s="750"/>
      <c r="AT16" s="750"/>
      <c r="AU16" s="750"/>
      <c r="AV16" s="750"/>
      <c r="AW16" s="750"/>
      <c r="AX16" s="750"/>
      <c r="AY16" s="750"/>
      <c r="AZ16" s="750"/>
      <c r="BJ16" s="802"/>
      <c r="BK16" s="803"/>
      <c r="BL16" s="803"/>
      <c r="BM16" s="803"/>
      <c r="BN16" s="803"/>
      <c r="BO16" s="803"/>
      <c r="BP16" s="803"/>
      <c r="BQ16" s="803"/>
      <c r="BR16" s="803"/>
      <c r="BS16" s="803"/>
      <c r="BT16" s="803"/>
      <c r="BU16" s="803"/>
      <c r="BV16" s="803"/>
      <c r="BW16" s="803"/>
      <c r="BX16" s="803"/>
      <c r="BY16" s="803"/>
      <c r="BZ16" s="803"/>
      <c r="CA16" s="803"/>
      <c r="CB16" s="803"/>
      <c r="CC16" s="803"/>
      <c r="CD16" s="803"/>
      <c r="CE16" s="838"/>
      <c r="CI16" s="839">
        <v>140000</v>
      </c>
      <c r="CJ16" s="840">
        <v>14</v>
      </c>
      <c r="CL16" s="551" t="s">
        <v>302</v>
      </c>
      <c r="CM16" s="742">
        <v>15</v>
      </c>
      <c r="CN16" s="551">
        <v>5</v>
      </c>
      <c r="CO16" s="742">
        <v>11</v>
      </c>
      <c r="CP16" s="730">
        <v>4</v>
      </c>
    </row>
    <row r="17" customHeight="1" spans="1:94">
      <c r="A17" s="729">
        <v>16</v>
      </c>
      <c r="B17" s="551" t="str">
        <f>IF(法术书!X18="","",法术书!X18)</f>
        <v/>
      </c>
      <c r="C17" s="551" t="str">
        <f>IFERROR(VLOOKUP(B17,法术大全!$A:$W,5,FALSE),"")</f>
        <v/>
      </c>
      <c r="D17" s="730" t="str">
        <f>IFERROR(VLOOKUP(B17,法术大全!$A:$W,4,FALSE),"")</f>
        <v/>
      </c>
      <c r="E17" s="729">
        <v>16</v>
      </c>
      <c r="F17" s="731" t="str" cm="1">
        <f t="array" ref="F17">IFERROR(INDEX($B$1:$B$301,SMALL(IF($B$1:$B$301&lt;&gt;"",ROW($B$1:$B$301),4^8),ROW(17:17)))&amp;"","")</f>
        <v/>
      </c>
      <c r="G17" s="558"/>
      <c r="H17" s="733" t="str">
        <f>IF(主要!Y70&lt;&gt;"",主要!Y70,"")</f>
        <v/>
      </c>
      <c r="I17" s="551">
        <f>IF(VLOOKUP(H17,法术大全!$A$3:$E$864,4,0)="√",1,0)</f>
        <v>0</v>
      </c>
      <c r="J17" s="551">
        <f>IF(VLOOKUP(H17,法术大全!$A$3:$E$864,5,0)="√",1,0)</f>
        <v>0</v>
      </c>
      <c r="K17" s="558" t="str" cm="1">
        <f t="array" ref="K17">IFERROR(INDEX($H$1:$H$68,SMALL(IF($H$2:$H$68&lt;&gt;"",ROW($H$2:$H$68),4^8),ROW(17:17)))&amp;"","")</f>
        <v/>
      </c>
      <c r="M17" s="493" t="s">
        <v>303</v>
      </c>
      <c r="O17" s="738" t="s">
        <v>304</v>
      </c>
      <c r="P17" s="739">
        <v>0</v>
      </c>
      <c r="Q17" s="739">
        <v>0</v>
      </c>
      <c r="R17" s="739">
        <v>3</v>
      </c>
      <c r="S17" s="739">
        <v>4</v>
      </c>
      <c r="T17" s="739">
        <v>4</v>
      </c>
      <c r="U17" s="739">
        <v>4</v>
      </c>
      <c r="V17" s="739">
        <v>5</v>
      </c>
      <c r="W17" s="739">
        <v>6</v>
      </c>
      <c r="X17" s="739">
        <v>6</v>
      </c>
      <c r="Y17" s="739">
        <v>7</v>
      </c>
      <c r="Z17" s="739">
        <v>8</v>
      </c>
      <c r="AA17" s="739">
        <v>8</v>
      </c>
      <c r="AB17" s="739">
        <v>9</v>
      </c>
      <c r="AC17" s="739">
        <v>10</v>
      </c>
      <c r="AD17" s="739">
        <v>10</v>
      </c>
      <c r="AE17" s="739">
        <v>11</v>
      </c>
      <c r="AF17" s="739">
        <v>11</v>
      </c>
      <c r="AG17" s="739">
        <v>11</v>
      </c>
      <c r="AH17" s="739">
        <v>12</v>
      </c>
      <c r="AI17" s="738">
        <v>13</v>
      </c>
      <c r="AJ17" s="751">
        <f>职业!$BC$9</f>
        <v>0</v>
      </c>
      <c r="AL17" s="750"/>
      <c r="AM17" s="750"/>
      <c r="AN17" s="750"/>
      <c r="AO17" s="750"/>
      <c r="AP17" s="750"/>
      <c r="AQ17" s="750"/>
      <c r="AR17" s="750"/>
      <c r="AS17" s="750"/>
      <c r="AT17" s="750"/>
      <c r="AU17" s="750"/>
      <c r="AV17" s="750"/>
      <c r="AW17" s="750"/>
      <c r="AX17" s="750"/>
      <c r="AY17" s="750"/>
      <c r="AZ17" s="750"/>
      <c r="BJ17" s="802"/>
      <c r="BK17" s="803"/>
      <c r="BL17" s="803"/>
      <c r="BM17" s="803"/>
      <c r="BN17" s="803"/>
      <c r="BO17" s="803"/>
      <c r="BP17" s="803"/>
      <c r="BQ17" s="803"/>
      <c r="BR17" s="803"/>
      <c r="BS17" s="803"/>
      <c r="BT17" s="803"/>
      <c r="BU17" s="803"/>
      <c r="BV17" s="803"/>
      <c r="BW17" s="803"/>
      <c r="BX17" s="803"/>
      <c r="BY17" s="803"/>
      <c r="BZ17" s="803"/>
      <c r="CA17" s="803"/>
      <c r="CB17" s="803"/>
      <c r="CC17" s="803"/>
      <c r="CD17" s="803"/>
      <c r="CE17" s="838"/>
      <c r="CI17" s="839">
        <v>165000</v>
      </c>
      <c r="CJ17" s="840">
        <v>15</v>
      </c>
      <c r="CL17" s="551" t="s">
        <v>305</v>
      </c>
      <c r="CM17" s="742">
        <v>16</v>
      </c>
      <c r="CN17" s="551">
        <v>5</v>
      </c>
      <c r="CO17" s="742">
        <v>12</v>
      </c>
      <c r="CP17" s="730">
        <v>4</v>
      </c>
    </row>
    <row r="18" customHeight="1" spans="1:94">
      <c r="A18" s="729">
        <v>17</v>
      </c>
      <c r="B18" s="551" t="str">
        <f>IF(法术书!X19="","",法术书!X19)</f>
        <v/>
      </c>
      <c r="C18" s="551" t="str">
        <f>IFERROR(VLOOKUP(B18,法术大全!$A:$W,5,FALSE),"")</f>
        <v/>
      </c>
      <c r="D18" s="730" t="str">
        <f>IFERROR(VLOOKUP(B18,法术大全!$A:$W,4,FALSE),"")</f>
        <v/>
      </c>
      <c r="E18" s="729">
        <v>17</v>
      </c>
      <c r="F18" s="731" t="str" cm="1">
        <f t="array" ref="F18">IFERROR(INDEX($B$1:$B$301,SMALL(IF($B$1:$B$301&lt;&gt;"",ROW($B$1:$B$301),4^8),ROW(18:18)))&amp;"","")</f>
        <v/>
      </c>
      <c r="G18" s="558"/>
      <c r="H18" s="733" t="str">
        <f>IF(主要!Y71&lt;&gt;"",主要!Y71,"")</f>
        <v/>
      </c>
      <c r="I18" s="551">
        <f>IF(VLOOKUP(H18,法术大全!$A$3:$E$864,4,0)="√",1,0)</f>
        <v>0</v>
      </c>
      <c r="J18" s="551">
        <f>IF(VLOOKUP(H18,法术大全!$A$3:$E$864,5,0)="√",1,0)</f>
        <v>0</v>
      </c>
      <c r="K18" s="558" t="str" cm="1">
        <f t="array" ref="K18">IFERROR(INDEX($H$1:$H$68,SMALL(IF($H$2:$H$68&lt;&gt;"",ROW($H$2:$H$68),4^8),ROW(18:18)))&amp;"","")</f>
        <v/>
      </c>
      <c r="M18" s="493" t="s">
        <v>306</v>
      </c>
      <c r="O18" s="737" t="s">
        <v>307</v>
      </c>
      <c r="P18" s="561">
        <v>0</v>
      </c>
      <c r="Q18" s="561">
        <v>0</v>
      </c>
      <c r="R18" s="561">
        <v>3</v>
      </c>
      <c r="S18" s="561">
        <v>4</v>
      </c>
      <c r="T18" s="561">
        <v>4</v>
      </c>
      <c r="U18" s="561">
        <v>4</v>
      </c>
      <c r="V18" s="561">
        <v>5</v>
      </c>
      <c r="W18" s="561">
        <v>6</v>
      </c>
      <c r="X18" s="561">
        <v>6</v>
      </c>
      <c r="Y18" s="561">
        <v>7</v>
      </c>
      <c r="Z18" s="561">
        <v>8</v>
      </c>
      <c r="AA18" s="561">
        <v>8</v>
      </c>
      <c r="AB18" s="561">
        <v>9</v>
      </c>
      <c r="AC18" s="561">
        <v>10</v>
      </c>
      <c r="AD18" s="561">
        <v>10</v>
      </c>
      <c r="AE18" s="561">
        <v>11</v>
      </c>
      <c r="AF18" s="561">
        <v>11</v>
      </c>
      <c r="AG18" s="561">
        <v>11</v>
      </c>
      <c r="AH18" s="561">
        <v>12</v>
      </c>
      <c r="AI18" s="737">
        <v>13</v>
      </c>
      <c r="AJ18" s="551">
        <f>职业!$BC$10</f>
        <v>0</v>
      </c>
      <c r="AL18" s="750"/>
      <c r="AM18" s="750"/>
      <c r="AN18" s="750"/>
      <c r="AO18" s="750"/>
      <c r="AP18" s="750"/>
      <c r="AQ18" s="750"/>
      <c r="AR18" s="750"/>
      <c r="AS18" s="750"/>
      <c r="AT18" s="750"/>
      <c r="AU18" s="750"/>
      <c r="AV18" s="750"/>
      <c r="AW18" s="750"/>
      <c r="AX18" s="750"/>
      <c r="AY18" s="750"/>
      <c r="AZ18" s="750"/>
      <c r="BJ18" s="802"/>
      <c r="BK18" s="803"/>
      <c r="BL18" s="803"/>
      <c r="BM18" s="803"/>
      <c r="BN18" s="803"/>
      <c r="BO18" s="803"/>
      <c r="BP18" s="803"/>
      <c r="BQ18" s="803"/>
      <c r="BR18" s="803"/>
      <c r="BS18" s="803"/>
      <c r="BT18" s="803"/>
      <c r="BU18" s="803"/>
      <c r="BV18" s="803"/>
      <c r="BW18" s="803"/>
      <c r="BX18" s="803"/>
      <c r="BY18" s="803"/>
      <c r="BZ18" s="803"/>
      <c r="CA18" s="803"/>
      <c r="CB18" s="803"/>
      <c r="CC18" s="803"/>
      <c r="CD18" s="803"/>
      <c r="CE18" s="838"/>
      <c r="CI18" s="839">
        <v>195000</v>
      </c>
      <c r="CJ18" s="840">
        <v>16</v>
      </c>
      <c r="CL18" s="551" t="s">
        <v>145</v>
      </c>
      <c r="CM18" s="742">
        <v>17</v>
      </c>
      <c r="CN18" s="551">
        <v>6</v>
      </c>
      <c r="CO18" s="742">
        <v>13</v>
      </c>
      <c r="CP18" s="730">
        <v>5</v>
      </c>
    </row>
    <row r="19" customHeight="1" spans="1:94">
      <c r="A19" s="729">
        <v>18</v>
      </c>
      <c r="B19" s="551" t="str">
        <f>IF(法术书!X20="","",法术书!X20)</f>
        <v/>
      </c>
      <c r="C19" s="551" t="str">
        <f>IFERROR(VLOOKUP(B19,法术大全!$A:$W,5,FALSE),"")</f>
        <v/>
      </c>
      <c r="D19" s="730" t="str">
        <f>IFERROR(VLOOKUP(B19,法术大全!$A:$W,4,FALSE),"")</f>
        <v/>
      </c>
      <c r="E19" s="729">
        <v>18</v>
      </c>
      <c r="F19" s="731" t="str" cm="1">
        <f t="array" ref="F19">IFERROR(INDEX($B$1:$B$301,SMALL(IF($B$1:$B$301&lt;&gt;"",ROW($B$1:$B$301),4^8),ROW(19:19)))&amp;"","")</f>
        <v/>
      </c>
      <c r="G19" s="558"/>
      <c r="H19" s="733" t="str">
        <f>IF(主要!Y72&lt;&gt;"",主要!Y72,"")</f>
        <v/>
      </c>
      <c r="I19" s="551">
        <f>IF(VLOOKUP(H19,法术大全!$A$3:$E$864,4,0)="√",1,0)</f>
        <v>0</v>
      </c>
      <c r="J19" s="551">
        <f>IF(VLOOKUP(H19,法术大全!$A$3:$E$864,5,0)="√",1,0)</f>
        <v>0</v>
      </c>
      <c r="K19" s="558" t="str" cm="1">
        <f t="array" ref="K19">IFERROR(INDEX($H$1:$H$68,SMALL(IF($H$2:$H$68&lt;&gt;"",ROW($H$2:$H$68),4^8),ROW(19:19)))&amp;"","")</f>
        <v/>
      </c>
      <c r="M19" s="493" t="s">
        <v>308</v>
      </c>
      <c r="O19" s="738" t="s">
        <v>309</v>
      </c>
      <c r="P19" s="739">
        <v>0</v>
      </c>
      <c r="Q19" s="739">
        <v>0</v>
      </c>
      <c r="R19" s="739">
        <v>3</v>
      </c>
      <c r="S19" s="739">
        <v>4</v>
      </c>
      <c r="T19" s="739">
        <v>4</v>
      </c>
      <c r="U19" s="739">
        <v>4</v>
      </c>
      <c r="V19" s="739">
        <v>5</v>
      </c>
      <c r="W19" s="739">
        <v>6</v>
      </c>
      <c r="X19" s="739">
        <v>6</v>
      </c>
      <c r="Y19" s="739">
        <v>7</v>
      </c>
      <c r="Z19" s="739">
        <v>8</v>
      </c>
      <c r="AA19" s="739">
        <v>8</v>
      </c>
      <c r="AB19" s="739">
        <v>9</v>
      </c>
      <c r="AC19" s="739">
        <v>10</v>
      </c>
      <c r="AD19" s="739">
        <v>10</v>
      </c>
      <c r="AE19" s="739">
        <v>11</v>
      </c>
      <c r="AF19" s="739">
        <v>11</v>
      </c>
      <c r="AG19" s="739">
        <v>11</v>
      </c>
      <c r="AH19" s="739">
        <v>12</v>
      </c>
      <c r="AI19" s="738">
        <v>13</v>
      </c>
      <c r="AJ19" s="751">
        <f>职业!$BC$11</f>
        <v>0</v>
      </c>
      <c r="AL19" s="750"/>
      <c r="AM19" s="750"/>
      <c r="AN19" s="750"/>
      <c r="AO19" s="750"/>
      <c r="AP19" s="750"/>
      <c r="AQ19" s="750"/>
      <c r="AR19" s="750"/>
      <c r="AS19" s="750"/>
      <c r="AT19" s="750"/>
      <c r="AU19" s="750"/>
      <c r="AV19" s="750"/>
      <c r="AW19" s="750"/>
      <c r="AX19" s="750"/>
      <c r="AY19" s="750"/>
      <c r="AZ19" s="750"/>
      <c r="BJ19" s="802"/>
      <c r="BK19" s="803"/>
      <c r="BL19" s="803"/>
      <c r="BM19" s="803"/>
      <c r="BN19" s="803"/>
      <c r="BO19" s="803"/>
      <c r="BP19" s="803"/>
      <c r="BQ19" s="803"/>
      <c r="BR19" s="803"/>
      <c r="BS19" s="803"/>
      <c r="BT19" s="803"/>
      <c r="BU19" s="803"/>
      <c r="BV19" s="803"/>
      <c r="BW19" s="803"/>
      <c r="BX19" s="803"/>
      <c r="BY19" s="803"/>
      <c r="BZ19" s="803"/>
      <c r="CA19" s="803"/>
      <c r="CB19" s="803"/>
      <c r="CC19" s="803"/>
      <c r="CD19" s="803"/>
      <c r="CE19" s="838"/>
      <c r="CI19" s="742">
        <v>225000</v>
      </c>
      <c r="CJ19" s="730">
        <v>17</v>
      </c>
      <c r="CL19" s="551" t="s">
        <v>310</v>
      </c>
      <c r="CM19" s="742">
        <v>18</v>
      </c>
      <c r="CN19" s="551">
        <v>6</v>
      </c>
      <c r="CO19" s="742">
        <v>14</v>
      </c>
      <c r="CP19" s="730">
        <v>5</v>
      </c>
    </row>
    <row r="20" customHeight="1" spans="1:94">
      <c r="A20" s="729">
        <v>19</v>
      </c>
      <c r="B20" s="551" t="str">
        <f>IF(法术书!X21="","",法术书!X21)</f>
        <v/>
      </c>
      <c r="C20" s="551" t="str">
        <f>IFERROR(VLOOKUP(B20,法术大全!$A:$W,5,FALSE),"")</f>
        <v/>
      </c>
      <c r="D20" s="730" t="str">
        <f>IFERROR(VLOOKUP(B20,法术大全!$A:$W,4,FALSE),"")</f>
        <v/>
      </c>
      <c r="E20" s="729">
        <v>19</v>
      </c>
      <c r="F20" s="731" t="str" cm="1">
        <f t="array" ref="F20">IFERROR(INDEX($B$1:$B$301,SMALL(IF($B$1:$B$301&lt;&gt;"",ROW($B$1:$B$301),4^8),ROW(20:20)))&amp;"","")</f>
        <v/>
      </c>
      <c r="G20" s="558" t="s">
        <v>311</v>
      </c>
      <c r="H20" s="734" t="str">
        <f>IF(主要!Y57&lt;&gt;"",主要!Y57,"")</f>
        <v/>
      </c>
      <c r="I20" s="551">
        <f>IF(VLOOKUP(H20,法术大全!$A$3:$E$864,4,0)="√",1,0)</f>
        <v>0</v>
      </c>
      <c r="J20" s="551">
        <f>IF(VLOOKUP(H20,法术大全!$A$3:$E$864,5,0)="√",1,0)</f>
        <v>0</v>
      </c>
      <c r="K20" s="558" t="str" cm="1">
        <f t="array" ref="K20">IFERROR(INDEX($H$1:$H$68,SMALL(IF($H$2:$H$68&lt;&gt;"",ROW($H$2:$H$68),4^8),ROW(20:20)))&amp;"","")</f>
        <v/>
      </c>
      <c r="M20" s="493" t="s">
        <v>312</v>
      </c>
      <c r="O20" s="561"/>
      <c r="P20" s="561"/>
      <c r="Q20" s="561"/>
      <c r="R20" s="561"/>
      <c r="S20" s="561"/>
      <c r="T20" s="561"/>
      <c r="U20" s="561"/>
      <c r="V20" s="561"/>
      <c r="W20" s="561"/>
      <c r="X20" s="561"/>
      <c r="Y20" s="561"/>
      <c r="Z20" s="561"/>
      <c r="AA20" s="561"/>
      <c r="AB20" s="561"/>
      <c r="AC20" s="561"/>
      <c r="AD20" s="561"/>
      <c r="AE20" s="561"/>
      <c r="AF20" s="561"/>
      <c r="AG20" s="561"/>
      <c r="AH20" s="561"/>
      <c r="AI20" s="561"/>
      <c r="AL20" s="750"/>
      <c r="AM20" s="750"/>
      <c r="AN20" s="750"/>
      <c r="AO20" s="750"/>
      <c r="AP20" s="750"/>
      <c r="AQ20" s="750"/>
      <c r="AR20" s="750"/>
      <c r="AS20" s="750"/>
      <c r="AT20" s="750"/>
      <c r="AU20" s="750"/>
      <c r="AV20" s="750"/>
      <c r="AW20" s="750"/>
      <c r="AX20" s="750"/>
      <c r="AY20" s="750"/>
      <c r="AZ20" s="750"/>
      <c r="BB20" s="776" t="s">
        <v>313</v>
      </c>
      <c r="BC20" s="776"/>
      <c r="BD20" s="776"/>
      <c r="BE20" s="776"/>
      <c r="BF20" s="776"/>
      <c r="BJ20" s="802"/>
      <c r="BK20" s="803"/>
      <c r="BL20" s="803"/>
      <c r="BM20" s="803"/>
      <c r="BN20" s="803"/>
      <c r="BO20" s="803"/>
      <c r="BP20" s="803"/>
      <c r="BQ20" s="803"/>
      <c r="BR20" s="803"/>
      <c r="BS20" s="803"/>
      <c r="BT20" s="803"/>
      <c r="BU20" s="803"/>
      <c r="BV20" s="803"/>
      <c r="BW20" s="803"/>
      <c r="BX20" s="803"/>
      <c r="BY20" s="803"/>
      <c r="BZ20" s="803"/>
      <c r="CA20" s="803"/>
      <c r="CB20" s="803"/>
      <c r="CC20" s="803"/>
      <c r="CD20" s="803"/>
      <c r="CE20" s="838"/>
      <c r="CI20" s="742">
        <v>265000</v>
      </c>
      <c r="CJ20" s="730">
        <v>18</v>
      </c>
      <c r="CL20" s="551" t="s">
        <v>314</v>
      </c>
      <c r="CM20" s="742">
        <v>19</v>
      </c>
      <c r="CN20" s="551">
        <v>6</v>
      </c>
      <c r="CO20" s="742">
        <v>15</v>
      </c>
      <c r="CP20" s="730">
        <v>5</v>
      </c>
    </row>
    <row r="21" customHeight="1" spans="1:94">
      <c r="A21" s="729">
        <v>20</v>
      </c>
      <c r="B21" s="551" t="str">
        <f>IF(法术书!X22="","",法术书!X22)</f>
        <v/>
      </c>
      <c r="C21" s="551" t="str">
        <f>IFERROR(VLOOKUP(B21,法术大全!$A:$W,5,FALSE),"")</f>
        <v/>
      </c>
      <c r="D21" s="730" t="str">
        <f>IFERROR(VLOOKUP(B21,法术大全!$A:$W,4,FALSE),"")</f>
        <v/>
      </c>
      <c r="E21" s="729">
        <v>20</v>
      </c>
      <c r="F21" s="731" t="str" cm="1">
        <f t="array" ref="F21">IFERROR(INDEX($B$1:$B$301,SMALL(IF($B$1:$B$301&lt;&gt;"",ROW($B$1:$B$301),4^8),ROW(21:21)))&amp;"","")</f>
        <v/>
      </c>
      <c r="G21" s="558"/>
      <c r="H21" s="734" t="str">
        <f>IF(主要!Y58&lt;&gt;"",主要!Y58,"")</f>
        <v/>
      </c>
      <c r="I21" s="551">
        <f>IF(VLOOKUP(H21,法术大全!$A$3:$E$864,4,0)="√",1,0)</f>
        <v>0</v>
      </c>
      <c r="J21" s="551">
        <f>IF(VLOOKUP(H21,法术大全!$A$3:$E$864,5,0)="√",1,0)</f>
        <v>0</v>
      </c>
      <c r="K21" s="558" t="str" cm="1">
        <f t="array" ref="K21">IFERROR(INDEX($H$1:$H$68,SMALL(IF($H$2:$H$68&lt;&gt;"",ROW($H$2:$H$68),4^8),ROW(21:21)))&amp;"","")</f>
        <v/>
      </c>
      <c r="M21" s="493" t="s">
        <v>315</v>
      </c>
      <c r="O21" s="561"/>
      <c r="P21" s="561"/>
      <c r="Q21" s="561"/>
      <c r="R21" s="561"/>
      <c r="S21" s="561"/>
      <c r="T21" s="561"/>
      <c r="U21" s="561"/>
      <c r="V21" s="561"/>
      <c r="W21" s="561"/>
      <c r="X21" s="561"/>
      <c r="Y21" s="561"/>
      <c r="Z21" s="561"/>
      <c r="AA21" s="561"/>
      <c r="AB21" s="561"/>
      <c r="AC21" s="561"/>
      <c r="AD21" s="561"/>
      <c r="AE21" s="561"/>
      <c r="AF21" s="561"/>
      <c r="AG21" s="561"/>
      <c r="AH21" s="561"/>
      <c r="AI21" s="561"/>
      <c r="AL21" s="750"/>
      <c r="AM21" s="750"/>
      <c r="AN21" s="750"/>
      <c r="AO21" s="750"/>
      <c r="AP21" s="750"/>
      <c r="AQ21" s="750"/>
      <c r="AR21" s="750"/>
      <c r="AS21" s="750"/>
      <c r="AT21" s="750"/>
      <c r="AU21" s="750"/>
      <c r="AV21" s="750"/>
      <c r="AW21" s="750"/>
      <c r="AX21" s="750"/>
      <c r="AY21" s="750"/>
      <c r="AZ21" s="750"/>
      <c r="BB21" s="777"/>
      <c r="BC21" s="778"/>
      <c r="BD21" s="778"/>
      <c r="BE21" s="778"/>
      <c r="BF21" s="804"/>
      <c r="BJ21" s="802"/>
      <c r="BK21" s="803"/>
      <c r="BL21" s="803"/>
      <c r="BM21" s="803"/>
      <c r="BN21" s="803"/>
      <c r="BO21" s="803"/>
      <c r="BP21" s="803"/>
      <c r="BQ21" s="803"/>
      <c r="BR21" s="803"/>
      <c r="BS21" s="803"/>
      <c r="BT21" s="803"/>
      <c r="BU21" s="803"/>
      <c r="BV21" s="803"/>
      <c r="BW21" s="803"/>
      <c r="BX21" s="803"/>
      <c r="BY21" s="803"/>
      <c r="BZ21" s="803"/>
      <c r="CA21" s="803"/>
      <c r="CB21" s="803"/>
      <c r="CC21" s="803"/>
      <c r="CD21" s="803"/>
      <c r="CE21" s="838"/>
      <c r="CI21" s="742">
        <v>305000</v>
      </c>
      <c r="CJ21" s="730">
        <v>19</v>
      </c>
      <c r="CL21" s="551" t="s">
        <v>316</v>
      </c>
      <c r="CM21" s="743">
        <v>20</v>
      </c>
      <c r="CN21" s="560">
        <v>6</v>
      </c>
      <c r="CO21" s="742">
        <v>16</v>
      </c>
      <c r="CP21" s="730">
        <v>5</v>
      </c>
    </row>
    <row r="22" customHeight="1" spans="1:94">
      <c r="A22" s="729">
        <v>21</v>
      </c>
      <c r="B22" s="551" t="str">
        <f>IF(法术书!X23="","",法术书!X23)</f>
        <v/>
      </c>
      <c r="C22" s="551" t="str">
        <f>IFERROR(VLOOKUP(B22,法术大全!$A:$W,5,FALSE),"")</f>
        <v/>
      </c>
      <c r="D22" s="730" t="str">
        <f>IFERROR(VLOOKUP(B22,法术大全!$A:$W,4,FALSE),"")</f>
        <v/>
      </c>
      <c r="E22" s="729">
        <v>21</v>
      </c>
      <c r="F22" s="731" t="str" cm="1">
        <f t="array" ref="F22">IFERROR(INDEX($B$1:$B$301,SMALL(IF($B$1:$B$301&lt;&gt;"",ROW($B$1:$B$301),4^8),ROW(22:22)))&amp;"","")</f>
        <v/>
      </c>
      <c r="G22" s="558"/>
      <c r="H22" s="734" t="str">
        <f>IF(主要!Y59&lt;&gt;"",主要!Y59,"")</f>
        <v/>
      </c>
      <c r="I22" s="551">
        <f>IF(VLOOKUP(H22,法术大全!$A$3:$E$864,4,0)="√",1,0)</f>
        <v>0</v>
      </c>
      <c r="J22" s="551">
        <f>IF(VLOOKUP(H22,法术大全!$A$3:$E$864,5,0)="√",1,0)</f>
        <v>0</v>
      </c>
      <c r="K22" s="558" t="str" cm="1">
        <f t="array" ref="K22">IFERROR(INDEX($H$1:$H$68,SMALL(IF($H$2:$H$68&lt;&gt;"",ROW($H$2:$H$68),4^8),ROW(22:22)))&amp;"","")</f>
        <v/>
      </c>
      <c r="M22" s="493" t="s">
        <v>317</v>
      </c>
      <c r="O22" s="740" t="s">
        <v>66</v>
      </c>
      <c r="P22" s="741">
        <f>主要!E6</f>
        <v>0</v>
      </c>
      <c r="Q22" s="748" t="str">
        <f>IFERROR(VLOOKUP(P22,$O$2:$AI$11,主要!O6+1,0),"")</f>
        <v/>
      </c>
      <c r="R22" s="561"/>
      <c r="S22" s="561"/>
      <c r="T22" s="561"/>
      <c r="U22" s="561"/>
      <c r="V22" s="561"/>
      <c r="W22" s="561"/>
      <c r="X22" s="561"/>
      <c r="Y22" s="561"/>
      <c r="Z22" s="561"/>
      <c r="AA22" s="561"/>
      <c r="AB22" s="561"/>
      <c r="AC22" s="561"/>
      <c r="AD22" s="561"/>
      <c r="AE22" s="561"/>
      <c r="AF22" s="561"/>
      <c r="AG22" s="561"/>
      <c r="AH22" s="561"/>
      <c r="AI22" s="561"/>
      <c r="AL22" s="750"/>
      <c r="AM22" s="750"/>
      <c r="AN22" s="750"/>
      <c r="AO22" s="750"/>
      <c r="AP22" s="750"/>
      <c r="AQ22" s="750"/>
      <c r="AR22" s="750"/>
      <c r="AS22" s="750"/>
      <c r="AT22" s="750"/>
      <c r="AU22" s="750"/>
      <c r="AV22" s="750"/>
      <c r="AW22" s="750"/>
      <c r="AX22" s="750"/>
      <c r="AY22" s="750"/>
      <c r="AZ22" s="750"/>
      <c r="BB22" s="779"/>
      <c r="BC22" s="780"/>
      <c r="BD22" s="780"/>
      <c r="BE22" s="780"/>
      <c r="BF22" s="805"/>
      <c r="BJ22" s="802"/>
      <c r="BK22" s="803"/>
      <c r="BL22" s="803"/>
      <c r="BM22" s="803"/>
      <c r="BN22" s="803"/>
      <c r="BO22" s="803"/>
      <c r="BP22" s="803"/>
      <c r="BQ22" s="803"/>
      <c r="BR22" s="803"/>
      <c r="BS22" s="803"/>
      <c r="BT22" s="803"/>
      <c r="BU22" s="803"/>
      <c r="BV22" s="803"/>
      <c r="BW22" s="803"/>
      <c r="BX22" s="803"/>
      <c r="BY22" s="803"/>
      <c r="BZ22" s="803"/>
      <c r="CA22" s="803"/>
      <c r="CB22" s="803"/>
      <c r="CC22" s="803"/>
      <c r="CD22" s="803"/>
      <c r="CE22" s="838"/>
      <c r="CI22" s="743">
        <v>355000</v>
      </c>
      <c r="CJ22" s="736">
        <v>20</v>
      </c>
      <c r="CO22" s="742">
        <v>17</v>
      </c>
      <c r="CP22" s="730">
        <v>6</v>
      </c>
    </row>
    <row r="23" customHeight="1" spans="1:94">
      <c r="A23" s="729">
        <v>22</v>
      </c>
      <c r="B23" s="551" t="str">
        <f>IF(法术书!X24="","",法术书!X24)</f>
        <v/>
      </c>
      <c r="C23" s="551" t="str">
        <f>IFERROR(VLOOKUP(B23,法术大全!$A:$W,5,FALSE),"")</f>
        <v/>
      </c>
      <c r="D23" s="730" t="str">
        <f>IFERROR(VLOOKUP(B23,法术大全!$A:$W,4,FALSE),"")</f>
        <v/>
      </c>
      <c r="E23" s="729">
        <v>22</v>
      </c>
      <c r="F23" s="731" t="str" cm="1">
        <f t="array" ref="F23">IFERROR(INDEX($B$1:$B$301,SMALL(IF($B$1:$B$301&lt;&gt;"",ROW($B$1:$B$301),4^8),ROW(23:23)))&amp;"","")</f>
        <v/>
      </c>
      <c r="G23" s="558"/>
      <c r="H23" s="734" t="str">
        <f>IF(主要!Y60&lt;&gt;"",主要!Y60,"")</f>
        <v/>
      </c>
      <c r="I23" s="551">
        <f>IF(VLOOKUP(H23,法术大全!$A$3:$E$864,4,0)="√",1,0)</f>
        <v>0</v>
      </c>
      <c r="J23" s="551">
        <f>IF(VLOOKUP(H23,法术大全!$A$3:$E$864,5,0)="√",1,0)</f>
        <v>0</v>
      </c>
      <c r="K23" s="558" t="str" cm="1">
        <f t="array" ref="K23">IFERROR(INDEX($H$1:$H$68,SMALL(IF($H$2:$H$68&lt;&gt;"",ROW($H$2:$H$68),4^8),ROW(23:23)))&amp;"","")</f>
        <v/>
      </c>
      <c r="O23" s="742" t="s">
        <v>73</v>
      </c>
      <c r="P23" s="551">
        <f>主要!E7</f>
        <v>0</v>
      </c>
      <c r="Q23" s="730" t="str">
        <f>IFERROR(VLOOKUP(P23,$O$2:$AI$11,主要!O7+1,0),"")</f>
        <v/>
      </c>
      <c r="R23" s="561"/>
      <c r="S23" s="561"/>
      <c r="T23" s="561"/>
      <c r="U23" s="561"/>
      <c r="V23" s="561"/>
      <c r="W23" s="561"/>
      <c r="X23" s="561"/>
      <c r="Y23" s="561"/>
      <c r="Z23" s="561"/>
      <c r="AA23" s="561"/>
      <c r="AB23" s="561"/>
      <c r="AC23" s="561"/>
      <c r="AD23" s="561"/>
      <c r="AE23" s="561"/>
      <c r="AF23" s="561"/>
      <c r="AG23" s="561"/>
      <c r="AH23" s="561"/>
      <c r="AI23" s="561"/>
      <c r="AL23" s="750"/>
      <c r="AM23" s="750"/>
      <c r="AN23" s="750"/>
      <c r="AO23" s="750"/>
      <c r="AP23" s="750"/>
      <c r="AQ23" s="750"/>
      <c r="AR23" s="750"/>
      <c r="AS23" s="750"/>
      <c r="AT23" s="750"/>
      <c r="AU23" s="750"/>
      <c r="AV23" s="750"/>
      <c r="AW23" s="750"/>
      <c r="AX23" s="750"/>
      <c r="AY23" s="750"/>
      <c r="AZ23" s="750"/>
      <c r="BB23" s="777"/>
      <c r="BC23" s="778"/>
      <c r="BD23" s="778"/>
      <c r="BE23" s="778"/>
      <c r="BF23" s="804"/>
      <c r="BJ23" s="802"/>
      <c r="BK23" s="803"/>
      <c r="BL23" s="803"/>
      <c r="BM23" s="803"/>
      <c r="BN23" s="803"/>
      <c r="BO23" s="803"/>
      <c r="BP23" s="803"/>
      <c r="BQ23" s="803"/>
      <c r="BR23" s="803"/>
      <c r="BS23" s="803"/>
      <c r="BT23" s="803"/>
      <c r="BU23" s="803"/>
      <c r="BV23" s="803"/>
      <c r="BW23" s="803"/>
      <c r="BX23" s="803"/>
      <c r="BY23" s="803"/>
      <c r="BZ23" s="803"/>
      <c r="CA23" s="803"/>
      <c r="CB23" s="803"/>
      <c r="CC23" s="803"/>
      <c r="CD23" s="803"/>
      <c r="CE23" s="838"/>
      <c r="CI23">
        <f>_xlfn.XLOOKUP(VLOOKUP(主要!E9,CI3:CJ22,2,TRUE),CJ3:CJ22,CI3:CI22,0)</f>
        <v>0</v>
      </c>
      <c r="CJ23" s="551">
        <f>_xlfn.XLOOKUP(VLOOKUP(主要!E9,CI3:CJ22,2,TRUE)+1,CJ3:CJ22,CI3:CI22,355000)</f>
        <v>300</v>
      </c>
      <c r="CO23" s="742">
        <v>18</v>
      </c>
      <c r="CP23" s="730">
        <v>6</v>
      </c>
    </row>
    <row r="24" customHeight="1" spans="1:94">
      <c r="A24" s="729">
        <v>23</v>
      </c>
      <c r="B24" s="551" t="str">
        <f>IF(法术书!X25="","",法术书!X25)</f>
        <v/>
      </c>
      <c r="C24" s="551" t="str">
        <f>IFERROR(VLOOKUP(B24,法术大全!$A:$W,5,FALSE),"")</f>
        <v/>
      </c>
      <c r="D24" s="730" t="str">
        <f>IFERROR(VLOOKUP(B24,法术大全!$A:$W,4,FALSE),"")</f>
        <v/>
      </c>
      <c r="E24" s="729">
        <v>23</v>
      </c>
      <c r="F24" s="731" t="str" cm="1">
        <f t="array" ref="F24">IFERROR(INDEX($B$1:$B$301,SMALL(IF($B$1:$B$301&lt;&gt;"",ROW($B$1:$B$301),4^8),ROW(24:24)))&amp;"","")</f>
        <v/>
      </c>
      <c r="G24" s="558"/>
      <c r="H24" s="734" t="str">
        <f>IF(主要!Y61&lt;&gt;"",主要!Y61,"")</f>
        <v/>
      </c>
      <c r="I24" s="551">
        <f>IF(VLOOKUP(H24,法术大全!$A$3:$E$864,4,0)="√",1,0)</f>
        <v>0</v>
      </c>
      <c r="J24" s="551">
        <f>IF(VLOOKUP(H24,法术大全!$A$3:$E$864,5,0)="√",1,0)</f>
        <v>0</v>
      </c>
      <c r="K24" s="558" t="str" cm="1">
        <f t="array" ref="K24">IFERROR(INDEX($H$1:$H$68,SMALL(IF($H$2:$H$68&lt;&gt;"",ROW($H$2:$H$68),4^8),ROW(24:24)))&amp;"","")</f>
        <v/>
      </c>
      <c r="O24" s="743" t="s">
        <v>77</v>
      </c>
      <c r="P24" s="560">
        <f>主要!E8</f>
        <v>0</v>
      </c>
      <c r="Q24" s="736" t="str">
        <f>IFERROR(VLOOKUP(P24,$O$2:$AI$11,主要!O8+1,0),"")</f>
        <v/>
      </c>
      <c r="R24" s="561"/>
      <c r="S24" s="561"/>
      <c r="T24" s="561"/>
      <c r="U24" s="561"/>
      <c r="V24" s="561"/>
      <c r="W24" s="561"/>
      <c r="X24" s="561"/>
      <c r="Y24" s="561"/>
      <c r="Z24" s="561"/>
      <c r="AA24" s="561"/>
      <c r="AB24" s="561"/>
      <c r="AC24" s="561"/>
      <c r="AD24" s="561"/>
      <c r="AE24" s="561"/>
      <c r="AF24" s="561"/>
      <c r="AG24" s="561"/>
      <c r="AH24" s="561"/>
      <c r="AI24" s="561"/>
      <c r="AL24" s="750"/>
      <c r="AM24" s="750"/>
      <c r="AN24" s="750"/>
      <c r="AO24" s="750"/>
      <c r="AP24" s="750"/>
      <c r="AQ24" s="750"/>
      <c r="AR24" s="750"/>
      <c r="AS24" s="750"/>
      <c r="AT24" s="750"/>
      <c r="AU24" s="750"/>
      <c r="AV24" s="750"/>
      <c r="AW24" s="750"/>
      <c r="AX24" s="750"/>
      <c r="AY24" s="750"/>
      <c r="AZ24" s="750"/>
      <c r="BB24" s="779"/>
      <c r="BC24" s="780"/>
      <c r="BD24" s="780"/>
      <c r="BE24" s="780"/>
      <c r="BF24" s="805"/>
      <c r="BJ24" s="806"/>
      <c r="BK24" s="807"/>
      <c r="BL24" s="807"/>
      <c r="BM24" s="807"/>
      <c r="BN24" s="807"/>
      <c r="BO24" s="807"/>
      <c r="BP24" s="807"/>
      <c r="BQ24" s="807"/>
      <c r="BR24" s="807"/>
      <c r="BS24" s="807"/>
      <c r="BT24" s="807"/>
      <c r="BU24" s="807"/>
      <c r="BV24" s="807"/>
      <c r="BW24" s="807"/>
      <c r="BX24" s="807"/>
      <c r="BY24" s="807"/>
      <c r="BZ24" s="807"/>
      <c r="CA24" s="807"/>
      <c r="CB24" s="807"/>
      <c r="CC24" s="807"/>
      <c r="CD24" s="807"/>
      <c r="CE24" s="841"/>
      <c r="CO24" s="742">
        <v>19</v>
      </c>
      <c r="CP24" s="730">
        <v>6</v>
      </c>
    </row>
    <row r="25" customHeight="1" spans="1:94">
      <c r="A25" s="729">
        <v>24</v>
      </c>
      <c r="B25" s="551" t="str">
        <f>IF(法术书!X26="","",法术书!X26)</f>
        <v/>
      </c>
      <c r="C25" s="551" t="str">
        <f>IFERROR(VLOOKUP(B25,法术大全!$A:$W,5,FALSE),"")</f>
        <v/>
      </c>
      <c r="D25" s="730" t="str">
        <f>IFERROR(VLOOKUP(B25,法术大全!$A:$W,4,FALSE),"")</f>
        <v/>
      </c>
      <c r="E25" s="729">
        <v>24</v>
      </c>
      <c r="F25" s="731" t="str" cm="1">
        <f t="array" ref="F25">IFERROR(INDEX($B$1:$B$301,SMALL(IF($B$1:$B$301&lt;&gt;"",ROW($B$1:$B$301),4^8),ROW(25:25)))&amp;"","")</f>
        <v/>
      </c>
      <c r="G25" s="558"/>
      <c r="H25" s="734" t="str">
        <f>IF(主要!Y62&lt;&gt;"",主要!Y62,"")</f>
        <v/>
      </c>
      <c r="I25" s="551">
        <f>IF(VLOOKUP(H25,法术大全!$A$3:$E$864,4,0)="√",1,0)</f>
        <v>0</v>
      </c>
      <c r="J25" s="551">
        <f>IF(VLOOKUP(H25,法术大全!$A$3:$E$864,5,0)="√",1,0)</f>
        <v>0</v>
      </c>
      <c r="K25" s="558" t="str" cm="1">
        <f t="array" ref="K25">IFERROR(INDEX($H$1:$H$68,SMALL(IF($H$2:$H$68&lt;&gt;"",ROW($H$2:$H$68),4^8),ROW(25:25)))&amp;"","")</f>
        <v/>
      </c>
      <c r="O25" s="561"/>
      <c r="P25" s="561"/>
      <c r="Q25" s="561"/>
      <c r="R25" s="561"/>
      <c r="S25" s="561"/>
      <c r="T25" s="561"/>
      <c r="U25" s="561"/>
      <c r="V25" s="561"/>
      <c r="W25" s="561"/>
      <c r="X25" s="561"/>
      <c r="Y25" s="561"/>
      <c r="Z25" s="561"/>
      <c r="AA25" s="561"/>
      <c r="AB25" s="561"/>
      <c r="AC25" s="561"/>
      <c r="AD25" s="561"/>
      <c r="AE25" s="561"/>
      <c r="AF25" s="561"/>
      <c r="AG25" s="561"/>
      <c r="AH25" s="561"/>
      <c r="AI25" s="561"/>
      <c r="AL25" s="750"/>
      <c r="AM25" s="750"/>
      <c r="AN25" s="750"/>
      <c r="AO25" s="750"/>
      <c r="AP25" s="750"/>
      <c r="AQ25" s="750"/>
      <c r="AR25" s="750"/>
      <c r="AS25" s="750"/>
      <c r="AT25" s="750"/>
      <c r="AU25" s="750"/>
      <c r="AV25" s="750"/>
      <c r="AW25" s="750"/>
      <c r="AX25" s="750"/>
      <c r="AY25" s="750"/>
      <c r="AZ25" s="750"/>
      <c r="BB25" s="777"/>
      <c r="BC25" s="778"/>
      <c r="BD25" s="778"/>
      <c r="BE25" s="778"/>
      <c r="BF25" s="804"/>
      <c r="CO25" s="742">
        <v>20</v>
      </c>
      <c r="CP25" s="730">
        <v>6</v>
      </c>
    </row>
    <row r="26" customHeight="1" spans="1:94">
      <c r="A26" s="729">
        <v>25</v>
      </c>
      <c r="B26" s="551" t="str">
        <f>IF(法术书!X27="","",法术书!X27)</f>
        <v/>
      </c>
      <c r="C26" s="551" t="str">
        <f>IFERROR(VLOOKUP(B26,法术大全!$A:$W,5,FALSE),"")</f>
        <v/>
      </c>
      <c r="D26" s="730" t="str">
        <f>IFERROR(VLOOKUP(B26,法术大全!$A:$W,4,FALSE),"")</f>
        <v/>
      </c>
      <c r="E26" s="729">
        <v>25</v>
      </c>
      <c r="F26" s="731" t="str" cm="1">
        <f t="array" ref="F26">IFERROR(INDEX($B$1:$B$301,SMALL(IF($B$1:$B$301&lt;&gt;"",ROW($B$1:$B$301),4^8),ROW(26:26)))&amp;"","")</f>
        <v/>
      </c>
      <c r="G26" s="558"/>
      <c r="H26" s="734" t="str">
        <f>IF(主要!Y63&lt;&gt;"",主要!Y63,"")</f>
        <v/>
      </c>
      <c r="I26" s="551">
        <f>IF(VLOOKUP(H26,法术大全!$A$3:$E$864,4,0)="√",1,0)</f>
        <v>0</v>
      </c>
      <c r="J26" s="551">
        <f>IF(VLOOKUP(H26,法术大全!$A$3:$E$864,5,0)="√",1,0)</f>
        <v>0</v>
      </c>
      <c r="K26" s="558" t="str" cm="1">
        <f t="array" ref="K26">IFERROR(INDEX($H$1:$H$68,SMALL(IF($H$2:$H$68&lt;&gt;"",ROW($H$2:$H$68),4^8),ROW(26:26)))&amp;"","")</f>
        <v/>
      </c>
      <c r="O26" s="744" t="s">
        <v>222</v>
      </c>
      <c r="P26" s="745" t="str">
        <f>IFERROR(VLOOKUP(主要!$B$61,$O$2:$AI$19,IF(VLOOKUP(主要!$B$61,$O$2:$AJ$19,22,FALSE)=0,"",VLOOKUP(主要!$B$61,$O$2:$AJ$19,22,FALSE)+1),FALSE),"")</f>
        <v/>
      </c>
      <c r="AL26" s="750"/>
      <c r="AM26" s="750"/>
      <c r="AN26" s="750"/>
      <c r="AO26" s="750"/>
      <c r="AP26" s="750"/>
      <c r="AQ26" s="750"/>
      <c r="AR26" s="750"/>
      <c r="AS26" s="750"/>
      <c r="AT26" s="750"/>
      <c r="AU26" s="750"/>
      <c r="AV26" s="750"/>
      <c r="AW26" s="750"/>
      <c r="AX26" s="750"/>
      <c r="AY26" s="750"/>
      <c r="AZ26" s="750"/>
      <c r="CO26" s="742">
        <v>21</v>
      </c>
      <c r="CP26" s="730">
        <v>7</v>
      </c>
    </row>
    <row r="27" customHeight="1" spans="1:94">
      <c r="A27" s="729">
        <v>26</v>
      </c>
      <c r="B27" s="551" t="str">
        <f>IF(法术书!X28="","",法术书!X28)</f>
        <v/>
      </c>
      <c r="C27" s="551" t="str">
        <f>IFERROR(VLOOKUP(B27,法术大全!$A:$W,5,FALSE),"")</f>
        <v/>
      </c>
      <c r="D27" s="730" t="str">
        <f>IFERROR(VLOOKUP(B27,法术大全!$A:$W,4,FALSE),"")</f>
        <v/>
      </c>
      <c r="E27" s="729">
        <v>26</v>
      </c>
      <c r="F27" s="731" t="str" cm="1">
        <f t="array" ref="F27">IFERROR(INDEX($B$1:$B$301,SMALL(IF($B$1:$B$301&lt;&gt;"",ROW($B$1:$B$301),4^8),ROW(27:27)))&amp;"","")</f>
        <v/>
      </c>
      <c r="G27" s="558"/>
      <c r="H27" s="734" t="str">
        <f>IF(主要!Y64&lt;&gt;"",主要!Y64,"")</f>
        <v/>
      </c>
      <c r="I27" s="551">
        <f>IF(VLOOKUP(H27,法术大全!$A$3:$E$864,4,0)="√",1,0)</f>
        <v>0</v>
      </c>
      <c r="J27" s="551">
        <f>IF(VLOOKUP(H27,法术大全!$A$3:$E$864,5,0)="√",1,0)</f>
        <v>0</v>
      </c>
      <c r="K27" s="558" t="str" cm="1">
        <f t="array" ref="K27">IFERROR(INDEX($H$1:$H$68,SMALL(IF($H$2:$H$68&lt;&gt;"",ROW($H$2:$H$68),4^8),ROW(27:27)))&amp;"","")</f>
        <v/>
      </c>
      <c r="R27" s="551" t="str">
        <f>IFERROR(VLOOKUP(主要!$B$61,$O$2:$AI$19,IF(VLOOKUP(主要!$B$61,职业!$AY$2:$AZ$20,2,FALSE)=0,"",VLOOKUP(主要!$B$61,职业!$AY$2:$AZ$20,2,FALSE)+1),FALSE),"")</f>
        <v/>
      </c>
      <c r="AL27" s="750"/>
      <c r="AM27" s="750"/>
      <c r="AN27" s="750"/>
      <c r="AO27" s="750"/>
      <c r="AP27" s="750"/>
      <c r="AQ27" s="750"/>
      <c r="AR27" s="750"/>
      <c r="AS27" s="750"/>
      <c r="AT27" s="750"/>
      <c r="AU27" s="750"/>
      <c r="AV27" s="750"/>
      <c r="AW27" s="750"/>
      <c r="AX27" s="750"/>
      <c r="AY27" s="750"/>
      <c r="AZ27" s="750"/>
      <c r="CO27" s="742">
        <v>22</v>
      </c>
      <c r="CP27" s="730">
        <v>7</v>
      </c>
    </row>
    <row r="28" customHeight="1" spans="1:94">
      <c r="A28" s="729">
        <v>27</v>
      </c>
      <c r="B28" s="551" t="str">
        <f>IF(法术书!X29="","",法术书!X29)</f>
        <v/>
      </c>
      <c r="C28" s="551" t="str">
        <f>IFERROR(VLOOKUP(B28,法术大全!$A:$W,5,FALSE),"")</f>
        <v/>
      </c>
      <c r="D28" s="730" t="str">
        <f>IFERROR(VLOOKUP(B28,法术大全!$A:$W,4,FALSE),"")</f>
        <v/>
      </c>
      <c r="E28" s="729">
        <v>27</v>
      </c>
      <c r="F28" s="731" t="str" cm="1">
        <f t="array" ref="F28">IFERROR(INDEX($B$1:$B$301,SMALL(IF($B$1:$B$301&lt;&gt;"",ROW($B$1:$B$301),4^8),ROW(28:28)))&amp;"","")</f>
        <v/>
      </c>
      <c r="G28" s="558" t="s">
        <v>318</v>
      </c>
      <c r="H28" s="735" t="str">
        <f>IF(主要!AG57&lt;&gt;"",主要!AG57,"")</f>
        <v/>
      </c>
      <c r="I28" s="551">
        <f>IF(VLOOKUP(H28,法术大全!$A$3:$E$864,4,0)="√",1,0)</f>
        <v>0</v>
      </c>
      <c r="J28" s="551">
        <f>IF(VLOOKUP(H28,法术大全!$A$3:$E$864,5,0)="√",1,0)</f>
        <v>0</v>
      </c>
      <c r="K28" s="558" t="str" cm="1">
        <f t="array" ref="K28">IFERROR(INDEX($H$1:$H$68,SMALL(IF($H$2:$H$68&lt;&gt;"",ROW($H$2:$H$68),4^8),ROW(28:28)))&amp;"","")</f>
        <v/>
      </c>
      <c r="AL28" s="750"/>
      <c r="AM28" s="750"/>
      <c r="AN28" s="750"/>
      <c r="AO28" s="750"/>
      <c r="AP28" s="750"/>
      <c r="AQ28" s="750"/>
      <c r="AR28" s="750"/>
      <c r="AS28" s="750"/>
      <c r="AT28" s="750"/>
      <c r="AU28" s="750"/>
      <c r="AV28" s="750"/>
      <c r="AW28" s="750"/>
      <c r="AX28" s="750"/>
      <c r="AY28" s="750"/>
      <c r="AZ28" s="750"/>
      <c r="CO28" s="742">
        <v>23</v>
      </c>
      <c r="CP28" s="730">
        <v>7</v>
      </c>
    </row>
    <row r="29" customHeight="1" spans="1:94">
      <c r="A29" s="729">
        <v>28</v>
      </c>
      <c r="B29" s="551" t="str">
        <f>IF(法术书!X30="","",法术书!X30)</f>
        <v/>
      </c>
      <c r="C29" s="551" t="str">
        <f>IFERROR(VLOOKUP(B29,法术大全!$A:$W,5,FALSE),"")</f>
        <v/>
      </c>
      <c r="D29" s="730" t="str">
        <f>IFERROR(VLOOKUP(B29,法术大全!$A:$W,4,FALSE),"")</f>
        <v/>
      </c>
      <c r="E29" s="729">
        <v>28</v>
      </c>
      <c r="F29" s="731" t="str" cm="1">
        <f t="array" ref="F29">IFERROR(INDEX($B$1:$B$301,SMALL(IF($B$1:$B$301&lt;&gt;"",ROW($B$1:$B$301),4^8),ROW(29:29)))&amp;"","")</f>
        <v/>
      </c>
      <c r="G29" s="558"/>
      <c r="H29" s="735" t="str">
        <f>IF(主要!AG58&lt;&gt;"",主要!AG58,"")</f>
        <v/>
      </c>
      <c r="I29" s="551">
        <f>IF(VLOOKUP(H29,法术大全!$A$3:$E$864,4,0)="√",1,0)</f>
        <v>0</v>
      </c>
      <c r="J29" s="551">
        <f>IF(VLOOKUP(H29,法术大全!$A$3:$E$864,5,0)="√",1,0)</f>
        <v>0</v>
      </c>
      <c r="K29" s="558" t="str" cm="1">
        <f t="array" ref="K29">IFERROR(INDEX($H$1:$H$68,SMALL(IF($H$2:$H$68&lt;&gt;"",ROW($H$2:$H$68),4^8),ROW(29:29)))&amp;"","")</f>
        <v/>
      </c>
      <c r="AL29" s="750"/>
      <c r="AM29" s="750"/>
      <c r="AN29" s="750"/>
      <c r="AO29" s="750"/>
      <c r="AP29" s="750"/>
      <c r="AQ29" s="750"/>
      <c r="AR29" s="750"/>
      <c r="AS29" s="750"/>
      <c r="AT29" s="750"/>
      <c r="AU29" s="750"/>
      <c r="AV29" s="750"/>
      <c r="AW29" s="750"/>
      <c r="AX29" s="750"/>
      <c r="AY29" s="750"/>
      <c r="AZ29" s="750"/>
      <c r="CO29" s="742">
        <v>24</v>
      </c>
      <c r="CP29" s="730">
        <v>7</v>
      </c>
    </row>
    <row r="30" customHeight="1" spans="1:94">
      <c r="A30" s="729">
        <v>29</v>
      </c>
      <c r="B30" s="551" t="str">
        <f>IF(法术书!X31="","",法术书!X31)</f>
        <v/>
      </c>
      <c r="C30" s="551" t="str">
        <f>IFERROR(VLOOKUP(B30,法术大全!$A:$W,5,FALSE),"")</f>
        <v/>
      </c>
      <c r="D30" s="730" t="str">
        <f>IFERROR(VLOOKUP(B30,法术大全!$A:$W,4,FALSE),"")</f>
        <v/>
      </c>
      <c r="E30" s="729">
        <v>29</v>
      </c>
      <c r="F30" s="731" t="str" cm="1">
        <f t="array" ref="F30">IFERROR(INDEX($B$1:$B$301,SMALL(IF($B$1:$B$301&lt;&gt;"",ROW($B$1:$B$301),4^8),ROW(30:30)))&amp;"","")</f>
        <v/>
      </c>
      <c r="G30" s="558"/>
      <c r="H30" s="735" t="str">
        <f>IF(主要!AG59&lt;&gt;"",主要!AG59,"")</f>
        <v/>
      </c>
      <c r="I30" s="551">
        <f>IF(VLOOKUP(H30,法术大全!$A$3:$E$864,4,0)="√",1,0)</f>
        <v>0</v>
      </c>
      <c r="J30" s="551">
        <f>IF(VLOOKUP(H30,法术大全!$A$3:$E$864,5,0)="√",1,0)</f>
        <v>0</v>
      </c>
      <c r="K30" s="558" t="str" cm="1">
        <f t="array" ref="K30">IFERROR(INDEX($H$1:$H$68,SMALL(IF($H$2:$H$68&lt;&gt;"",ROW($H$2:$H$68),4^8),ROW(30:30)))&amp;"","")</f>
        <v/>
      </c>
      <c r="CO30" s="742">
        <v>25</v>
      </c>
      <c r="CP30" s="730">
        <v>8</v>
      </c>
    </row>
    <row r="31" customHeight="1" spans="1:94">
      <c r="A31" s="729">
        <v>30</v>
      </c>
      <c r="B31" s="551" t="str">
        <f>IF(法术书!X32="","",法术书!X32)</f>
        <v/>
      </c>
      <c r="C31" s="551" t="str">
        <f>IFERROR(VLOOKUP(B31,法术大全!$A:$W,5,FALSE),"")</f>
        <v/>
      </c>
      <c r="D31" s="730" t="str">
        <f>IFERROR(VLOOKUP(B31,法术大全!$A:$W,4,FALSE),"")</f>
        <v/>
      </c>
      <c r="E31" s="729">
        <v>30</v>
      </c>
      <c r="F31" s="731" t="str" cm="1">
        <f t="array" ref="F31">IFERROR(INDEX($B$1:$B$301,SMALL(IF($B$1:$B$301&lt;&gt;"",ROW($B$1:$B$301),4^8),ROW(31:31)))&amp;"","")</f>
        <v/>
      </c>
      <c r="G31" s="558"/>
      <c r="H31" s="735" t="str">
        <f>IF(主要!AG60&lt;&gt;"",主要!AG60,"")</f>
        <v/>
      </c>
      <c r="I31" s="551">
        <f>IF(VLOOKUP(H31,法术大全!$A$3:$E$864,4,0)="√",1,0)</f>
        <v>0</v>
      </c>
      <c r="J31" s="551">
        <f>IF(VLOOKUP(H31,法术大全!$A$3:$E$864,5,0)="√",1,0)</f>
        <v>0</v>
      </c>
      <c r="K31" s="558" t="str" cm="1">
        <f t="array" ref="K31">IFERROR(INDEX($H$1:$H$68,SMALL(IF($H$2:$H$68&lt;&gt;"",ROW($H$2:$H$68),4^8),ROW(31:31)))&amp;"","")</f>
        <v/>
      </c>
      <c r="CO31" s="742">
        <v>26</v>
      </c>
      <c r="CP31" s="730">
        <v>8</v>
      </c>
    </row>
    <row r="32" customHeight="1" spans="1:94">
      <c r="A32" s="729">
        <v>31</v>
      </c>
      <c r="B32" s="551" t="str">
        <f>IF(法术书!X33="","",法术书!X33)</f>
        <v/>
      </c>
      <c r="C32" s="551" t="str">
        <f>IFERROR(VLOOKUP(B32,法术大全!$A:$W,5,FALSE),"")</f>
        <v/>
      </c>
      <c r="D32" s="730" t="str">
        <f>IFERROR(VLOOKUP(B32,法术大全!$A:$W,4,FALSE),"")</f>
        <v/>
      </c>
      <c r="E32" s="729">
        <v>31</v>
      </c>
      <c r="F32" s="731" t="str" cm="1">
        <f t="array" ref="F32">IFERROR(INDEX($B$1:$B$301,SMALL(IF($B$1:$B$301&lt;&gt;"",ROW($B$1:$B$301),4^8),ROW(32:32)))&amp;"","")</f>
        <v/>
      </c>
      <c r="G32" s="558"/>
      <c r="H32" s="735" t="str">
        <f>IF(主要!AG61&lt;&gt;"",主要!AG61,"")</f>
        <v/>
      </c>
      <c r="I32" s="551">
        <f>IF(VLOOKUP(H32,法术大全!$A$3:$E$864,4,0)="√",1,0)</f>
        <v>0</v>
      </c>
      <c r="J32" s="551">
        <f>IF(VLOOKUP(H32,法术大全!$A$3:$E$864,5,0)="√",1,0)</f>
        <v>0</v>
      </c>
      <c r="K32" s="558" t="str" cm="1">
        <f t="array" ref="K32">IFERROR(INDEX($H$1:$H$68,SMALL(IF($H$2:$H$68&lt;&gt;"",ROW($H$2:$H$68),4^8),ROW(32:32)))&amp;"","")</f>
        <v/>
      </c>
      <c r="AL32" s="293" t="s">
        <v>155</v>
      </c>
      <c r="AM32" s="293"/>
      <c r="AN32" s="293"/>
      <c r="AO32" s="293"/>
      <c r="AP32" s="293" t="s">
        <v>89</v>
      </c>
      <c r="AQ32" s="293"/>
      <c r="AR32" s="293"/>
      <c r="AS32" s="293"/>
      <c r="AT32" s="293"/>
      <c r="AU32" s="293"/>
      <c r="AV32" s="293"/>
      <c r="AW32" s="293"/>
      <c r="AX32" s="293"/>
      <c r="AY32" s="293"/>
      <c r="AZ32" s="293"/>
      <c r="BA32" s="293"/>
      <c r="BB32" s="293"/>
      <c r="BC32" s="383"/>
      <c r="BD32" s="293" t="s">
        <v>155</v>
      </c>
      <c r="BE32" s="293"/>
      <c r="BF32" s="293"/>
      <c r="BG32" s="293"/>
      <c r="BH32" s="293" t="s">
        <v>89</v>
      </c>
      <c r="BI32" s="293"/>
      <c r="BJ32" s="293"/>
      <c r="BK32" s="293"/>
      <c r="BL32" s="293"/>
      <c r="BM32" s="293"/>
      <c r="BN32" s="293"/>
      <c r="BO32" s="293"/>
      <c r="BP32" s="293"/>
      <c r="BQ32" s="293"/>
      <c r="BR32" s="293"/>
      <c r="BS32" s="293" t="s">
        <v>319</v>
      </c>
      <c r="BT32" s="293"/>
      <c r="CO32" s="742">
        <v>27</v>
      </c>
      <c r="CP32" s="730">
        <v>8</v>
      </c>
    </row>
    <row r="33" customHeight="1" spans="1:94">
      <c r="A33" s="729">
        <v>32</v>
      </c>
      <c r="B33" s="551" t="str">
        <f>IF(法术书!X34="","",法术书!X34)</f>
        <v/>
      </c>
      <c r="C33" s="551" t="str">
        <f>IFERROR(VLOOKUP(B33,法术大全!$A:$W,5,FALSE),"")</f>
        <v/>
      </c>
      <c r="D33" s="730" t="str">
        <f>IFERROR(VLOOKUP(B33,法术大全!$A:$W,4,FALSE),"")</f>
        <v/>
      </c>
      <c r="E33" s="729">
        <v>32</v>
      </c>
      <c r="F33" s="731" t="str" cm="1">
        <f t="array" ref="F33">IFERROR(INDEX($B$1:$B$301,SMALL(IF($B$1:$B$301&lt;&gt;"",ROW($B$1:$B$301),4^8),ROW(33:33)))&amp;"","")</f>
        <v/>
      </c>
      <c r="G33" s="558"/>
      <c r="H33" s="735" t="str">
        <f>IF(主要!AG62&lt;&gt;"",主要!AG62,"")</f>
        <v/>
      </c>
      <c r="I33" s="551">
        <f>IF(VLOOKUP(H33,法术大全!$A$3:$E$864,4,0)="√",1,0)</f>
        <v>0</v>
      </c>
      <c r="J33" s="551">
        <f>IF(VLOOKUP(H33,法术大全!$A$3:$E$864,5,0)="√",1,0)</f>
        <v>0</v>
      </c>
      <c r="K33" s="558" t="str" cm="1">
        <f t="array" ref="K33">IFERROR(INDEX($H$1:$H$68,SMALL(IF($H$2:$H$68&lt;&gt;"",ROW($H$2:$H$68),4^8),ROW(33:33)))&amp;"","")</f>
        <v/>
      </c>
      <c r="AL33" s="294"/>
      <c r="AM33" s="294"/>
      <c r="AN33" s="294"/>
      <c r="AO33" s="294"/>
      <c r="AP33" s="295"/>
      <c r="AQ33" s="295"/>
      <c r="AR33" s="295"/>
      <c r="AS33" s="295"/>
      <c r="AT33" s="295"/>
      <c r="AU33" s="295"/>
      <c r="AV33" s="295"/>
      <c r="AW33" s="295"/>
      <c r="AX33" s="295"/>
      <c r="AY33" s="295"/>
      <c r="AZ33" s="295"/>
      <c r="BA33" s="295"/>
      <c r="BB33" s="295"/>
      <c r="BC33" s="383"/>
      <c r="BD33" s="294"/>
      <c r="BE33" s="294"/>
      <c r="BF33" s="294"/>
      <c r="BG33" s="294"/>
      <c r="BH33" s="295"/>
      <c r="BI33" s="295"/>
      <c r="BJ33" s="295"/>
      <c r="BK33" s="295"/>
      <c r="BL33" s="295"/>
      <c r="BM33" s="295"/>
      <c r="BN33" s="295"/>
      <c r="BO33" s="295"/>
      <c r="BP33" s="295"/>
      <c r="BQ33" s="295"/>
      <c r="BR33" s="295"/>
      <c r="BS33" s="320"/>
      <c r="BT33" s="320"/>
      <c r="CO33" s="742">
        <v>28</v>
      </c>
      <c r="CP33" s="730">
        <v>8</v>
      </c>
    </row>
    <row r="34" customHeight="1" spans="1:94">
      <c r="A34" s="729">
        <v>33</v>
      </c>
      <c r="B34" s="551" t="str">
        <f>IF(法术书!X35="","",法术书!X35)</f>
        <v/>
      </c>
      <c r="C34" s="551" t="str">
        <f>IFERROR(VLOOKUP(B34,法术大全!$A:$W,5,FALSE),"")</f>
        <v/>
      </c>
      <c r="D34" s="730" t="str">
        <f>IFERROR(VLOOKUP(B34,法术大全!$A:$W,4,FALSE),"")</f>
        <v/>
      </c>
      <c r="E34" s="729">
        <v>33</v>
      </c>
      <c r="F34" s="731" t="str" cm="1">
        <f t="array" ref="F34">IFERROR(INDEX($B$1:$B$301,SMALL(IF($B$1:$B$301&lt;&gt;"",ROW($B$1:$B$301),4^8),ROW(34:34)))&amp;"","")</f>
        <v/>
      </c>
      <c r="G34" s="558"/>
      <c r="H34" s="735" t="str">
        <f>IF(主要!AG63&lt;&gt;"",主要!AG63,"")</f>
        <v/>
      </c>
      <c r="I34" s="551">
        <f>IF(VLOOKUP(H34,法术大全!$A$3:$E$864,4,0)="√",1,0)</f>
        <v>0</v>
      </c>
      <c r="J34" s="551">
        <f>IF(VLOOKUP(H34,法术大全!$A$3:$E$864,5,0)="√",1,0)</f>
        <v>0</v>
      </c>
      <c r="K34" s="558" t="str" cm="1">
        <f t="array" ref="K34">IFERROR(INDEX($H$1:$H$68,SMALL(IF($H$2:$H$68&lt;&gt;"",ROW($H$2:$H$68),4^8),ROW(34:34)))&amp;"","")</f>
        <v/>
      </c>
      <c r="P34" s="746" t="s">
        <v>258</v>
      </c>
      <c r="Q34" s="746" t="s">
        <v>320</v>
      </c>
      <c r="R34" s="746" t="s">
        <v>321</v>
      </c>
      <c r="S34" s="746" t="s">
        <v>322</v>
      </c>
      <c r="T34" s="746" t="s">
        <v>323</v>
      </c>
      <c r="AL34" s="296"/>
      <c r="AM34" s="296"/>
      <c r="AN34" s="296"/>
      <c r="AO34" s="296"/>
      <c r="AP34" s="297"/>
      <c r="AQ34" s="297"/>
      <c r="AR34" s="297"/>
      <c r="AS34" s="297"/>
      <c r="AT34" s="297"/>
      <c r="AU34" s="297"/>
      <c r="AV34" s="297"/>
      <c r="AW34" s="297"/>
      <c r="AX34" s="297"/>
      <c r="AY34" s="297"/>
      <c r="AZ34" s="297"/>
      <c r="BA34" s="297"/>
      <c r="BB34" s="297"/>
      <c r="BC34" s="383"/>
      <c r="BD34" s="296"/>
      <c r="BE34" s="296"/>
      <c r="BF34" s="296"/>
      <c r="BG34" s="296"/>
      <c r="BH34" s="297"/>
      <c r="BI34" s="297"/>
      <c r="BJ34" s="297"/>
      <c r="BK34" s="297"/>
      <c r="BL34" s="297"/>
      <c r="BM34" s="297"/>
      <c r="BN34" s="297"/>
      <c r="BO34" s="297"/>
      <c r="BP34" s="297"/>
      <c r="BQ34" s="297"/>
      <c r="BR34" s="297"/>
      <c r="BS34" s="321"/>
      <c r="BT34" s="321"/>
      <c r="CO34" s="742">
        <v>29</v>
      </c>
      <c r="CP34" s="730">
        <v>9</v>
      </c>
    </row>
    <row r="35" customHeight="1" spans="1:94">
      <c r="A35" s="729">
        <v>34</v>
      </c>
      <c r="B35" s="551" t="str">
        <f>IF(法术书!X36="","",法术书!X36)</f>
        <v/>
      </c>
      <c r="C35" s="551" t="str">
        <f>IFERROR(VLOOKUP(B35,法术大全!$A:$W,5,FALSE),"")</f>
        <v/>
      </c>
      <c r="D35" s="730" t="str">
        <f>IFERROR(VLOOKUP(B35,法术大全!$A:$W,4,FALSE),"")</f>
        <v/>
      </c>
      <c r="E35" s="729">
        <v>34</v>
      </c>
      <c r="F35" s="731" t="str" cm="1">
        <f t="array" ref="F35">IFERROR(INDEX($B$1:$B$301,SMALL(IF($B$1:$B$301&lt;&gt;"",ROW($B$1:$B$301),4^8),ROW(35:35)))&amp;"","")</f>
        <v/>
      </c>
      <c r="G35" s="558"/>
      <c r="H35" s="735" t="str">
        <f>IF(主要!AG64&lt;&gt;"",主要!AG64,"")</f>
        <v/>
      </c>
      <c r="I35" s="551">
        <f>IF(VLOOKUP(H35,法术大全!$A$3:$E$864,4,0)="√",1,0)</f>
        <v>0</v>
      </c>
      <c r="J35" s="551">
        <f>IF(VLOOKUP(H35,法术大全!$A$3:$E$864,5,0)="√",1,0)</f>
        <v>0</v>
      </c>
      <c r="K35" s="558" t="str" cm="1">
        <f t="array" ref="K35">IFERROR(INDEX($H$1:$H$68,SMALL(IF($H$2:$H$68&lt;&gt;"",ROW($H$2:$H$68),4^8),ROW(35:35)))&amp;"","")</f>
        <v/>
      </c>
      <c r="P35" s="746">
        <v>1</v>
      </c>
      <c r="Q35" s="746" t="s">
        <v>324</v>
      </c>
      <c r="R35" s="746" t="s">
        <v>325</v>
      </c>
      <c r="S35" s="746" t="s">
        <v>326</v>
      </c>
      <c r="T35" s="746" t="s">
        <v>327</v>
      </c>
      <c r="AL35" s="294"/>
      <c r="AM35" s="294"/>
      <c r="AN35" s="294"/>
      <c r="AO35" s="294"/>
      <c r="AP35" s="295"/>
      <c r="AQ35" s="295"/>
      <c r="AR35" s="295"/>
      <c r="AS35" s="295"/>
      <c r="AT35" s="295"/>
      <c r="AU35" s="295"/>
      <c r="AV35" s="295"/>
      <c r="AW35" s="295"/>
      <c r="AX35" s="295"/>
      <c r="AY35" s="295"/>
      <c r="AZ35" s="295"/>
      <c r="BA35" s="295"/>
      <c r="BB35" s="295"/>
      <c r="BC35" s="383"/>
      <c r="BD35" s="294"/>
      <c r="BE35" s="294"/>
      <c r="BF35" s="294"/>
      <c r="BG35" s="294"/>
      <c r="BH35" s="295"/>
      <c r="BI35" s="295"/>
      <c r="BJ35" s="295"/>
      <c r="BK35" s="295"/>
      <c r="BL35" s="295"/>
      <c r="BM35" s="295"/>
      <c r="BN35" s="295"/>
      <c r="BO35" s="295"/>
      <c r="BP35" s="295"/>
      <c r="BQ35" s="295"/>
      <c r="BR35" s="295"/>
      <c r="BS35" s="320"/>
      <c r="BT35" s="320"/>
      <c r="CO35" s="743">
        <v>30</v>
      </c>
      <c r="CP35" s="736">
        <v>9</v>
      </c>
    </row>
    <row r="36" customHeight="1" spans="1:72">
      <c r="A36" s="729">
        <v>35</v>
      </c>
      <c r="B36" s="551" t="str">
        <f>IF(法术书!X37="","",法术书!X37)</f>
        <v/>
      </c>
      <c r="C36" s="551" t="str">
        <f>IFERROR(VLOOKUP(B36,法术大全!$A:$W,5,FALSE),"")</f>
        <v/>
      </c>
      <c r="D36" s="730" t="str">
        <f>IFERROR(VLOOKUP(B36,法术大全!$A:$W,4,FALSE),"")</f>
        <v/>
      </c>
      <c r="E36" s="729">
        <v>35</v>
      </c>
      <c r="F36" s="731" t="str" cm="1">
        <f t="array" ref="F36">IFERROR(INDEX($B$1:$B$301,SMALL(IF($B$1:$B$301&lt;&gt;"",ROW($B$1:$B$301),4^8),ROW(36:36)))&amp;"","")</f>
        <v/>
      </c>
      <c r="G36" s="558"/>
      <c r="H36" s="735" t="str">
        <f>IF(主要!AG65&lt;&gt;"",主要!AG65,"")</f>
        <v/>
      </c>
      <c r="I36" s="551">
        <f>IF(VLOOKUP(H36,法术大全!$A$3:$E$864,4,0)="√",1,0)</f>
        <v>0</v>
      </c>
      <c r="J36" s="551">
        <f>IF(VLOOKUP(H36,法术大全!$A$3:$E$864,5,0)="√",1,0)</f>
        <v>0</v>
      </c>
      <c r="K36" s="558" t="str" cm="1">
        <f t="array" ref="K36">IFERROR(INDEX($H$1:$H$68,SMALL(IF($H$2:$H$68&lt;&gt;"",ROW($H$2:$H$68),4^8),ROW(36:36)))&amp;"","")</f>
        <v/>
      </c>
      <c r="P36" s="746">
        <v>2</v>
      </c>
      <c r="Q36" s="746" t="s">
        <v>328</v>
      </c>
      <c r="R36" s="746" t="s">
        <v>329</v>
      </c>
      <c r="S36" s="746" t="s">
        <v>330</v>
      </c>
      <c r="T36" s="746" t="s">
        <v>329</v>
      </c>
      <c r="AL36" s="296"/>
      <c r="AM36" s="296"/>
      <c r="AN36" s="296"/>
      <c r="AO36" s="296"/>
      <c r="AP36" s="297"/>
      <c r="AQ36" s="297"/>
      <c r="AR36" s="297"/>
      <c r="AS36" s="297"/>
      <c r="AT36" s="297"/>
      <c r="AU36" s="297"/>
      <c r="AV36" s="297"/>
      <c r="AW36" s="297"/>
      <c r="AX36" s="297"/>
      <c r="AY36" s="297"/>
      <c r="AZ36" s="297"/>
      <c r="BA36" s="297"/>
      <c r="BB36" s="297"/>
      <c r="BC36" s="383"/>
      <c r="BD36" s="296"/>
      <c r="BE36" s="296"/>
      <c r="BF36" s="296"/>
      <c r="BG36" s="296"/>
      <c r="BH36" s="297"/>
      <c r="BI36" s="297"/>
      <c r="BJ36" s="297"/>
      <c r="BK36" s="297"/>
      <c r="BL36" s="297"/>
      <c r="BM36" s="297"/>
      <c r="BN36" s="297"/>
      <c r="BO36" s="297"/>
      <c r="BP36" s="297"/>
      <c r="BQ36" s="297"/>
      <c r="BR36" s="297"/>
      <c r="BS36" s="321"/>
      <c r="BT36" s="321"/>
    </row>
    <row r="37" customHeight="1" spans="1:72">
      <c r="A37" s="729">
        <v>36</v>
      </c>
      <c r="B37" s="551" t="str">
        <f>IF(法术书!X38="","",法术书!X38)</f>
        <v/>
      </c>
      <c r="C37" s="551" t="str">
        <f>IFERROR(VLOOKUP(B37,法术大全!$A:$W,5,FALSE),"")</f>
        <v/>
      </c>
      <c r="D37" s="730" t="str">
        <f>IFERROR(VLOOKUP(B37,法术大全!$A:$W,4,FALSE),"")</f>
        <v/>
      </c>
      <c r="E37" s="729">
        <v>36</v>
      </c>
      <c r="F37" s="731" t="str" cm="1">
        <f t="array" ref="F37">IFERROR(INDEX($B$1:$B$301,SMALL(IF($B$1:$B$301&lt;&gt;"",ROW($B$1:$B$301),4^8),ROW(37:37)))&amp;"","")</f>
        <v/>
      </c>
      <c r="G37" s="558"/>
      <c r="H37" s="735" t="str">
        <f>IF(主要!AG66&lt;&gt;"",主要!AG66,"")</f>
        <v/>
      </c>
      <c r="I37" s="551">
        <f>IF(VLOOKUP(H37,法术大全!$A$3:$E$864,4,0)="√",1,0)</f>
        <v>0</v>
      </c>
      <c r="J37" s="551">
        <f>IF(VLOOKUP(H37,法术大全!$A$3:$E$864,5,0)="√",1,0)</f>
        <v>0</v>
      </c>
      <c r="K37" s="558" t="str" cm="1">
        <f t="array" ref="K37">IFERROR(INDEX($H$1:$H$68,SMALL(IF($H$2:$H$68&lt;&gt;"",ROW($H$2:$H$68),4^8),ROW(37:37)))&amp;"","")</f>
        <v/>
      </c>
      <c r="P37" s="746">
        <v>3</v>
      </c>
      <c r="Q37" s="746" t="s">
        <v>331</v>
      </c>
      <c r="R37" s="746" t="s">
        <v>332</v>
      </c>
      <c r="S37" s="746" t="s">
        <v>333</v>
      </c>
      <c r="T37" s="746" t="s">
        <v>334</v>
      </c>
      <c r="AL37" s="294"/>
      <c r="AM37" s="294"/>
      <c r="AN37" s="294"/>
      <c r="AO37" s="294"/>
      <c r="AP37" s="295"/>
      <c r="AQ37" s="295"/>
      <c r="AR37" s="295"/>
      <c r="AS37" s="295"/>
      <c r="AT37" s="295"/>
      <c r="AU37" s="295"/>
      <c r="AV37" s="295"/>
      <c r="AW37" s="295"/>
      <c r="AX37" s="295"/>
      <c r="AY37" s="295"/>
      <c r="AZ37" s="295"/>
      <c r="BA37" s="295"/>
      <c r="BB37" s="295"/>
      <c r="BC37" s="383"/>
      <c r="BD37" s="294"/>
      <c r="BE37" s="294"/>
      <c r="BF37" s="294"/>
      <c r="BG37" s="294"/>
      <c r="BH37" s="295"/>
      <c r="BI37" s="295"/>
      <c r="BJ37" s="295"/>
      <c r="BK37" s="295"/>
      <c r="BL37" s="295"/>
      <c r="BM37" s="295"/>
      <c r="BN37" s="295"/>
      <c r="BO37" s="295"/>
      <c r="BP37" s="295"/>
      <c r="BQ37" s="295"/>
      <c r="BR37" s="295"/>
      <c r="BS37" s="320"/>
      <c r="BT37" s="320"/>
    </row>
    <row r="38" customHeight="1" spans="1:72">
      <c r="A38" s="729">
        <v>37</v>
      </c>
      <c r="B38" s="551" t="str">
        <f>IF(法术书!X39="","",法术书!X39)</f>
        <v/>
      </c>
      <c r="C38" s="551" t="str">
        <f>IFERROR(VLOOKUP(B38,法术大全!$A:$W,5,FALSE),"")</f>
        <v/>
      </c>
      <c r="D38" s="730" t="str">
        <f>IFERROR(VLOOKUP(B38,法术大全!$A:$W,4,FALSE),"")</f>
        <v/>
      </c>
      <c r="E38" s="729">
        <v>37</v>
      </c>
      <c r="F38" s="731" t="str" cm="1">
        <f t="array" ref="F38">IFERROR(INDEX($B$1:$B$301,SMALL(IF($B$1:$B$301&lt;&gt;"",ROW($B$1:$B$301),4^8),ROW(38:38)))&amp;"","")</f>
        <v/>
      </c>
      <c r="G38" s="558"/>
      <c r="H38" s="735" t="str">
        <f>IF(主要!AG67&lt;&gt;"",主要!AG67,"")</f>
        <v/>
      </c>
      <c r="I38" s="551">
        <f>IF(VLOOKUP(H38,法术大全!$A$3:$E$864,4,0)="√",1,0)</f>
        <v>0</v>
      </c>
      <c r="J38" s="551">
        <f>IF(VLOOKUP(H38,法术大全!$A$3:$E$864,5,0)="√",1,0)</f>
        <v>0</v>
      </c>
      <c r="K38" s="558" t="str" cm="1">
        <f t="array" ref="K38">IFERROR(INDEX($H$1:$H$68,SMALL(IF($H$2:$H$68&lt;&gt;"",ROW($H$2:$H$68),4^8),ROW(38:38)))&amp;"","")</f>
        <v/>
      </c>
      <c r="P38" s="746">
        <v>4</v>
      </c>
      <c r="Q38" s="746" t="s">
        <v>335</v>
      </c>
      <c r="R38" s="746" t="s">
        <v>336</v>
      </c>
      <c r="S38" s="746" t="s">
        <v>337</v>
      </c>
      <c r="T38" s="746" t="s">
        <v>338</v>
      </c>
      <c r="AL38" s="296"/>
      <c r="AM38" s="296"/>
      <c r="AN38" s="296"/>
      <c r="AO38" s="296"/>
      <c r="AP38" s="297"/>
      <c r="AQ38" s="297"/>
      <c r="AR38" s="297"/>
      <c r="AS38" s="297"/>
      <c r="AT38" s="297"/>
      <c r="AU38" s="297"/>
      <c r="AV38" s="297"/>
      <c r="AW38" s="297"/>
      <c r="AX38" s="297"/>
      <c r="AY38" s="297"/>
      <c r="AZ38" s="297"/>
      <c r="BA38" s="297"/>
      <c r="BB38" s="297"/>
      <c r="BC38" s="383"/>
      <c r="BD38" s="296"/>
      <c r="BE38" s="296"/>
      <c r="BF38" s="296"/>
      <c r="BG38" s="296"/>
      <c r="BH38" s="297"/>
      <c r="BI38" s="297"/>
      <c r="BJ38" s="297"/>
      <c r="BK38" s="297"/>
      <c r="BL38" s="297"/>
      <c r="BM38" s="297"/>
      <c r="BN38" s="297"/>
      <c r="BO38" s="297"/>
      <c r="BP38" s="297"/>
      <c r="BQ38" s="297"/>
      <c r="BR38" s="297"/>
      <c r="BS38" s="321"/>
      <c r="BT38" s="321"/>
    </row>
    <row r="39" customHeight="1" spans="1:20">
      <c r="A39" s="729">
        <v>38</v>
      </c>
      <c r="B39" s="551" t="str">
        <f>IF(法术书!X40="","",法术书!X40)</f>
        <v/>
      </c>
      <c r="C39" s="551" t="str">
        <f>IFERROR(VLOOKUP(B39,法术大全!$A:$W,5,FALSE),"")</f>
        <v/>
      </c>
      <c r="D39" s="730" t="str">
        <f>IFERROR(VLOOKUP(B39,法术大全!$A:$W,4,FALSE),"")</f>
        <v/>
      </c>
      <c r="E39" s="729">
        <v>38</v>
      </c>
      <c r="F39" s="731" t="str" cm="1">
        <f t="array" ref="F39">IFERROR(INDEX($B$1:$B$301,SMALL(IF($B$1:$B$301&lt;&gt;"",ROW($B$1:$B$301),4^8),ROW(39:39)))&amp;"","")</f>
        <v/>
      </c>
      <c r="G39" s="558"/>
      <c r="H39" s="735" t="str">
        <f>IF(主要!AG68&lt;&gt;"",主要!AG68,"")</f>
        <v/>
      </c>
      <c r="I39" s="551">
        <f>IF(VLOOKUP(H39,法术大全!$A$3:$E$864,4,0)="√",1,0)</f>
        <v>0</v>
      </c>
      <c r="J39" s="551">
        <f>IF(VLOOKUP(H39,法术大全!$A$3:$E$864,5,0)="√",1,0)</f>
        <v>0</v>
      </c>
      <c r="K39" s="558" t="str" cm="1">
        <f t="array" ref="K39">IFERROR(INDEX($H$1:$H$68,SMALL(IF($H$2:$H$68&lt;&gt;"",ROW($H$2:$H$68),4^8),ROW(39:39)))&amp;"","")</f>
        <v/>
      </c>
      <c r="P39" s="746">
        <v>5</v>
      </c>
      <c r="Q39" s="746" t="s">
        <v>339</v>
      </c>
      <c r="R39" s="746" t="s">
        <v>334</v>
      </c>
      <c r="S39" s="746" t="s">
        <v>340</v>
      </c>
      <c r="T39" s="746" t="s">
        <v>341</v>
      </c>
    </row>
    <row r="40" customHeight="1" spans="1:83">
      <c r="A40" s="729">
        <v>39</v>
      </c>
      <c r="B40" s="551" t="str">
        <f>IF(法术书!X41="","",法术书!X41)</f>
        <v/>
      </c>
      <c r="C40" s="551" t="str">
        <f>IFERROR(VLOOKUP(B40,法术大全!$A:$W,5,FALSE),"")</f>
        <v/>
      </c>
      <c r="D40" s="730" t="str">
        <f>IFERROR(VLOOKUP(B40,法术大全!$A:$W,4,FALSE),"")</f>
        <v/>
      </c>
      <c r="E40" s="729">
        <v>39</v>
      </c>
      <c r="F40" s="731" t="str" cm="1">
        <f t="array" ref="F40">IFERROR(INDEX($B$1:$B$301,SMALL(IF($B$1:$B$301&lt;&gt;"",ROW($B$1:$B$301),4^8),ROW(40:40)))&amp;"","")</f>
        <v/>
      </c>
      <c r="H40" s="735" t="str">
        <f>IF(主要!AG69&lt;&gt;"",主要!AG69,"")</f>
        <v/>
      </c>
      <c r="I40" s="551">
        <f>IF(VLOOKUP(H40,法术大全!$A$3:$E$864,4,0)="√",1,0)</f>
        <v>0</v>
      </c>
      <c r="J40" s="551">
        <f>IF(VLOOKUP(H40,法术大全!$A$3:$E$864,5,0)="√",1,0)</f>
        <v>0</v>
      </c>
      <c r="K40" s="558" t="str" cm="1">
        <f t="array" ref="K40">IFERROR(INDEX($H$1:$H$68,SMALL(IF($H$2:$H$68&lt;&gt;"",ROW($H$2:$H$68),4^8),ROW(40:40)))&amp;"","")</f>
        <v/>
      </c>
      <c r="P40" s="746">
        <v>6</v>
      </c>
      <c r="Q40" s="746" t="s">
        <v>342</v>
      </c>
      <c r="R40" s="746" t="s">
        <v>338</v>
      </c>
      <c r="S40" s="746" t="s">
        <v>343</v>
      </c>
      <c r="T40" s="746" t="s">
        <v>344</v>
      </c>
      <c r="AL40" s="752" t="s">
        <v>345</v>
      </c>
      <c r="AM40" s="753"/>
      <c r="AN40" s="753"/>
      <c r="AO40" s="753"/>
      <c r="AP40" s="753"/>
      <c r="AQ40" s="753"/>
      <c r="AR40" s="753"/>
      <c r="AS40" s="753"/>
      <c r="AT40" s="753"/>
      <c r="AU40" s="753"/>
      <c r="AV40" s="753"/>
      <c r="AW40" s="753"/>
      <c r="AX40" s="753"/>
      <c r="AY40" s="753"/>
      <c r="AZ40" s="753"/>
      <c r="BA40" s="753"/>
      <c r="BB40" s="753"/>
      <c r="BC40" s="753"/>
      <c r="BD40" s="753"/>
      <c r="BE40" s="753"/>
      <c r="BF40" s="753"/>
      <c r="BG40" s="775"/>
      <c r="BJ40" s="752" t="s">
        <v>346</v>
      </c>
      <c r="BK40" s="753"/>
      <c r="BL40" s="753"/>
      <c r="BM40" s="753"/>
      <c r="BN40" s="753"/>
      <c r="BO40" s="753"/>
      <c r="BP40" s="753"/>
      <c r="BQ40" s="753"/>
      <c r="BR40" s="753"/>
      <c r="BS40" s="753"/>
      <c r="BT40" s="753"/>
      <c r="BU40" s="753"/>
      <c r="BV40" s="753"/>
      <c r="BW40" s="753"/>
      <c r="BX40" s="753"/>
      <c r="BY40" s="753"/>
      <c r="BZ40" s="753"/>
      <c r="CA40" s="753"/>
      <c r="CB40" s="753"/>
      <c r="CC40" s="753"/>
      <c r="CD40" s="753"/>
      <c r="CE40" s="775"/>
    </row>
    <row r="41" customHeight="1" spans="1:83">
      <c r="A41" s="729">
        <v>40</v>
      </c>
      <c r="B41" s="551" t="str">
        <f>IF(法术书!X42="","",法术书!X42)</f>
        <v/>
      </c>
      <c r="C41" s="551" t="str">
        <f>IFERROR(VLOOKUP(B41,法术大全!$A:$W,5,FALSE),"")</f>
        <v/>
      </c>
      <c r="D41" s="730" t="str">
        <f>IFERROR(VLOOKUP(B41,法术大全!$A:$W,4,FALSE),"")</f>
        <v/>
      </c>
      <c r="E41" s="729">
        <v>40</v>
      </c>
      <c r="F41" s="731" t="str" cm="1">
        <f t="array" ref="F41">IFERROR(INDEX($B$1:$B$301,SMALL(IF($B$1:$B$301&lt;&gt;"",ROW($B$1:$B$301),4^8),ROW(41:41)))&amp;"","")</f>
        <v/>
      </c>
      <c r="H41" s="735" t="str">
        <f>IF(主要!AG70&lt;&gt;"",主要!AG70,"")</f>
        <v/>
      </c>
      <c r="I41" s="551">
        <f>IF(VLOOKUP(H41,法术大全!$A$3:$E$864,4,0)="√",1,0)</f>
        <v>0</v>
      </c>
      <c r="J41" s="551">
        <f>IF(VLOOKUP(H41,法术大全!$A$3:$E$864,5,0)="√",1,0)</f>
        <v>0</v>
      </c>
      <c r="K41" s="558" t="str" cm="1">
        <f t="array" ref="K41">IFERROR(INDEX($H$1:$H$68,SMALL(IF($H$2:$H$68&lt;&gt;"",ROW($H$2:$H$68),4^8),ROW(41:41)))&amp;"","")</f>
        <v/>
      </c>
      <c r="P41" s="746">
        <v>7</v>
      </c>
      <c r="Q41" s="746" t="s">
        <v>347</v>
      </c>
      <c r="R41" s="746" t="s">
        <v>341</v>
      </c>
      <c r="S41" s="746" t="s">
        <v>348</v>
      </c>
      <c r="T41" s="746" t="s">
        <v>349</v>
      </c>
      <c r="AL41" s="754" t="s">
        <v>155</v>
      </c>
      <c r="AM41" s="754"/>
      <c r="AN41" s="754"/>
      <c r="AO41" s="370"/>
      <c r="AP41" s="383"/>
      <c r="AQ41" s="759"/>
      <c r="AR41" s="760" t="s">
        <v>189</v>
      </c>
      <c r="AS41" s="760"/>
      <c r="AT41" s="761" t="s">
        <v>89</v>
      </c>
      <c r="AU41" s="761"/>
      <c r="AV41" s="761"/>
      <c r="AW41" s="761"/>
      <c r="AX41" s="761"/>
      <c r="AY41" s="761"/>
      <c r="AZ41" s="761"/>
      <c r="BA41" s="761"/>
      <c r="BB41" s="761"/>
      <c r="BC41" s="761"/>
      <c r="BD41" s="761"/>
      <c r="BE41" s="761"/>
      <c r="BF41" s="761"/>
      <c r="BG41" s="761"/>
      <c r="BJ41" s="413" t="s">
        <v>350</v>
      </c>
      <c r="BK41" s="421"/>
      <c r="BL41" s="421"/>
      <c r="BM41" s="421"/>
      <c r="BN41" s="421"/>
      <c r="BO41" s="421"/>
      <c r="BP41" s="421"/>
      <c r="BQ41" s="421"/>
      <c r="BR41" s="421"/>
      <c r="BS41" s="421"/>
      <c r="BT41" s="421"/>
      <c r="BU41" s="431">
        <f>ROUND(SUM(BO43:BT52)-SUM(BZ43:CE52),2)</f>
        <v>0</v>
      </c>
      <c r="BV41" s="431"/>
      <c r="BW41" s="431"/>
      <c r="BX41" s="431"/>
      <c r="BY41" s="431"/>
      <c r="BZ41" s="431"/>
      <c r="CA41" s="431"/>
      <c r="CB41" s="431"/>
      <c r="CC41" s="431"/>
      <c r="CD41" s="431"/>
      <c r="CE41" s="438"/>
    </row>
    <row r="42" customHeight="1" spans="1:83">
      <c r="A42" s="729">
        <v>41</v>
      </c>
      <c r="B42" s="551" t="str">
        <f>IF(法术书!X43="","",法术书!X43)</f>
        <v/>
      </c>
      <c r="C42" s="551" t="str">
        <f>IFERROR(VLOOKUP(B42,法术大全!$A:$W,5,FALSE),"")</f>
        <v/>
      </c>
      <c r="D42" s="730" t="str">
        <f>IFERROR(VLOOKUP(B42,法术大全!$A:$W,4,FALSE),"")</f>
        <v/>
      </c>
      <c r="E42" s="729">
        <v>41</v>
      </c>
      <c r="F42" s="731" t="str" cm="1">
        <f t="array" ref="F42">IFERROR(INDEX($B$1:$B$301,SMALL(IF($B$1:$B$301&lt;&gt;"",ROW($B$1:$B$301),4^8),ROW(42:42)))&amp;"","")</f>
        <v/>
      </c>
      <c r="H42" s="735" t="str">
        <f>IF(主要!AG71&lt;&gt;"",主要!AG71,"")</f>
        <v/>
      </c>
      <c r="I42" s="551">
        <f>IF(VLOOKUP(H42,法术大全!$A$3:$E$864,4,0)="√",1,0)</f>
        <v>0</v>
      </c>
      <c r="J42" s="551">
        <f>IF(VLOOKUP(H42,法术大全!$A$3:$E$864,5,0)="√",1,0)</f>
        <v>0</v>
      </c>
      <c r="K42" s="558" t="str" cm="1">
        <f t="array" ref="K42">IFERROR(INDEX($H$1:$H$68,SMALL(IF($H$2:$H$68&lt;&gt;"",ROW($H$2:$H$68),4^8),ROW(42:42)))&amp;"","")</f>
        <v/>
      </c>
      <c r="P42" s="746">
        <v>8</v>
      </c>
      <c r="Q42" s="746"/>
      <c r="R42" s="746"/>
      <c r="S42" s="746" t="s">
        <v>351</v>
      </c>
      <c r="T42" s="746" t="s">
        <v>352</v>
      </c>
      <c r="AL42" s="755"/>
      <c r="AM42" s="756"/>
      <c r="AN42" s="756"/>
      <c r="AO42" s="756"/>
      <c r="AP42" s="762"/>
      <c r="AQ42" s="763" t="s">
        <v>105</v>
      </c>
      <c r="AR42" s="429"/>
      <c r="AS42" s="764"/>
      <c r="AT42" s="765"/>
      <c r="AU42" s="765"/>
      <c r="AV42" s="765"/>
      <c r="AW42" s="765"/>
      <c r="AX42" s="765"/>
      <c r="AY42" s="765"/>
      <c r="AZ42" s="765"/>
      <c r="BA42" s="765"/>
      <c r="BB42" s="765"/>
      <c r="BC42" s="765"/>
      <c r="BD42" s="765"/>
      <c r="BE42" s="765"/>
      <c r="BF42" s="765"/>
      <c r="BG42" s="787"/>
      <c r="BJ42" s="808" t="s">
        <v>353</v>
      </c>
      <c r="BK42" s="809"/>
      <c r="BL42" s="809"/>
      <c r="BM42" s="809"/>
      <c r="BN42" s="809"/>
      <c r="BO42" s="823" t="s">
        <v>354</v>
      </c>
      <c r="BP42" s="823"/>
      <c r="BQ42" s="823"/>
      <c r="BR42" s="823"/>
      <c r="BS42" s="823"/>
      <c r="BT42" s="823"/>
      <c r="BU42" s="823" t="s">
        <v>353</v>
      </c>
      <c r="BV42" s="823"/>
      <c r="BW42" s="823"/>
      <c r="BX42" s="823"/>
      <c r="BY42" s="823"/>
      <c r="BZ42" s="823" t="s">
        <v>354</v>
      </c>
      <c r="CA42" s="823"/>
      <c r="CB42" s="823"/>
      <c r="CC42" s="823"/>
      <c r="CD42" s="823"/>
      <c r="CE42" s="842"/>
    </row>
    <row r="43" customHeight="1" spans="1:83">
      <c r="A43" s="729">
        <v>42</v>
      </c>
      <c r="B43" s="551" t="str">
        <f>IF(法术书!X44="","",法术书!X44)</f>
        <v/>
      </c>
      <c r="C43" s="551" t="str">
        <f>IFERROR(VLOOKUP(B43,法术大全!$A:$W,5,FALSE),"")</f>
        <v/>
      </c>
      <c r="D43" s="730" t="str">
        <f>IFERROR(VLOOKUP(B43,法术大全!$A:$W,4,FALSE),"")</f>
        <v/>
      </c>
      <c r="E43" s="729">
        <v>42</v>
      </c>
      <c r="F43" s="731" t="str" cm="1">
        <f t="array" ref="F43">IFERROR(INDEX($B$1:$B$301,SMALL(IF($B$1:$B$301&lt;&gt;"",ROW($B$1:$B$301),4^8),ROW(43:43)))&amp;"","")</f>
        <v/>
      </c>
      <c r="H43" s="735" t="str">
        <f>IF(主要!AG72&lt;&gt;"",主要!AG72,"")</f>
        <v/>
      </c>
      <c r="I43" s="551">
        <f>IF(VLOOKUP(H43,法术大全!$A$3:$E$864,4,0)="√",1,0)</f>
        <v>0</v>
      </c>
      <c r="J43" s="551">
        <f>IF(VLOOKUP(H43,法术大全!$A$3:$E$864,5,0)="√",1,0)</f>
        <v>0</v>
      </c>
      <c r="K43" s="558" t="str" cm="1">
        <f t="array" ref="K43">IFERROR(INDEX($H$1:$H$68,SMALL(IF($H$2:$H$68&lt;&gt;"",ROW($H$2:$H$68),4^8),ROW(43:43)))&amp;"","")</f>
        <v/>
      </c>
      <c r="P43" s="746">
        <v>9</v>
      </c>
      <c r="Q43" s="746"/>
      <c r="R43" s="746"/>
      <c r="S43" s="746" t="s">
        <v>355</v>
      </c>
      <c r="T43" s="746" t="s">
        <v>356</v>
      </c>
      <c r="AL43" s="757"/>
      <c r="AM43" s="758"/>
      <c r="AN43" s="758"/>
      <c r="AO43" s="758"/>
      <c r="AP43" s="766"/>
      <c r="AQ43" s="763" t="s">
        <v>105</v>
      </c>
      <c r="AR43" s="767"/>
      <c r="AS43" s="768"/>
      <c r="AT43" s="769"/>
      <c r="AU43" s="770"/>
      <c r="AV43" s="770"/>
      <c r="AW43" s="770"/>
      <c r="AX43" s="770"/>
      <c r="AY43" s="770"/>
      <c r="AZ43" s="770"/>
      <c r="BA43" s="770"/>
      <c r="BB43" s="770"/>
      <c r="BC43" s="770"/>
      <c r="BD43" s="770"/>
      <c r="BE43" s="770"/>
      <c r="BF43" s="770"/>
      <c r="BG43" s="784"/>
      <c r="BJ43" s="415"/>
      <c r="BK43" s="424"/>
      <c r="BL43" s="424"/>
      <c r="BM43" s="424"/>
      <c r="BN43" s="425"/>
      <c r="BO43" s="426"/>
      <c r="BP43" s="426"/>
      <c r="BQ43" s="426"/>
      <c r="BR43" s="426"/>
      <c r="BS43" s="426"/>
      <c r="BT43" s="426"/>
      <c r="BU43" s="432"/>
      <c r="BV43" s="433"/>
      <c r="BW43" s="433"/>
      <c r="BX43" s="433"/>
      <c r="BY43" s="434"/>
      <c r="BZ43" s="435"/>
      <c r="CA43" s="440"/>
      <c r="CB43" s="440"/>
      <c r="CC43" s="440"/>
      <c r="CD43" s="440"/>
      <c r="CE43" s="441"/>
    </row>
    <row r="44" customHeight="1" spans="1:83">
      <c r="A44" s="729">
        <v>43</v>
      </c>
      <c r="B44" s="551" t="str">
        <f>IF(法术书!X45="","",法术书!X45)</f>
        <v/>
      </c>
      <c r="C44" s="551" t="str">
        <f>IFERROR(VLOOKUP(B44,法术大全!$A:$W,5,FALSE),"")</f>
        <v/>
      </c>
      <c r="D44" s="730" t="str">
        <f>IFERROR(VLOOKUP(B44,法术大全!$A:$W,4,FALSE),"")</f>
        <v/>
      </c>
      <c r="E44" s="729">
        <v>43</v>
      </c>
      <c r="F44" s="731" t="str" cm="1">
        <f t="array" ref="F44">IFERROR(INDEX($B$1:$B$301,SMALL(IF($B$1:$B$301&lt;&gt;"",ROW($B$1:$B$301),4^8),ROW(44:44)))&amp;"","")</f>
        <v/>
      </c>
      <c r="G44" s="551" t="s">
        <v>357</v>
      </c>
      <c r="H44" s="734" t="str">
        <f>IF(主要!AO57&lt;&gt;"",主要!AO57,"")</f>
        <v/>
      </c>
      <c r="I44" s="551">
        <f>IF(VLOOKUP(H44,法术大全!$A$3:$E$864,4,0)="√",1,0)</f>
        <v>0</v>
      </c>
      <c r="J44" s="551">
        <f>IF(VLOOKUP(H44,法术大全!$A$3:$E$864,5,0)="√",1,0)</f>
        <v>0</v>
      </c>
      <c r="K44" s="558" t="str" cm="1">
        <f t="array" ref="K44">IFERROR(INDEX($H$1:$H$68,SMALL(IF($H$2:$H$68&lt;&gt;"",ROW($H$2:$H$68),4^8),ROW(44:44)))&amp;"","")</f>
        <v/>
      </c>
      <c r="P44" s="746"/>
      <c r="Q44" s="746"/>
      <c r="R44" s="746"/>
      <c r="S44" s="746" t="s">
        <v>358</v>
      </c>
      <c r="T44" s="746" t="s">
        <v>359</v>
      </c>
      <c r="AL44" s="755"/>
      <c r="AM44" s="756"/>
      <c r="AN44" s="756"/>
      <c r="AO44" s="756"/>
      <c r="AP44" s="762"/>
      <c r="AQ44" s="763" t="s">
        <v>105</v>
      </c>
      <c r="AR44" s="429"/>
      <c r="AS44" s="764"/>
      <c r="AT44" s="765"/>
      <c r="AU44" s="771"/>
      <c r="AV44" s="771"/>
      <c r="AW44" s="771"/>
      <c r="AX44" s="771"/>
      <c r="AY44" s="771"/>
      <c r="AZ44" s="771"/>
      <c r="BA44" s="771"/>
      <c r="BB44" s="771"/>
      <c r="BC44" s="771"/>
      <c r="BD44" s="771"/>
      <c r="BE44" s="771"/>
      <c r="BF44" s="771"/>
      <c r="BG44" s="781"/>
      <c r="BJ44" s="415"/>
      <c r="BK44" s="424"/>
      <c r="BL44" s="424"/>
      <c r="BM44" s="424"/>
      <c r="BN44" s="425"/>
      <c r="BO44" s="426"/>
      <c r="BP44" s="426"/>
      <c r="BQ44" s="426"/>
      <c r="BR44" s="426"/>
      <c r="BS44" s="426"/>
      <c r="BT44" s="426"/>
      <c r="BU44" s="432"/>
      <c r="BV44" s="433"/>
      <c r="BW44" s="433"/>
      <c r="BX44" s="433"/>
      <c r="BY44" s="434"/>
      <c r="BZ44" s="435"/>
      <c r="CA44" s="440"/>
      <c r="CB44" s="440"/>
      <c r="CC44" s="440"/>
      <c r="CD44" s="440"/>
      <c r="CE44" s="441"/>
    </row>
    <row r="45" customHeight="1" spans="1:83">
      <c r="A45" s="729">
        <v>44</v>
      </c>
      <c r="B45" s="551" t="str">
        <f>IF(法术书!X46="","",法术书!X46)</f>
        <v/>
      </c>
      <c r="C45" s="551" t="str">
        <f>IFERROR(VLOOKUP(B45,法术大全!$A:$W,5,FALSE),"")</f>
        <v/>
      </c>
      <c r="D45" s="730" t="str">
        <f>IFERROR(VLOOKUP(B45,法术大全!$A:$W,4,FALSE),"")</f>
        <v/>
      </c>
      <c r="E45" s="729">
        <v>44</v>
      </c>
      <c r="F45" s="731" t="str" cm="1">
        <f t="array" ref="F45">IFERROR(INDEX($B$1:$B$301,SMALL(IF($B$1:$B$301&lt;&gt;"",ROW($B$1:$B$301),4^8),ROW(45:45)))&amp;"","")</f>
        <v/>
      </c>
      <c r="H45" s="734" t="str">
        <f>IF(主要!AO58&lt;&gt;"",主要!AO58,"")</f>
        <v/>
      </c>
      <c r="I45" s="551">
        <f>IF(VLOOKUP(H45,法术大全!$A$3:$E$864,4,0)="√",1,0)</f>
        <v>0</v>
      </c>
      <c r="J45" s="551">
        <f>IF(VLOOKUP(H45,法术大全!$A$3:$E$864,5,0)="√",1,0)</f>
        <v>0</v>
      </c>
      <c r="K45" s="558" t="str" cm="1">
        <f t="array" ref="K45">IFERROR(INDEX($H$1:$H$68,SMALL(IF($H$2:$H$68&lt;&gt;"",ROW($H$2:$H$68),4^8),ROW(45:45)))&amp;"","")</f>
        <v/>
      </c>
      <c r="P45" s="746"/>
      <c r="Q45" s="746"/>
      <c r="R45" s="746"/>
      <c r="S45" s="746" t="s">
        <v>360</v>
      </c>
      <c r="T45" s="746" t="s">
        <v>361</v>
      </c>
      <c r="AL45" s="757"/>
      <c r="AM45" s="758"/>
      <c r="AN45" s="758"/>
      <c r="AO45" s="758"/>
      <c r="AP45" s="766"/>
      <c r="AQ45" s="763" t="s">
        <v>105</v>
      </c>
      <c r="AR45" s="767"/>
      <c r="AS45" s="768"/>
      <c r="AT45" s="770"/>
      <c r="AU45" s="770"/>
      <c r="AV45" s="770"/>
      <c r="AW45" s="770"/>
      <c r="AX45" s="770"/>
      <c r="AY45" s="770"/>
      <c r="AZ45" s="770"/>
      <c r="BA45" s="770"/>
      <c r="BB45" s="770"/>
      <c r="BC45" s="770"/>
      <c r="BD45" s="770"/>
      <c r="BE45" s="770"/>
      <c r="BF45" s="770"/>
      <c r="BG45" s="784"/>
      <c r="BJ45" s="415"/>
      <c r="BK45" s="424"/>
      <c r="BL45" s="424"/>
      <c r="BM45" s="424"/>
      <c r="BN45" s="425"/>
      <c r="BO45" s="427"/>
      <c r="BP45" s="428"/>
      <c r="BQ45" s="428"/>
      <c r="BR45" s="428"/>
      <c r="BS45" s="428"/>
      <c r="BT45" s="436"/>
      <c r="BU45" s="432"/>
      <c r="BV45" s="433"/>
      <c r="BW45" s="433"/>
      <c r="BX45" s="433"/>
      <c r="BY45" s="434"/>
      <c r="BZ45" s="435"/>
      <c r="CA45" s="440"/>
      <c r="CB45" s="440"/>
      <c r="CC45" s="440"/>
      <c r="CD45" s="440"/>
      <c r="CE45" s="441"/>
    </row>
    <row r="46" customHeight="1" spans="1:83">
      <c r="A46" s="729">
        <v>45</v>
      </c>
      <c r="B46" s="551" t="str">
        <f>IF(法术书!X47="","",法术书!X47)</f>
        <v/>
      </c>
      <c r="C46" s="551" t="str">
        <f>IFERROR(VLOOKUP(B46,法术大全!$A:$W,5,FALSE),"")</f>
        <v/>
      </c>
      <c r="D46" s="730" t="str">
        <f>IFERROR(VLOOKUP(B46,法术大全!$A:$W,4,FALSE),"")</f>
        <v/>
      </c>
      <c r="E46" s="729">
        <v>45</v>
      </c>
      <c r="F46" s="731" t="str" cm="1">
        <f t="array" ref="F46">IFERROR(INDEX($B$1:$B$301,SMALL(IF($B$1:$B$301&lt;&gt;"",ROW($B$1:$B$301),4^8),ROW(46:46)))&amp;"","")</f>
        <v/>
      </c>
      <c r="H46" s="734" t="str">
        <f>IF(主要!AO59&lt;&gt;"",主要!AO59,"")</f>
        <v/>
      </c>
      <c r="I46" s="551">
        <f>IF(VLOOKUP(H46,法术大全!$A$3:$E$864,4,0)="√",1,0)</f>
        <v>0</v>
      </c>
      <c r="J46" s="551">
        <f>IF(VLOOKUP(H46,法术大全!$A$3:$E$864,5,0)="√",1,0)</f>
        <v>0</v>
      </c>
      <c r="K46" s="558" t="str" cm="1">
        <f t="array" ref="K46">IFERROR(INDEX($H$1:$H$68,SMALL(IF($H$2:$H$68&lt;&gt;"",ROW($H$2:$H$68),4^8),ROW(46:46)))&amp;"","")</f>
        <v/>
      </c>
      <c r="P46" s="746"/>
      <c r="Q46" s="746"/>
      <c r="R46" s="746"/>
      <c r="S46" s="746" t="s">
        <v>362</v>
      </c>
      <c r="T46" s="746" t="s">
        <v>363</v>
      </c>
      <c r="AL46" s="755"/>
      <c r="AM46" s="756"/>
      <c r="AN46" s="756"/>
      <c r="AO46" s="756"/>
      <c r="AP46" s="762"/>
      <c r="AQ46" s="763" t="s">
        <v>105</v>
      </c>
      <c r="AR46" s="429"/>
      <c r="AS46" s="764"/>
      <c r="AT46" s="771"/>
      <c r="AU46" s="771"/>
      <c r="AV46" s="771"/>
      <c r="AW46" s="771"/>
      <c r="AX46" s="771"/>
      <c r="AY46" s="771"/>
      <c r="AZ46" s="771"/>
      <c r="BA46" s="771"/>
      <c r="BB46" s="771"/>
      <c r="BC46" s="771"/>
      <c r="BD46" s="771"/>
      <c r="BE46" s="771"/>
      <c r="BF46" s="771"/>
      <c r="BG46" s="781"/>
      <c r="BJ46" s="415"/>
      <c r="BK46" s="424"/>
      <c r="BL46" s="424"/>
      <c r="BM46" s="424"/>
      <c r="BN46" s="425"/>
      <c r="BO46" s="427"/>
      <c r="BP46" s="428"/>
      <c r="BQ46" s="428"/>
      <c r="BR46" s="428"/>
      <c r="BS46" s="428"/>
      <c r="BT46" s="436"/>
      <c r="BU46" s="432"/>
      <c r="BV46" s="433"/>
      <c r="BW46" s="433"/>
      <c r="BX46" s="433"/>
      <c r="BY46" s="434"/>
      <c r="BZ46" s="435"/>
      <c r="CA46" s="440"/>
      <c r="CB46" s="440"/>
      <c r="CC46" s="440"/>
      <c r="CD46" s="440"/>
      <c r="CE46" s="441"/>
    </row>
    <row r="47" customHeight="1" spans="1:83">
      <c r="A47" s="729">
        <v>46</v>
      </c>
      <c r="B47" s="551" t="str">
        <f>IF(法术书!X48="","",法术书!X48)</f>
        <v/>
      </c>
      <c r="C47" s="551" t="str">
        <f>IFERROR(VLOOKUP(B47,法术大全!$A:$W,5,FALSE),"")</f>
        <v/>
      </c>
      <c r="D47" s="730" t="str">
        <f>IFERROR(VLOOKUP(B47,法术大全!$A:$W,4,FALSE),"")</f>
        <v/>
      </c>
      <c r="E47" s="729">
        <v>46</v>
      </c>
      <c r="F47" s="731" t="str" cm="1">
        <f t="array" ref="F47">IFERROR(INDEX($B$1:$B$301,SMALL(IF($B$1:$B$301&lt;&gt;"",ROW($B$1:$B$301),4^8),ROW(47:47)))&amp;"","")</f>
        <v/>
      </c>
      <c r="H47" s="734" t="str">
        <f>IF(主要!AO60&lt;&gt;"",主要!AO60,"")</f>
        <v/>
      </c>
      <c r="I47" s="551">
        <f>IF(VLOOKUP(H47,法术大全!$A$3:$E$864,4,0)="√",1,0)</f>
        <v>0</v>
      </c>
      <c r="J47" s="551">
        <f>IF(VLOOKUP(H47,法术大全!$A$3:$E$864,5,0)="√",1,0)</f>
        <v>0</v>
      </c>
      <c r="K47" s="558" t="str" cm="1">
        <f t="array" ref="K47">IFERROR(INDEX($H$1:$H$68,SMALL(IF($H$2:$H$68&lt;&gt;"",ROW($H$2:$H$68),4^8),ROW(47:47)))&amp;"","")</f>
        <v/>
      </c>
      <c r="P47" s="746"/>
      <c r="Q47" s="746"/>
      <c r="R47" s="746"/>
      <c r="S47" s="746" t="s">
        <v>364</v>
      </c>
      <c r="T47" s="746" t="s">
        <v>365</v>
      </c>
      <c r="AL47" s="754" t="s">
        <v>366</v>
      </c>
      <c r="AM47" s="754"/>
      <c r="AN47" s="754"/>
      <c r="AO47" s="370"/>
      <c r="AP47" s="383"/>
      <c r="AQ47" s="759"/>
      <c r="AR47" s="293" t="s">
        <v>89</v>
      </c>
      <c r="AS47" s="293"/>
      <c r="AT47" s="293"/>
      <c r="AU47" s="293"/>
      <c r="AV47" s="293"/>
      <c r="AW47" s="293"/>
      <c r="AX47" s="293"/>
      <c r="AY47" s="293"/>
      <c r="AZ47" s="293"/>
      <c r="BA47" s="293"/>
      <c r="BB47" s="293"/>
      <c r="BC47" s="293" t="s">
        <v>319</v>
      </c>
      <c r="BD47" s="293"/>
      <c r="BE47" s="293"/>
      <c r="BF47" s="293"/>
      <c r="BG47" s="293"/>
      <c r="BJ47" s="415"/>
      <c r="BK47" s="424"/>
      <c r="BL47" s="424"/>
      <c r="BM47" s="424"/>
      <c r="BN47" s="425"/>
      <c r="BO47" s="427"/>
      <c r="BP47" s="428"/>
      <c r="BQ47" s="428"/>
      <c r="BR47" s="428"/>
      <c r="BS47" s="428"/>
      <c r="BT47" s="436"/>
      <c r="BU47" s="432"/>
      <c r="BV47" s="433"/>
      <c r="BW47" s="433"/>
      <c r="BX47" s="433"/>
      <c r="BY47" s="434"/>
      <c r="BZ47" s="435"/>
      <c r="CA47" s="440"/>
      <c r="CB47" s="440"/>
      <c r="CC47" s="440"/>
      <c r="CD47" s="440"/>
      <c r="CE47" s="441"/>
    </row>
    <row r="48" customHeight="1" spans="1:83">
      <c r="A48" s="729">
        <v>47</v>
      </c>
      <c r="B48" s="551" t="str">
        <f>IF(法术书!X49="","",法术书!X49)</f>
        <v/>
      </c>
      <c r="C48" s="551" t="str">
        <f>IFERROR(VLOOKUP(B48,法术大全!$A:$W,5,FALSE),"")</f>
        <v/>
      </c>
      <c r="D48" s="730" t="str">
        <f>IFERROR(VLOOKUP(B48,法术大全!$A:$W,4,FALSE),"")</f>
        <v/>
      </c>
      <c r="E48" s="729">
        <v>47</v>
      </c>
      <c r="F48" s="731" t="str" cm="1">
        <f t="array" ref="F48">IFERROR(INDEX($B$1:$B$301,SMALL(IF($B$1:$B$301&lt;&gt;"",ROW($B$1:$B$301),4^8),ROW(48:48)))&amp;"","")</f>
        <v/>
      </c>
      <c r="H48" s="734" t="str">
        <f>IF(主要!AO61&lt;&gt;"",主要!AO61,"")</f>
        <v/>
      </c>
      <c r="I48" s="551">
        <f>IF(VLOOKUP(H48,法术大全!$A$3:$E$864,4,0)="√",1,0)</f>
        <v>0</v>
      </c>
      <c r="J48" s="551">
        <f>IF(VLOOKUP(H48,法术大全!$A$3:$E$864,5,0)="√",1,0)</f>
        <v>0</v>
      </c>
      <c r="K48" s="558" t="str" cm="1">
        <f t="array" ref="K48">IFERROR(INDEX($H$1:$H$68,SMALL(IF($H$2:$H$68&lt;&gt;"",ROW($H$2:$H$68),4^8),ROW(48:48)))&amp;"","")</f>
        <v/>
      </c>
      <c r="P48" s="746"/>
      <c r="Q48" s="746"/>
      <c r="R48" s="746"/>
      <c r="S48" s="746" t="s">
        <v>367</v>
      </c>
      <c r="T48" s="746" t="s">
        <v>368</v>
      </c>
      <c r="AL48" s="755"/>
      <c r="AM48" s="756"/>
      <c r="AN48" s="756"/>
      <c r="AO48" s="756"/>
      <c r="AP48" s="762"/>
      <c r="AQ48" s="763" t="s">
        <v>105</v>
      </c>
      <c r="AR48" s="772"/>
      <c r="AS48" s="771"/>
      <c r="AT48" s="771"/>
      <c r="AU48" s="771"/>
      <c r="AV48" s="771"/>
      <c r="AW48" s="771"/>
      <c r="AX48" s="771"/>
      <c r="AY48" s="771"/>
      <c r="AZ48" s="771"/>
      <c r="BA48" s="771"/>
      <c r="BB48" s="781"/>
      <c r="BC48" s="782"/>
      <c r="BD48" s="783"/>
      <c r="BE48" s="810" t="s">
        <v>134</v>
      </c>
      <c r="BF48" s="811"/>
      <c r="BG48" s="812"/>
      <c r="BJ48" s="415"/>
      <c r="BK48" s="424"/>
      <c r="BL48" s="424"/>
      <c r="BM48" s="424"/>
      <c r="BN48" s="425"/>
      <c r="BO48" s="427"/>
      <c r="BP48" s="428"/>
      <c r="BQ48" s="428"/>
      <c r="BR48" s="428"/>
      <c r="BS48" s="428"/>
      <c r="BT48" s="436"/>
      <c r="BU48" s="432"/>
      <c r="BV48" s="433"/>
      <c r="BW48" s="433"/>
      <c r="BX48" s="433"/>
      <c r="BY48" s="434"/>
      <c r="BZ48" s="435"/>
      <c r="CA48" s="440"/>
      <c r="CB48" s="440"/>
      <c r="CC48" s="440"/>
      <c r="CD48" s="440"/>
      <c r="CE48" s="441"/>
    </row>
    <row r="49" customHeight="1" spans="1:83">
      <c r="A49" s="729">
        <v>48</v>
      </c>
      <c r="B49" s="551" t="str">
        <f>IF(法术书!X50="","",法术书!X50)</f>
        <v/>
      </c>
      <c r="C49" s="551" t="str">
        <f>IFERROR(VLOOKUP(B49,法术大全!$A:$W,5,FALSE),"")</f>
        <v/>
      </c>
      <c r="D49" s="730" t="str">
        <f>IFERROR(VLOOKUP(B49,法术大全!$A:$W,4,FALSE),"")</f>
        <v/>
      </c>
      <c r="E49" s="729">
        <v>48</v>
      </c>
      <c r="F49" s="731" t="str" cm="1">
        <f t="array" ref="F49">IFERROR(INDEX($B$1:$B$301,SMALL(IF($B$1:$B$301&lt;&gt;"",ROW($B$1:$B$301),4^8),ROW(49:49)))&amp;"","")</f>
        <v/>
      </c>
      <c r="H49" s="734" t="str">
        <f>IF(主要!AO62&lt;&gt;"",主要!AO62,"")</f>
        <v/>
      </c>
      <c r="I49" s="551">
        <f>IF(VLOOKUP(H49,法术大全!$A$3:$E$864,4,0)="√",1,0)</f>
        <v>0</v>
      </c>
      <c r="J49" s="551">
        <f>IF(VLOOKUP(H49,法术大全!$A$3:$E$864,5,0)="√",1,0)</f>
        <v>0</v>
      </c>
      <c r="K49" s="558" t="str" cm="1">
        <f t="array" ref="K49">IFERROR(INDEX($H$1:$H$68,SMALL(IF($H$2:$H$68&lt;&gt;"",ROW($H$2:$H$68),4^8),ROW(49:49)))&amp;"","")</f>
        <v/>
      </c>
      <c r="P49" s="746"/>
      <c r="Q49" s="746"/>
      <c r="R49" s="746"/>
      <c r="S49" s="746" t="s">
        <v>369</v>
      </c>
      <c r="T49" s="746" t="s">
        <v>370</v>
      </c>
      <c r="AL49" s="757"/>
      <c r="AM49" s="758"/>
      <c r="AN49" s="758"/>
      <c r="AO49" s="758"/>
      <c r="AP49" s="766"/>
      <c r="AQ49" s="763" t="s">
        <v>105</v>
      </c>
      <c r="AR49" s="773"/>
      <c r="AS49" s="770"/>
      <c r="AT49" s="770"/>
      <c r="AU49" s="770"/>
      <c r="AV49" s="770"/>
      <c r="AW49" s="770"/>
      <c r="AX49" s="770"/>
      <c r="AY49" s="770"/>
      <c r="AZ49" s="770"/>
      <c r="BA49" s="770"/>
      <c r="BB49" s="784"/>
      <c r="BC49" s="785"/>
      <c r="BD49" s="786"/>
      <c r="BE49" s="813" t="s">
        <v>134</v>
      </c>
      <c r="BF49" s="814"/>
      <c r="BG49" s="815"/>
      <c r="BJ49" s="415"/>
      <c r="BK49" s="424"/>
      <c r="BL49" s="424"/>
      <c r="BM49" s="424"/>
      <c r="BN49" s="425"/>
      <c r="BO49" s="427"/>
      <c r="BP49" s="428"/>
      <c r="BQ49" s="428"/>
      <c r="BR49" s="428"/>
      <c r="BS49" s="428"/>
      <c r="BT49" s="436"/>
      <c r="BU49" s="432"/>
      <c r="BV49" s="433"/>
      <c r="BW49" s="433"/>
      <c r="BX49" s="433"/>
      <c r="BY49" s="434"/>
      <c r="BZ49" s="435"/>
      <c r="CA49" s="440"/>
      <c r="CB49" s="440"/>
      <c r="CC49" s="440"/>
      <c r="CD49" s="440"/>
      <c r="CE49" s="441"/>
    </row>
    <row r="50" customHeight="1" spans="1:83">
      <c r="A50" s="729">
        <v>49</v>
      </c>
      <c r="B50" s="551" t="str">
        <f>IF(法术书!X51="","",法术书!X51)</f>
        <v/>
      </c>
      <c r="C50" s="551" t="str">
        <f>IFERROR(VLOOKUP(B50,法术大全!$A:$W,5,FALSE),"")</f>
        <v/>
      </c>
      <c r="D50" s="730" t="str">
        <f>IFERROR(VLOOKUP(B50,法术大全!$A:$W,4,FALSE),"")</f>
        <v/>
      </c>
      <c r="E50" s="729">
        <v>49</v>
      </c>
      <c r="F50" s="731" t="str" cm="1">
        <f t="array" ref="F50">IFERROR(INDEX($B$1:$B$301,SMALL(IF($B$1:$B$301&lt;&gt;"",ROW($B$1:$B$301),4^8),ROW(50:50)))&amp;"","")</f>
        <v/>
      </c>
      <c r="H50" s="734" t="str">
        <f>IF(主要!AO63&lt;&gt;"",主要!AO63,"")</f>
        <v/>
      </c>
      <c r="I50" s="551">
        <f>IF(VLOOKUP(H50,法术大全!$A$3:$E$864,4,0)="√",1,0)</f>
        <v>0</v>
      </c>
      <c r="J50" s="551">
        <f>IF(VLOOKUP(H50,法术大全!$A$3:$E$864,5,0)="√",1,0)</f>
        <v>0</v>
      </c>
      <c r="K50" s="558" t="str" cm="1">
        <f t="array" ref="K50">IFERROR(INDEX($H$1:$H$68,SMALL(IF($H$2:$H$68&lt;&gt;"",ROW($H$2:$H$68),4^8),ROW(50:50)))&amp;"","")</f>
        <v/>
      </c>
      <c r="P50" s="746"/>
      <c r="Q50" s="746"/>
      <c r="R50" s="746"/>
      <c r="S50" s="746" t="s">
        <v>368</v>
      </c>
      <c r="T50" s="746" t="s">
        <v>371</v>
      </c>
      <c r="AL50" s="755"/>
      <c r="AM50" s="756"/>
      <c r="AN50" s="756"/>
      <c r="AO50" s="756"/>
      <c r="AP50" s="762"/>
      <c r="AQ50" s="763" t="s">
        <v>105</v>
      </c>
      <c r="AR50" s="774"/>
      <c r="AS50" s="765"/>
      <c r="AT50" s="765"/>
      <c r="AU50" s="765"/>
      <c r="AV50" s="765"/>
      <c r="AW50" s="765"/>
      <c r="AX50" s="765"/>
      <c r="AY50" s="765"/>
      <c r="AZ50" s="765"/>
      <c r="BA50" s="765"/>
      <c r="BB50" s="787"/>
      <c r="BC50" s="783"/>
      <c r="BD50" s="788"/>
      <c r="BE50" s="810" t="s">
        <v>134</v>
      </c>
      <c r="BF50" s="816"/>
      <c r="BG50" s="811"/>
      <c r="BJ50" s="415"/>
      <c r="BK50" s="424"/>
      <c r="BL50" s="424"/>
      <c r="BM50" s="424"/>
      <c r="BN50" s="425"/>
      <c r="BO50" s="427"/>
      <c r="BP50" s="428"/>
      <c r="BQ50" s="428"/>
      <c r="BR50" s="428"/>
      <c r="BS50" s="428"/>
      <c r="BT50" s="436"/>
      <c r="BU50" s="432"/>
      <c r="BV50" s="433"/>
      <c r="BW50" s="433"/>
      <c r="BX50" s="433"/>
      <c r="BY50" s="434"/>
      <c r="BZ50" s="435"/>
      <c r="CA50" s="440"/>
      <c r="CB50" s="440"/>
      <c r="CC50" s="440"/>
      <c r="CD50" s="440"/>
      <c r="CE50" s="441"/>
    </row>
    <row r="51" customHeight="1" spans="1:83">
      <c r="A51" s="729">
        <v>50</v>
      </c>
      <c r="B51" s="551" t="str">
        <f>IF(法术书!X52="","",法术书!X52)</f>
        <v/>
      </c>
      <c r="C51" s="551" t="str">
        <f>IFERROR(VLOOKUP(B51,法术大全!$A:$W,5,FALSE),"")</f>
        <v/>
      </c>
      <c r="D51" s="730" t="str">
        <f>IFERROR(VLOOKUP(B51,法术大全!$A:$W,4,FALSE),"")</f>
        <v/>
      </c>
      <c r="E51" s="729">
        <v>50</v>
      </c>
      <c r="F51" s="731" t="str" cm="1">
        <f t="array" ref="F51">IFERROR(INDEX($B$1:$B$301,SMALL(IF($B$1:$B$301&lt;&gt;"",ROW($B$1:$B$301),4^8),ROW(51:51)))&amp;"","")</f>
        <v/>
      </c>
      <c r="H51" s="734" t="str">
        <f>IF(主要!AO64&lt;&gt;"",主要!AO64,"")</f>
        <v/>
      </c>
      <c r="I51" s="551">
        <f>IF(VLOOKUP(H51,法术大全!$A$3:$E$864,4,0)="√",1,0)</f>
        <v>0</v>
      </c>
      <c r="J51" s="551">
        <f>IF(VLOOKUP(H51,法术大全!$A$3:$E$864,5,0)="√",1,0)</f>
        <v>0</v>
      </c>
      <c r="K51" s="558" t="str" cm="1">
        <f t="array" ref="K51">IFERROR(INDEX($H$1:$H$68,SMALL(IF($H$2:$H$68&lt;&gt;"",ROW($H$2:$H$68),4^8),ROW(51:51)))&amp;"","")</f>
        <v/>
      </c>
      <c r="P51" s="746"/>
      <c r="Q51" s="746"/>
      <c r="R51" s="746"/>
      <c r="S51" s="746"/>
      <c r="T51" s="746" t="s">
        <v>372</v>
      </c>
      <c r="AL51" s="757"/>
      <c r="AM51" s="758"/>
      <c r="AN51" s="758"/>
      <c r="AO51" s="758"/>
      <c r="AP51" s="766"/>
      <c r="AQ51" s="763" t="s">
        <v>105</v>
      </c>
      <c r="AR51" s="773"/>
      <c r="AS51" s="770"/>
      <c r="AT51" s="770"/>
      <c r="AU51" s="770"/>
      <c r="AV51" s="770"/>
      <c r="AW51" s="770"/>
      <c r="AX51" s="770"/>
      <c r="AY51" s="770"/>
      <c r="AZ51" s="770"/>
      <c r="BA51" s="770"/>
      <c r="BB51" s="784"/>
      <c r="BC51" s="785"/>
      <c r="BD51" s="786"/>
      <c r="BE51" s="813" t="s">
        <v>134</v>
      </c>
      <c r="BF51" s="814"/>
      <c r="BG51" s="815"/>
      <c r="BJ51" s="415"/>
      <c r="BK51" s="424"/>
      <c r="BL51" s="424"/>
      <c r="BM51" s="424"/>
      <c r="BN51" s="425"/>
      <c r="BO51" s="427"/>
      <c r="BP51" s="428"/>
      <c r="BQ51" s="428"/>
      <c r="BR51" s="428"/>
      <c r="BS51" s="428"/>
      <c r="BT51" s="436"/>
      <c r="BU51" s="432"/>
      <c r="BV51" s="433"/>
      <c r="BW51" s="433"/>
      <c r="BX51" s="433"/>
      <c r="BY51" s="434"/>
      <c r="BZ51" s="435"/>
      <c r="CA51" s="440"/>
      <c r="CB51" s="440"/>
      <c r="CC51" s="440"/>
      <c r="CD51" s="440"/>
      <c r="CE51" s="441"/>
    </row>
    <row r="52" customHeight="1" spans="1:83">
      <c r="A52" s="729">
        <v>51</v>
      </c>
      <c r="B52" s="551" t="str">
        <f>IF(法术书!AC3="","",法术书!AC3)</f>
        <v/>
      </c>
      <c r="C52" s="551" t="str">
        <f>IFERROR(VLOOKUP(B52,法术大全!$A:$W,5,FALSE),"")</f>
        <v/>
      </c>
      <c r="D52" s="730" t="str">
        <f>IFERROR(VLOOKUP(B52,法术大全!$A:$W,4,FALSE),"")</f>
        <v/>
      </c>
      <c r="E52" s="729">
        <v>51</v>
      </c>
      <c r="F52" s="731" t="str" cm="1">
        <f t="array" ref="F52">IFERROR(INDEX($B$1:$B$301,SMALL(IF($B$1:$B$301&lt;&gt;"",ROW($B$1:$B$301),4^8),ROW(52:52)))&amp;"","")</f>
        <v/>
      </c>
      <c r="H52" s="734" t="str">
        <f>IF(主要!AO65&lt;&gt;"",主要!AO65,"")</f>
        <v/>
      </c>
      <c r="I52" s="551">
        <f>IF(VLOOKUP(H52,法术大全!$A$3:$E$864,4,0)="√",1,0)</f>
        <v>0</v>
      </c>
      <c r="J52" s="551">
        <f>IF(VLOOKUP(H52,法术大全!$A$3:$E$864,5,0)="√",1,0)</f>
        <v>0</v>
      </c>
      <c r="K52" s="558" t="str" cm="1">
        <f t="array" ref="K52">IFERROR(INDEX($H$1:$H$68,SMALL(IF($H$2:$H$68&lt;&gt;"",ROW($H$2:$H$68),4^8),ROW(52:52)))&amp;"","")</f>
        <v/>
      </c>
      <c r="AL52" s="755"/>
      <c r="AM52" s="756"/>
      <c r="AN52" s="756"/>
      <c r="AO52" s="756"/>
      <c r="AP52" s="762"/>
      <c r="AQ52" s="763" t="s">
        <v>105</v>
      </c>
      <c r="AR52" s="772"/>
      <c r="AS52" s="771"/>
      <c r="AT52" s="771"/>
      <c r="AU52" s="771"/>
      <c r="AV52" s="771"/>
      <c r="AW52" s="771"/>
      <c r="AX52" s="771"/>
      <c r="AY52" s="771"/>
      <c r="AZ52" s="771"/>
      <c r="BA52" s="771"/>
      <c r="BB52" s="781"/>
      <c r="BC52" s="782"/>
      <c r="BD52" s="783"/>
      <c r="BE52" s="810" t="s">
        <v>134</v>
      </c>
      <c r="BF52" s="811"/>
      <c r="BG52" s="812"/>
      <c r="BJ52" s="415"/>
      <c r="BK52" s="424"/>
      <c r="BL52" s="424"/>
      <c r="BM52" s="424"/>
      <c r="BN52" s="425"/>
      <c r="BO52" s="427"/>
      <c r="BP52" s="428"/>
      <c r="BQ52" s="428"/>
      <c r="BR52" s="428"/>
      <c r="BS52" s="428"/>
      <c r="BT52" s="436"/>
      <c r="BU52" s="432"/>
      <c r="BV52" s="433"/>
      <c r="BW52" s="433"/>
      <c r="BX52" s="433"/>
      <c r="BY52" s="434"/>
      <c r="BZ52" s="435"/>
      <c r="CA52" s="440"/>
      <c r="CB52" s="440"/>
      <c r="CC52" s="440"/>
      <c r="CD52" s="440"/>
      <c r="CE52" s="441"/>
    </row>
    <row r="53" customHeight="1" spans="1:11">
      <c r="A53" s="729">
        <v>52</v>
      </c>
      <c r="B53" s="551" t="str">
        <f>IF(法术书!AC4="","",法术书!AC4)</f>
        <v/>
      </c>
      <c r="C53" s="551" t="str">
        <f>IFERROR(VLOOKUP(B53,法术大全!$A:$W,5,FALSE),"")</f>
        <v/>
      </c>
      <c r="D53" s="730" t="str">
        <f>IFERROR(VLOOKUP(B53,法术大全!$A:$W,4,FALSE),"")</f>
        <v/>
      </c>
      <c r="E53" s="729">
        <v>52</v>
      </c>
      <c r="F53" s="731" t="str" cm="1">
        <f t="array" ref="F53">IFERROR(INDEX($B$1:$B$301,SMALL(IF($B$1:$B$301&lt;&gt;"",ROW($B$1:$B$301),4^8),ROW(53:53)))&amp;"","")</f>
        <v/>
      </c>
      <c r="H53" s="734" t="str">
        <f>IF(主要!AO66&lt;&gt;"",主要!AO66,"")</f>
        <v/>
      </c>
      <c r="I53" s="551">
        <f>IF(VLOOKUP(H53,法术大全!$A$3:$E$864,4,0)="√",1,0)</f>
        <v>0</v>
      </c>
      <c r="J53" s="551">
        <f>IF(VLOOKUP(H53,法术大全!$A$3:$E$864,5,0)="√",1,0)</f>
        <v>0</v>
      </c>
      <c r="K53" s="558" t="str" cm="1">
        <f t="array" ref="K53">IFERROR(INDEX($H$1:$H$68,SMALL(IF($H$2:$H$68&lt;&gt;"",ROW($H$2:$H$68),4^8),ROW(53:53)))&amp;"","")</f>
        <v/>
      </c>
    </row>
    <row r="54" customHeight="1" spans="1:11">
      <c r="A54" s="729">
        <v>53</v>
      </c>
      <c r="B54" s="551" t="str">
        <f>IF(法术书!AC5="","",法术书!AC5)</f>
        <v/>
      </c>
      <c r="C54" s="551" t="str">
        <f>IFERROR(VLOOKUP(B54,法术大全!$A:$W,5,FALSE),"")</f>
        <v/>
      </c>
      <c r="D54" s="730" t="str">
        <f>IFERROR(VLOOKUP(B54,法术大全!$A:$W,4,FALSE),"")</f>
        <v/>
      </c>
      <c r="E54" s="729">
        <v>53</v>
      </c>
      <c r="F54" s="731" t="str" cm="1">
        <f t="array" ref="F54">IFERROR(INDEX($B$1:$B$301,SMALL(IF($B$1:$B$301&lt;&gt;"",ROW($B$1:$B$301),4^8),ROW(54:54)))&amp;"","")</f>
        <v/>
      </c>
      <c r="H54" s="734" t="str">
        <f>IF(主要!AO67&lt;&gt;"",主要!AO67,"")</f>
        <v/>
      </c>
      <c r="I54" s="551">
        <f>IF(VLOOKUP(H54,法术大全!$A$3:$E$864,4,0)="√",1,0)</f>
        <v>0</v>
      </c>
      <c r="J54" s="551">
        <f>IF(VLOOKUP(H54,法术大全!$A$3:$E$864,5,0)="√",1,0)</f>
        <v>0</v>
      </c>
      <c r="K54" s="558" t="str" cm="1">
        <f t="array" ref="K54">IFERROR(INDEX($H$1:$H$68,SMALL(IF($H$2:$H$68&lt;&gt;"",ROW($H$2:$H$68),4^8),ROW(54:54)))&amp;"","")</f>
        <v/>
      </c>
    </row>
    <row r="55" customHeight="1" spans="1:11">
      <c r="A55" s="729">
        <v>54</v>
      </c>
      <c r="B55" s="551" t="str">
        <f>IF(法术书!AC6="","",法术书!AC6)</f>
        <v/>
      </c>
      <c r="C55" s="551" t="str">
        <f>IFERROR(VLOOKUP(B55,法术大全!$A:$W,5,FALSE),"")</f>
        <v/>
      </c>
      <c r="D55" s="730" t="str">
        <f>IFERROR(VLOOKUP(B55,法术大全!$A:$W,4,FALSE),"")</f>
        <v/>
      </c>
      <c r="E55" s="729">
        <v>54</v>
      </c>
      <c r="F55" s="731" t="str" cm="1">
        <f t="array" ref="F55">IFERROR(INDEX($B$1:$B$301,SMALL(IF($B$1:$B$301&lt;&gt;"",ROW($B$1:$B$301),4^8),ROW(55:55)))&amp;"","")</f>
        <v/>
      </c>
      <c r="H55" s="734" t="str">
        <f>IF(主要!AO68&lt;&gt;"",主要!AO68,"")</f>
        <v/>
      </c>
      <c r="I55" s="551">
        <f>IF(VLOOKUP(H55,法术大全!$A$3:$E$864,4,0)="√",1,0)</f>
        <v>0</v>
      </c>
      <c r="J55" s="551">
        <f>IF(VLOOKUP(H55,法术大全!$A$3:$E$864,5,0)="√",1,0)</f>
        <v>0</v>
      </c>
      <c r="K55" s="558" t="str" cm="1">
        <f t="array" ref="K55">IFERROR(INDEX($H$1:$H$68,SMALL(IF($H$2:$H$68&lt;&gt;"",ROW($H$2:$H$68),4^8),ROW(55:55)))&amp;"","")</f>
        <v/>
      </c>
    </row>
    <row r="56" customHeight="1" spans="1:11">
      <c r="A56" s="729">
        <v>55</v>
      </c>
      <c r="B56" s="551" t="str">
        <f>IF(法术书!AC7="","",法术书!AC7)</f>
        <v/>
      </c>
      <c r="C56" s="551" t="str">
        <f>IFERROR(VLOOKUP(B56,法术大全!$A:$W,5,FALSE),"")</f>
        <v/>
      </c>
      <c r="D56" s="730" t="str">
        <f>IFERROR(VLOOKUP(B56,法术大全!$A:$W,4,FALSE),"")</f>
        <v/>
      </c>
      <c r="E56" s="729">
        <v>55</v>
      </c>
      <c r="F56" s="731" t="str" cm="1">
        <f t="array" ref="F56">IFERROR(INDEX($B$1:$B$301,SMALL(IF($B$1:$B$301&lt;&gt;"",ROW($B$1:$B$301),4^8),ROW(56:56)))&amp;"","")</f>
        <v/>
      </c>
      <c r="H56" s="734" t="str">
        <f>IF(主要!AO69&lt;&gt;"",主要!AO69,"")</f>
        <v/>
      </c>
      <c r="I56" s="551">
        <f>IF(VLOOKUP(H56,法术大全!$A$3:$E$864,4,0)="√",1,0)</f>
        <v>0</v>
      </c>
      <c r="J56" s="551">
        <f>IF(VLOOKUP(H56,法术大全!$A$3:$E$864,5,0)="√",1,0)</f>
        <v>0</v>
      </c>
      <c r="K56" s="558" t="str" cm="1">
        <f t="array" ref="K56">IFERROR(INDEX($H$1:$H$68,SMALL(IF($H$2:$H$68&lt;&gt;"",ROW($H$2:$H$68),4^8),ROW(56:56)))&amp;"","")</f>
        <v/>
      </c>
    </row>
    <row r="57" customHeight="1" spans="1:70">
      <c r="A57" s="729">
        <v>56</v>
      </c>
      <c r="B57" s="551" t="str">
        <f>IF(法术书!AC8="","",法术书!AC8)</f>
        <v/>
      </c>
      <c r="C57" s="551" t="str">
        <f>IFERROR(VLOOKUP(B57,法术大全!$A:$W,5,FALSE),"")</f>
        <v/>
      </c>
      <c r="D57" s="730" t="str">
        <f>IFERROR(VLOOKUP(B57,法术大全!$A:$W,4,FALSE),"")</f>
        <v/>
      </c>
      <c r="E57" s="729">
        <v>56</v>
      </c>
      <c r="F57" s="731" t="str" cm="1">
        <f t="array" ref="F57">IFERROR(INDEX($B$1:$B$301,SMALL(IF($B$1:$B$301&lt;&gt;"",ROW($B$1:$B$301),4^8),ROW(57:57)))&amp;"","")</f>
        <v/>
      </c>
      <c r="H57" s="734" t="str">
        <f>IF(主要!AO70&lt;&gt;"",主要!AO70,"")</f>
        <v/>
      </c>
      <c r="I57" s="551">
        <f>IF(VLOOKUP(H57,法术大全!$A$3:$E$864,4,0)="√",1,0)</f>
        <v>0</v>
      </c>
      <c r="J57" s="551">
        <f>IF(VLOOKUP(H57,法术大全!$A$3:$E$864,5,0)="√",1,0)</f>
        <v>0</v>
      </c>
      <c r="K57" s="558" t="str" cm="1">
        <f t="array" ref="K57">IFERROR(INDEX($H$1:$H$68,SMALL(IF($H$2:$H$68&lt;&gt;"",ROW($H$2:$H$68),4^8),ROW(57:57)))&amp;"","")</f>
        <v/>
      </c>
      <c r="BJ57" s="817" t="s">
        <v>85</v>
      </c>
      <c r="BK57" s="817"/>
      <c r="BL57" s="817"/>
      <c r="BM57" s="817"/>
      <c r="BN57" s="817"/>
      <c r="BO57" s="817"/>
      <c r="BP57" s="817"/>
      <c r="BQ57" s="817"/>
      <c r="BR57" s="817"/>
    </row>
    <row r="58" customHeight="1" spans="1:11">
      <c r="A58" s="729">
        <v>57</v>
      </c>
      <c r="B58" s="551" t="str">
        <f>IF(法术书!AC9="","",法术书!AC9)</f>
        <v/>
      </c>
      <c r="C58" s="551" t="str">
        <f>IFERROR(VLOOKUP(B58,法术大全!$A:$W,5,FALSE),"")</f>
        <v/>
      </c>
      <c r="D58" s="730" t="str">
        <f>IFERROR(VLOOKUP(B58,法术大全!$A:$W,4,FALSE),"")</f>
        <v/>
      </c>
      <c r="E58" s="729">
        <v>57</v>
      </c>
      <c r="F58" s="731" t="str" cm="1">
        <f t="array" ref="F58">IFERROR(INDEX($B$1:$B$301,SMALL(IF($B$1:$B$301&lt;&gt;"",ROW($B$1:$B$301),4^8),ROW(58:58)))&amp;"","")</f>
        <v/>
      </c>
      <c r="H58" s="734" t="str">
        <f>IF(主要!AO71&lt;&gt;"",主要!AO71,"")</f>
        <v/>
      </c>
      <c r="I58" s="551">
        <f>IF(VLOOKUP(H58,法术大全!$A$3:$E$864,4,0)="√",1,0)</f>
        <v>0</v>
      </c>
      <c r="J58" s="551">
        <f>IF(VLOOKUP(H58,法术大全!$A$3:$E$864,5,0)="√",1,0)</f>
        <v>0</v>
      </c>
      <c r="K58" s="558" t="str" cm="1">
        <f t="array" ref="K58">IFERROR(INDEX($H$1:$H$68,SMALL(IF($H$2:$H$68&lt;&gt;"",ROW($H$2:$H$68),4^8),ROW(58:58)))&amp;"","")</f>
        <v/>
      </c>
    </row>
    <row r="59" customHeight="1" spans="1:11">
      <c r="A59" s="729">
        <v>58</v>
      </c>
      <c r="B59" s="551" t="str">
        <f>IF(法术书!AC10="","",法术书!AC10)</f>
        <v/>
      </c>
      <c r="C59" s="551" t="str">
        <f>IFERROR(VLOOKUP(B59,法术大全!$A:$W,5,FALSE),"")</f>
        <v/>
      </c>
      <c r="D59" s="730" t="str">
        <f>IFERROR(VLOOKUP(B59,法术大全!$A:$W,4,FALSE),"")</f>
        <v/>
      </c>
      <c r="E59" s="729">
        <v>58</v>
      </c>
      <c r="F59" s="731" t="str" cm="1">
        <f t="array" ref="F59">IFERROR(INDEX($B$1:$B$301,SMALL(IF($B$1:$B$301&lt;&gt;"",ROW($B$1:$B$301),4^8),ROW(59:59)))&amp;"","")</f>
        <v/>
      </c>
      <c r="H59" s="734" t="str">
        <f>IF(主要!AO72&lt;&gt;"",主要!AO72,"")</f>
        <v/>
      </c>
      <c r="I59" s="551">
        <f>IF(VLOOKUP(H59,法术大全!$A$3:$E$864,4,0)="√",1,0)</f>
        <v>0</v>
      </c>
      <c r="J59" s="551">
        <f>IF(VLOOKUP(H59,法术大全!$A$3:$E$864,5,0)="√",1,0)</f>
        <v>0</v>
      </c>
      <c r="K59" s="558" t="str" cm="1">
        <f t="array" ref="K59">IFERROR(INDEX($H$1:$H$68,SMALL(IF($H$2:$H$68&lt;&gt;"",ROW($H$2:$H$68),4^8),ROW(59:59)))&amp;"","")</f>
        <v/>
      </c>
    </row>
    <row r="60" customHeight="1" spans="1:83">
      <c r="A60" s="729">
        <v>59</v>
      </c>
      <c r="B60" s="551" t="str">
        <f>IF(法术书!AC11="","",法术书!AC11)</f>
        <v/>
      </c>
      <c r="C60" s="551" t="str">
        <f>IFERROR(VLOOKUP(B60,法术大全!$A:$W,5,FALSE),"")</f>
        <v/>
      </c>
      <c r="D60" s="730" t="str">
        <f>IFERROR(VLOOKUP(B60,法术大全!$A:$W,4,FALSE),"")</f>
        <v/>
      </c>
      <c r="E60" s="729">
        <v>59</v>
      </c>
      <c r="F60" s="731" t="str" cm="1">
        <f t="array" ref="F60">IFERROR(INDEX($B$1:$B$301,SMALL(IF($B$1:$B$301&lt;&gt;"",ROW($B$1:$B$301),4^8),ROW(60:60)))&amp;"","")</f>
        <v/>
      </c>
      <c r="BJ60" s="818"/>
      <c r="BK60" s="818"/>
      <c r="BL60" s="818"/>
      <c r="BM60" s="818"/>
      <c r="BN60" s="818"/>
      <c r="BO60" s="818"/>
      <c r="BP60" s="824"/>
      <c r="BQ60" s="818"/>
      <c r="BR60" s="818"/>
      <c r="BS60" s="818"/>
      <c r="BT60" s="818"/>
      <c r="BU60" s="818"/>
      <c r="BV60" s="818"/>
      <c r="BW60" s="817" t="s">
        <v>85</v>
      </c>
      <c r="BX60" s="817"/>
      <c r="BY60" s="817"/>
      <c r="BZ60" s="817"/>
      <c r="CA60" s="817"/>
      <c r="CB60" s="817"/>
      <c r="CC60" s="817"/>
      <c r="CD60" s="817"/>
      <c r="CE60" s="817"/>
    </row>
    <row r="61" customHeight="1" spans="1:6">
      <c r="A61" s="729">
        <v>60</v>
      </c>
      <c r="B61" s="551" t="str">
        <f>IF(法术书!AC12="","",法术书!AC12)</f>
        <v/>
      </c>
      <c r="C61" s="551" t="str">
        <f>IFERROR(VLOOKUP(B61,法术大全!$A:$W,5,FALSE),"")</f>
        <v/>
      </c>
      <c r="D61" s="730" t="str">
        <f>IFERROR(VLOOKUP(B61,法术大全!$A:$W,4,FALSE),"")</f>
        <v/>
      </c>
      <c r="E61" s="729">
        <v>60</v>
      </c>
      <c r="F61" s="731" t="str" cm="1">
        <f t="array" ref="F61">IFERROR(INDEX($B$1:$B$301,SMALL(IF($B$1:$B$301&lt;&gt;"",ROW($B$1:$B$301),4^8),ROW(61:61)))&amp;"","")</f>
        <v/>
      </c>
    </row>
    <row r="62" customHeight="1" spans="1:6">
      <c r="A62" s="729">
        <v>61</v>
      </c>
      <c r="B62" s="551" t="str">
        <f>IF(法术书!AC13="","",法术书!AC13)</f>
        <v/>
      </c>
      <c r="C62" s="551" t="str">
        <f>IFERROR(VLOOKUP(B62,法术大全!$A:$W,5,FALSE),"")</f>
        <v/>
      </c>
      <c r="D62" s="730" t="str">
        <f>IFERROR(VLOOKUP(B62,法术大全!$A:$W,4,FALSE),"")</f>
        <v/>
      </c>
      <c r="E62" s="729">
        <v>61</v>
      </c>
      <c r="F62" s="731" t="str" cm="1">
        <f t="array" ref="F62">IFERROR(INDEX($B$1:$B$301,SMALL(IF($B$1:$B$301&lt;&gt;"",ROW($B$1:$B$301),4^8),ROW(62:62)))&amp;"","")</f>
        <v/>
      </c>
    </row>
    <row r="63" customHeight="1" spans="1:6">
      <c r="A63" s="729">
        <v>62</v>
      </c>
      <c r="B63" s="551" t="str">
        <f>IF(法术书!AC14="","",法术书!AC14)</f>
        <v/>
      </c>
      <c r="C63" s="551" t="str">
        <f>IFERROR(VLOOKUP(B63,法术大全!$A:$W,5,FALSE),"")</f>
        <v/>
      </c>
      <c r="D63" s="730" t="str">
        <f>IFERROR(VLOOKUP(B63,法术大全!$A:$W,4,FALSE),"")</f>
        <v/>
      </c>
      <c r="E63" s="729">
        <v>62</v>
      </c>
      <c r="F63" s="731" t="str" cm="1">
        <f t="array" ref="F63">IFERROR(INDEX($B$1:$B$301,SMALL(IF($B$1:$B$301&lt;&gt;"",ROW($B$1:$B$301),4^8),ROW(63:63)))&amp;"","")</f>
        <v/>
      </c>
    </row>
    <row r="64" customHeight="1" spans="1:6">
      <c r="A64" s="729">
        <v>63</v>
      </c>
      <c r="B64" s="551" t="str">
        <f>IF(法术书!AC15="","",法术书!AC15)</f>
        <v/>
      </c>
      <c r="C64" s="551" t="str">
        <f>IFERROR(VLOOKUP(B64,法术大全!$A:$W,5,FALSE),"")</f>
        <v/>
      </c>
      <c r="D64" s="730" t="str">
        <f>IFERROR(VLOOKUP(B64,法术大全!$A:$W,4,FALSE),"")</f>
        <v/>
      </c>
      <c r="E64" s="729">
        <v>63</v>
      </c>
      <c r="F64" s="731" t="str" cm="1">
        <f t="array" ref="F64">IFERROR(INDEX($B$1:$B$301,SMALL(IF($B$1:$B$301&lt;&gt;"",ROW($B$1:$B$301),4^8),ROW(64:64)))&amp;"","")</f>
        <v/>
      </c>
    </row>
    <row r="65" customHeight="1" spans="1:6">
      <c r="A65" s="729">
        <v>64</v>
      </c>
      <c r="B65" s="551" t="str">
        <f>IF(法术书!AC16="","",法术书!AC16)</f>
        <v/>
      </c>
      <c r="C65" s="551" t="str">
        <f>IFERROR(VLOOKUP(B65,法术大全!$A:$W,5,FALSE),"")</f>
        <v/>
      </c>
      <c r="D65" s="730" t="str">
        <f>IFERROR(VLOOKUP(B65,法术大全!$A:$W,4,FALSE),"")</f>
        <v/>
      </c>
      <c r="E65" s="729">
        <v>64</v>
      </c>
      <c r="F65" s="731" t="str" cm="1">
        <f t="array" ref="F65">IFERROR(INDEX($B$1:$B$301,SMALL(IF($B$1:$B$301&lt;&gt;"",ROW($B$1:$B$301),4^8),ROW(65:65)))&amp;"","")</f>
        <v/>
      </c>
    </row>
    <row r="66" customHeight="1" spans="1:6">
      <c r="A66" s="729">
        <v>65</v>
      </c>
      <c r="B66" s="551" t="str">
        <f>IF(法术书!AC17="","",法术书!AC17)</f>
        <v/>
      </c>
      <c r="C66" s="551" t="str">
        <f>IFERROR(VLOOKUP(B66,法术大全!$A:$W,5,FALSE),"")</f>
        <v/>
      </c>
      <c r="D66" s="730" t="str">
        <f>IFERROR(VLOOKUP(B66,法术大全!$A:$W,4,FALSE),"")</f>
        <v/>
      </c>
      <c r="E66" s="729">
        <v>65</v>
      </c>
      <c r="F66" s="731" t="str" cm="1">
        <f t="array" ref="F66">IFERROR(INDEX($B$1:$B$301,SMALL(IF($B$1:$B$301&lt;&gt;"",ROW($B$1:$B$301),4^8),ROW(66:66)))&amp;"","")</f>
        <v/>
      </c>
    </row>
    <row r="67" customHeight="1" spans="1:83">
      <c r="A67" s="729">
        <v>66</v>
      </c>
      <c r="B67" s="551" t="str">
        <f>IF(法术书!AC18="","",法术书!AC18)</f>
        <v/>
      </c>
      <c r="C67" s="551" t="str">
        <f>IFERROR(VLOOKUP(B67,法术大全!$A:$W,5,FALSE),"")</f>
        <v/>
      </c>
      <c r="D67" s="730" t="str">
        <f>IFERROR(VLOOKUP(B67,法术大全!$A:$W,4,FALSE),"")</f>
        <v/>
      </c>
      <c r="E67" s="729">
        <v>66</v>
      </c>
      <c r="F67" s="731" t="str" cm="1">
        <f t="array" ref="F67">IFERROR(INDEX($B$1:$B$301,SMALL(IF($B$1:$B$301&lt;&gt;"",ROW($B$1:$B$301),4^8),ROW(67:67)))&amp;"","")</f>
        <v/>
      </c>
      <c r="BJ67" s="844" t="str">
        <f>职业!CV60</f>
        <v/>
      </c>
      <c r="BK67" s="818"/>
      <c r="BL67" s="818"/>
      <c r="BM67" s="818"/>
      <c r="BN67" s="818"/>
      <c r="BO67" s="818"/>
      <c r="BP67" s="847"/>
      <c r="BQ67" s="847"/>
      <c r="BR67" s="847"/>
      <c r="BS67" s="847"/>
      <c r="BT67" s="847"/>
      <c r="BU67" s="847"/>
      <c r="BV67" s="847"/>
      <c r="BW67" s="847"/>
      <c r="BX67" s="847"/>
      <c r="BY67" s="847"/>
      <c r="BZ67" s="847"/>
      <c r="CA67" s="847"/>
      <c r="CB67" s="847"/>
      <c r="CC67" s="847"/>
      <c r="CD67" s="847"/>
      <c r="CE67" s="847"/>
    </row>
    <row r="68" customHeight="1" spans="1:83">
      <c r="A68" s="729">
        <v>67</v>
      </c>
      <c r="B68" s="551" t="str">
        <f>IF(法术书!AC19="","",法术书!AC19)</f>
        <v/>
      </c>
      <c r="C68" s="551" t="str">
        <f>IFERROR(VLOOKUP(B68,法术大全!$A:$W,5,FALSE),"")</f>
        <v/>
      </c>
      <c r="D68" s="730" t="str">
        <f>IFERROR(VLOOKUP(B68,法术大全!$A:$W,4,FALSE),"")</f>
        <v/>
      </c>
      <c r="E68" s="729">
        <v>67</v>
      </c>
      <c r="F68" s="731" t="str" cm="1">
        <f t="array" ref="F68">IFERROR(INDEX($B$1:$B$301,SMALL(IF($B$1:$B$301&lt;&gt;"",ROW($B$1:$B$301),4^8),ROW(68:68)))&amp;"","")</f>
        <v/>
      </c>
      <c r="BJ68" s="845" t="str">
        <f>职业!CV61</f>
        <v/>
      </c>
      <c r="BK68" s="846"/>
      <c r="BL68" s="846"/>
      <c r="BM68" s="846"/>
      <c r="BN68" s="846"/>
      <c r="BO68" s="846"/>
      <c r="BP68" s="848"/>
      <c r="BQ68" s="848"/>
      <c r="BR68" s="848"/>
      <c r="BS68" s="848"/>
      <c r="BT68" s="848"/>
      <c r="BU68" s="848"/>
      <c r="BV68" s="848"/>
      <c r="BW68" s="848"/>
      <c r="BX68" s="848"/>
      <c r="BY68" s="848"/>
      <c r="BZ68" s="848"/>
      <c r="CA68" s="848"/>
      <c r="CB68" s="848"/>
      <c r="CC68" s="848"/>
      <c r="CD68" s="848"/>
      <c r="CE68" s="848"/>
    </row>
    <row r="69" customHeight="1" spans="1:83">
      <c r="A69" s="729">
        <v>68</v>
      </c>
      <c r="B69" s="551" t="str">
        <f>IF(法术书!AC20="","",法术书!AC20)</f>
        <v/>
      </c>
      <c r="C69" s="551" t="str">
        <f>IFERROR(VLOOKUP(B69,法术大全!$A:$W,5,FALSE),"")</f>
        <v/>
      </c>
      <c r="D69" s="730" t="str">
        <f>IFERROR(VLOOKUP(B69,法术大全!$A:$W,4,FALSE),"")</f>
        <v/>
      </c>
      <c r="E69" s="729">
        <v>68</v>
      </c>
      <c r="F69" s="731" t="str" cm="1">
        <f t="array" ref="F69">IFERROR(INDEX($B$1:$B$301,SMALL(IF($B$1:$B$301&lt;&gt;"",ROW($B$1:$B$301),4^8),ROW(69:69)))&amp;"","")</f>
        <v/>
      </c>
      <c r="BJ69" s="844" t="str">
        <f>职业!CV62</f>
        <v/>
      </c>
      <c r="BK69" s="818"/>
      <c r="BL69" s="818"/>
      <c r="BM69" s="818"/>
      <c r="BN69" s="818"/>
      <c r="BO69" s="818"/>
      <c r="BP69" s="847"/>
      <c r="BQ69" s="847"/>
      <c r="BR69" s="847"/>
      <c r="BS69" s="847"/>
      <c r="BT69" s="847"/>
      <c r="BU69" s="847"/>
      <c r="BV69" s="847"/>
      <c r="BW69" s="847"/>
      <c r="BX69" s="847"/>
      <c r="BY69" s="847"/>
      <c r="BZ69" s="847"/>
      <c r="CA69" s="847"/>
      <c r="CB69" s="847"/>
      <c r="CC69" s="847"/>
      <c r="CD69" s="847"/>
      <c r="CE69" s="847"/>
    </row>
    <row r="70" customHeight="1" spans="1:83">
      <c r="A70" s="729">
        <v>69</v>
      </c>
      <c r="B70" s="551" t="str">
        <f>IF(法术书!AC21="","",法术书!AC21)</f>
        <v/>
      </c>
      <c r="C70" s="551" t="str">
        <f>IFERROR(VLOOKUP(B70,法术大全!$A:$W,5,FALSE),"")</f>
        <v/>
      </c>
      <c r="D70" s="730" t="str">
        <f>IFERROR(VLOOKUP(B70,法术大全!$A:$W,4,FALSE),"")</f>
        <v/>
      </c>
      <c r="E70" s="729">
        <v>69</v>
      </c>
      <c r="F70" s="731" t="str" cm="1">
        <f t="array" ref="F70">IFERROR(INDEX($B$1:$B$301,SMALL(IF($B$1:$B$301&lt;&gt;"",ROW($B$1:$B$301),4^8),ROW(70:70)))&amp;"","")</f>
        <v/>
      </c>
      <c r="BJ70" s="845" t="str">
        <f>职业!CV63</f>
        <v/>
      </c>
      <c r="BK70" s="846"/>
      <c r="BL70" s="846"/>
      <c r="BM70" s="846"/>
      <c r="BN70" s="846"/>
      <c r="BO70" s="846"/>
      <c r="BP70" s="848"/>
      <c r="BQ70" s="848"/>
      <c r="BR70" s="848"/>
      <c r="BS70" s="848"/>
      <c r="BT70" s="848"/>
      <c r="BU70" s="848"/>
      <c r="BV70" s="848"/>
      <c r="BW70" s="848"/>
      <c r="BX70" s="848"/>
      <c r="BY70" s="848"/>
      <c r="BZ70" s="848"/>
      <c r="CA70" s="848"/>
      <c r="CB70" s="848"/>
      <c r="CC70" s="848"/>
      <c r="CD70" s="848"/>
      <c r="CE70" s="848"/>
    </row>
    <row r="71" customHeight="1" spans="1:83">
      <c r="A71" s="729">
        <v>70</v>
      </c>
      <c r="B71" s="551" t="str">
        <f>IF(法术书!AC22="","",法术书!AC22)</f>
        <v/>
      </c>
      <c r="C71" s="551" t="str">
        <f>IFERROR(VLOOKUP(B71,法术大全!$A:$W,5,FALSE),"")</f>
        <v/>
      </c>
      <c r="D71" s="730" t="str">
        <f>IFERROR(VLOOKUP(B71,法术大全!$A:$W,4,FALSE),"")</f>
        <v/>
      </c>
      <c r="E71" s="729">
        <v>70</v>
      </c>
      <c r="F71" s="731" t="str" cm="1">
        <f t="array" ref="F71">IFERROR(INDEX($B$1:$B$301,SMALL(IF($B$1:$B$301&lt;&gt;"",ROW($B$1:$B$301),4^8),ROW(71:71)))&amp;"","")</f>
        <v/>
      </c>
      <c r="BJ71" s="844" t="str">
        <f>职业!CV64</f>
        <v/>
      </c>
      <c r="BK71" s="818"/>
      <c r="BL71" s="818"/>
      <c r="BM71" s="818"/>
      <c r="BN71" s="818"/>
      <c r="BO71" s="818"/>
      <c r="BP71" s="847"/>
      <c r="BQ71" s="847"/>
      <c r="BR71" s="847"/>
      <c r="BS71" s="847"/>
      <c r="BT71" s="847"/>
      <c r="BU71" s="847"/>
      <c r="BV71" s="847"/>
      <c r="BW71" s="847"/>
      <c r="BX71" s="847"/>
      <c r="BY71" s="847"/>
      <c r="BZ71" s="847"/>
      <c r="CA71" s="847"/>
      <c r="CB71" s="847"/>
      <c r="CC71" s="847"/>
      <c r="CD71" s="847"/>
      <c r="CE71" s="847"/>
    </row>
    <row r="72" customHeight="1" spans="1:83">
      <c r="A72" s="729">
        <v>71</v>
      </c>
      <c r="B72" s="551" t="str">
        <f>IF(法术书!AC23="","",法术书!AC23)</f>
        <v/>
      </c>
      <c r="C72" s="551" t="str">
        <f>IFERROR(VLOOKUP(B72,法术大全!$A:$W,5,FALSE),"")</f>
        <v/>
      </c>
      <c r="D72" s="730" t="str">
        <f>IFERROR(VLOOKUP(B72,法术大全!$A:$W,4,FALSE),"")</f>
        <v/>
      </c>
      <c r="E72" s="729">
        <v>71</v>
      </c>
      <c r="F72" s="731" t="str" cm="1">
        <f t="array" ref="F72">IFERROR(INDEX($B$1:$B$301,SMALL(IF($B$1:$B$301&lt;&gt;"",ROW($B$1:$B$301),4^8),ROW(72:72)))&amp;"","")</f>
        <v/>
      </c>
      <c r="BJ72" s="845" t="str">
        <f>职业!CV65</f>
        <v/>
      </c>
      <c r="BK72" s="846"/>
      <c r="BL72" s="846"/>
      <c r="BM72" s="846"/>
      <c r="BN72" s="846"/>
      <c r="BO72" s="846"/>
      <c r="BP72" s="848"/>
      <c r="BQ72" s="848"/>
      <c r="BR72" s="848"/>
      <c r="BS72" s="848"/>
      <c r="BT72" s="848"/>
      <c r="BU72" s="848"/>
      <c r="BV72" s="848"/>
      <c r="BW72" s="848"/>
      <c r="BX72" s="848"/>
      <c r="BY72" s="848"/>
      <c r="BZ72" s="848"/>
      <c r="CA72" s="848"/>
      <c r="CB72" s="848"/>
      <c r="CC72" s="848"/>
      <c r="CD72" s="848"/>
      <c r="CE72" s="848"/>
    </row>
    <row r="73" customHeight="1" spans="1:83">
      <c r="A73" s="729">
        <v>72</v>
      </c>
      <c r="B73" s="551" t="str">
        <f>IF(法术书!AC24="","",法术书!AC24)</f>
        <v/>
      </c>
      <c r="C73" s="551" t="str">
        <f>IFERROR(VLOOKUP(B73,法术大全!$A:$W,5,FALSE),"")</f>
        <v/>
      </c>
      <c r="D73" s="730" t="str">
        <f>IFERROR(VLOOKUP(B73,法术大全!$A:$W,4,FALSE),"")</f>
        <v/>
      </c>
      <c r="E73" s="729">
        <v>72</v>
      </c>
      <c r="F73" s="731" t="str" cm="1">
        <f t="array" ref="F73">IFERROR(INDEX($B$1:$B$301,SMALL(IF($B$1:$B$301&lt;&gt;"",ROW($B$1:$B$301),4^8),ROW(73:73)))&amp;"","")</f>
        <v/>
      </c>
      <c r="BJ73" s="844" t="str">
        <f>职业!CV66</f>
        <v/>
      </c>
      <c r="BK73" s="818"/>
      <c r="BL73" s="818"/>
      <c r="BM73" s="818"/>
      <c r="BN73" s="818"/>
      <c r="BO73" s="818"/>
      <c r="BP73" s="847"/>
      <c r="BQ73" s="847"/>
      <c r="BR73" s="847"/>
      <c r="BS73" s="847"/>
      <c r="BT73" s="847"/>
      <c r="BU73" s="847"/>
      <c r="BV73" s="847"/>
      <c r="BW73" s="847"/>
      <c r="BX73" s="847"/>
      <c r="BY73" s="847"/>
      <c r="BZ73" s="847"/>
      <c r="CA73" s="847"/>
      <c r="CB73" s="847"/>
      <c r="CC73" s="847"/>
      <c r="CD73" s="847"/>
      <c r="CE73" s="847"/>
    </row>
    <row r="74" customHeight="1" spans="1:83">
      <c r="A74" s="729">
        <v>73</v>
      </c>
      <c r="B74" s="551" t="str">
        <f>IF(法术书!AC25="","",法术书!AC25)</f>
        <v/>
      </c>
      <c r="C74" s="551" t="str">
        <f>IFERROR(VLOOKUP(B74,法术大全!$A:$W,5,FALSE),"")</f>
        <v/>
      </c>
      <c r="D74" s="730" t="str">
        <f>IFERROR(VLOOKUP(B74,法术大全!$A:$W,4,FALSE),"")</f>
        <v/>
      </c>
      <c r="E74" s="729">
        <v>73</v>
      </c>
      <c r="F74" s="731" t="str" cm="1">
        <f t="array" ref="F74">IFERROR(INDEX($B$1:$B$301,SMALL(IF($B$1:$B$301&lt;&gt;"",ROW($B$1:$B$301),4^8),ROW(74:74)))&amp;"","")</f>
        <v/>
      </c>
      <c r="BJ74" s="845" t="str">
        <f>职业!CV67</f>
        <v/>
      </c>
      <c r="BK74" s="846"/>
      <c r="BL74" s="846"/>
      <c r="BM74" s="846"/>
      <c r="BN74" s="846"/>
      <c r="BO74" s="846"/>
      <c r="BP74" s="848"/>
      <c r="BQ74" s="848"/>
      <c r="BR74" s="848"/>
      <c r="BS74" s="848"/>
      <c r="BT74" s="848"/>
      <c r="BU74" s="848"/>
      <c r="BV74" s="848"/>
      <c r="BW74" s="848"/>
      <c r="BX74" s="848"/>
      <c r="BY74" s="848"/>
      <c r="BZ74" s="848"/>
      <c r="CA74" s="848"/>
      <c r="CB74" s="848"/>
      <c r="CC74" s="848"/>
      <c r="CD74" s="848"/>
      <c r="CE74" s="848"/>
    </row>
    <row r="75" customHeight="1" spans="1:83">
      <c r="A75" s="729">
        <v>74</v>
      </c>
      <c r="B75" s="551" t="str">
        <f>IF(法术书!AC26="","",法术书!AC26)</f>
        <v/>
      </c>
      <c r="C75" s="551" t="str">
        <f>IFERROR(VLOOKUP(B75,法术大全!$A:$W,5,FALSE),"")</f>
        <v/>
      </c>
      <c r="D75" s="730" t="str">
        <f>IFERROR(VLOOKUP(B75,法术大全!$A:$W,4,FALSE),"")</f>
        <v/>
      </c>
      <c r="E75" s="729">
        <v>74</v>
      </c>
      <c r="F75" s="731" t="str" cm="1">
        <f t="array" ref="F75">IFERROR(INDEX($B$1:$B$301,SMALL(IF($B$1:$B$301&lt;&gt;"",ROW($B$1:$B$301),4^8),ROW(75:75)))&amp;"","")</f>
        <v/>
      </c>
      <c r="BJ75" s="844" t="str">
        <f>职业!CV68</f>
        <v/>
      </c>
      <c r="BK75" s="818"/>
      <c r="BL75" s="818"/>
      <c r="BM75" s="818"/>
      <c r="BN75" s="818"/>
      <c r="BO75" s="818"/>
      <c r="BP75" s="847"/>
      <c r="BQ75" s="847"/>
      <c r="BR75" s="847"/>
      <c r="BS75" s="847"/>
      <c r="BT75" s="847"/>
      <c r="BU75" s="847"/>
      <c r="BV75" s="847"/>
      <c r="BW75" s="847"/>
      <c r="BX75" s="847"/>
      <c r="BY75" s="847"/>
      <c r="BZ75" s="847"/>
      <c r="CA75" s="847"/>
      <c r="CB75" s="847"/>
      <c r="CC75" s="847"/>
      <c r="CD75" s="847"/>
      <c r="CE75" s="847"/>
    </row>
    <row r="76" customHeight="1" spans="1:83">
      <c r="A76" s="729">
        <v>75</v>
      </c>
      <c r="B76" s="551" t="str">
        <f>IF(法术书!AC27="","",法术书!AC27)</f>
        <v/>
      </c>
      <c r="C76" s="551" t="str">
        <f>IFERROR(VLOOKUP(B76,法术大全!$A:$W,5,FALSE),"")</f>
        <v/>
      </c>
      <c r="D76" s="730" t="str">
        <f>IFERROR(VLOOKUP(B76,法术大全!$A:$W,4,FALSE),"")</f>
        <v/>
      </c>
      <c r="E76" s="729">
        <v>75</v>
      </c>
      <c r="F76" s="731" t="str" cm="1">
        <f t="array" ref="F76">IFERROR(INDEX($B$1:$B$301,SMALL(IF($B$1:$B$301&lt;&gt;"",ROW($B$1:$B$301),4^8),ROW(76:76)))&amp;"","")</f>
        <v/>
      </c>
      <c r="BJ76" s="845" t="str">
        <f>职业!CV69</f>
        <v/>
      </c>
      <c r="BK76" s="846"/>
      <c r="BL76" s="846"/>
      <c r="BM76" s="846"/>
      <c r="BN76" s="846"/>
      <c r="BO76" s="846"/>
      <c r="BP76" s="848"/>
      <c r="BQ76" s="848"/>
      <c r="BR76" s="848"/>
      <c r="BS76" s="848"/>
      <c r="BT76" s="848"/>
      <c r="BU76" s="848"/>
      <c r="BV76" s="848"/>
      <c r="BW76" s="848"/>
      <c r="BX76" s="848"/>
      <c r="BY76" s="848"/>
      <c r="BZ76" s="848"/>
      <c r="CA76" s="848"/>
      <c r="CB76" s="848"/>
      <c r="CC76" s="848"/>
      <c r="CD76" s="848"/>
      <c r="CE76" s="848"/>
    </row>
    <row r="77" customHeight="1" spans="1:83">
      <c r="A77" s="729">
        <v>76</v>
      </c>
      <c r="B77" s="551" t="str">
        <f>IF(法术书!AC28="","",法术书!AC28)</f>
        <v/>
      </c>
      <c r="C77" s="551" t="str">
        <f>IFERROR(VLOOKUP(B77,法术大全!$A:$W,5,FALSE),"")</f>
        <v/>
      </c>
      <c r="D77" s="730" t="str">
        <f>IFERROR(VLOOKUP(B77,法术大全!$A:$W,4,FALSE),"")</f>
        <v/>
      </c>
      <c r="E77" s="729">
        <v>76</v>
      </c>
      <c r="F77" s="731" t="str" cm="1">
        <f t="array" ref="F77">IFERROR(INDEX($B$1:$B$301,SMALL(IF($B$1:$B$301&lt;&gt;"",ROW($B$1:$B$301),4^8),ROW(77:77)))&amp;"","")</f>
        <v/>
      </c>
      <c r="BJ77" s="844" t="str">
        <f>职业!CV70</f>
        <v/>
      </c>
      <c r="BK77" s="818"/>
      <c r="BL77" s="818"/>
      <c r="BM77" s="818"/>
      <c r="BN77" s="818"/>
      <c r="BO77" s="818"/>
      <c r="BP77" s="847"/>
      <c r="BQ77" s="847"/>
      <c r="BR77" s="847"/>
      <c r="BS77" s="847"/>
      <c r="BT77" s="847"/>
      <c r="BU77" s="847"/>
      <c r="BV77" s="847"/>
      <c r="BW77" s="847"/>
      <c r="BX77" s="847"/>
      <c r="BY77" s="847"/>
      <c r="BZ77" s="847"/>
      <c r="CA77" s="847"/>
      <c r="CB77" s="847"/>
      <c r="CC77" s="847"/>
      <c r="CD77" s="847"/>
      <c r="CE77" s="847"/>
    </row>
    <row r="78" customHeight="1" spans="1:83">
      <c r="A78" s="729">
        <v>77</v>
      </c>
      <c r="B78" s="551" t="str">
        <f>IF(法术书!AC29="","",法术书!AC29)</f>
        <v/>
      </c>
      <c r="C78" s="551" t="str">
        <f>IFERROR(VLOOKUP(B78,法术大全!$A:$W,5,FALSE),"")</f>
        <v/>
      </c>
      <c r="D78" s="730" t="str">
        <f>IFERROR(VLOOKUP(B78,法术大全!$A:$W,4,FALSE),"")</f>
        <v/>
      </c>
      <c r="E78" s="729">
        <v>77</v>
      </c>
      <c r="F78" s="731" t="str" cm="1">
        <f t="array" ref="F78">IFERROR(INDEX($B$1:$B$301,SMALL(IF($B$1:$B$301&lt;&gt;"",ROW($B$1:$B$301),4^8),ROW(78:78)))&amp;"","")</f>
        <v/>
      </c>
      <c r="BJ78" s="845" t="str">
        <f>职业!CV71</f>
        <v/>
      </c>
      <c r="BK78" s="846"/>
      <c r="BL78" s="846"/>
      <c r="BM78" s="846"/>
      <c r="BN78" s="846"/>
      <c r="BO78" s="846"/>
      <c r="BP78" s="848"/>
      <c r="BQ78" s="848"/>
      <c r="BR78" s="848"/>
      <c r="BS78" s="848"/>
      <c r="BT78" s="848"/>
      <c r="BU78" s="848"/>
      <c r="BV78" s="848"/>
      <c r="BW78" s="848"/>
      <c r="BX78" s="848"/>
      <c r="BY78" s="848"/>
      <c r="BZ78" s="848"/>
      <c r="CA78" s="848"/>
      <c r="CB78" s="848"/>
      <c r="CC78" s="848"/>
      <c r="CD78" s="848"/>
      <c r="CE78" s="848"/>
    </row>
    <row r="79" customHeight="1" spans="1:83">
      <c r="A79" s="729">
        <v>78</v>
      </c>
      <c r="B79" s="551" t="str">
        <f>IF(法术书!AC30="","",法术书!AC30)</f>
        <v/>
      </c>
      <c r="C79" s="551" t="str">
        <f>IFERROR(VLOOKUP(B79,法术大全!$A:$W,5,FALSE),"")</f>
        <v/>
      </c>
      <c r="D79" s="730" t="str">
        <f>IFERROR(VLOOKUP(B79,法术大全!$A:$W,4,FALSE),"")</f>
        <v/>
      </c>
      <c r="E79" s="729">
        <v>78</v>
      </c>
      <c r="F79" s="731" t="str" cm="1">
        <f t="array" ref="F79">IFERROR(INDEX($B$1:$B$301,SMALL(IF($B$1:$B$301&lt;&gt;"",ROW($B$1:$B$301),4^8),ROW(79:79)))&amp;"","")</f>
        <v/>
      </c>
      <c r="BJ79" s="844" t="str">
        <f>职业!CV72</f>
        <v/>
      </c>
      <c r="BK79" s="818"/>
      <c r="BL79" s="818"/>
      <c r="BM79" s="818"/>
      <c r="BN79" s="818"/>
      <c r="BO79" s="818"/>
      <c r="BP79" s="847"/>
      <c r="BQ79" s="847"/>
      <c r="BR79" s="847"/>
      <c r="BS79" s="847"/>
      <c r="BT79" s="847"/>
      <c r="BU79" s="847"/>
      <c r="BV79" s="847"/>
      <c r="BW79" s="847"/>
      <c r="BX79" s="847"/>
      <c r="BY79" s="847"/>
      <c r="BZ79" s="847"/>
      <c r="CA79" s="847"/>
      <c r="CB79" s="847"/>
      <c r="CC79" s="847"/>
      <c r="CD79" s="847"/>
      <c r="CE79" s="847"/>
    </row>
    <row r="80" customHeight="1" spans="1:83">
      <c r="A80" s="729">
        <v>79</v>
      </c>
      <c r="B80" s="551" t="str">
        <f>IF(法术书!AC31="","",法术书!AC31)</f>
        <v/>
      </c>
      <c r="C80" s="551" t="str">
        <f>IFERROR(VLOOKUP(B80,法术大全!$A:$W,5,FALSE),"")</f>
        <v/>
      </c>
      <c r="D80" s="730" t="str">
        <f>IFERROR(VLOOKUP(B80,法术大全!$A:$W,4,FALSE),"")</f>
        <v/>
      </c>
      <c r="E80" s="729">
        <v>79</v>
      </c>
      <c r="F80" s="731" t="str" cm="1">
        <f t="array" ref="F80">IFERROR(INDEX($B$1:$B$301,SMALL(IF($B$1:$B$301&lt;&gt;"",ROW($B$1:$B$301),4^8),ROW(80:80)))&amp;"","")</f>
        <v/>
      </c>
      <c r="BJ80" s="845" t="str">
        <f>职业!CV73</f>
        <v/>
      </c>
      <c r="BK80" s="846"/>
      <c r="BL80" s="846"/>
      <c r="BM80" s="846"/>
      <c r="BN80" s="846"/>
      <c r="BO80" s="846"/>
      <c r="BP80" s="848"/>
      <c r="BQ80" s="848"/>
      <c r="BR80" s="848"/>
      <c r="BS80" s="848"/>
      <c r="BT80" s="848"/>
      <c r="BU80" s="848"/>
      <c r="BV80" s="848"/>
      <c r="BW80" s="848"/>
      <c r="BX80" s="848"/>
      <c r="BY80" s="848"/>
      <c r="BZ80" s="848"/>
      <c r="CA80" s="848"/>
      <c r="CB80" s="848"/>
      <c r="CC80" s="848"/>
      <c r="CD80" s="848"/>
      <c r="CE80" s="848"/>
    </row>
    <row r="81" customHeight="1" spans="1:83">
      <c r="A81" s="729">
        <v>80</v>
      </c>
      <c r="B81" s="551" t="str">
        <f>IF(法术书!AC32="","",法术书!AC32)</f>
        <v/>
      </c>
      <c r="C81" s="551" t="str">
        <f>IFERROR(VLOOKUP(B81,法术大全!$A:$W,5,FALSE),"")</f>
        <v/>
      </c>
      <c r="D81" s="730" t="str">
        <f>IFERROR(VLOOKUP(B81,法术大全!$A:$W,4,FALSE),"")</f>
        <v/>
      </c>
      <c r="E81" s="729">
        <v>80</v>
      </c>
      <c r="F81" s="731" t="str" cm="1">
        <f t="array" ref="F81">IFERROR(INDEX($B$1:$B$301,SMALL(IF($B$1:$B$301&lt;&gt;"",ROW($B$1:$B$301),4^8),ROW(81:81)))&amp;"","")</f>
        <v/>
      </c>
      <c r="BJ81" s="844" t="str">
        <f>职业!CV74</f>
        <v/>
      </c>
      <c r="BK81" s="818"/>
      <c r="BL81" s="818"/>
      <c r="BM81" s="818"/>
      <c r="BN81" s="818"/>
      <c r="BO81" s="818"/>
      <c r="BP81" s="847"/>
      <c r="BQ81" s="847"/>
      <c r="BR81" s="847"/>
      <c r="BS81" s="847"/>
      <c r="BT81" s="847"/>
      <c r="BU81" s="847"/>
      <c r="BV81" s="847"/>
      <c r="BW81" s="847"/>
      <c r="BX81" s="847"/>
      <c r="BY81" s="847"/>
      <c r="BZ81" s="847"/>
      <c r="CA81" s="847"/>
      <c r="CB81" s="847"/>
      <c r="CC81" s="847"/>
      <c r="CD81" s="847"/>
      <c r="CE81" s="847"/>
    </row>
    <row r="82" customHeight="1" spans="1:83">
      <c r="A82" s="729">
        <v>81</v>
      </c>
      <c r="B82" s="551" t="str">
        <f>IF(法术书!AC33="","",法术书!AC33)</f>
        <v/>
      </c>
      <c r="C82" s="551" t="str">
        <f>IFERROR(VLOOKUP(B82,法术大全!$A:$W,5,FALSE),"")</f>
        <v/>
      </c>
      <c r="D82" s="730" t="str">
        <f>IFERROR(VLOOKUP(B82,法术大全!$A:$W,4,FALSE),"")</f>
        <v/>
      </c>
      <c r="E82" s="729">
        <v>81</v>
      </c>
      <c r="F82" s="731" t="str" cm="1">
        <f t="array" ref="F82">IFERROR(INDEX($B$1:$B$301,SMALL(IF($B$1:$B$301&lt;&gt;"",ROW($B$1:$B$301),4^8),ROW(82:82)))&amp;"","")</f>
        <v/>
      </c>
      <c r="BJ82" s="845" t="str">
        <f>职业!CV75</f>
        <v/>
      </c>
      <c r="BK82" s="846"/>
      <c r="BL82" s="846"/>
      <c r="BM82" s="846"/>
      <c r="BN82" s="846"/>
      <c r="BO82" s="846"/>
      <c r="BP82" s="848"/>
      <c r="BQ82" s="848"/>
      <c r="BR82" s="848"/>
      <c r="BS82" s="848"/>
      <c r="BT82" s="848"/>
      <c r="BU82" s="848"/>
      <c r="BV82" s="848"/>
      <c r="BW82" s="848"/>
      <c r="BX82" s="848"/>
      <c r="BY82" s="848"/>
      <c r="BZ82" s="848"/>
      <c r="CA82" s="848"/>
      <c r="CB82" s="848"/>
      <c r="CC82" s="848"/>
      <c r="CD82" s="848"/>
      <c r="CE82" s="848"/>
    </row>
    <row r="83" customHeight="1" spans="1:83">
      <c r="A83" s="729">
        <v>82</v>
      </c>
      <c r="B83" s="551" t="str">
        <f>IF(法术书!AC34="","",法术书!AC34)</f>
        <v/>
      </c>
      <c r="C83" s="551" t="str">
        <f>IFERROR(VLOOKUP(B83,法术大全!$A:$W,5,FALSE),"")</f>
        <v/>
      </c>
      <c r="D83" s="730" t="str">
        <f>IFERROR(VLOOKUP(B83,法术大全!$A:$W,4,FALSE),"")</f>
        <v/>
      </c>
      <c r="E83" s="729">
        <v>82</v>
      </c>
      <c r="F83" s="731" t="str" cm="1">
        <f t="array" ref="F83">IFERROR(INDEX($B$1:$B$301,SMALL(IF($B$1:$B$301&lt;&gt;"",ROW($B$1:$B$301),4^8),ROW(83:83)))&amp;"","")</f>
        <v/>
      </c>
      <c r="BJ83" s="844" t="str">
        <f>职业!CV76</f>
        <v/>
      </c>
      <c r="BK83" s="818"/>
      <c r="BL83" s="818"/>
      <c r="BM83" s="818"/>
      <c r="BN83" s="818"/>
      <c r="BO83" s="818"/>
      <c r="BP83" s="847"/>
      <c r="BQ83" s="847"/>
      <c r="BR83" s="847"/>
      <c r="BS83" s="847"/>
      <c r="BT83" s="847"/>
      <c r="BU83" s="847"/>
      <c r="BV83" s="847"/>
      <c r="BW83" s="847"/>
      <c r="BX83" s="847"/>
      <c r="BY83" s="847"/>
      <c r="BZ83" s="847"/>
      <c r="CA83" s="847"/>
      <c r="CB83" s="847"/>
      <c r="CC83" s="847"/>
      <c r="CD83" s="847"/>
      <c r="CE83" s="847"/>
    </row>
    <row r="84" customHeight="1" spans="1:83">
      <c r="A84" s="729">
        <v>83</v>
      </c>
      <c r="B84" s="551" t="str">
        <f>IF(法术书!AC35="","",法术书!AC35)</f>
        <v/>
      </c>
      <c r="C84" s="551" t="str">
        <f>IFERROR(VLOOKUP(B84,法术大全!$A:$W,5,FALSE),"")</f>
        <v/>
      </c>
      <c r="D84" s="730" t="str">
        <f>IFERROR(VLOOKUP(B84,法术大全!$A:$W,4,FALSE),"")</f>
        <v/>
      </c>
      <c r="E84" s="729">
        <v>83</v>
      </c>
      <c r="F84" s="731" t="str" cm="1">
        <f t="array" ref="F84">IFERROR(INDEX($B$1:$B$301,SMALL(IF($B$1:$B$301&lt;&gt;"",ROW($B$1:$B$301),4^8),ROW(84:84)))&amp;"","")</f>
        <v/>
      </c>
      <c r="BJ84" s="845" t="str">
        <f>职业!CV77</f>
        <v/>
      </c>
      <c r="BK84" s="846"/>
      <c r="BL84" s="846"/>
      <c r="BM84" s="846"/>
      <c r="BN84" s="846"/>
      <c r="BO84" s="846"/>
      <c r="BP84" s="848"/>
      <c r="BQ84" s="848"/>
      <c r="BR84" s="848"/>
      <c r="BS84" s="848"/>
      <c r="BT84" s="848"/>
      <c r="BU84" s="848"/>
      <c r="BV84" s="848"/>
      <c r="BW84" s="848"/>
      <c r="BX84" s="848"/>
      <c r="BY84" s="848"/>
      <c r="BZ84" s="848"/>
      <c r="CA84" s="848"/>
      <c r="CB84" s="848"/>
      <c r="CC84" s="848"/>
      <c r="CD84" s="848"/>
      <c r="CE84" s="848"/>
    </row>
    <row r="85" customHeight="1" spans="1:83">
      <c r="A85" s="729">
        <v>84</v>
      </c>
      <c r="B85" s="551" t="str">
        <f>IF(法术书!AC36="","",法术书!AC36)</f>
        <v/>
      </c>
      <c r="C85" s="551" t="str">
        <f>IFERROR(VLOOKUP(B85,法术大全!$A:$W,5,FALSE),"")</f>
        <v/>
      </c>
      <c r="D85" s="730" t="str">
        <f>IFERROR(VLOOKUP(B85,法术大全!$A:$W,4,FALSE),"")</f>
        <v/>
      </c>
      <c r="E85" s="729">
        <v>84</v>
      </c>
      <c r="F85" s="731" t="str" cm="1">
        <f t="array" ref="F85">IFERROR(INDEX($B$1:$B$301,SMALL(IF($B$1:$B$301&lt;&gt;"",ROW($B$1:$B$301),4^8),ROW(85:85)))&amp;"","")</f>
        <v/>
      </c>
      <c r="BJ85" s="844" t="str">
        <f>职业!CV78</f>
        <v/>
      </c>
      <c r="BK85" s="818"/>
      <c r="BL85" s="818"/>
      <c r="BM85" s="818"/>
      <c r="BN85" s="818"/>
      <c r="BO85" s="818"/>
      <c r="BP85" s="847"/>
      <c r="BQ85" s="847"/>
      <c r="BR85" s="847"/>
      <c r="BS85" s="847"/>
      <c r="BT85" s="847"/>
      <c r="BU85" s="847"/>
      <c r="BV85" s="847"/>
      <c r="BW85" s="847"/>
      <c r="BX85" s="847"/>
      <c r="BY85" s="847"/>
      <c r="BZ85" s="847"/>
      <c r="CA85" s="847"/>
      <c r="CB85" s="847"/>
      <c r="CC85" s="847"/>
      <c r="CD85" s="847"/>
      <c r="CE85" s="847"/>
    </row>
    <row r="86" customHeight="1" spans="1:83">
      <c r="A86" s="729">
        <v>85</v>
      </c>
      <c r="B86" s="551" t="str">
        <f>IF(法术书!AC37="","",法术书!AC37)</f>
        <v/>
      </c>
      <c r="C86" s="551" t="str">
        <f>IFERROR(VLOOKUP(B86,法术大全!$A:$W,5,FALSE),"")</f>
        <v/>
      </c>
      <c r="D86" s="730" t="str">
        <f>IFERROR(VLOOKUP(B86,法术大全!$A:$W,4,FALSE),"")</f>
        <v/>
      </c>
      <c r="E86" s="729">
        <v>85</v>
      </c>
      <c r="F86" s="731" t="str" cm="1">
        <f t="array" ref="F86">IFERROR(INDEX($B$1:$B$301,SMALL(IF($B$1:$B$301&lt;&gt;"",ROW($B$1:$B$301),4^8),ROW(86:86)))&amp;"","")</f>
        <v/>
      </c>
      <c r="BJ86" s="845" t="str">
        <f>职业!CV79</f>
        <v/>
      </c>
      <c r="BK86" s="846"/>
      <c r="BL86" s="846"/>
      <c r="BM86" s="846"/>
      <c r="BN86" s="846"/>
      <c r="BO86" s="846"/>
      <c r="BP86" s="848"/>
      <c r="BQ86" s="848"/>
      <c r="BR86" s="848"/>
      <c r="BS86" s="848"/>
      <c r="BT86" s="848"/>
      <c r="BU86" s="848"/>
      <c r="BV86" s="848"/>
      <c r="BW86" s="848"/>
      <c r="BX86" s="848"/>
      <c r="BY86" s="848"/>
      <c r="BZ86" s="848"/>
      <c r="CA86" s="848"/>
      <c r="CB86" s="848"/>
      <c r="CC86" s="848"/>
      <c r="CD86" s="848"/>
      <c r="CE86" s="848"/>
    </row>
    <row r="87" customHeight="1" spans="1:83">
      <c r="A87" s="729">
        <v>86</v>
      </c>
      <c r="B87" s="551" t="str">
        <f>IF(法术书!AC38="","",法术书!AC38)</f>
        <v/>
      </c>
      <c r="C87" s="551" t="str">
        <f>IFERROR(VLOOKUP(B87,法术大全!$A:$W,5,FALSE),"")</f>
        <v/>
      </c>
      <c r="D87" s="730" t="str">
        <f>IFERROR(VLOOKUP(B87,法术大全!$A:$W,4,FALSE),"")</f>
        <v/>
      </c>
      <c r="E87" s="729">
        <v>86</v>
      </c>
      <c r="F87" s="731" t="str" cm="1">
        <f t="array" ref="F87">IFERROR(INDEX($B$1:$B$301,SMALL(IF($B$1:$B$301&lt;&gt;"",ROW($B$1:$B$301),4^8),ROW(87:87)))&amp;"","")</f>
        <v/>
      </c>
      <c r="BJ87" s="844" t="str">
        <f>职业!CV80</f>
        <v/>
      </c>
      <c r="BK87" s="818"/>
      <c r="BL87" s="818"/>
      <c r="BM87" s="818"/>
      <c r="BN87" s="818"/>
      <c r="BO87" s="818"/>
      <c r="BP87" s="847"/>
      <c r="BQ87" s="847"/>
      <c r="BR87" s="847"/>
      <c r="BS87" s="847"/>
      <c r="BT87" s="847"/>
      <c r="BU87" s="847"/>
      <c r="BV87" s="847"/>
      <c r="BW87" s="847"/>
      <c r="BX87" s="847"/>
      <c r="BY87" s="847"/>
      <c r="BZ87" s="847"/>
      <c r="CA87" s="847"/>
      <c r="CB87" s="847"/>
      <c r="CC87" s="847"/>
      <c r="CD87" s="847"/>
      <c r="CE87" s="847"/>
    </row>
    <row r="88" customHeight="1" spans="1:83">
      <c r="A88" s="729">
        <v>87</v>
      </c>
      <c r="B88" s="551" t="str">
        <f>IF(法术书!AC39="","",法术书!AC39)</f>
        <v/>
      </c>
      <c r="C88" s="551" t="str">
        <f>IFERROR(VLOOKUP(B88,法术大全!$A:$W,5,FALSE),"")</f>
        <v/>
      </c>
      <c r="D88" s="730" t="str">
        <f>IFERROR(VLOOKUP(B88,法术大全!$A:$W,4,FALSE),"")</f>
        <v/>
      </c>
      <c r="E88" s="729">
        <v>87</v>
      </c>
      <c r="F88" s="731" t="str" cm="1">
        <f t="array" ref="F88">IFERROR(INDEX($B$1:$B$301,SMALL(IF($B$1:$B$301&lt;&gt;"",ROW($B$1:$B$301),4^8),ROW(88:88)))&amp;"","")</f>
        <v/>
      </c>
      <c r="BJ88" s="845" t="str">
        <f>职业!CV81</f>
        <v/>
      </c>
      <c r="BK88" s="846"/>
      <c r="BL88" s="846"/>
      <c r="BM88" s="846"/>
      <c r="BN88" s="846"/>
      <c r="BO88" s="846"/>
      <c r="BP88" s="848"/>
      <c r="BQ88" s="848"/>
      <c r="BR88" s="848"/>
      <c r="BS88" s="848"/>
      <c r="BT88" s="848"/>
      <c r="BU88" s="848"/>
      <c r="BV88" s="848"/>
      <c r="BW88" s="848"/>
      <c r="BX88" s="848"/>
      <c r="BY88" s="848"/>
      <c r="BZ88" s="848"/>
      <c r="CA88" s="848"/>
      <c r="CB88" s="848"/>
      <c r="CC88" s="848"/>
      <c r="CD88" s="848"/>
      <c r="CE88" s="848"/>
    </row>
    <row r="89" customHeight="1" spans="1:6">
      <c r="A89" s="729">
        <v>88</v>
      </c>
      <c r="B89" s="551" t="str">
        <f>IF(法术书!AC40="","",法术书!AC40)</f>
        <v/>
      </c>
      <c r="C89" s="551" t="str">
        <f>IFERROR(VLOOKUP(B89,法术大全!$A:$W,5,FALSE),"")</f>
        <v/>
      </c>
      <c r="D89" s="730" t="str">
        <f>IFERROR(VLOOKUP(B89,法术大全!$A:$W,4,FALSE),"")</f>
        <v/>
      </c>
      <c r="E89" s="729">
        <v>88</v>
      </c>
      <c r="F89" s="731" t="str" cm="1">
        <f t="array" ref="F89">IFERROR(INDEX($B$1:$B$301,SMALL(IF($B$1:$B$301&lt;&gt;"",ROW($B$1:$B$301),4^8),ROW(89:89)))&amp;"","")</f>
        <v/>
      </c>
    </row>
    <row r="90" customHeight="1" spans="1:6">
      <c r="A90" s="729">
        <v>89</v>
      </c>
      <c r="B90" s="551" t="str">
        <f>IF(法术书!AC41="","",法术书!AC41)</f>
        <v/>
      </c>
      <c r="C90" s="551" t="str">
        <f>IFERROR(VLOOKUP(B90,法术大全!$A:$W,5,FALSE),"")</f>
        <v/>
      </c>
      <c r="D90" s="730" t="str">
        <f>IFERROR(VLOOKUP(B90,法术大全!$A:$W,4,FALSE),"")</f>
        <v/>
      </c>
      <c r="E90" s="729">
        <v>89</v>
      </c>
      <c r="F90" s="731" t="str" cm="1">
        <f t="array" ref="F90">IFERROR(INDEX($B$1:$B$301,SMALL(IF($B$1:$B$301&lt;&gt;"",ROW($B$1:$B$301),4^8),ROW(90:90)))&amp;"","")</f>
        <v/>
      </c>
    </row>
    <row r="91" customHeight="1" spans="1:6">
      <c r="A91" s="729">
        <v>90</v>
      </c>
      <c r="B91" s="551" t="str">
        <f>IF(法术书!AC42="","",法术书!AC42)</f>
        <v/>
      </c>
      <c r="C91" s="551" t="str">
        <f>IFERROR(VLOOKUP(B91,法术大全!$A:$W,5,FALSE),"")</f>
        <v/>
      </c>
      <c r="D91" s="730" t="str">
        <f>IFERROR(VLOOKUP(B91,法术大全!$A:$W,4,FALSE),"")</f>
        <v/>
      </c>
      <c r="E91" s="729">
        <v>90</v>
      </c>
      <c r="F91" s="731" t="str" cm="1">
        <f t="array" ref="F91">IFERROR(INDEX($B$1:$B$301,SMALL(IF($B$1:$B$301&lt;&gt;"",ROW($B$1:$B$301),4^8),ROW(91:91)))&amp;"","")</f>
        <v/>
      </c>
    </row>
    <row r="92" customHeight="1" spans="1:6">
      <c r="A92" s="729">
        <v>91</v>
      </c>
      <c r="B92" s="551" t="str">
        <f>IF(法术书!AC43="","",法术书!AC43)</f>
        <v/>
      </c>
      <c r="C92" s="551" t="str">
        <f>IFERROR(VLOOKUP(B92,法术大全!$A:$W,5,FALSE),"")</f>
        <v/>
      </c>
      <c r="D92" s="730" t="str">
        <f>IFERROR(VLOOKUP(B92,法术大全!$A:$W,4,FALSE),"")</f>
        <v/>
      </c>
      <c r="E92" s="729">
        <v>91</v>
      </c>
      <c r="F92" s="731" t="str" cm="1">
        <f t="array" ref="F92">IFERROR(INDEX($B$1:$B$301,SMALL(IF($B$1:$B$301&lt;&gt;"",ROW($B$1:$B$301),4^8),ROW(92:92)))&amp;"","")</f>
        <v/>
      </c>
    </row>
    <row r="93" customHeight="1" spans="1:6">
      <c r="A93" s="729">
        <v>92</v>
      </c>
      <c r="B93" s="551" t="str">
        <f>IF(法术书!AC44="","",法术书!AC44)</f>
        <v/>
      </c>
      <c r="C93" s="551" t="str">
        <f>IFERROR(VLOOKUP(B93,法术大全!$A:$W,5,FALSE),"")</f>
        <v/>
      </c>
      <c r="D93" s="730" t="str">
        <f>IFERROR(VLOOKUP(B93,法术大全!$A:$W,4,FALSE),"")</f>
        <v/>
      </c>
      <c r="E93" s="729">
        <v>92</v>
      </c>
      <c r="F93" s="731" t="str" cm="1">
        <f t="array" ref="F93">IFERROR(INDEX($B$1:$B$301,SMALL(IF($B$1:$B$301&lt;&gt;"",ROW($B$1:$B$301),4^8),ROW(93:93)))&amp;"","")</f>
        <v/>
      </c>
    </row>
    <row r="94" customHeight="1" spans="1:6">
      <c r="A94" s="729">
        <v>93</v>
      </c>
      <c r="B94" s="551" t="str">
        <f>IF(法术书!AC45="","",法术书!AC45)</f>
        <v/>
      </c>
      <c r="C94" s="551" t="str">
        <f>IFERROR(VLOOKUP(B94,法术大全!$A:$W,5,FALSE),"")</f>
        <v/>
      </c>
      <c r="D94" s="730" t="str">
        <f>IFERROR(VLOOKUP(B94,法术大全!$A:$W,4,FALSE),"")</f>
        <v/>
      </c>
      <c r="E94" s="729">
        <v>93</v>
      </c>
      <c r="F94" s="731" t="str" cm="1">
        <f t="array" ref="F94">IFERROR(INDEX($B$1:$B$301,SMALL(IF($B$1:$B$301&lt;&gt;"",ROW($B$1:$B$301),4^8),ROW(94:94)))&amp;"","")</f>
        <v/>
      </c>
    </row>
    <row r="95" customHeight="1" spans="1:6">
      <c r="A95" s="729">
        <v>94</v>
      </c>
      <c r="B95" s="551" t="str">
        <f>IF(法术书!AC46="","",法术书!AC46)</f>
        <v/>
      </c>
      <c r="C95" s="551" t="str">
        <f>IFERROR(VLOOKUP(B95,法术大全!$A:$W,5,FALSE),"")</f>
        <v/>
      </c>
      <c r="D95" s="730" t="str">
        <f>IFERROR(VLOOKUP(B95,法术大全!$A:$W,4,FALSE),"")</f>
        <v/>
      </c>
      <c r="E95" s="729">
        <v>94</v>
      </c>
      <c r="F95" s="731" t="str" cm="1">
        <f t="array" ref="F95">IFERROR(INDEX($B$1:$B$301,SMALL(IF($B$1:$B$301&lt;&gt;"",ROW($B$1:$B$301),4^8),ROW(95:95)))&amp;"","")</f>
        <v/>
      </c>
    </row>
    <row r="96" customHeight="1" spans="1:6">
      <c r="A96" s="729">
        <v>95</v>
      </c>
      <c r="B96" s="551" t="str">
        <f>IF(法术书!AC47="","",法术书!AC47)</f>
        <v/>
      </c>
      <c r="C96" s="551" t="str">
        <f>IFERROR(VLOOKUP(B96,法术大全!$A:$W,5,FALSE),"")</f>
        <v/>
      </c>
      <c r="D96" s="730" t="str">
        <f>IFERROR(VLOOKUP(B96,法术大全!$A:$W,4,FALSE),"")</f>
        <v/>
      </c>
      <c r="E96" s="729">
        <v>95</v>
      </c>
      <c r="F96" s="731" t="str" cm="1">
        <f t="array" ref="F96">IFERROR(INDEX($B$1:$B$301,SMALL(IF($B$1:$B$301&lt;&gt;"",ROW($B$1:$B$301),4^8),ROW(96:96)))&amp;"","")</f>
        <v/>
      </c>
    </row>
    <row r="97" customHeight="1" spans="1:6">
      <c r="A97" s="729">
        <v>96</v>
      </c>
      <c r="B97" s="551" t="str">
        <f>IF(法术书!AC48="","",法术书!AC48)</f>
        <v/>
      </c>
      <c r="C97" s="551" t="str">
        <f>IFERROR(VLOOKUP(B97,法术大全!$A:$W,5,FALSE),"")</f>
        <v/>
      </c>
      <c r="D97" s="730" t="str">
        <f>IFERROR(VLOOKUP(B97,法术大全!$A:$W,4,FALSE),"")</f>
        <v/>
      </c>
      <c r="E97" s="729">
        <v>96</v>
      </c>
      <c r="F97" s="731" t="str" cm="1">
        <f t="array" ref="F97">IFERROR(INDEX($B$1:$B$301,SMALL(IF($B$1:$B$301&lt;&gt;"",ROW($B$1:$B$301),4^8),ROW(97:97)))&amp;"","")</f>
        <v/>
      </c>
    </row>
    <row r="98" customHeight="1" spans="1:6">
      <c r="A98" s="729">
        <v>97</v>
      </c>
      <c r="B98" s="551" t="str">
        <f>IF(法术书!AC49="","",法术书!AC49)</f>
        <v/>
      </c>
      <c r="C98" s="551" t="str">
        <f>IFERROR(VLOOKUP(B98,法术大全!$A:$W,5,FALSE),"")</f>
        <v/>
      </c>
      <c r="D98" s="730" t="str">
        <f>IFERROR(VLOOKUP(B98,法术大全!$A:$W,4,FALSE),"")</f>
        <v/>
      </c>
      <c r="E98" s="729">
        <v>97</v>
      </c>
      <c r="F98" s="731" t="str" cm="1">
        <f t="array" ref="F98">IFERROR(INDEX($B$1:$B$301,SMALL(IF($B$1:$B$301&lt;&gt;"",ROW($B$1:$B$301),4^8),ROW(98:98)))&amp;"","")</f>
        <v/>
      </c>
    </row>
    <row r="99" customHeight="1" spans="1:6">
      <c r="A99" s="729">
        <v>98</v>
      </c>
      <c r="B99" s="551" t="str">
        <f>IF(法术书!AC50="","",法术书!AC50)</f>
        <v/>
      </c>
      <c r="C99" s="551" t="str">
        <f>IFERROR(VLOOKUP(B99,法术大全!$A:$W,5,FALSE),"")</f>
        <v/>
      </c>
      <c r="D99" s="730" t="str">
        <f>IFERROR(VLOOKUP(B99,法术大全!$A:$W,4,FALSE),"")</f>
        <v/>
      </c>
      <c r="E99" s="729">
        <v>98</v>
      </c>
      <c r="F99" s="731" t="str" cm="1">
        <f t="array" ref="F99">IFERROR(INDEX($B$1:$B$301,SMALL(IF($B$1:$B$301&lt;&gt;"",ROW($B$1:$B$301),4^8),ROW(99:99)))&amp;"","")</f>
        <v/>
      </c>
    </row>
    <row r="100" customHeight="1" spans="1:6">
      <c r="A100" s="729">
        <v>99</v>
      </c>
      <c r="B100" s="551" t="str">
        <f>IF(法术书!AC51="","",法术书!AC51)</f>
        <v/>
      </c>
      <c r="C100" s="551" t="str">
        <f>IFERROR(VLOOKUP(B100,法术大全!$A:$W,5,FALSE),"")</f>
        <v/>
      </c>
      <c r="D100" s="730" t="str">
        <f>IFERROR(VLOOKUP(B100,法术大全!$A:$W,4,FALSE),"")</f>
        <v/>
      </c>
      <c r="E100" s="729">
        <v>99</v>
      </c>
      <c r="F100" s="731" t="str" cm="1">
        <f t="array" ref="F100">IFERROR(INDEX($B$1:$B$301,SMALL(IF($B$1:$B$301&lt;&gt;"",ROW($B$1:$B$301),4^8),ROW(100:100)))&amp;"","")</f>
        <v/>
      </c>
    </row>
    <row r="101" customHeight="1" spans="1:6">
      <c r="A101" s="729">
        <v>100</v>
      </c>
      <c r="B101" s="551" t="str">
        <f>IF(法术书!AC52="","",法术书!AC52)</f>
        <v/>
      </c>
      <c r="C101" s="551" t="str">
        <f>IFERROR(VLOOKUP(B101,法术大全!$A:$W,5,FALSE),"")</f>
        <v/>
      </c>
      <c r="D101" s="730" t="str">
        <f>IFERROR(VLOOKUP(B101,法术大全!$A:$W,4,FALSE),"")</f>
        <v/>
      </c>
      <c r="E101" s="729">
        <v>100</v>
      </c>
      <c r="F101" s="731" t="str" cm="1">
        <f t="array" ref="F101">IFERROR(INDEX($B$1:$B$301,SMALL(IF($B$1:$B$301&lt;&gt;"",ROW($B$1:$B$301),4^8),ROW(101:101)))&amp;"","")</f>
        <v/>
      </c>
    </row>
    <row r="102" customHeight="1" spans="1:6">
      <c r="A102" s="729">
        <v>101</v>
      </c>
      <c r="B102" s="551" t="str">
        <f>IF(法术书!AH3="","",法术书!AH3)</f>
        <v/>
      </c>
      <c r="C102" s="551" t="str">
        <f>IFERROR(VLOOKUP(B102,法术大全!$A:$W,5,FALSE),"")</f>
        <v/>
      </c>
      <c r="D102" s="730" t="str">
        <f>IFERROR(VLOOKUP(B102,法术大全!$A:$W,4,FALSE),"")</f>
        <v/>
      </c>
      <c r="E102" s="729">
        <v>101</v>
      </c>
      <c r="F102" s="731" t="str" cm="1">
        <f t="array" ref="F102">IFERROR(INDEX($B$1:$B$301,SMALL(IF($B$1:$B$301&lt;&gt;"",ROW($B$1:$B$301),4^8),ROW(102:102)))&amp;"","")</f>
        <v/>
      </c>
    </row>
    <row r="103" customHeight="1" spans="1:6">
      <c r="A103" s="729">
        <v>102</v>
      </c>
      <c r="B103" s="551" t="str">
        <f>IF(法术书!AH4="","",法术书!AH4)</f>
        <v/>
      </c>
      <c r="C103" s="551" t="str">
        <f>IFERROR(VLOOKUP(B103,法术大全!$A:$W,5,FALSE),"")</f>
        <v/>
      </c>
      <c r="D103" s="730" t="str">
        <f>IFERROR(VLOOKUP(B103,法术大全!$A:$W,4,FALSE),"")</f>
        <v/>
      </c>
      <c r="E103" s="729">
        <v>102</v>
      </c>
      <c r="F103" s="731" t="str" cm="1">
        <f t="array" ref="F103">IFERROR(INDEX($B$1:$B$301,SMALL(IF($B$1:$B$301&lt;&gt;"",ROW($B$1:$B$301),4^8),ROW(103:103)))&amp;"","")</f>
        <v/>
      </c>
    </row>
    <row r="104" customHeight="1" spans="1:6">
      <c r="A104" s="729">
        <v>103</v>
      </c>
      <c r="B104" s="551" t="str">
        <f>IF(法术书!AH5="","",法术书!AH5)</f>
        <v/>
      </c>
      <c r="C104" s="551" t="str">
        <f>IFERROR(VLOOKUP(B104,法术大全!$A:$W,5,FALSE),"")</f>
        <v/>
      </c>
      <c r="D104" s="730" t="str">
        <f>IFERROR(VLOOKUP(B104,法术大全!$A:$W,4,FALSE),"")</f>
        <v/>
      </c>
      <c r="E104" s="729">
        <v>103</v>
      </c>
      <c r="F104" s="731" t="str" cm="1">
        <f t="array" ref="F104">IFERROR(INDEX($B$1:$B$301,SMALL(IF($B$1:$B$301&lt;&gt;"",ROW($B$1:$B$301),4^8),ROW(104:104)))&amp;"","")</f>
        <v/>
      </c>
    </row>
    <row r="105" customHeight="1" spans="1:6">
      <c r="A105" s="729">
        <v>104</v>
      </c>
      <c r="B105" s="551" t="str">
        <f>IF(法术书!AH6="","",法术书!AH6)</f>
        <v/>
      </c>
      <c r="C105" s="551" t="str">
        <f>IFERROR(VLOOKUP(B105,法术大全!$A:$W,5,FALSE),"")</f>
        <v/>
      </c>
      <c r="D105" s="730" t="str">
        <f>IFERROR(VLOOKUP(B105,法术大全!$A:$W,4,FALSE),"")</f>
        <v/>
      </c>
      <c r="E105" s="729">
        <v>104</v>
      </c>
      <c r="F105" s="731" t="str" cm="1">
        <f t="array" ref="F105">IFERROR(INDEX($B$1:$B$301,SMALL(IF($B$1:$B$301&lt;&gt;"",ROW($B$1:$B$301),4^8),ROW(105:105)))&amp;"","")</f>
        <v/>
      </c>
    </row>
    <row r="106" customHeight="1" spans="1:6">
      <c r="A106" s="729">
        <v>105</v>
      </c>
      <c r="B106" s="551" t="str">
        <f>IF(法术书!AH7="","",法术书!AH7)</f>
        <v/>
      </c>
      <c r="C106" s="551" t="str">
        <f>IFERROR(VLOOKUP(B106,法术大全!$A:$W,5,FALSE),"")</f>
        <v/>
      </c>
      <c r="D106" s="730" t="str">
        <f>IFERROR(VLOOKUP(B106,法术大全!$A:$W,4,FALSE),"")</f>
        <v/>
      </c>
      <c r="E106" s="729">
        <v>105</v>
      </c>
      <c r="F106" s="731" t="str" cm="1">
        <f t="array" ref="F106">IFERROR(INDEX($B$1:$B$301,SMALL(IF($B$1:$B$301&lt;&gt;"",ROW($B$1:$B$301),4^8),ROW(106:106)))&amp;"","")</f>
        <v/>
      </c>
    </row>
    <row r="107" customHeight="1" spans="1:6">
      <c r="A107" s="729">
        <v>106</v>
      </c>
      <c r="B107" s="551" t="str">
        <f>IF(法术书!AH8="","",法术书!AH8)</f>
        <v/>
      </c>
      <c r="C107" s="551" t="str">
        <f>IFERROR(VLOOKUP(B107,法术大全!$A:$W,5,FALSE),"")</f>
        <v/>
      </c>
      <c r="D107" s="730" t="str">
        <f>IFERROR(VLOOKUP(B107,法术大全!$A:$W,4,FALSE),"")</f>
        <v/>
      </c>
      <c r="E107" s="729">
        <v>106</v>
      </c>
      <c r="F107" s="731" t="str" cm="1">
        <f t="array" ref="F107">IFERROR(INDEX($B$1:$B$301,SMALL(IF($B$1:$B$301&lt;&gt;"",ROW($B$1:$B$301),4^8),ROW(107:107)))&amp;"","")</f>
        <v/>
      </c>
    </row>
    <row r="108" customHeight="1" spans="1:6">
      <c r="A108" s="729">
        <v>107</v>
      </c>
      <c r="B108" s="551" t="str">
        <f>IF(法术书!AH9="","",法术书!AH9)</f>
        <v/>
      </c>
      <c r="C108" s="551" t="str">
        <f>IFERROR(VLOOKUP(B108,法术大全!$A:$W,5,FALSE),"")</f>
        <v/>
      </c>
      <c r="D108" s="730" t="str">
        <f>IFERROR(VLOOKUP(B108,法术大全!$A:$W,4,FALSE),"")</f>
        <v/>
      </c>
      <c r="E108" s="729">
        <v>107</v>
      </c>
      <c r="F108" s="731" t="str" cm="1">
        <f t="array" ref="F108">IFERROR(INDEX($B$1:$B$301,SMALL(IF($B$1:$B$301&lt;&gt;"",ROW($B$1:$B$301),4^8),ROW(108:108)))&amp;"","")</f>
        <v/>
      </c>
    </row>
    <row r="109" customHeight="1" spans="1:6">
      <c r="A109" s="729">
        <v>108</v>
      </c>
      <c r="B109" s="551" t="str">
        <f>IF(法术书!AH10="","",法术书!AH10)</f>
        <v/>
      </c>
      <c r="C109" s="551" t="str">
        <f>IFERROR(VLOOKUP(B109,法术大全!$A:$W,5,FALSE),"")</f>
        <v/>
      </c>
      <c r="D109" s="730" t="str">
        <f>IFERROR(VLOOKUP(B109,法术大全!$A:$W,4,FALSE),"")</f>
        <v/>
      </c>
      <c r="E109" s="729">
        <v>108</v>
      </c>
      <c r="F109" s="731" t="str" cm="1">
        <f t="array" ref="F109">IFERROR(INDEX($B$1:$B$301,SMALL(IF($B$1:$B$301&lt;&gt;"",ROW($B$1:$B$301),4^8),ROW(109:109)))&amp;"","")</f>
        <v/>
      </c>
    </row>
    <row r="110" customHeight="1" spans="1:6">
      <c r="A110" s="729">
        <v>109</v>
      </c>
      <c r="B110" s="551" t="str">
        <f>IF(法术书!AH11="","",法术书!AH11)</f>
        <v/>
      </c>
      <c r="C110" s="551" t="str">
        <f>IFERROR(VLOOKUP(B110,法术大全!$A:$W,5,FALSE),"")</f>
        <v/>
      </c>
      <c r="D110" s="730" t="str">
        <f>IFERROR(VLOOKUP(B110,法术大全!$A:$W,4,FALSE),"")</f>
        <v/>
      </c>
      <c r="E110" s="729">
        <v>109</v>
      </c>
      <c r="F110" s="731" t="str" cm="1">
        <f t="array" ref="F110">IFERROR(INDEX($B$1:$B$301,SMALL(IF($B$1:$B$301&lt;&gt;"",ROW($B$1:$B$301),4^8),ROW(110:110)))&amp;"","")</f>
        <v/>
      </c>
    </row>
    <row r="111" customHeight="1" spans="1:6">
      <c r="A111" s="729">
        <v>110</v>
      </c>
      <c r="B111" s="551" t="str">
        <f>IF(法术书!AH12="","",法术书!AH12)</f>
        <v/>
      </c>
      <c r="C111" s="551" t="str">
        <f>IFERROR(VLOOKUP(B111,法术大全!$A:$W,5,FALSE),"")</f>
        <v/>
      </c>
      <c r="D111" s="730" t="str">
        <f>IFERROR(VLOOKUP(B111,法术大全!$A:$W,4,FALSE),"")</f>
        <v/>
      </c>
      <c r="E111" s="729">
        <v>110</v>
      </c>
      <c r="F111" s="731" t="str" cm="1">
        <f t="array" ref="F111">IFERROR(INDEX($B$1:$B$301,SMALL(IF($B$1:$B$301&lt;&gt;"",ROW($B$1:$B$301),4^8),ROW(111:111)))&amp;"","")</f>
        <v/>
      </c>
    </row>
    <row r="112" customHeight="1" spans="1:6">
      <c r="A112" s="729">
        <v>111</v>
      </c>
      <c r="B112" s="551" t="str">
        <f>IF(法术书!AH13="","",法术书!AH13)</f>
        <v/>
      </c>
      <c r="C112" s="551" t="str">
        <f>IFERROR(VLOOKUP(B112,法术大全!$A:$W,5,FALSE),"")</f>
        <v/>
      </c>
      <c r="D112" s="730" t="str">
        <f>IFERROR(VLOOKUP(B112,法术大全!$A:$W,4,FALSE),"")</f>
        <v/>
      </c>
      <c r="E112" s="729">
        <v>111</v>
      </c>
      <c r="F112" s="731" t="str" cm="1">
        <f t="array" ref="F112">IFERROR(INDEX($B$1:$B$301,SMALL(IF($B$1:$B$301&lt;&gt;"",ROW($B$1:$B$301),4^8),ROW(112:112)))&amp;"","")</f>
        <v/>
      </c>
    </row>
    <row r="113" customHeight="1" spans="1:6">
      <c r="A113" s="729">
        <v>112</v>
      </c>
      <c r="B113" s="551" t="str">
        <f>IF(法术书!AH14="","",法术书!AH14)</f>
        <v/>
      </c>
      <c r="C113" s="551" t="str">
        <f>IFERROR(VLOOKUP(B113,法术大全!$A:$W,5,FALSE),"")</f>
        <v/>
      </c>
      <c r="D113" s="730" t="str">
        <f>IFERROR(VLOOKUP(B113,法术大全!$A:$W,4,FALSE),"")</f>
        <v/>
      </c>
      <c r="E113" s="729">
        <v>112</v>
      </c>
      <c r="F113" s="731" t="str" cm="1">
        <f t="array" ref="F113">IFERROR(INDEX($B$1:$B$301,SMALL(IF($B$1:$B$301&lt;&gt;"",ROW($B$1:$B$301),4^8),ROW(113:113)))&amp;"","")</f>
        <v/>
      </c>
    </row>
    <row r="114" customHeight="1" spans="1:6">
      <c r="A114" s="729">
        <v>113</v>
      </c>
      <c r="B114" s="551" t="str">
        <f>IF(法术书!AH15="","",法术书!AH15)</f>
        <v/>
      </c>
      <c r="C114" s="551" t="str">
        <f>IFERROR(VLOOKUP(B114,法术大全!$A:$W,5,FALSE),"")</f>
        <v/>
      </c>
      <c r="D114" s="730" t="str">
        <f>IFERROR(VLOOKUP(B114,法术大全!$A:$W,4,FALSE),"")</f>
        <v/>
      </c>
      <c r="E114" s="729">
        <v>113</v>
      </c>
      <c r="F114" s="731" t="str" cm="1">
        <f t="array" ref="F114">IFERROR(INDEX($B$1:$B$301,SMALL(IF($B$1:$B$301&lt;&gt;"",ROW($B$1:$B$301),4^8),ROW(114:114)))&amp;"","")</f>
        <v/>
      </c>
    </row>
    <row r="115" customHeight="1" spans="1:6">
      <c r="A115" s="729">
        <v>114</v>
      </c>
      <c r="B115" s="551" t="str">
        <f>IF(法术书!AH16="","",法术书!AH16)</f>
        <v/>
      </c>
      <c r="C115" s="551" t="str">
        <f>IFERROR(VLOOKUP(B115,法术大全!$A:$W,5,FALSE),"")</f>
        <v/>
      </c>
      <c r="D115" s="730" t="str">
        <f>IFERROR(VLOOKUP(B115,法术大全!$A:$W,4,FALSE),"")</f>
        <v/>
      </c>
      <c r="E115" s="729">
        <v>114</v>
      </c>
      <c r="F115" s="731" t="str" cm="1">
        <f t="array" ref="F115">IFERROR(INDEX($B$1:$B$301,SMALL(IF($B$1:$B$301&lt;&gt;"",ROW($B$1:$B$301),4^8),ROW(115:115)))&amp;"","")</f>
        <v/>
      </c>
    </row>
    <row r="116" customHeight="1" spans="1:6">
      <c r="A116" s="729">
        <v>115</v>
      </c>
      <c r="B116" s="551" t="str">
        <f>IF(法术书!AH17="","",法术书!AH17)</f>
        <v/>
      </c>
      <c r="C116" s="551" t="str">
        <f>IFERROR(VLOOKUP(B116,法术大全!$A:$W,5,FALSE),"")</f>
        <v/>
      </c>
      <c r="D116" s="730" t="str">
        <f>IFERROR(VLOOKUP(B116,法术大全!$A:$W,4,FALSE),"")</f>
        <v/>
      </c>
      <c r="E116" s="729">
        <v>115</v>
      </c>
      <c r="F116" s="731" t="str" cm="1">
        <f t="array" ref="F116">IFERROR(INDEX($B$1:$B$301,SMALL(IF($B$1:$B$301&lt;&gt;"",ROW($B$1:$B$301),4^8),ROW(116:116)))&amp;"","")</f>
        <v/>
      </c>
    </row>
    <row r="117" customHeight="1" spans="1:6">
      <c r="A117" s="729">
        <v>116</v>
      </c>
      <c r="B117" s="551" t="str">
        <f>IF(法术书!AH18="","",法术书!AH18)</f>
        <v/>
      </c>
      <c r="C117" s="551" t="str">
        <f>IFERROR(VLOOKUP(B117,法术大全!$A:$W,5,FALSE),"")</f>
        <v/>
      </c>
      <c r="D117" s="730" t="str">
        <f>IFERROR(VLOOKUP(B117,法术大全!$A:$W,4,FALSE),"")</f>
        <v/>
      </c>
      <c r="E117" s="729">
        <v>116</v>
      </c>
      <c r="F117" s="731" t="str" cm="1">
        <f t="array" ref="F117">IFERROR(INDEX($B$1:$B$301,SMALL(IF($B$1:$B$301&lt;&gt;"",ROW($B$1:$B$301),4^8),ROW(117:117)))&amp;"","")</f>
        <v/>
      </c>
    </row>
    <row r="118" customHeight="1" spans="1:6">
      <c r="A118" s="729">
        <v>117</v>
      </c>
      <c r="B118" s="551" t="str">
        <f>IF(法术书!AH19="","",法术书!AH19)</f>
        <v/>
      </c>
      <c r="C118" s="551" t="str">
        <f>IFERROR(VLOOKUP(B118,法术大全!$A:$W,5,FALSE),"")</f>
        <v/>
      </c>
      <c r="D118" s="730" t="str">
        <f>IFERROR(VLOOKUP(B118,法术大全!$A:$W,4,FALSE),"")</f>
        <v/>
      </c>
      <c r="E118" s="729">
        <v>117</v>
      </c>
      <c r="F118" s="731" t="str" cm="1">
        <f t="array" ref="F118">IFERROR(INDEX($B$1:$B$301,SMALL(IF($B$1:$B$301&lt;&gt;"",ROW($B$1:$B$301),4^8),ROW(118:118)))&amp;"","")</f>
        <v/>
      </c>
    </row>
    <row r="119" customHeight="1" spans="1:6">
      <c r="A119" s="729">
        <v>118</v>
      </c>
      <c r="B119" s="551" t="str">
        <f>IF(法术书!AH20="","",法术书!AH20)</f>
        <v/>
      </c>
      <c r="C119" s="551" t="str">
        <f>IFERROR(VLOOKUP(B119,法术大全!$A:$W,5,FALSE),"")</f>
        <v/>
      </c>
      <c r="D119" s="730" t="str">
        <f>IFERROR(VLOOKUP(B119,法术大全!$A:$W,4,FALSE),"")</f>
        <v/>
      </c>
      <c r="E119" s="729">
        <v>118</v>
      </c>
      <c r="F119" s="731" t="str" cm="1">
        <f t="array" ref="F119">IFERROR(INDEX($B$1:$B$301,SMALL(IF($B$1:$B$301&lt;&gt;"",ROW($B$1:$B$301),4^8),ROW(119:119)))&amp;"","")</f>
        <v/>
      </c>
    </row>
    <row r="120" customHeight="1" spans="1:6">
      <c r="A120" s="729">
        <v>119</v>
      </c>
      <c r="B120" s="551" t="str">
        <f>IF(法术书!AH21="","",法术书!AH21)</f>
        <v/>
      </c>
      <c r="C120" s="551" t="str">
        <f>IFERROR(VLOOKUP(B120,法术大全!$A:$W,5,FALSE),"")</f>
        <v/>
      </c>
      <c r="D120" s="730" t="str">
        <f>IFERROR(VLOOKUP(B120,法术大全!$A:$W,4,FALSE),"")</f>
        <v/>
      </c>
      <c r="E120" s="729">
        <v>119</v>
      </c>
      <c r="F120" s="731" t="str" cm="1">
        <f t="array" ref="F120">IFERROR(INDEX($B$1:$B$301,SMALL(IF($B$1:$B$301&lt;&gt;"",ROW($B$1:$B$301),4^8),ROW(120:120)))&amp;"","")</f>
        <v/>
      </c>
    </row>
    <row r="121" customHeight="1" spans="1:6">
      <c r="A121" s="729">
        <v>120</v>
      </c>
      <c r="B121" s="551" t="str">
        <f>IF(法术书!AH22="","",法术书!AH22)</f>
        <v/>
      </c>
      <c r="C121" s="551" t="str">
        <f>IFERROR(VLOOKUP(B121,法术大全!$A:$W,5,FALSE),"")</f>
        <v/>
      </c>
      <c r="D121" s="730" t="str">
        <f>IFERROR(VLOOKUP(B121,法术大全!$A:$W,4,FALSE),"")</f>
        <v/>
      </c>
      <c r="E121" s="729">
        <v>120</v>
      </c>
      <c r="F121" s="731" t="str" cm="1">
        <f t="array" ref="F121">IFERROR(INDEX($B$1:$B$301,SMALL(IF($B$1:$B$301&lt;&gt;"",ROW($B$1:$B$301),4^8),ROW(121:121)))&amp;"","")</f>
        <v/>
      </c>
    </row>
    <row r="122" customHeight="1" spans="1:6">
      <c r="A122" s="729">
        <v>121</v>
      </c>
      <c r="B122" s="551" t="str">
        <f>IF(法术书!AH23="","",法术书!AH23)</f>
        <v/>
      </c>
      <c r="C122" s="551" t="str">
        <f>IFERROR(VLOOKUP(B122,法术大全!$A:$W,5,FALSE),"")</f>
        <v/>
      </c>
      <c r="D122" s="730" t="str">
        <f>IFERROR(VLOOKUP(B122,法术大全!$A:$W,4,FALSE),"")</f>
        <v/>
      </c>
      <c r="E122" s="729">
        <v>121</v>
      </c>
      <c r="F122" s="731" t="str" cm="1">
        <f t="array" ref="F122">IFERROR(INDEX($B$1:$B$301,SMALL(IF($B$1:$B$301&lt;&gt;"",ROW($B$1:$B$301),4^8),ROW(122:122)))&amp;"","")</f>
        <v/>
      </c>
    </row>
    <row r="123" customHeight="1" spans="1:6">
      <c r="A123" s="729">
        <v>122</v>
      </c>
      <c r="B123" s="551" t="str">
        <f>IF(法术书!AH24="","",法术书!AH24)</f>
        <v/>
      </c>
      <c r="C123" s="551" t="str">
        <f>IFERROR(VLOOKUP(B123,法术大全!$A:$W,5,FALSE),"")</f>
        <v/>
      </c>
      <c r="D123" s="730" t="str">
        <f>IFERROR(VLOOKUP(B123,法术大全!$A:$W,4,FALSE),"")</f>
        <v/>
      </c>
      <c r="E123" s="729">
        <v>122</v>
      </c>
      <c r="F123" s="731" t="str" cm="1">
        <f t="array" ref="F123">IFERROR(INDEX($B$1:$B$301,SMALL(IF($B$1:$B$301&lt;&gt;"",ROW($B$1:$B$301),4^8),ROW(123:123)))&amp;"","")</f>
        <v/>
      </c>
    </row>
    <row r="124" customHeight="1" spans="1:6">
      <c r="A124" s="729">
        <v>123</v>
      </c>
      <c r="B124" s="551" t="str">
        <f>IF(法术书!AH25="","",法术书!AH25)</f>
        <v/>
      </c>
      <c r="C124" s="551" t="str">
        <f>IFERROR(VLOOKUP(B124,法术大全!$A:$W,5,FALSE),"")</f>
        <v/>
      </c>
      <c r="D124" s="730" t="str">
        <f>IFERROR(VLOOKUP(B124,法术大全!$A:$W,4,FALSE),"")</f>
        <v/>
      </c>
      <c r="E124" s="729">
        <v>123</v>
      </c>
      <c r="F124" s="731" t="str" cm="1">
        <f t="array" ref="F124">IFERROR(INDEX($B$1:$B$301,SMALL(IF($B$1:$B$301&lt;&gt;"",ROW($B$1:$B$301),4^8),ROW(124:124)))&amp;"","")</f>
        <v/>
      </c>
    </row>
    <row r="125" customHeight="1" spans="1:6">
      <c r="A125" s="729">
        <v>124</v>
      </c>
      <c r="B125" s="551" t="str">
        <f>IF(法术书!AH26="","",法术书!AH26)</f>
        <v/>
      </c>
      <c r="C125" s="551" t="str">
        <f>IFERROR(VLOOKUP(B125,法术大全!$A:$W,5,FALSE),"")</f>
        <v/>
      </c>
      <c r="D125" s="730" t="str">
        <f>IFERROR(VLOOKUP(B125,法术大全!$A:$W,4,FALSE),"")</f>
        <v/>
      </c>
      <c r="E125" s="729">
        <v>124</v>
      </c>
      <c r="F125" s="731" t="str" cm="1">
        <f t="array" ref="F125">IFERROR(INDEX($B$1:$B$301,SMALL(IF($B$1:$B$301&lt;&gt;"",ROW($B$1:$B$301),4^8),ROW(125:125)))&amp;"","")</f>
        <v/>
      </c>
    </row>
    <row r="126" customHeight="1" spans="1:6">
      <c r="A126" s="729">
        <v>125</v>
      </c>
      <c r="B126" s="551" t="str">
        <f>IF(法术书!AH27="","",法术书!AH27)</f>
        <v/>
      </c>
      <c r="C126" s="551" t="str">
        <f>IFERROR(VLOOKUP(B126,法术大全!$A:$W,5,FALSE),"")</f>
        <v/>
      </c>
      <c r="D126" s="730" t="str">
        <f>IFERROR(VLOOKUP(B126,法术大全!$A:$W,4,FALSE),"")</f>
        <v/>
      </c>
      <c r="E126" s="729">
        <v>125</v>
      </c>
      <c r="F126" s="731" t="str" cm="1">
        <f t="array" ref="F126">IFERROR(INDEX($B$1:$B$301,SMALL(IF($B$1:$B$301&lt;&gt;"",ROW($B$1:$B$301),4^8),ROW(126:126)))&amp;"","")</f>
        <v/>
      </c>
    </row>
    <row r="127" customHeight="1" spans="1:6">
      <c r="A127" s="729">
        <v>126</v>
      </c>
      <c r="B127" s="551" t="str">
        <f>IF(法术书!AH28="","",法术书!AH28)</f>
        <v/>
      </c>
      <c r="C127" s="551" t="str">
        <f>IFERROR(VLOOKUP(B127,法术大全!$A:$W,5,FALSE),"")</f>
        <v/>
      </c>
      <c r="D127" s="730" t="str">
        <f>IFERROR(VLOOKUP(B127,法术大全!$A:$W,4,FALSE),"")</f>
        <v/>
      </c>
      <c r="E127" s="729">
        <v>126</v>
      </c>
      <c r="F127" s="731" t="str" cm="1">
        <f t="array" ref="F127">IFERROR(INDEX($B$1:$B$301,SMALL(IF($B$1:$B$301&lt;&gt;"",ROW($B$1:$B$301),4^8),ROW(127:127)))&amp;"","")</f>
        <v/>
      </c>
    </row>
    <row r="128" customHeight="1" spans="1:6">
      <c r="A128" s="729">
        <v>127</v>
      </c>
      <c r="B128" s="551" t="str">
        <f>IF(法术书!AH29="","",法术书!AH29)</f>
        <v/>
      </c>
      <c r="C128" s="551" t="str">
        <f>IFERROR(VLOOKUP(B128,法术大全!$A:$W,5,FALSE),"")</f>
        <v/>
      </c>
      <c r="D128" s="730" t="str">
        <f>IFERROR(VLOOKUP(B128,法术大全!$A:$W,4,FALSE),"")</f>
        <v/>
      </c>
      <c r="E128" s="729">
        <v>127</v>
      </c>
      <c r="F128" s="731" t="str" cm="1">
        <f t="array" ref="F128">IFERROR(INDEX($B$1:$B$301,SMALL(IF($B$1:$B$301&lt;&gt;"",ROW($B$1:$B$301),4^8),ROW(128:128)))&amp;"","")</f>
        <v/>
      </c>
    </row>
    <row r="129" customHeight="1" spans="1:6">
      <c r="A129" s="729">
        <v>128</v>
      </c>
      <c r="B129" s="551" t="str">
        <f>IF(法术书!AH30="","",法术书!AH30)</f>
        <v/>
      </c>
      <c r="C129" s="551" t="str">
        <f>IFERROR(VLOOKUP(B129,法术大全!$A:$W,5,FALSE),"")</f>
        <v/>
      </c>
      <c r="D129" s="730" t="str">
        <f>IFERROR(VLOOKUP(B129,法术大全!$A:$W,4,FALSE),"")</f>
        <v/>
      </c>
      <c r="E129" s="729">
        <v>128</v>
      </c>
      <c r="F129" s="731" t="str" cm="1">
        <f t="array" ref="F129">IFERROR(INDEX($B$1:$B$301,SMALL(IF($B$1:$B$301&lt;&gt;"",ROW($B$1:$B$301),4^8),ROW(129:129)))&amp;"","")</f>
        <v/>
      </c>
    </row>
    <row r="130" customHeight="1" spans="1:6">
      <c r="A130" s="729">
        <v>129</v>
      </c>
      <c r="B130" s="551" t="str">
        <f>IF(法术书!AH31="","",法术书!AH31)</f>
        <v/>
      </c>
      <c r="C130" s="551" t="str">
        <f>IFERROR(VLOOKUP(B130,法术大全!$A:$W,5,FALSE),"")</f>
        <v/>
      </c>
      <c r="D130" s="730" t="str">
        <f>IFERROR(VLOOKUP(B130,法术大全!$A:$W,4,FALSE),"")</f>
        <v/>
      </c>
      <c r="E130" s="729">
        <v>129</v>
      </c>
      <c r="F130" s="731" t="str" cm="1">
        <f t="array" ref="F130">IFERROR(INDEX($B$1:$B$301,SMALL(IF($B$1:$B$301&lt;&gt;"",ROW($B$1:$B$301),4^8),ROW(130:130)))&amp;"","")</f>
        <v/>
      </c>
    </row>
    <row r="131" customHeight="1" spans="1:6">
      <c r="A131" s="729">
        <v>130</v>
      </c>
      <c r="B131" s="551" t="str">
        <f>IF(法术书!AH32="","",法术书!AH32)</f>
        <v/>
      </c>
      <c r="C131" s="551" t="str">
        <f>IFERROR(VLOOKUP(B131,法术大全!$A:$W,5,FALSE),"")</f>
        <v/>
      </c>
      <c r="D131" s="730" t="str">
        <f>IFERROR(VLOOKUP(B131,法术大全!$A:$W,4,FALSE),"")</f>
        <v/>
      </c>
      <c r="E131" s="729">
        <v>130</v>
      </c>
      <c r="F131" s="731" t="str" cm="1">
        <f t="array" ref="F131">IFERROR(INDEX($B$1:$B$301,SMALL(IF($B$1:$B$301&lt;&gt;"",ROW($B$1:$B$301),4^8),ROW(131:131)))&amp;"","")</f>
        <v/>
      </c>
    </row>
    <row r="132" customHeight="1" spans="1:6">
      <c r="A132" s="729">
        <v>131</v>
      </c>
      <c r="B132" s="551" t="str">
        <f>IF(法术书!AH33="","",法术书!AH33)</f>
        <v/>
      </c>
      <c r="C132" s="551" t="str">
        <f>IFERROR(VLOOKUP(B132,法术大全!$A:$W,5,FALSE),"")</f>
        <v/>
      </c>
      <c r="D132" s="730" t="str">
        <f>IFERROR(VLOOKUP(B132,法术大全!$A:$W,4,FALSE),"")</f>
        <v/>
      </c>
      <c r="E132" s="729">
        <v>131</v>
      </c>
      <c r="F132" s="731" t="str" cm="1">
        <f t="array" ref="F132">IFERROR(INDEX($B$1:$B$301,SMALL(IF($B$1:$B$301&lt;&gt;"",ROW($B$1:$B$301),4^8),ROW(132:132)))&amp;"","")</f>
        <v/>
      </c>
    </row>
    <row r="133" customHeight="1" spans="1:6">
      <c r="A133" s="729">
        <v>132</v>
      </c>
      <c r="B133" s="551" t="str">
        <f>IF(法术书!AH34="","",法术书!AH34)</f>
        <v/>
      </c>
      <c r="C133" s="551" t="str">
        <f>IFERROR(VLOOKUP(B133,法术大全!$A:$W,5,FALSE),"")</f>
        <v/>
      </c>
      <c r="D133" s="730" t="str">
        <f>IFERROR(VLOOKUP(B133,法术大全!$A:$W,4,FALSE),"")</f>
        <v/>
      </c>
      <c r="E133" s="729">
        <v>132</v>
      </c>
      <c r="F133" s="731" t="str" cm="1">
        <f t="array" ref="F133">IFERROR(INDEX($B$1:$B$301,SMALL(IF($B$1:$B$301&lt;&gt;"",ROW($B$1:$B$301),4^8),ROW(133:133)))&amp;"","")</f>
        <v/>
      </c>
    </row>
    <row r="134" customHeight="1" spans="1:6">
      <c r="A134" s="729">
        <v>133</v>
      </c>
      <c r="B134" s="551" t="str">
        <f>IF(法术书!AH35="","",法术书!AH35)</f>
        <v/>
      </c>
      <c r="C134" s="551" t="str">
        <f>IFERROR(VLOOKUP(B134,法术大全!$A:$W,5,FALSE),"")</f>
        <v/>
      </c>
      <c r="D134" s="730" t="str">
        <f>IFERROR(VLOOKUP(B134,法术大全!$A:$W,4,FALSE),"")</f>
        <v/>
      </c>
      <c r="E134" s="729">
        <v>133</v>
      </c>
      <c r="F134" s="731" t="str" cm="1">
        <f t="array" ref="F134">IFERROR(INDEX($B$1:$B$301,SMALL(IF($B$1:$B$301&lt;&gt;"",ROW($B$1:$B$301),4^8),ROW(134:134)))&amp;"","")</f>
        <v/>
      </c>
    </row>
    <row r="135" customHeight="1" spans="1:6">
      <c r="A135" s="729">
        <v>134</v>
      </c>
      <c r="B135" s="551" t="str">
        <f>IF(法术书!AH36="","",法术书!AH36)</f>
        <v/>
      </c>
      <c r="C135" s="551" t="str">
        <f>IFERROR(VLOOKUP(B135,法术大全!$A:$W,5,FALSE),"")</f>
        <v/>
      </c>
      <c r="D135" s="730" t="str">
        <f>IFERROR(VLOOKUP(B135,法术大全!$A:$W,4,FALSE),"")</f>
        <v/>
      </c>
      <c r="E135" s="729">
        <v>134</v>
      </c>
      <c r="F135" s="731" t="str" cm="1">
        <f t="array" ref="F135">IFERROR(INDEX($B$1:$B$301,SMALL(IF($B$1:$B$301&lt;&gt;"",ROW($B$1:$B$301),4^8),ROW(135:135)))&amp;"","")</f>
        <v/>
      </c>
    </row>
    <row r="136" customHeight="1" spans="1:6">
      <c r="A136" s="729">
        <v>135</v>
      </c>
      <c r="B136" s="551" t="str">
        <f>IF(法术书!AH37="","",法术书!AH37)</f>
        <v/>
      </c>
      <c r="C136" s="551" t="str">
        <f>IFERROR(VLOOKUP(B136,法术大全!$A:$W,5,FALSE),"")</f>
        <v/>
      </c>
      <c r="D136" s="730" t="str">
        <f>IFERROR(VLOOKUP(B136,法术大全!$A:$W,4,FALSE),"")</f>
        <v/>
      </c>
      <c r="E136" s="729">
        <v>135</v>
      </c>
      <c r="F136" s="731" t="str" cm="1">
        <f t="array" ref="F136">IFERROR(INDEX($B$1:$B$301,SMALL(IF($B$1:$B$301&lt;&gt;"",ROW($B$1:$B$301),4^8),ROW(136:136)))&amp;"","")</f>
        <v/>
      </c>
    </row>
    <row r="137" customHeight="1" spans="1:6">
      <c r="A137" s="729">
        <v>136</v>
      </c>
      <c r="B137" s="551" t="str">
        <f>IF(法术书!AH38="","",法术书!AH38)</f>
        <v/>
      </c>
      <c r="C137" s="551" t="str">
        <f>IFERROR(VLOOKUP(B137,法术大全!$A:$W,5,FALSE),"")</f>
        <v/>
      </c>
      <c r="D137" s="730" t="str">
        <f>IFERROR(VLOOKUP(B137,法术大全!$A:$W,4,FALSE),"")</f>
        <v/>
      </c>
      <c r="E137" s="729">
        <v>136</v>
      </c>
      <c r="F137" s="731" t="str" cm="1">
        <f t="array" ref="F137">IFERROR(INDEX($B$1:$B$301,SMALL(IF($B$1:$B$301&lt;&gt;"",ROW($B$1:$B$301),4^8),ROW(137:137)))&amp;"","")</f>
        <v/>
      </c>
    </row>
    <row r="138" customHeight="1" spans="1:6">
      <c r="A138" s="729">
        <v>137</v>
      </c>
      <c r="B138" s="551" t="str">
        <f>IF(法术书!AH39="","",法术书!AH39)</f>
        <v/>
      </c>
      <c r="C138" s="551" t="str">
        <f>IFERROR(VLOOKUP(B138,法术大全!$A:$W,5,FALSE),"")</f>
        <v/>
      </c>
      <c r="D138" s="730" t="str">
        <f>IFERROR(VLOOKUP(B138,法术大全!$A:$W,4,FALSE),"")</f>
        <v/>
      </c>
      <c r="E138" s="729">
        <v>137</v>
      </c>
      <c r="F138" s="731" t="str" cm="1">
        <f t="array" ref="F138">IFERROR(INDEX($B$1:$B$301,SMALL(IF($B$1:$B$301&lt;&gt;"",ROW($B$1:$B$301),4^8),ROW(138:138)))&amp;"","")</f>
        <v/>
      </c>
    </row>
    <row r="139" customHeight="1" spans="1:6">
      <c r="A139" s="729">
        <v>138</v>
      </c>
      <c r="B139" s="551" t="str">
        <f>IF(法术书!AH40="","",法术书!AH40)</f>
        <v/>
      </c>
      <c r="C139" s="551" t="str">
        <f>IFERROR(VLOOKUP(B139,法术大全!$A:$W,5,FALSE),"")</f>
        <v/>
      </c>
      <c r="D139" s="730" t="str">
        <f>IFERROR(VLOOKUP(B139,法术大全!$A:$W,4,FALSE),"")</f>
        <v/>
      </c>
      <c r="E139" s="729">
        <v>138</v>
      </c>
      <c r="F139" s="731" t="str" cm="1">
        <f t="array" ref="F139">IFERROR(INDEX($B$1:$B$301,SMALL(IF($B$1:$B$301&lt;&gt;"",ROW($B$1:$B$301),4^8),ROW(139:139)))&amp;"","")</f>
        <v/>
      </c>
    </row>
    <row r="140" customHeight="1" spans="1:6">
      <c r="A140" s="729">
        <v>139</v>
      </c>
      <c r="B140" s="551" t="str">
        <f>IF(法术书!AH41="","",法术书!AH41)</f>
        <v/>
      </c>
      <c r="C140" s="551" t="str">
        <f>IFERROR(VLOOKUP(B140,法术大全!$A:$W,5,FALSE),"")</f>
        <v/>
      </c>
      <c r="D140" s="730" t="str">
        <f>IFERROR(VLOOKUP(B140,法术大全!$A:$W,4,FALSE),"")</f>
        <v/>
      </c>
      <c r="E140" s="729">
        <v>139</v>
      </c>
      <c r="F140" s="731" t="str" cm="1">
        <f t="array" ref="F140">IFERROR(INDEX($B$1:$B$301,SMALL(IF($B$1:$B$301&lt;&gt;"",ROW($B$1:$B$301),4^8),ROW(140:140)))&amp;"","")</f>
        <v/>
      </c>
    </row>
    <row r="141" customHeight="1" spans="1:6">
      <c r="A141" s="729">
        <v>140</v>
      </c>
      <c r="B141" s="551" t="str">
        <f>IF(法术书!AH42="","",法术书!AH42)</f>
        <v/>
      </c>
      <c r="C141" s="551" t="str">
        <f>IFERROR(VLOOKUP(B141,法术大全!$A:$W,5,FALSE),"")</f>
        <v/>
      </c>
      <c r="D141" s="730" t="str">
        <f>IFERROR(VLOOKUP(B141,法术大全!$A:$W,4,FALSE),"")</f>
        <v/>
      </c>
      <c r="E141" s="729">
        <v>140</v>
      </c>
      <c r="F141" s="731" t="str" cm="1">
        <f t="array" ref="F141">IFERROR(INDEX($B$1:$B$301,SMALL(IF($B$1:$B$301&lt;&gt;"",ROW($B$1:$B$301),4^8),ROW(141:141)))&amp;"","")</f>
        <v/>
      </c>
    </row>
    <row r="142" customHeight="1" spans="1:6">
      <c r="A142" s="729">
        <v>141</v>
      </c>
      <c r="B142" s="551" t="str">
        <f>IF(法术书!AH43="","",法术书!AH43)</f>
        <v/>
      </c>
      <c r="C142" s="551" t="str">
        <f>IFERROR(VLOOKUP(B142,法术大全!$A:$W,5,FALSE),"")</f>
        <v/>
      </c>
      <c r="D142" s="730" t="str">
        <f>IFERROR(VLOOKUP(B142,法术大全!$A:$W,4,FALSE),"")</f>
        <v/>
      </c>
      <c r="E142" s="729">
        <v>141</v>
      </c>
      <c r="F142" s="731" t="str" cm="1">
        <f t="array" ref="F142">IFERROR(INDEX($B$1:$B$301,SMALL(IF($B$1:$B$301&lt;&gt;"",ROW($B$1:$B$301),4^8),ROW(142:142)))&amp;"","")</f>
        <v/>
      </c>
    </row>
    <row r="143" customHeight="1" spans="1:6">
      <c r="A143" s="729">
        <v>142</v>
      </c>
      <c r="B143" s="551" t="str">
        <f>IF(法术书!AH44="","",法术书!AH44)</f>
        <v/>
      </c>
      <c r="C143" s="551" t="str">
        <f>IFERROR(VLOOKUP(B143,法术大全!$A:$W,5,FALSE),"")</f>
        <v/>
      </c>
      <c r="D143" s="730" t="str">
        <f>IFERROR(VLOOKUP(B143,法术大全!$A:$W,4,FALSE),"")</f>
        <v/>
      </c>
      <c r="E143" s="729">
        <v>142</v>
      </c>
      <c r="F143" s="731" t="str" cm="1">
        <f t="array" ref="F143">IFERROR(INDEX($B$1:$B$301,SMALL(IF($B$1:$B$301&lt;&gt;"",ROW($B$1:$B$301),4^8),ROW(143:143)))&amp;"","")</f>
        <v/>
      </c>
    </row>
    <row r="144" customHeight="1" spans="1:6">
      <c r="A144" s="729">
        <v>143</v>
      </c>
      <c r="B144" s="551" t="str">
        <f>IF(法术书!AH45="","",法术书!AH45)</f>
        <v/>
      </c>
      <c r="C144" s="551" t="str">
        <f>IFERROR(VLOOKUP(B144,法术大全!$A:$W,5,FALSE),"")</f>
        <v/>
      </c>
      <c r="D144" s="730" t="str">
        <f>IFERROR(VLOOKUP(B144,法术大全!$A:$W,4,FALSE),"")</f>
        <v/>
      </c>
      <c r="E144" s="729">
        <v>143</v>
      </c>
      <c r="F144" s="731" t="str" cm="1">
        <f t="array" ref="F144">IFERROR(INDEX($B$1:$B$301,SMALL(IF($B$1:$B$301&lt;&gt;"",ROW($B$1:$B$301),4^8),ROW(144:144)))&amp;"","")</f>
        <v/>
      </c>
    </row>
    <row r="145" customHeight="1" spans="1:6">
      <c r="A145" s="729">
        <v>144</v>
      </c>
      <c r="B145" s="551" t="str">
        <f>IF(法术书!AH46="","",法术书!AH46)</f>
        <v/>
      </c>
      <c r="C145" s="551" t="str">
        <f>IFERROR(VLOOKUP(B145,法术大全!$A:$W,5,FALSE),"")</f>
        <v/>
      </c>
      <c r="D145" s="730" t="str">
        <f>IFERROR(VLOOKUP(B145,法术大全!$A:$W,4,FALSE),"")</f>
        <v/>
      </c>
      <c r="E145" s="729">
        <v>144</v>
      </c>
      <c r="F145" s="731" t="str" cm="1">
        <f t="array" ref="F145">IFERROR(INDEX($B$1:$B$301,SMALL(IF($B$1:$B$301&lt;&gt;"",ROW($B$1:$B$301),4^8),ROW(145:145)))&amp;"","")</f>
        <v/>
      </c>
    </row>
    <row r="146" customHeight="1" spans="1:6">
      <c r="A146" s="729">
        <v>145</v>
      </c>
      <c r="B146" s="551" t="str">
        <f>IF(法术书!AH47="","",法术书!AH47)</f>
        <v/>
      </c>
      <c r="C146" s="551" t="str">
        <f>IFERROR(VLOOKUP(B146,法术大全!$A:$W,5,FALSE),"")</f>
        <v/>
      </c>
      <c r="D146" s="730" t="str">
        <f>IFERROR(VLOOKUP(B146,法术大全!$A:$W,4,FALSE),"")</f>
        <v/>
      </c>
      <c r="E146" s="729">
        <v>145</v>
      </c>
      <c r="F146" s="731" t="str" cm="1">
        <f t="array" ref="F146">IFERROR(INDEX($B$1:$B$301,SMALL(IF($B$1:$B$301&lt;&gt;"",ROW($B$1:$B$301),4^8),ROW(146:146)))&amp;"","")</f>
        <v/>
      </c>
    </row>
    <row r="147" customHeight="1" spans="1:6">
      <c r="A147" s="729">
        <v>146</v>
      </c>
      <c r="B147" s="551" t="str">
        <f>IF(法术书!AH48="","",法术书!AH48)</f>
        <v/>
      </c>
      <c r="C147" s="551" t="str">
        <f>IFERROR(VLOOKUP(B147,法术大全!$A:$W,5,FALSE),"")</f>
        <v/>
      </c>
      <c r="D147" s="730" t="str">
        <f>IFERROR(VLOOKUP(B147,法术大全!$A:$W,4,FALSE),"")</f>
        <v/>
      </c>
      <c r="E147" s="729">
        <v>146</v>
      </c>
      <c r="F147" s="731" t="str" cm="1">
        <f t="array" ref="F147">IFERROR(INDEX($B$1:$B$301,SMALL(IF($B$1:$B$301&lt;&gt;"",ROW($B$1:$B$301),4^8),ROW(147:147)))&amp;"","")</f>
        <v/>
      </c>
    </row>
    <row r="148" customHeight="1" spans="1:6">
      <c r="A148" s="729">
        <v>147</v>
      </c>
      <c r="B148" s="551" t="str">
        <f>IF(法术书!AH49="","",法术书!AH49)</f>
        <v/>
      </c>
      <c r="C148" s="551" t="str">
        <f>IFERROR(VLOOKUP(B148,法术大全!$A:$W,5,FALSE),"")</f>
        <v/>
      </c>
      <c r="D148" s="730" t="str">
        <f>IFERROR(VLOOKUP(B148,法术大全!$A:$W,4,FALSE),"")</f>
        <v/>
      </c>
      <c r="E148" s="729">
        <v>147</v>
      </c>
      <c r="F148" s="731" t="str" cm="1">
        <f t="array" ref="F148">IFERROR(INDEX($B$1:$B$301,SMALL(IF($B$1:$B$301&lt;&gt;"",ROW($B$1:$B$301),4^8),ROW(148:148)))&amp;"","")</f>
        <v/>
      </c>
    </row>
    <row r="149" customHeight="1" spans="1:6">
      <c r="A149" s="729">
        <v>148</v>
      </c>
      <c r="B149" s="551" t="str">
        <f>IF(法术书!AH50="","",法术书!AH50)</f>
        <v/>
      </c>
      <c r="C149" s="551" t="str">
        <f>IFERROR(VLOOKUP(B149,法术大全!$A:$W,5,FALSE),"")</f>
        <v/>
      </c>
      <c r="D149" s="730" t="str">
        <f>IFERROR(VLOOKUP(B149,法术大全!$A:$W,4,FALSE),"")</f>
        <v/>
      </c>
      <c r="E149" s="729">
        <v>148</v>
      </c>
      <c r="F149" s="731" t="str" cm="1">
        <f t="array" ref="F149">IFERROR(INDEX($B$1:$B$301,SMALL(IF($B$1:$B$301&lt;&gt;"",ROW($B$1:$B$301),4^8),ROW(149:149)))&amp;"","")</f>
        <v/>
      </c>
    </row>
    <row r="150" customHeight="1" spans="1:6">
      <c r="A150" s="729">
        <v>149</v>
      </c>
      <c r="B150" s="551" t="str">
        <f>IF(法术书!AH51="","",法术书!AH51)</f>
        <v/>
      </c>
      <c r="C150" s="551" t="str">
        <f>IFERROR(VLOOKUP(B150,法术大全!$A:$W,5,FALSE),"")</f>
        <v/>
      </c>
      <c r="D150" s="730" t="str">
        <f>IFERROR(VLOOKUP(B150,法术大全!$A:$W,4,FALSE),"")</f>
        <v/>
      </c>
      <c r="E150" s="729">
        <v>149</v>
      </c>
      <c r="F150" s="731" t="str" cm="1">
        <f t="array" ref="F150">IFERROR(INDEX($B$1:$B$301,SMALL(IF($B$1:$B$301&lt;&gt;"",ROW($B$1:$B$301),4^8),ROW(150:150)))&amp;"","")</f>
        <v/>
      </c>
    </row>
    <row r="151" customHeight="1" spans="1:6">
      <c r="A151" s="729">
        <v>150</v>
      </c>
      <c r="B151" s="551" t="str">
        <f>IF(法术书!AH52="","",法术书!AH52)</f>
        <v/>
      </c>
      <c r="C151" s="551" t="str">
        <f>IFERROR(VLOOKUP(B151,法术大全!$A:$W,5,FALSE),"")</f>
        <v/>
      </c>
      <c r="D151" s="730" t="str">
        <f>IFERROR(VLOOKUP(B151,法术大全!$A:$W,4,FALSE),"")</f>
        <v/>
      </c>
      <c r="E151" s="729">
        <v>150</v>
      </c>
      <c r="F151" s="731" t="str" cm="1">
        <f t="array" ref="F151">IFERROR(INDEX($B$1:$B$301,SMALL(IF($B$1:$B$301&lt;&gt;"",ROW($B$1:$B$301),4^8),ROW(151:151)))&amp;"","")</f>
        <v/>
      </c>
    </row>
    <row r="152" customHeight="1" spans="1:6">
      <c r="A152" s="729">
        <v>151</v>
      </c>
      <c r="B152" s="551" t="str">
        <f>IF(法术书!AM3="","",法术书!AM3)</f>
        <v/>
      </c>
      <c r="C152" s="551" t="str">
        <f>IFERROR(VLOOKUP(B152,法术大全!$A:$W,5,FALSE),"")</f>
        <v/>
      </c>
      <c r="D152" s="730" t="str">
        <f>IFERROR(VLOOKUP(B152,法术大全!$A:$W,4,FALSE),"")</f>
        <v/>
      </c>
      <c r="E152" s="729">
        <v>151</v>
      </c>
      <c r="F152" s="731" t="str" cm="1">
        <f t="array" ref="F152">IFERROR(INDEX($B$1:$B$301,SMALL(IF($B$1:$B$301&lt;&gt;"",ROW($B$1:$B$301),4^8),ROW(152:152)))&amp;"","")</f>
        <v/>
      </c>
    </row>
    <row r="153" customHeight="1" spans="1:6">
      <c r="A153" s="729">
        <v>152</v>
      </c>
      <c r="B153" s="551" t="str">
        <f>IF(法术书!AM4="","",法术书!AM4)</f>
        <v/>
      </c>
      <c r="C153" s="551" t="str">
        <f>IFERROR(VLOOKUP(B153,法术大全!$A:$W,5,FALSE),"")</f>
        <v/>
      </c>
      <c r="D153" s="730" t="str">
        <f>IFERROR(VLOOKUP(B153,法术大全!$A:$W,4,FALSE),"")</f>
        <v/>
      </c>
      <c r="E153" s="729">
        <v>152</v>
      </c>
      <c r="F153" s="731" t="str" cm="1">
        <f t="array" ref="F153">IFERROR(INDEX($B$1:$B$301,SMALL(IF($B$1:$B$301&lt;&gt;"",ROW($B$1:$B$301),4^8),ROW(153:153)))&amp;"","")</f>
        <v/>
      </c>
    </row>
    <row r="154" customHeight="1" spans="1:6">
      <c r="A154" s="729">
        <v>153</v>
      </c>
      <c r="B154" s="551" t="str">
        <f>IF(法术书!AM5="","",法术书!AM5)</f>
        <v/>
      </c>
      <c r="C154" s="551" t="str">
        <f>IFERROR(VLOOKUP(B154,法术大全!$A:$W,5,FALSE),"")</f>
        <v/>
      </c>
      <c r="D154" s="730" t="str">
        <f>IFERROR(VLOOKUP(B154,法术大全!$A:$W,4,FALSE),"")</f>
        <v/>
      </c>
      <c r="E154" s="729">
        <v>153</v>
      </c>
      <c r="F154" s="731" t="str" cm="1">
        <f t="array" ref="F154">IFERROR(INDEX($B$1:$B$301,SMALL(IF($B$1:$B$301&lt;&gt;"",ROW($B$1:$B$301),4^8),ROW(154:154)))&amp;"","")</f>
        <v/>
      </c>
    </row>
    <row r="155" customHeight="1" spans="1:6">
      <c r="A155" s="729">
        <v>154</v>
      </c>
      <c r="B155" s="551" t="str">
        <f>IF(法术书!AM6="","",法术书!AM6)</f>
        <v/>
      </c>
      <c r="C155" s="551" t="str">
        <f>IFERROR(VLOOKUP(B155,法术大全!$A:$W,5,FALSE),"")</f>
        <v/>
      </c>
      <c r="D155" s="730" t="str">
        <f>IFERROR(VLOOKUP(B155,法术大全!$A:$W,4,FALSE),"")</f>
        <v/>
      </c>
      <c r="E155" s="729">
        <v>154</v>
      </c>
      <c r="F155" s="731" t="str" cm="1">
        <f t="array" ref="F155">IFERROR(INDEX($B$1:$B$301,SMALL(IF($B$1:$B$301&lt;&gt;"",ROW($B$1:$B$301),4^8),ROW(155:155)))&amp;"","")</f>
        <v/>
      </c>
    </row>
    <row r="156" customHeight="1" spans="1:6">
      <c r="A156" s="729">
        <v>155</v>
      </c>
      <c r="B156" s="551" t="str">
        <f>IF(法术书!AM7="","",法术书!AM7)</f>
        <v/>
      </c>
      <c r="C156" s="551" t="str">
        <f>IFERROR(VLOOKUP(B156,法术大全!$A:$W,5,FALSE),"")</f>
        <v/>
      </c>
      <c r="D156" s="730" t="str">
        <f>IFERROR(VLOOKUP(B156,法术大全!$A:$W,4,FALSE),"")</f>
        <v/>
      </c>
      <c r="E156" s="729">
        <v>155</v>
      </c>
      <c r="F156" s="731" t="str" cm="1">
        <f t="array" ref="F156">IFERROR(INDEX($B$1:$B$301,SMALL(IF($B$1:$B$301&lt;&gt;"",ROW($B$1:$B$301),4^8),ROW(156:156)))&amp;"","")</f>
        <v/>
      </c>
    </row>
    <row r="157" customHeight="1" spans="1:6">
      <c r="A157" s="729">
        <v>156</v>
      </c>
      <c r="B157" s="551" t="str">
        <f>IF(法术书!AM8="","",法术书!AM8)</f>
        <v/>
      </c>
      <c r="C157" s="551" t="str">
        <f>IFERROR(VLOOKUP(B157,法术大全!$A:$W,5,FALSE),"")</f>
        <v/>
      </c>
      <c r="D157" s="730" t="str">
        <f>IFERROR(VLOOKUP(B157,法术大全!$A:$W,4,FALSE),"")</f>
        <v/>
      </c>
      <c r="E157" s="729">
        <v>156</v>
      </c>
      <c r="F157" s="731" t="str" cm="1">
        <f t="array" ref="F157">IFERROR(INDEX($B$1:$B$301,SMALL(IF($B$1:$B$301&lt;&gt;"",ROW($B$1:$B$301),4^8),ROW(157:157)))&amp;"","")</f>
        <v/>
      </c>
    </row>
    <row r="158" customHeight="1" spans="1:6">
      <c r="A158" s="729">
        <v>157</v>
      </c>
      <c r="B158" s="551" t="str">
        <f>IF(法术书!AM9="","",法术书!AM9)</f>
        <v/>
      </c>
      <c r="C158" s="551" t="str">
        <f>IFERROR(VLOOKUP(B158,法术大全!$A:$W,5,FALSE),"")</f>
        <v/>
      </c>
      <c r="D158" s="730" t="str">
        <f>IFERROR(VLOOKUP(B158,法术大全!$A:$W,4,FALSE),"")</f>
        <v/>
      </c>
      <c r="E158" s="729">
        <v>157</v>
      </c>
      <c r="F158" s="731" t="str" cm="1">
        <f t="array" ref="F158">IFERROR(INDEX($B$1:$B$301,SMALL(IF($B$1:$B$301&lt;&gt;"",ROW($B$1:$B$301),4^8),ROW(158:158)))&amp;"","")</f>
        <v/>
      </c>
    </row>
    <row r="159" customHeight="1" spans="1:6">
      <c r="A159" s="729">
        <v>158</v>
      </c>
      <c r="B159" s="551" t="str">
        <f>IF(法术书!AM10="","",法术书!AM10)</f>
        <v/>
      </c>
      <c r="C159" s="551" t="str">
        <f>IFERROR(VLOOKUP(B159,法术大全!$A:$W,5,FALSE),"")</f>
        <v/>
      </c>
      <c r="D159" s="730" t="str">
        <f>IFERROR(VLOOKUP(B159,法术大全!$A:$W,4,FALSE),"")</f>
        <v/>
      </c>
      <c r="E159" s="729">
        <v>158</v>
      </c>
      <c r="F159" s="731" t="str" cm="1">
        <f t="array" ref="F159">IFERROR(INDEX($B$1:$B$301,SMALL(IF($B$1:$B$301&lt;&gt;"",ROW($B$1:$B$301),4^8),ROW(159:159)))&amp;"","")</f>
        <v/>
      </c>
    </row>
    <row r="160" customHeight="1" spans="1:6">
      <c r="A160" s="729">
        <v>159</v>
      </c>
      <c r="B160" s="551" t="str">
        <f>IF(法术书!AM11="","",法术书!AM11)</f>
        <v/>
      </c>
      <c r="C160" s="551" t="str">
        <f>IFERROR(VLOOKUP(B160,法术大全!$A:$W,5,FALSE),"")</f>
        <v/>
      </c>
      <c r="D160" s="730" t="str">
        <f>IFERROR(VLOOKUP(B160,法术大全!$A:$W,4,FALSE),"")</f>
        <v/>
      </c>
      <c r="E160" s="729">
        <v>159</v>
      </c>
      <c r="F160" s="731" t="str" cm="1">
        <f t="array" ref="F160">IFERROR(INDEX($B$1:$B$301,SMALL(IF($B$1:$B$301&lt;&gt;"",ROW($B$1:$B$301),4^8),ROW(160:160)))&amp;"","")</f>
        <v/>
      </c>
    </row>
    <row r="161" customHeight="1" spans="1:6">
      <c r="A161" s="729">
        <v>160</v>
      </c>
      <c r="B161" s="551" t="str">
        <f>IF(法术书!AM12="","",法术书!AM12)</f>
        <v/>
      </c>
      <c r="C161" s="551" t="str">
        <f>IFERROR(VLOOKUP(B161,法术大全!$A:$W,5,FALSE),"")</f>
        <v/>
      </c>
      <c r="D161" s="730" t="str">
        <f>IFERROR(VLOOKUP(B161,法术大全!$A:$W,4,FALSE),"")</f>
        <v/>
      </c>
      <c r="E161" s="729">
        <v>160</v>
      </c>
      <c r="F161" s="731" t="str" cm="1">
        <f t="array" ref="F161">IFERROR(INDEX($B$1:$B$301,SMALL(IF($B$1:$B$301&lt;&gt;"",ROW($B$1:$B$301),4^8),ROW(161:161)))&amp;"","")</f>
        <v/>
      </c>
    </row>
    <row r="162" customHeight="1" spans="1:6">
      <c r="A162" s="729">
        <v>161</v>
      </c>
      <c r="B162" s="551" t="str">
        <f>IF(法术书!AM13="","",法术书!AM13)</f>
        <v/>
      </c>
      <c r="C162" s="551" t="str">
        <f>IFERROR(VLOOKUP(B162,法术大全!$A:$W,5,FALSE),"")</f>
        <v/>
      </c>
      <c r="D162" s="730" t="str">
        <f>IFERROR(VLOOKUP(B162,法术大全!$A:$W,4,FALSE),"")</f>
        <v/>
      </c>
      <c r="E162" s="729">
        <v>161</v>
      </c>
      <c r="F162" s="731" t="str" cm="1">
        <f t="array" ref="F162">IFERROR(INDEX($B$1:$B$301,SMALL(IF($B$1:$B$301&lt;&gt;"",ROW($B$1:$B$301),4^8),ROW(162:162)))&amp;"","")</f>
        <v/>
      </c>
    </row>
    <row r="163" customHeight="1" spans="1:6">
      <c r="A163" s="729">
        <v>162</v>
      </c>
      <c r="B163" s="551" t="str">
        <f>IF(法术书!AM14="","",法术书!AM14)</f>
        <v/>
      </c>
      <c r="C163" s="551" t="str">
        <f>IFERROR(VLOOKUP(B163,法术大全!$A:$W,5,FALSE),"")</f>
        <v/>
      </c>
      <c r="D163" s="730" t="str">
        <f>IFERROR(VLOOKUP(B163,法术大全!$A:$W,4,FALSE),"")</f>
        <v/>
      </c>
      <c r="E163" s="729">
        <v>162</v>
      </c>
      <c r="F163" s="731" t="str" cm="1">
        <f t="array" ref="F163">IFERROR(INDEX($B$1:$B$301,SMALL(IF($B$1:$B$301&lt;&gt;"",ROW($B$1:$B$301),4^8),ROW(163:163)))&amp;"","")</f>
        <v/>
      </c>
    </row>
    <row r="164" customHeight="1" spans="1:6">
      <c r="A164" s="729">
        <v>163</v>
      </c>
      <c r="B164" s="551" t="str">
        <f>IF(法术书!AM15="","",法术书!AM15)</f>
        <v/>
      </c>
      <c r="C164" s="551" t="str">
        <f>IFERROR(VLOOKUP(B164,法术大全!$A:$W,5,FALSE),"")</f>
        <v/>
      </c>
      <c r="D164" s="730" t="str">
        <f>IFERROR(VLOOKUP(B164,法术大全!$A:$W,4,FALSE),"")</f>
        <v/>
      </c>
      <c r="E164" s="729">
        <v>163</v>
      </c>
      <c r="F164" s="731" t="str" cm="1">
        <f t="array" ref="F164">IFERROR(INDEX($B$1:$B$301,SMALL(IF($B$1:$B$301&lt;&gt;"",ROW($B$1:$B$301),4^8),ROW(164:164)))&amp;"","")</f>
        <v/>
      </c>
    </row>
    <row r="165" customHeight="1" spans="1:6">
      <c r="A165" s="729">
        <v>164</v>
      </c>
      <c r="B165" s="551" t="str">
        <f>IF(法术书!AM16="","",法术书!AM16)</f>
        <v/>
      </c>
      <c r="C165" s="551" t="str">
        <f>IFERROR(VLOOKUP(B165,法术大全!$A:$W,5,FALSE),"")</f>
        <v/>
      </c>
      <c r="D165" s="730" t="str">
        <f>IFERROR(VLOOKUP(B165,法术大全!$A:$W,4,FALSE),"")</f>
        <v/>
      </c>
      <c r="E165" s="729">
        <v>164</v>
      </c>
      <c r="F165" s="731" t="str" cm="1">
        <f t="array" ref="F165">IFERROR(INDEX($B$1:$B$301,SMALL(IF($B$1:$B$301&lt;&gt;"",ROW($B$1:$B$301),4^8),ROW(165:165)))&amp;"","")</f>
        <v/>
      </c>
    </row>
    <row r="166" customHeight="1" spans="1:6">
      <c r="A166" s="729">
        <v>165</v>
      </c>
      <c r="B166" s="551" t="str">
        <f>IF(法术书!AM17="","",法术书!AM17)</f>
        <v/>
      </c>
      <c r="C166" s="551" t="str">
        <f>IFERROR(VLOOKUP(B166,法术大全!$A:$W,5,FALSE),"")</f>
        <v/>
      </c>
      <c r="D166" s="730" t="str">
        <f>IFERROR(VLOOKUP(B166,法术大全!$A:$W,4,FALSE),"")</f>
        <v/>
      </c>
      <c r="E166" s="729">
        <v>165</v>
      </c>
      <c r="F166" s="731" t="str" cm="1">
        <f t="array" ref="F166">IFERROR(INDEX($B$1:$B$301,SMALL(IF($B$1:$B$301&lt;&gt;"",ROW($B$1:$B$301),4^8),ROW(166:166)))&amp;"","")</f>
        <v/>
      </c>
    </row>
    <row r="167" customHeight="1" spans="1:6">
      <c r="A167" s="729">
        <v>166</v>
      </c>
      <c r="B167" s="551" t="str">
        <f>IF(法术书!AM18="","",法术书!AM18)</f>
        <v/>
      </c>
      <c r="C167" s="551" t="str">
        <f>IFERROR(VLOOKUP(B167,法术大全!$A:$W,5,FALSE),"")</f>
        <v/>
      </c>
      <c r="D167" s="730" t="str">
        <f>IFERROR(VLOOKUP(B167,法术大全!$A:$W,4,FALSE),"")</f>
        <v/>
      </c>
      <c r="E167" s="729">
        <v>166</v>
      </c>
      <c r="F167" s="731" t="str" cm="1">
        <f t="array" ref="F167">IFERROR(INDEX($B$1:$B$301,SMALL(IF($B$1:$B$301&lt;&gt;"",ROW($B$1:$B$301),4^8),ROW(167:167)))&amp;"","")</f>
        <v/>
      </c>
    </row>
    <row r="168" customHeight="1" spans="1:6">
      <c r="A168" s="729">
        <v>167</v>
      </c>
      <c r="B168" s="551" t="str">
        <f>IF(法术书!AM19="","",法术书!AM19)</f>
        <v/>
      </c>
      <c r="C168" s="551" t="str">
        <f>IFERROR(VLOOKUP(B168,法术大全!$A:$W,5,FALSE),"")</f>
        <v/>
      </c>
      <c r="D168" s="730" t="str">
        <f>IFERROR(VLOOKUP(B168,法术大全!$A:$W,4,FALSE),"")</f>
        <v/>
      </c>
      <c r="E168" s="729">
        <v>167</v>
      </c>
      <c r="F168" s="731" t="str" cm="1">
        <f t="array" ref="F168">IFERROR(INDEX($B$1:$B$301,SMALL(IF($B$1:$B$301&lt;&gt;"",ROW($B$1:$B$301),4^8),ROW(168:168)))&amp;"","")</f>
        <v/>
      </c>
    </row>
    <row r="169" customHeight="1" spans="1:6">
      <c r="A169" s="729">
        <v>168</v>
      </c>
      <c r="B169" s="551" t="str">
        <f>IF(法术书!AM20="","",法术书!AM20)</f>
        <v/>
      </c>
      <c r="C169" s="551" t="str">
        <f>IFERROR(VLOOKUP(B169,法术大全!$A:$W,5,FALSE),"")</f>
        <v/>
      </c>
      <c r="D169" s="730" t="str">
        <f>IFERROR(VLOOKUP(B169,法术大全!$A:$W,4,FALSE),"")</f>
        <v/>
      </c>
      <c r="E169" s="729">
        <v>168</v>
      </c>
      <c r="F169" s="731" t="str" cm="1">
        <f t="array" ref="F169">IFERROR(INDEX($B$1:$B$301,SMALL(IF($B$1:$B$301&lt;&gt;"",ROW($B$1:$B$301),4^8),ROW(169:169)))&amp;"","")</f>
        <v/>
      </c>
    </row>
    <row r="170" customHeight="1" spans="1:6">
      <c r="A170" s="729">
        <v>169</v>
      </c>
      <c r="B170" s="551" t="str">
        <f>IF(法术书!AM21="","",法术书!AM21)</f>
        <v/>
      </c>
      <c r="C170" s="551" t="str">
        <f>IFERROR(VLOOKUP(B170,法术大全!$A:$W,5,FALSE),"")</f>
        <v/>
      </c>
      <c r="D170" s="730" t="str">
        <f>IFERROR(VLOOKUP(B170,法术大全!$A:$W,4,FALSE),"")</f>
        <v/>
      </c>
      <c r="E170" s="729">
        <v>169</v>
      </c>
      <c r="F170" s="731" t="str" cm="1">
        <f t="array" ref="F170">IFERROR(INDEX($B$1:$B$301,SMALL(IF($B$1:$B$301&lt;&gt;"",ROW($B$1:$B$301),4^8),ROW(170:170)))&amp;"","")</f>
        <v/>
      </c>
    </row>
    <row r="171" customHeight="1" spans="1:6">
      <c r="A171" s="729">
        <v>170</v>
      </c>
      <c r="B171" s="551" t="str">
        <f>IF(法术书!AM22="","",法术书!AM22)</f>
        <v/>
      </c>
      <c r="C171" s="551" t="str">
        <f>IFERROR(VLOOKUP(B171,法术大全!$A:$W,5,FALSE),"")</f>
        <v/>
      </c>
      <c r="D171" s="730" t="str">
        <f>IFERROR(VLOOKUP(B171,法术大全!$A:$W,4,FALSE),"")</f>
        <v/>
      </c>
      <c r="E171" s="729">
        <v>170</v>
      </c>
      <c r="F171" s="731" t="str" cm="1">
        <f t="array" ref="F171">IFERROR(INDEX($B$1:$B$301,SMALL(IF($B$1:$B$301&lt;&gt;"",ROW($B$1:$B$301),4^8),ROW(171:171)))&amp;"","")</f>
        <v/>
      </c>
    </row>
    <row r="172" customHeight="1" spans="1:6">
      <c r="A172" s="729">
        <v>171</v>
      </c>
      <c r="B172" s="551" t="str">
        <f>IF(法术书!AM23="","",法术书!AM23)</f>
        <v/>
      </c>
      <c r="C172" s="551" t="str">
        <f>IFERROR(VLOOKUP(B172,法术大全!$A:$W,5,FALSE),"")</f>
        <v/>
      </c>
      <c r="D172" s="730" t="str">
        <f>IFERROR(VLOOKUP(B172,法术大全!$A:$W,4,FALSE),"")</f>
        <v/>
      </c>
      <c r="E172" s="729">
        <v>171</v>
      </c>
      <c r="F172" s="731" t="str" cm="1">
        <f t="array" ref="F172">IFERROR(INDEX($B$1:$B$301,SMALL(IF($B$1:$B$301&lt;&gt;"",ROW($B$1:$B$301),4^8),ROW(172:172)))&amp;"","")</f>
        <v/>
      </c>
    </row>
    <row r="173" customHeight="1" spans="1:6">
      <c r="A173" s="729">
        <v>172</v>
      </c>
      <c r="B173" s="551" t="str">
        <f>IF(法术书!AM24="","",法术书!AM24)</f>
        <v/>
      </c>
      <c r="C173" s="551" t="str">
        <f>IFERROR(VLOOKUP(B173,法术大全!$A:$W,5,FALSE),"")</f>
        <v/>
      </c>
      <c r="D173" s="730" t="str">
        <f>IFERROR(VLOOKUP(B173,法术大全!$A:$W,4,FALSE),"")</f>
        <v/>
      </c>
      <c r="E173" s="729">
        <v>172</v>
      </c>
      <c r="F173" s="731" t="str" cm="1">
        <f t="array" ref="F173">IFERROR(INDEX($B$1:$B$301,SMALL(IF($B$1:$B$301&lt;&gt;"",ROW($B$1:$B$301),4^8),ROW(173:173)))&amp;"","")</f>
        <v/>
      </c>
    </row>
    <row r="174" customHeight="1" spans="1:6">
      <c r="A174" s="729">
        <v>173</v>
      </c>
      <c r="B174" s="551" t="str">
        <f>IF(法术书!AM25="","",法术书!AM25)</f>
        <v/>
      </c>
      <c r="C174" s="551" t="str">
        <f>IFERROR(VLOOKUP(B174,法术大全!$A:$W,5,FALSE),"")</f>
        <v/>
      </c>
      <c r="D174" s="730" t="str">
        <f>IFERROR(VLOOKUP(B174,法术大全!$A:$W,4,FALSE),"")</f>
        <v/>
      </c>
      <c r="E174" s="729">
        <v>173</v>
      </c>
      <c r="F174" s="731" t="str" cm="1">
        <f t="array" ref="F174">IFERROR(INDEX($B$1:$B$301,SMALL(IF($B$1:$B$301&lt;&gt;"",ROW($B$1:$B$301),4^8),ROW(174:174)))&amp;"","")</f>
        <v/>
      </c>
    </row>
    <row r="175" customHeight="1" spans="1:6">
      <c r="A175" s="729">
        <v>174</v>
      </c>
      <c r="B175" s="551" t="str">
        <f>IF(法术书!AM26="","",法术书!AM26)</f>
        <v/>
      </c>
      <c r="C175" s="551" t="str">
        <f>IFERROR(VLOOKUP(B175,法术大全!$A:$W,5,FALSE),"")</f>
        <v/>
      </c>
      <c r="D175" s="730" t="str">
        <f>IFERROR(VLOOKUP(B175,法术大全!$A:$W,4,FALSE),"")</f>
        <v/>
      </c>
      <c r="E175" s="729">
        <v>174</v>
      </c>
      <c r="F175" s="731" t="str" cm="1">
        <f t="array" ref="F175">IFERROR(INDEX($B$1:$B$301,SMALL(IF($B$1:$B$301&lt;&gt;"",ROW($B$1:$B$301),4^8),ROW(175:175)))&amp;"","")</f>
        <v/>
      </c>
    </row>
    <row r="176" customHeight="1" spans="1:6">
      <c r="A176" s="729">
        <v>175</v>
      </c>
      <c r="B176" s="551" t="str">
        <f>IF(法术书!AM27="","",法术书!AM27)</f>
        <v/>
      </c>
      <c r="C176" s="551" t="str">
        <f>IFERROR(VLOOKUP(B176,法术大全!$A:$W,5,FALSE),"")</f>
        <v/>
      </c>
      <c r="D176" s="730" t="str">
        <f>IFERROR(VLOOKUP(B176,法术大全!$A:$W,4,FALSE),"")</f>
        <v/>
      </c>
      <c r="E176" s="729">
        <v>175</v>
      </c>
      <c r="F176" s="731" t="str" cm="1">
        <f t="array" ref="F176">IFERROR(INDEX($B$1:$B$301,SMALL(IF($B$1:$B$301&lt;&gt;"",ROW($B$1:$B$301),4^8),ROW(176:176)))&amp;"","")</f>
        <v/>
      </c>
    </row>
    <row r="177" customHeight="1" spans="1:6">
      <c r="A177" s="729">
        <v>176</v>
      </c>
      <c r="B177" s="551" t="str">
        <f>IF(法术书!AM28="","",法术书!AM28)</f>
        <v/>
      </c>
      <c r="C177" s="551" t="str">
        <f>IFERROR(VLOOKUP(B177,法术大全!$A:$W,5,FALSE),"")</f>
        <v/>
      </c>
      <c r="D177" s="730" t="str">
        <f>IFERROR(VLOOKUP(B177,法术大全!$A:$W,4,FALSE),"")</f>
        <v/>
      </c>
      <c r="E177" s="729">
        <v>176</v>
      </c>
      <c r="F177" s="731" t="str" cm="1">
        <f t="array" ref="F177">IFERROR(INDEX($B$1:$B$301,SMALL(IF($B$1:$B$301&lt;&gt;"",ROW($B$1:$B$301),4^8),ROW(177:177)))&amp;"","")</f>
        <v/>
      </c>
    </row>
    <row r="178" customHeight="1" spans="1:6">
      <c r="A178" s="729">
        <v>177</v>
      </c>
      <c r="B178" s="551" t="str">
        <f>IF(法术书!AM29="","",法术书!AM29)</f>
        <v/>
      </c>
      <c r="C178" s="551" t="str">
        <f>IFERROR(VLOOKUP(B178,法术大全!$A:$W,5,FALSE),"")</f>
        <v/>
      </c>
      <c r="D178" s="730" t="str">
        <f>IFERROR(VLOOKUP(B178,法术大全!$A:$W,4,FALSE),"")</f>
        <v/>
      </c>
      <c r="E178" s="729">
        <v>177</v>
      </c>
      <c r="F178" s="731" t="str" cm="1">
        <f t="array" ref="F178">IFERROR(INDEX($B$1:$B$301,SMALL(IF($B$1:$B$301&lt;&gt;"",ROW($B$1:$B$301),4^8),ROW(178:178)))&amp;"","")</f>
        <v/>
      </c>
    </row>
    <row r="179" customHeight="1" spans="1:6">
      <c r="A179" s="729">
        <v>178</v>
      </c>
      <c r="B179" s="551" t="str">
        <f>IF(法术书!AM30="","",法术书!AM30)</f>
        <v/>
      </c>
      <c r="C179" s="551" t="str">
        <f>IFERROR(VLOOKUP(B179,法术大全!$A:$W,5,FALSE),"")</f>
        <v/>
      </c>
      <c r="D179" s="730" t="str">
        <f>IFERROR(VLOOKUP(B179,法术大全!$A:$W,4,FALSE),"")</f>
        <v/>
      </c>
      <c r="E179" s="729">
        <v>178</v>
      </c>
      <c r="F179" s="731" t="str" cm="1">
        <f t="array" ref="F179">IFERROR(INDEX($B$1:$B$301,SMALL(IF($B$1:$B$301&lt;&gt;"",ROW($B$1:$B$301),4^8),ROW(179:179)))&amp;"","")</f>
        <v/>
      </c>
    </row>
    <row r="180" customHeight="1" spans="1:6">
      <c r="A180" s="729">
        <v>179</v>
      </c>
      <c r="B180" s="551" t="str">
        <f>IF(法术书!AM31="","",法术书!AM31)</f>
        <v/>
      </c>
      <c r="C180" s="551" t="str">
        <f>IFERROR(VLOOKUP(B180,法术大全!$A:$W,5,FALSE),"")</f>
        <v/>
      </c>
      <c r="D180" s="730" t="str">
        <f>IFERROR(VLOOKUP(B180,法术大全!$A:$W,4,FALSE),"")</f>
        <v/>
      </c>
      <c r="E180" s="729">
        <v>179</v>
      </c>
      <c r="F180" s="731" t="str" cm="1">
        <f t="array" ref="F180">IFERROR(INDEX($B$1:$B$301,SMALL(IF($B$1:$B$301&lt;&gt;"",ROW($B$1:$B$301),4^8),ROW(180:180)))&amp;"","")</f>
        <v/>
      </c>
    </row>
    <row r="181" customHeight="1" spans="1:6">
      <c r="A181" s="729">
        <v>180</v>
      </c>
      <c r="B181" s="551" t="str">
        <f>IF(法术书!AM32="","",法术书!AM32)</f>
        <v/>
      </c>
      <c r="C181" s="551" t="str">
        <f>IFERROR(VLOOKUP(B181,法术大全!$A:$W,5,FALSE),"")</f>
        <v/>
      </c>
      <c r="D181" s="730" t="str">
        <f>IFERROR(VLOOKUP(B181,法术大全!$A:$W,4,FALSE),"")</f>
        <v/>
      </c>
      <c r="E181" s="729">
        <v>180</v>
      </c>
      <c r="F181" s="731" t="str" cm="1">
        <f t="array" ref="F181">IFERROR(INDEX($B$1:$B$301,SMALL(IF($B$1:$B$301&lt;&gt;"",ROW($B$1:$B$301),4^8),ROW(181:181)))&amp;"","")</f>
        <v/>
      </c>
    </row>
    <row r="182" customHeight="1" spans="1:6">
      <c r="A182" s="729">
        <v>181</v>
      </c>
      <c r="B182" s="551" t="str">
        <f>IF(法术书!AM33="","",法术书!AM33)</f>
        <v/>
      </c>
      <c r="C182" s="551" t="str">
        <f>IFERROR(VLOOKUP(B182,法术大全!$A:$W,5,FALSE),"")</f>
        <v/>
      </c>
      <c r="D182" s="730" t="str">
        <f>IFERROR(VLOOKUP(B182,法术大全!$A:$W,4,FALSE),"")</f>
        <v/>
      </c>
      <c r="E182" s="729">
        <v>181</v>
      </c>
      <c r="F182" s="731" t="str" cm="1">
        <f t="array" ref="F182">IFERROR(INDEX($B$1:$B$301,SMALL(IF($B$1:$B$301&lt;&gt;"",ROW($B$1:$B$301),4^8),ROW(182:182)))&amp;"","")</f>
        <v/>
      </c>
    </row>
    <row r="183" customHeight="1" spans="1:6">
      <c r="A183" s="729">
        <v>182</v>
      </c>
      <c r="B183" s="551" t="str">
        <f>IF(法术书!AM34="","",法术书!AM34)</f>
        <v/>
      </c>
      <c r="C183" s="551" t="str">
        <f>IFERROR(VLOOKUP(B183,法术大全!$A:$W,5,FALSE),"")</f>
        <v/>
      </c>
      <c r="D183" s="730" t="str">
        <f>IFERROR(VLOOKUP(B183,法术大全!$A:$W,4,FALSE),"")</f>
        <v/>
      </c>
      <c r="E183" s="729">
        <v>182</v>
      </c>
      <c r="F183" s="731" t="str" cm="1">
        <f t="array" ref="F183">IFERROR(INDEX($B$1:$B$301,SMALL(IF($B$1:$B$301&lt;&gt;"",ROW($B$1:$B$301),4^8),ROW(183:183)))&amp;"","")</f>
        <v/>
      </c>
    </row>
    <row r="184" customHeight="1" spans="1:6">
      <c r="A184" s="729">
        <v>183</v>
      </c>
      <c r="B184" s="551" t="str">
        <f>IF(法术书!AM35="","",法术书!AM35)</f>
        <v/>
      </c>
      <c r="C184" s="551" t="str">
        <f>IFERROR(VLOOKUP(B184,法术大全!$A:$W,5,FALSE),"")</f>
        <v/>
      </c>
      <c r="D184" s="730" t="str">
        <f>IFERROR(VLOOKUP(B184,法术大全!$A:$W,4,FALSE),"")</f>
        <v/>
      </c>
      <c r="E184" s="729">
        <v>183</v>
      </c>
      <c r="F184" s="731" t="str" cm="1">
        <f t="array" ref="F184">IFERROR(INDEX($B$1:$B$301,SMALL(IF($B$1:$B$301&lt;&gt;"",ROW($B$1:$B$301),4^8),ROW(184:184)))&amp;"","")</f>
        <v/>
      </c>
    </row>
    <row r="185" customHeight="1" spans="1:6">
      <c r="A185" s="729">
        <v>184</v>
      </c>
      <c r="B185" s="551" t="str">
        <f>IF(法术书!AM36="","",法术书!AM36)</f>
        <v/>
      </c>
      <c r="C185" s="551" t="str">
        <f>IFERROR(VLOOKUP(B185,法术大全!$A:$W,5,FALSE),"")</f>
        <v/>
      </c>
      <c r="D185" s="730" t="str">
        <f>IFERROR(VLOOKUP(B185,法术大全!$A:$W,4,FALSE),"")</f>
        <v/>
      </c>
      <c r="E185" s="729">
        <v>184</v>
      </c>
      <c r="F185" s="731" t="str" cm="1">
        <f t="array" ref="F185">IFERROR(INDEX($B$1:$B$301,SMALL(IF($B$1:$B$301&lt;&gt;"",ROW($B$1:$B$301),4^8),ROW(185:185)))&amp;"","")</f>
        <v/>
      </c>
    </row>
    <row r="186" customHeight="1" spans="1:6">
      <c r="A186" s="729">
        <v>185</v>
      </c>
      <c r="B186" s="551" t="str">
        <f>IF(法术书!AM37="","",法术书!AM37)</f>
        <v/>
      </c>
      <c r="C186" s="551" t="str">
        <f>IFERROR(VLOOKUP(B186,法术大全!$A:$W,5,FALSE),"")</f>
        <v/>
      </c>
      <c r="D186" s="730" t="str">
        <f>IFERROR(VLOOKUP(B186,法术大全!$A:$W,4,FALSE),"")</f>
        <v/>
      </c>
      <c r="E186" s="729">
        <v>185</v>
      </c>
      <c r="F186" s="731" t="str" cm="1">
        <f t="array" ref="F186">IFERROR(INDEX($B$1:$B$301,SMALL(IF($B$1:$B$301&lt;&gt;"",ROW($B$1:$B$301),4^8),ROW(186:186)))&amp;"","")</f>
        <v/>
      </c>
    </row>
    <row r="187" customHeight="1" spans="1:6">
      <c r="A187" s="729">
        <v>186</v>
      </c>
      <c r="B187" s="551" t="str">
        <f>IF(法术书!AM38="","",法术书!AM38)</f>
        <v/>
      </c>
      <c r="C187" s="551" t="str">
        <f>IFERROR(VLOOKUP(B187,法术大全!$A:$W,5,FALSE),"")</f>
        <v/>
      </c>
      <c r="D187" s="730" t="str">
        <f>IFERROR(VLOOKUP(B187,法术大全!$A:$W,4,FALSE),"")</f>
        <v/>
      </c>
      <c r="E187" s="729">
        <v>186</v>
      </c>
      <c r="F187" s="731" t="str" cm="1">
        <f t="array" ref="F187">IFERROR(INDEX($B$1:$B$301,SMALL(IF($B$1:$B$301&lt;&gt;"",ROW($B$1:$B$301),4^8),ROW(187:187)))&amp;"","")</f>
        <v/>
      </c>
    </row>
    <row r="188" customHeight="1" spans="1:6">
      <c r="A188" s="729">
        <v>187</v>
      </c>
      <c r="B188" s="551" t="str">
        <f>IF(法术书!AM39="","",法术书!AM39)</f>
        <v/>
      </c>
      <c r="C188" s="551" t="str">
        <f>IFERROR(VLOOKUP(B188,法术大全!$A:$W,5,FALSE),"")</f>
        <v/>
      </c>
      <c r="D188" s="730" t="str">
        <f>IFERROR(VLOOKUP(B188,法术大全!$A:$W,4,FALSE),"")</f>
        <v/>
      </c>
      <c r="E188" s="729">
        <v>187</v>
      </c>
      <c r="F188" s="731" t="str" cm="1">
        <f t="array" ref="F188">IFERROR(INDEX($B$1:$B$301,SMALL(IF($B$1:$B$301&lt;&gt;"",ROW($B$1:$B$301),4^8),ROW(188:188)))&amp;"","")</f>
        <v/>
      </c>
    </row>
    <row r="189" customHeight="1" spans="1:6">
      <c r="A189" s="729">
        <v>188</v>
      </c>
      <c r="B189" s="551" t="str">
        <f>IF(法术书!AM40="","",法术书!AM40)</f>
        <v/>
      </c>
      <c r="C189" s="551" t="str">
        <f>IFERROR(VLOOKUP(B189,法术大全!$A:$W,5,FALSE),"")</f>
        <v/>
      </c>
      <c r="D189" s="730" t="str">
        <f>IFERROR(VLOOKUP(B189,法术大全!$A:$W,4,FALSE),"")</f>
        <v/>
      </c>
      <c r="E189" s="729">
        <v>188</v>
      </c>
      <c r="F189" s="731" t="str" cm="1">
        <f t="array" ref="F189">IFERROR(INDEX($B$1:$B$301,SMALL(IF($B$1:$B$301&lt;&gt;"",ROW($B$1:$B$301),4^8),ROW(189:189)))&amp;"","")</f>
        <v/>
      </c>
    </row>
    <row r="190" customHeight="1" spans="1:6">
      <c r="A190" s="729">
        <v>189</v>
      </c>
      <c r="B190" s="551" t="str">
        <f>IF(法术书!AM41="","",法术书!AM41)</f>
        <v/>
      </c>
      <c r="C190" s="551" t="str">
        <f>IFERROR(VLOOKUP(B190,法术大全!$A:$W,5,FALSE),"")</f>
        <v/>
      </c>
      <c r="D190" s="730" t="str">
        <f>IFERROR(VLOOKUP(B190,法术大全!$A:$W,4,FALSE),"")</f>
        <v/>
      </c>
      <c r="E190" s="729">
        <v>189</v>
      </c>
      <c r="F190" s="731" t="str" cm="1">
        <f t="array" ref="F190">IFERROR(INDEX($B$1:$B$301,SMALL(IF($B$1:$B$301&lt;&gt;"",ROW($B$1:$B$301),4^8),ROW(190:190)))&amp;"","")</f>
        <v/>
      </c>
    </row>
    <row r="191" customHeight="1" spans="1:6">
      <c r="A191" s="729">
        <v>190</v>
      </c>
      <c r="B191" s="551" t="str">
        <f>IF(法术书!AM42="","",法术书!AM42)</f>
        <v/>
      </c>
      <c r="C191" s="551" t="str">
        <f>IFERROR(VLOOKUP(B191,法术大全!$A:$W,5,FALSE),"")</f>
        <v/>
      </c>
      <c r="D191" s="730" t="str">
        <f>IFERROR(VLOOKUP(B191,法术大全!$A:$W,4,FALSE),"")</f>
        <v/>
      </c>
      <c r="E191" s="729">
        <v>190</v>
      </c>
      <c r="F191" s="731" t="str" cm="1">
        <f t="array" ref="F191">IFERROR(INDEX($B$1:$B$301,SMALL(IF($B$1:$B$301&lt;&gt;"",ROW($B$1:$B$301),4^8),ROW(191:191)))&amp;"","")</f>
        <v/>
      </c>
    </row>
    <row r="192" customHeight="1" spans="1:6">
      <c r="A192" s="729">
        <v>191</v>
      </c>
      <c r="B192" s="551" t="str">
        <f>IF(法术书!AM43="","",法术书!AM43)</f>
        <v/>
      </c>
      <c r="C192" s="551" t="str">
        <f>IFERROR(VLOOKUP(B192,法术大全!$A:$W,5,FALSE),"")</f>
        <v/>
      </c>
      <c r="D192" s="730" t="str">
        <f>IFERROR(VLOOKUP(B192,法术大全!$A:$W,4,FALSE),"")</f>
        <v/>
      </c>
      <c r="E192" s="729">
        <v>191</v>
      </c>
      <c r="F192" s="731" t="str" cm="1">
        <f t="array" ref="F192">IFERROR(INDEX($B$1:$B$301,SMALL(IF($B$1:$B$301&lt;&gt;"",ROW($B$1:$B$301),4^8),ROW(192:192)))&amp;"","")</f>
        <v/>
      </c>
    </row>
    <row r="193" customHeight="1" spans="1:6">
      <c r="A193" s="729">
        <v>192</v>
      </c>
      <c r="B193" s="551" t="str">
        <f>IF(法术书!AM44="","",法术书!AM44)</f>
        <v/>
      </c>
      <c r="C193" s="551" t="str">
        <f>IFERROR(VLOOKUP(B193,法术大全!$A:$W,5,FALSE),"")</f>
        <v/>
      </c>
      <c r="D193" s="730" t="str">
        <f>IFERROR(VLOOKUP(B193,法术大全!$A:$W,4,FALSE),"")</f>
        <v/>
      </c>
      <c r="E193" s="729">
        <v>192</v>
      </c>
      <c r="F193" s="731" t="str" cm="1">
        <f t="array" ref="F193">IFERROR(INDEX($B$1:$B$301,SMALL(IF($B$1:$B$301&lt;&gt;"",ROW($B$1:$B$301),4^8),ROW(193:193)))&amp;"","")</f>
        <v/>
      </c>
    </row>
    <row r="194" customHeight="1" spans="1:6">
      <c r="A194" s="729">
        <v>193</v>
      </c>
      <c r="B194" s="551" t="str">
        <f>IF(法术书!AM45="","",法术书!AM45)</f>
        <v/>
      </c>
      <c r="C194" s="551" t="str">
        <f>IFERROR(VLOOKUP(B194,法术大全!$A:$W,5,FALSE),"")</f>
        <v/>
      </c>
      <c r="D194" s="730" t="str">
        <f>IFERROR(VLOOKUP(B194,法术大全!$A:$W,4,FALSE),"")</f>
        <v/>
      </c>
      <c r="E194" s="729">
        <v>193</v>
      </c>
      <c r="F194" s="731" t="str" cm="1">
        <f t="array" ref="F194">IFERROR(INDEX($B$1:$B$301,SMALL(IF($B$1:$B$301&lt;&gt;"",ROW($B$1:$B$301),4^8),ROW(194:194)))&amp;"","")</f>
        <v/>
      </c>
    </row>
    <row r="195" customHeight="1" spans="1:6">
      <c r="A195" s="729">
        <v>194</v>
      </c>
      <c r="B195" s="551" t="str">
        <f>IF(法术书!AM46="","",法术书!AM46)</f>
        <v/>
      </c>
      <c r="C195" s="551" t="str">
        <f>IFERROR(VLOOKUP(B195,法术大全!$A:$W,5,FALSE),"")</f>
        <v/>
      </c>
      <c r="D195" s="730" t="str">
        <f>IFERROR(VLOOKUP(B195,法术大全!$A:$W,4,FALSE),"")</f>
        <v/>
      </c>
      <c r="E195" s="729">
        <v>194</v>
      </c>
      <c r="F195" s="731" t="str" cm="1">
        <f t="array" ref="F195">IFERROR(INDEX($B$1:$B$301,SMALL(IF($B$1:$B$301&lt;&gt;"",ROW($B$1:$B$301),4^8),ROW(195:195)))&amp;"","")</f>
        <v/>
      </c>
    </row>
    <row r="196" customHeight="1" spans="1:6">
      <c r="A196" s="729">
        <v>195</v>
      </c>
      <c r="B196" s="551" t="str">
        <f>IF(法术书!AM47="","",法术书!AM47)</f>
        <v/>
      </c>
      <c r="C196" s="551" t="str">
        <f>IFERROR(VLOOKUP(B196,法术大全!$A:$W,5,FALSE),"")</f>
        <v/>
      </c>
      <c r="D196" s="730" t="str">
        <f>IFERROR(VLOOKUP(B196,法术大全!$A:$W,4,FALSE),"")</f>
        <v/>
      </c>
      <c r="E196" s="729">
        <v>195</v>
      </c>
      <c r="F196" s="731" t="str" cm="1">
        <f t="array" ref="F196">IFERROR(INDEX($B$1:$B$301,SMALL(IF($B$1:$B$301&lt;&gt;"",ROW($B$1:$B$301),4^8),ROW(196:196)))&amp;"","")</f>
        <v/>
      </c>
    </row>
    <row r="197" customHeight="1" spans="1:6">
      <c r="A197" s="729">
        <v>196</v>
      </c>
      <c r="B197" s="551" t="str">
        <f>IF(法术书!AM48="","",法术书!AM48)</f>
        <v/>
      </c>
      <c r="C197" s="551" t="str">
        <f>IFERROR(VLOOKUP(B197,法术大全!$A:$W,5,FALSE),"")</f>
        <v/>
      </c>
      <c r="D197" s="730" t="str">
        <f>IFERROR(VLOOKUP(B197,法术大全!$A:$W,4,FALSE),"")</f>
        <v/>
      </c>
      <c r="E197" s="729">
        <v>196</v>
      </c>
      <c r="F197" s="731" t="str" cm="1">
        <f t="array" ref="F197">IFERROR(INDEX($B$1:$B$301,SMALL(IF($B$1:$B$301&lt;&gt;"",ROW($B$1:$B$301),4^8),ROW(197:197)))&amp;"","")</f>
        <v/>
      </c>
    </row>
    <row r="198" customHeight="1" spans="1:6">
      <c r="A198" s="729">
        <v>197</v>
      </c>
      <c r="B198" s="551" t="str">
        <f>IF(法术书!AM49="","",法术书!AM49)</f>
        <v/>
      </c>
      <c r="C198" s="551" t="str">
        <f>IFERROR(VLOOKUP(B198,法术大全!$A:$W,5,FALSE),"")</f>
        <v/>
      </c>
      <c r="D198" s="730" t="str">
        <f>IFERROR(VLOOKUP(B198,法术大全!$A:$W,4,FALSE),"")</f>
        <v/>
      </c>
      <c r="E198" s="729">
        <v>197</v>
      </c>
      <c r="F198" s="731" t="str" cm="1">
        <f t="array" ref="F198">IFERROR(INDEX($B$1:$B$301,SMALL(IF($B$1:$B$301&lt;&gt;"",ROW($B$1:$B$301),4^8),ROW(198:198)))&amp;"","")</f>
        <v/>
      </c>
    </row>
    <row r="199" customHeight="1" spans="1:6">
      <c r="A199" s="729">
        <v>198</v>
      </c>
      <c r="B199" s="551" t="str">
        <f>IF(法术书!AM50="","",法术书!AM50)</f>
        <v/>
      </c>
      <c r="C199" s="551" t="str">
        <f>IFERROR(VLOOKUP(B199,法术大全!$A:$W,5,FALSE),"")</f>
        <v/>
      </c>
      <c r="D199" s="730" t="str">
        <f>IFERROR(VLOOKUP(B199,法术大全!$A:$W,4,FALSE),"")</f>
        <v/>
      </c>
      <c r="E199" s="729">
        <v>198</v>
      </c>
      <c r="F199" s="731" t="str" cm="1">
        <f t="array" ref="F199">IFERROR(INDEX($B$1:$B$301,SMALL(IF($B$1:$B$301&lt;&gt;"",ROW($B$1:$B$301),4^8),ROW(199:199)))&amp;"","")</f>
        <v/>
      </c>
    </row>
    <row r="200" customHeight="1" spans="1:6">
      <c r="A200" s="729">
        <v>199</v>
      </c>
      <c r="B200" s="551" t="str">
        <f>IF(法术书!AM51="","",法术书!AM51)</f>
        <v/>
      </c>
      <c r="C200" s="551" t="str">
        <f>IFERROR(VLOOKUP(B200,法术大全!$A:$W,5,FALSE),"")</f>
        <v/>
      </c>
      <c r="D200" s="730" t="str">
        <f>IFERROR(VLOOKUP(B200,法术大全!$A:$W,4,FALSE),"")</f>
        <v/>
      </c>
      <c r="E200" s="729">
        <v>199</v>
      </c>
      <c r="F200" s="731" t="str" cm="1">
        <f t="array" ref="F200">IFERROR(INDEX($B$1:$B$301,SMALL(IF($B$1:$B$301&lt;&gt;"",ROW($B$1:$B$301),4^8),ROW(200:200)))&amp;"","")</f>
        <v/>
      </c>
    </row>
    <row r="201" customHeight="1" spans="1:6">
      <c r="A201" s="729">
        <v>200</v>
      </c>
      <c r="B201" s="551" t="str">
        <f>IF(法术书!AM52="","",法术书!AM52)</f>
        <v/>
      </c>
      <c r="C201" s="551" t="str">
        <f>IFERROR(VLOOKUP(B201,法术大全!$A:$W,5,FALSE),"")</f>
        <v/>
      </c>
      <c r="D201" s="730" t="str">
        <f>IFERROR(VLOOKUP(B201,法术大全!$A:$W,4,FALSE),"")</f>
        <v/>
      </c>
      <c r="E201" s="729">
        <v>200</v>
      </c>
      <c r="F201" s="731" t="str" cm="1">
        <f t="array" ref="F201">IFERROR(INDEX($B$1:$B$301,SMALL(IF($B$1:$B$301&lt;&gt;"",ROW($B$1:$B$301),4^8),ROW(201:201)))&amp;"","")</f>
        <v/>
      </c>
    </row>
    <row r="202" customHeight="1" spans="1:6">
      <c r="A202" s="729">
        <v>201</v>
      </c>
      <c r="B202" s="551" t="str">
        <f>IF(法术书!AR3="","",法术书!AR3)</f>
        <v/>
      </c>
      <c r="C202" s="551" t="str">
        <f>IFERROR(VLOOKUP(B202,法术大全!$A:$W,5,FALSE),"")</f>
        <v/>
      </c>
      <c r="D202" s="730" t="str">
        <f>IFERROR(VLOOKUP(B202,法术大全!$A:$W,4,FALSE),"")</f>
        <v/>
      </c>
      <c r="E202" s="729">
        <v>201</v>
      </c>
      <c r="F202" s="731" t="str" cm="1">
        <f t="array" ref="F202">IFERROR(INDEX($B$1:$B$301,SMALL(IF($B$1:$B$301&lt;&gt;"",ROW($B$1:$B$301),4^8),ROW(202:202)))&amp;"","")</f>
        <v/>
      </c>
    </row>
    <row r="203" customHeight="1" spans="1:6">
      <c r="A203" s="729">
        <v>202</v>
      </c>
      <c r="B203" s="551" t="str">
        <f>IF(法术书!AR4="","",法术书!AR4)</f>
        <v/>
      </c>
      <c r="C203" s="551" t="str">
        <f>IFERROR(VLOOKUP(B203,法术大全!$A:$W,5,FALSE),"")</f>
        <v/>
      </c>
      <c r="D203" s="730" t="str">
        <f>IFERROR(VLOOKUP(B203,法术大全!$A:$W,4,FALSE),"")</f>
        <v/>
      </c>
      <c r="E203" s="729">
        <v>202</v>
      </c>
      <c r="F203" s="731" t="str" cm="1">
        <f t="array" ref="F203">IFERROR(INDEX($B$1:$B$301,SMALL(IF($B$1:$B$301&lt;&gt;"",ROW($B$1:$B$301),4^8),ROW(203:203)))&amp;"","")</f>
        <v/>
      </c>
    </row>
    <row r="204" customHeight="1" spans="1:6">
      <c r="A204" s="729">
        <v>203</v>
      </c>
      <c r="B204" s="551" t="str">
        <f>IF(法术书!AR5="","",法术书!AR5)</f>
        <v/>
      </c>
      <c r="C204" s="551" t="str">
        <f>IFERROR(VLOOKUP(B204,法术大全!$A:$W,5,FALSE),"")</f>
        <v/>
      </c>
      <c r="D204" s="730" t="str">
        <f>IFERROR(VLOOKUP(B204,法术大全!$A:$W,4,FALSE),"")</f>
        <v/>
      </c>
      <c r="E204" s="729">
        <v>203</v>
      </c>
      <c r="F204" s="731" t="str" cm="1">
        <f t="array" ref="F204">IFERROR(INDEX($B$1:$B$301,SMALL(IF($B$1:$B$301&lt;&gt;"",ROW($B$1:$B$301),4^8),ROW(204:204)))&amp;"","")</f>
        <v/>
      </c>
    </row>
    <row r="205" customHeight="1" spans="1:6">
      <c r="A205" s="729">
        <v>204</v>
      </c>
      <c r="B205" s="551" t="str">
        <f>IF(法术书!AR6="","",法术书!AR6)</f>
        <v/>
      </c>
      <c r="C205" s="551" t="str">
        <f>IFERROR(VLOOKUP(B205,法术大全!$A:$W,5,FALSE),"")</f>
        <v/>
      </c>
      <c r="D205" s="730" t="str">
        <f>IFERROR(VLOOKUP(B205,法术大全!$A:$W,4,FALSE),"")</f>
        <v/>
      </c>
      <c r="E205" s="729">
        <v>204</v>
      </c>
      <c r="F205" s="731" t="str" cm="1">
        <f t="array" ref="F205">IFERROR(INDEX($B$1:$B$301,SMALL(IF($B$1:$B$301&lt;&gt;"",ROW($B$1:$B$301),4^8),ROW(205:205)))&amp;"","")</f>
        <v/>
      </c>
    </row>
    <row r="206" customHeight="1" spans="1:6">
      <c r="A206" s="729">
        <v>205</v>
      </c>
      <c r="B206" s="551" t="str">
        <f>IF(法术书!AR7="","",法术书!AR7)</f>
        <v/>
      </c>
      <c r="C206" s="551" t="str">
        <f>IFERROR(VLOOKUP(B206,法术大全!$A:$W,5,FALSE),"")</f>
        <v/>
      </c>
      <c r="D206" s="730" t="str">
        <f>IFERROR(VLOOKUP(B206,法术大全!$A:$W,4,FALSE),"")</f>
        <v/>
      </c>
      <c r="E206" s="729">
        <v>205</v>
      </c>
      <c r="F206" s="731" t="str" cm="1">
        <f t="array" ref="F206">IFERROR(INDEX($B$1:$B$301,SMALL(IF($B$1:$B$301&lt;&gt;"",ROW($B$1:$B$301),4^8),ROW(206:206)))&amp;"","")</f>
        <v/>
      </c>
    </row>
    <row r="207" customHeight="1" spans="1:6">
      <c r="A207" s="729">
        <v>206</v>
      </c>
      <c r="B207" s="551" t="str">
        <f>IF(法术书!AR8="","",法术书!AR8)</f>
        <v/>
      </c>
      <c r="C207" s="551" t="str">
        <f>IFERROR(VLOOKUP(B207,法术大全!$A:$W,5,FALSE),"")</f>
        <v/>
      </c>
      <c r="D207" s="730" t="str">
        <f>IFERROR(VLOOKUP(B207,法术大全!$A:$W,4,FALSE),"")</f>
        <v/>
      </c>
      <c r="E207" s="729">
        <v>206</v>
      </c>
      <c r="F207" s="731" t="str" cm="1">
        <f t="array" ref="F207">IFERROR(INDEX($B$1:$B$301,SMALL(IF($B$1:$B$301&lt;&gt;"",ROW($B$1:$B$301),4^8),ROW(207:207)))&amp;"","")</f>
        <v/>
      </c>
    </row>
    <row r="208" customHeight="1" spans="1:6">
      <c r="A208" s="729">
        <v>207</v>
      </c>
      <c r="B208" s="551" t="str">
        <f>IF(法术书!AR9="","",法术书!AR9)</f>
        <v/>
      </c>
      <c r="C208" s="551" t="str">
        <f>IFERROR(VLOOKUP(B208,法术大全!$A:$W,5,FALSE),"")</f>
        <v/>
      </c>
      <c r="D208" s="730" t="str">
        <f>IFERROR(VLOOKUP(B208,法术大全!$A:$W,4,FALSE),"")</f>
        <v/>
      </c>
      <c r="E208" s="729">
        <v>207</v>
      </c>
      <c r="F208" s="731" t="str" cm="1">
        <f t="array" ref="F208">IFERROR(INDEX($B$1:$B$301,SMALL(IF($B$1:$B$301&lt;&gt;"",ROW($B$1:$B$301),4^8),ROW(208:208)))&amp;"","")</f>
        <v/>
      </c>
    </row>
    <row r="209" customHeight="1" spans="1:6">
      <c r="A209" s="729">
        <v>208</v>
      </c>
      <c r="B209" s="551" t="str">
        <f>IF(法术书!AR10="","",法术书!AR10)</f>
        <v/>
      </c>
      <c r="C209" s="551" t="str">
        <f>IFERROR(VLOOKUP(B209,法术大全!$A:$W,5,FALSE),"")</f>
        <v/>
      </c>
      <c r="D209" s="730" t="str">
        <f>IFERROR(VLOOKUP(B209,法术大全!$A:$W,4,FALSE),"")</f>
        <v/>
      </c>
      <c r="E209" s="729">
        <v>208</v>
      </c>
      <c r="F209" s="731" t="str" cm="1">
        <f t="array" ref="F209">IFERROR(INDEX($B$1:$B$301,SMALL(IF($B$1:$B$301&lt;&gt;"",ROW($B$1:$B$301),4^8),ROW(209:209)))&amp;"","")</f>
        <v/>
      </c>
    </row>
    <row r="210" customHeight="1" spans="1:6">
      <c r="A210" s="729">
        <v>209</v>
      </c>
      <c r="B210" s="551" t="str">
        <f>IF(法术书!AR11="","",法术书!AR11)</f>
        <v/>
      </c>
      <c r="C210" s="551" t="str">
        <f>IFERROR(VLOOKUP(B210,法术大全!$A:$W,5,FALSE),"")</f>
        <v/>
      </c>
      <c r="D210" s="730" t="str">
        <f>IFERROR(VLOOKUP(B210,法术大全!$A:$W,4,FALSE),"")</f>
        <v/>
      </c>
      <c r="E210" s="729">
        <v>209</v>
      </c>
      <c r="F210" s="731" t="str" cm="1">
        <f t="array" ref="F210">IFERROR(INDEX($B$1:$B$301,SMALL(IF($B$1:$B$301&lt;&gt;"",ROW($B$1:$B$301),4^8),ROW(210:210)))&amp;"","")</f>
        <v/>
      </c>
    </row>
    <row r="211" customHeight="1" spans="1:6">
      <c r="A211" s="729">
        <v>210</v>
      </c>
      <c r="B211" s="551" t="str">
        <f>IF(法术书!AR12="","",法术书!AR12)</f>
        <v/>
      </c>
      <c r="C211" s="551" t="str">
        <f>IFERROR(VLOOKUP(B211,法术大全!$A:$W,5,FALSE),"")</f>
        <v/>
      </c>
      <c r="D211" s="730" t="str">
        <f>IFERROR(VLOOKUP(B211,法术大全!$A:$W,4,FALSE),"")</f>
        <v/>
      </c>
      <c r="E211" s="729">
        <v>210</v>
      </c>
      <c r="F211" s="731" t="str" cm="1">
        <f t="array" ref="F211">IFERROR(INDEX($B$1:$B$301,SMALL(IF($B$1:$B$301&lt;&gt;"",ROW($B$1:$B$301),4^8),ROW(211:211)))&amp;"","")</f>
        <v/>
      </c>
    </row>
    <row r="212" customHeight="1" spans="1:6">
      <c r="A212" s="729">
        <v>211</v>
      </c>
      <c r="B212" s="551" t="str">
        <f>IF(法术书!AR13="","",法术书!AR13)</f>
        <v/>
      </c>
      <c r="C212" s="551" t="str">
        <f>IFERROR(VLOOKUP(B212,法术大全!$A:$W,5,FALSE),"")</f>
        <v/>
      </c>
      <c r="D212" s="730" t="str">
        <f>IFERROR(VLOOKUP(B212,法术大全!$A:$W,4,FALSE),"")</f>
        <v/>
      </c>
      <c r="E212" s="729">
        <v>211</v>
      </c>
      <c r="F212" s="731" t="str" cm="1">
        <f t="array" ref="F212">IFERROR(INDEX($B$1:$B$301,SMALL(IF($B$1:$B$301&lt;&gt;"",ROW($B$1:$B$301),4^8),ROW(212:212)))&amp;"","")</f>
        <v/>
      </c>
    </row>
    <row r="213" customHeight="1" spans="1:6">
      <c r="A213" s="729">
        <v>212</v>
      </c>
      <c r="B213" s="551" t="str">
        <f>IF(法术书!AR14="","",法术书!AR14)</f>
        <v/>
      </c>
      <c r="C213" s="551" t="str">
        <f>IFERROR(VLOOKUP(B213,法术大全!$A:$W,5,FALSE),"")</f>
        <v/>
      </c>
      <c r="D213" s="730" t="str">
        <f>IFERROR(VLOOKUP(B213,法术大全!$A:$W,4,FALSE),"")</f>
        <v/>
      </c>
      <c r="E213" s="729">
        <v>212</v>
      </c>
      <c r="F213" s="731" t="str" cm="1">
        <f t="array" ref="F213">IFERROR(INDEX($B$1:$B$301,SMALL(IF($B$1:$B$301&lt;&gt;"",ROW($B$1:$B$301),4^8),ROW(213:213)))&amp;"","")</f>
        <v/>
      </c>
    </row>
    <row r="214" customHeight="1" spans="1:6">
      <c r="A214" s="729">
        <v>213</v>
      </c>
      <c r="B214" s="551" t="str">
        <f>IF(法术书!AR15="","",法术书!AR15)</f>
        <v/>
      </c>
      <c r="C214" s="551" t="str">
        <f>IFERROR(VLOOKUP(B214,法术大全!$A:$W,5,FALSE),"")</f>
        <v/>
      </c>
      <c r="D214" s="730" t="str">
        <f>IFERROR(VLOOKUP(B214,法术大全!$A:$W,4,FALSE),"")</f>
        <v/>
      </c>
      <c r="E214" s="729">
        <v>213</v>
      </c>
      <c r="F214" s="731" t="str" cm="1">
        <f t="array" ref="F214">IFERROR(INDEX($B$1:$B$301,SMALL(IF($B$1:$B$301&lt;&gt;"",ROW($B$1:$B$301),4^8),ROW(214:214)))&amp;"","")</f>
        <v/>
      </c>
    </row>
    <row r="215" customHeight="1" spans="1:6">
      <c r="A215" s="729">
        <v>214</v>
      </c>
      <c r="B215" s="551" t="str">
        <f>IF(法术书!AR16="","",法术书!AR16)</f>
        <v/>
      </c>
      <c r="C215" s="551" t="str">
        <f>IFERROR(VLOOKUP(B215,法术大全!$A:$W,5,FALSE),"")</f>
        <v/>
      </c>
      <c r="D215" s="730" t="str">
        <f>IFERROR(VLOOKUP(B215,法术大全!$A:$W,4,FALSE),"")</f>
        <v/>
      </c>
      <c r="E215" s="729">
        <v>214</v>
      </c>
      <c r="F215" s="731" t="str" cm="1">
        <f t="array" ref="F215">IFERROR(INDEX($B$1:$B$301,SMALL(IF($B$1:$B$301&lt;&gt;"",ROW($B$1:$B$301),4^8),ROW(215:215)))&amp;"","")</f>
        <v/>
      </c>
    </row>
    <row r="216" customHeight="1" spans="1:6">
      <c r="A216" s="729">
        <v>215</v>
      </c>
      <c r="B216" s="551" t="str">
        <f>IF(法术书!AR17="","",法术书!AR17)</f>
        <v/>
      </c>
      <c r="C216" s="551" t="str">
        <f>IFERROR(VLOOKUP(B216,法术大全!$A:$W,5,FALSE),"")</f>
        <v/>
      </c>
      <c r="D216" s="730" t="str">
        <f>IFERROR(VLOOKUP(B216,法术大全!$A:$W,4,FALSE),"")</f>
        <v/>
      </c>
      <c r="E216" s="729">
        <v>215</v>
      </c>
      <c r="F216" s="731" t="str" cm="1">
        <f t="array" ref="F216">IFERROR(INDEX($B$1:$B$301,SMALL(IF($B$1:$B$301&lt;&gt;"",ROW($B$1:$B$301),4^8),ROW(216:216)))&amp;"","")</f>
        <v/>
      </c>
    </row>
    <row r="217" customHeight="1" spans="1:6">
      <c r="A217" s="729">
        <v>216</v>
      </c>
      <c r="B217" s="551" t="str">
        <f>IF(法术书!AR18="","",法术书!AR18)</f>
        <v/>
      </c>
      <c r="C217" s="551" t="str">
        <f>IFERROR(VLOOKUP(B217,法术大全!$A:$W,5,FALSE),"")</f>
        <v/>
      </c>
      <c r="D217" s="730" t="str">
        <f>IFERROR(VLOOKUP(B217,法术大全!$A:$W,4,FALSE),"")</f>
        <v/>
      </c>
      <c r="E217" s="729">
        <v>216</v>
      </c>
      <c r="F217" s="731" t="str" cm="1">
        <f t="array" ref="F217">IFERROR(INDEX($B$1:$B$301,SMALL(IF($B$1:$B$301&lt;&gt;"",ROW($B$1:$B$301),4^8),ROW(217:217)))&amp;"","")</f>
        <v/>
      </c>
    </row>
    <row r="218" customHeight="1" spans="1:6">
      <c r="A218" s="729">
        <v>217</v>
      </c>
      <c r="B218" s="551" t="str">
        <f>IF(法术书!AR19="","",法术书!AR19)</f>
        <v/>
      </c>
      <c r="C218" s="551" t="str">
        <f>IFERROR(VLOOKUP(B218,法术大全!$A:$W,5,FALSE),"")</f>
        <v/>
      </c>
      <c r="D218" s="730" t="str">
        <f>IFERROR(VLOOKUP(B218,法术大全!$A:$W,4,FALSE),"")</f>
        <v/>
      </c>
      <c r="E218" s="729">
        <v>217</v>
      </c>
      <c r="F218" s="731" t="str" cm="1">
        <f t="array" ref="F218">IFERROR(INDEX($B$1:$B$301,SMALL(IF($B$1:$B$301&lt;&gt;"",ROW($B$1:$B$301),4^8),ROW(218:218)))&amp;"","")</f>
        <v/>
      </c>
    </row>
    <row r="219" customHeight="1" spans="1:6">
      <c r="A219" s="729">
        <v>218</v>
      </c>
      <c r="B219" s="551" t="str">
        <f>IF(法术书!AR20="","",法术书!AR20)</f>
        <v/>
      </c>
      <c r="C219" s="551" t="str">
        <f>IFERROR(VLOOKUP(B219,法术大全!$A:$W,5,FALSE),"")</f>
        <v/>
      </c>
      <c r="D219" s="730" t="str">
        <f>IFERROR(VLOOKUP(B219,法术大全!$A:$W,4,FALSE),"")</f>
        <v/>
      </c>
      <c r="E219" s="729">
        <v>218</v>
      </c>
      <c r="F219" s="731" t="str" cm="1">
        <f t="array" ref="F219">IFERROR(INDEX($B$1:$B$301,SMALL(IF($B$1:$B$301&lt;&gt;"",ROW($B$1:$B$301),4^8),ROW(219:219)))&amp;"","")</f>
        <v/>
      </c>
    </row>
    <row r="220" customHeight="1" spans="1:6">
      <c r="A220" s="729">
        <v>219</v>
      </c>
      <c r="B220" s="551" t="str">
        <f>IF(法术书!AR21="","",法术书!AR21)</f>
        <v/>
      </c>
      <c r="C220" s="551" t="str">
        <f>IFERROR(VLOOKUP(B220,法术大全!$A:$W,5,FALSE),"")</f>
        <v/>
      </c>
      <c r="D220" s="730" t="str">
        <f>IFERROR(VLOOKUP(B220,法术大全!$A:$W,4,FALSE),"")</f>
        <v/>
      </c>
      <c r="E220" s="729">
        <v>219</v>
      </c>
      <c r="F220" s="731" t="str" cm="1">
        <f t="array" ref="F220">IFERROR(INDEX($B$1:$B$301,SMALL(IF($B$1:$B$301&lt;&gt;"",ROW($B$1:$B$301),4^8),ROW(220:220)))&amp;"","")</f>
        <v/>
      </c>
    </row>
    <row r="221" customHeight="1" spans="1:6">
      <c r="A221" s="729">
        <v>220</v>
      </c>
      <c r="B221" s="551" t="str">
        <f>IF(法术书!AR22="","",法术书!AR22)</f>
        <v/>
      </c>
      <c r="C221" s="551" t="str">
        <f>IFERROR(VLOOKUP(B221,法术大全!$A:$W,5,FALSE),"")</f>
        <v/>
      </c>
      <c r="D221" s="730" t="str">
        <f>IFERROR(VLOOKUP(B221,法术大全!$A:$W,4,FALSE),"")</f>
        <v/>
      </c>
      <c r="E221" s="729">
        <v>220</v>
      </c>
      <c r="F221" s="731" t="str" cm="1">
        <f t="array" ref="F221">IFERROR(INDEX($B$1:$B$301,SMALL(IF($B$1:$B$301&lt;&gt;"",ROW($B$1:$B$301),4^8),ROW(221:221)))&amp;"","")</f>
        <v/>
      </c>
    </row>
    <row r="222" customHeight="1" spans="1:6">
      <c r="A222" s="729">
        <v>221</v>
      </c>
      <c r="B222" s="551" t="str">
        <f>IF(法术书!AR23="","",法术书!AR23)</f>
        <v/>
      </c>
      <c r="C222" s="551" t="str">
        <f>IFERROR(VLOOKUP(B222,法术大全!$A:$W,5,FALSE),"")</f>
        <v/>
      </c>
      <c r="D222" s="730" t="str">
        <f>IFERROR(VLOOKUP(B222,法术大全!$A:$W,4,FALSE),"")</f>
        <v/>
      </c>
      <c r="E222" s="729">
        <v>221</v>
      </c>
      <c r="F222" s="731" t="str" cm="1">
        <f t="array" ref="F222">IFERROR(INDEX($B$1:$B$301,SMALL(IF($B$1:$B$301&lt;&gt;"",ROW($B$1:$B$301),4^8),ROW(222:222)))&amp;"","")</f>
        <v/>
      </c>
    </row>
    <row r="223" customHeight="1" spans="1:6">
      <c r="A223" s="729">
        <v>222</v>
      </c>
      <c r="B223" s="551" t="str">
        <f>IF(法术书!AR24="","",法术书!AR24)</f>
        <v/>
      </c>
      <c r="C223" s="551" t="str">
        <f>IFERROR(VLOOKUP(B223,法术大全!$A:$W,5,FALSE),"")</f>
        <v/>
      </c>
      <c r="D223" s="730" t="str">
        <f>IFERROR(VLOOKUP(B223,法术大全!$A:$W,4,FALSE),"")</f>
        <v/>
      </c>
      <c r="E223" s="729">
        <v>222</v>
      </c>
      <c r="F223" s="731" t="str" cm="1">
        <f t="array" ref="F223">IFERROR(INDEX($B$1:$B$301,SMALL(IF($B$1:$B$301&lt;&gt;"",ROW($B$1:$B$301),4^8),ROW(223:223)))&amp;"","")</f>
        <v/>
      </c>
    </row>
    <row r="224" customHeight="1" spans="1:6">
      <c r="A224" s="729">
        <v>223</v>
      </c>
      <c r="B224" s="551" t="str">
        <f>IF(法术书!AR25="","",法术书!AR25)</f>
        <v/>
      </c>
      <c r="C224" s="551" t="str">
        <f>IFERROR(VLOOKUP(B224,法术大全!$A:$W,5,FALSE),"")</f>
        <v/>
      </c>
      <c r="D224" s="730" t="str">
        <f>IFERROR(VLOOKUP(B224,法术大全!$A:$W,4,FALSE),"")</f>
        <v/>
      </c>
      <c r="E224" s="729">
        <v>223</v>
      </c>
      <c r="F224" s="731" t="str" cm="1">
        <f t="array" ref="F224">IFERROR(INDEX($B$1:$B$301,SMALL(IF($B$1:$B$301&lt;&gt;"",ROW($B$1:$B$301),4^8),ROW(224:224)))&amp;"","")</f>
        <v/>
      </c>
    </row>
    <row r="225" customHeight="1" spans="1:6">
      <c r="A225" s="729">
        <v>224</v>
      </c>
      <c r="B225" s="551" t="str">
        <f>IF(法术书!AR26="","",法术书!AR26)</f>
        <v/>
      </c>
      <c r="C225" s="551" t="str">
        <f>IFERROR(VLOOKUP(B225,法术大全!$A:$W,5,FALSE),"")</f>
        <v/>
      </c>
      <c r="D225" s="730" t="str">
        <f>IFERROR(VLOOKUP(B225,法术大全!$A:$W,4,FALSE),"")</f>
        <v/>
      </c>
      <c r="E225" s="729">
        <v>224</v>
      </c>
      <c r="F225" s="731" t="str" cm="1">
        <f t="array" ref="F225">IFERROR(INDEX($B$1:$B$301,SMALL(IF($B$1:$B$301&lt;&gt;"",ROW($B$1:$B$301),4^8),ROW(225:225)))&amp;"","")</f>
        <v/>
      </c>
    </row>
    <row r="226" customHeight="1" spans="1:6">
      <c r="A226" s="729">
        <v>225</v>
      </c>
      <c r="B226" s="551" t="str">
        <f>IF(法术书!AR27="","",法术书!AR27)</f>
        <v/>
      </c>
      <c r="C226" s="551" t="str">
        <f>IFERROR(VLOOKUP(B226,法术大全!$A:$W,5,FALSE),"")</f>
        <v/>
      </c>
      <c r="D226" s="730" t="str">
        <f>IFERROR(VLOOKUP(B226,法术大全!$A:$W,4,FALSE),"")</f>
        <v/>
      </c>
      <c r="E226" s="729">
        <v>225</v>
      </c>
      <c r="F226" s="731" t="str" cm="1">
        <f t="array" ref="F226">IFERROR(INDEX($B$1:$B$301,SMALL(IF($B$1:$B$301&lt;&gt;"",ROW($B$1:$B$301),4^8),ROW(226:226)))&amp;"","")</f>
        <v/>
      </c>
    </row>
    <row r="227" customHeight="1" spans="1:6">
      <c r="A227" s="729">
        <v>226</v>
      </c>
      <c r="B227" s="551" t="str">
        <f>IF(法术书!AR28="","",法术书!AR28)</f>
        <v/>
      </c>
      <c r="C227" s="551" t="str">
        <f>IFERROR(VLOOKUP(B227,法术大全!$A:$W,5,FALSE),"")</f>
        <v/>
      </c>
      <c r="D227" s="730" t="str">
        <f>IFERROR(VLOOKUP(B227,法术大全!$A:$W,4,FALSE),"")</f>
        <v/>
      </c>
      <c r="E227" s="729">
        <v>226</v>
      </c>
      <c r="F227" s="731" t="str" cm="1">
        <f t="array" ref="F227">IFERROR(INDEX($B$1:$B$301,SMALL(IF($B$1:$B$301&lt;&gt;"",ROW($B$1:$B$301),4^8),ROW(227:227)))&amp;"","")</f>
        <v/>
      </c>
    </row>
    <row r="228" customHeight="1" spans="1:6">
      <c r="A228" s="729">
        <v>227</v>
      </c>
      <c r="B228" s="551" t="str">
        <f>IF(法术书!AR29="","",法术书!AR29)</f>
        <v/>
      </c>
      <c r="C228" s="551" t="str">
        <f>IFERROR(VLOOKUP(B228,法术大全!$A:$W,5,FALSE),"")</f>
        <v/>
      </c>
      <c r="D228" s="730" t="str">
        <f>IFERROR(VLOOKUP(B228,法术大全!$A:$W,4,FALSE),"")</f>
        <v/>
      </c>
      <c r="E228" s="729">
        <v>227</v>
      </c>
      <c r="F228" s="731" t="str" cm="1">
        <f t="array" ref="F228">IFERROR(INDEX($B$1:$B$301,SMALL(IF($B$1:$B$301&lt;&gt;"",ROW($B$1:$B$301),4^8),ROW(228:228)))&amp;"","")</f>
        <v/>
      </c>
    </row>
    <row r="229" customHeight="1" spans="1:6">
      <c r="A229" s="729">
        <v>228</v>
      </c>
      <c r="B229" s="551" t="str">
        <f>IF(法术书!AR30="","",法术书!AR30)</f>
        <v/>
      </c>
      <c r="C229" s="551" t="str">
        <f>IFERROR(VLOOKUP(B229,法术大全!$A:$W,5,FALSE),"")</f>
        <v/>
      </c>
      <c r="D229" s="730" t="str">
        <f>IFERROR(VLOOKUP(B229,法术大全!$A:$W,4,FALSE),"")</f>
        <v/>
      </c>
      <c r="E229" s="729">
        <v>228</v>
      </c>
      <c r="F229" s="731" t="str" cm="1">
        <f t="array" ref="F229">IFERROR(INDEX($B$1:$B$301,SMALL(IF($B$1:$B$301&lt;&gt;"",ROW($B$1:$B$301),4^8),ROW(229:229)))&amp;"","")</f>
        <v/>
      </c>
    </row>
    <row r="230" customHeight="1" spans="1:6">
      <c r="A230" s="729">
        <v>229</v>
      </c>
      <c r="B230" s="551" t="str">
        <f>IF(法术书!AR31="","",法术书!AR31)</f>
        <v/>
      </c>
      <c r="C230" s="551" t="str">
        <f>IFERROR(VLOOKUP(B230,法术大全!$A:$W,5,FALSE),"")</f>
        <v/>
      </c>
      <c r="D230" s="730" t="str">
        <f>IFERROR(VLOOKUP(B230,法术大全!$A:$W,4,FALSE),"")</f>
        <v/>
      </c>
      <c r="E230" s="729">
        <v>229</v>
      </c>
      <c r="F230" s="731" t="str" cm="1">
        <f t="array" ref="F230">IFERROR(INDEX($B$1:$B$301,SMALL(IF($B$1:$B$301&lt;&gt;"",ROW($B$1:$B$301),4^8),ROW(230:230)))&amp;"","")</f>
        <v/>
      </c>
    </row>
    <row r="231" customHeight="1" spans="1:6">
      <c r="A231" s="729">
        <v>230</v>
      </c>
      <c r="B231" s="551" t="str">
        <f>IF(法术书!AR32="","",法术书!AR32)</f>
        <v/>
      </c>
      <c r="C231" s="551" t="str">
        <f>IFERROR(VLOOKUP(B231,法术大全!$A:$W,5,FALSE),"")</f>
        <v/>
      </c>
      <c r="D231" s="730" t="str">
        <f>IFERROR(VLOOKUP(B231,法术大全!$A:$W,4,FALSE),"")</f>
        <v/>
      </c>
      <c r="E231" s="729">
        <v>230</v>
      </c>
      <c r="F231" s="731" t="str" cm="1">
        <f t="array" ref="F231">IFERROR(INDEX($B$1:$B$301,SMALL(IF($B$1:$B$301&lt;&gt;"",ROW($B$1:$B$301),4^8),ROW(231:231)))&amp;"","")</f>
        <v/>
      </c>
    </row>
    <row r="232" customHeight="1" spans="1:6">
      <c r="A232" s="729">
        <v>231</v>
      </c>
      <c r="B232" s="551" t="str">
        <f>IF(法术书!AR33="","",法术书!AR33)</f>
        <v/>
      </c>
      <c r="C232" s="551" t="str">
        <f>IFERROR(VLOOKUP(B232,法术大全!$A:$W,5,FALSE),"")</f>
        <v/>
      </c>
      <c r="D232" s="730" t="str">
        <f>IFERROR(VLOOKUP(B232,法术大全!$A:$W,4,FALSE),"")</f>
        <v/>
      </c>
      <c r="E232" s="729">
        <v>231</v>
      </c>
      <c r="F232" s="731" t="str" cm="1">
        <f t="array" ref="F232">IFERROR(INDEX($B$1:$B$301,SMALL(IF($B$1:$B$301&lt;&gt;"",ROW($B$1:$B$301),4^8),ROW(232:232)))&amp;"","")</f>
        <v/>
      </c>
    </row>
    <row r="233" customHeight="1" spans="1:6">
      <c r="A233" s="729">
        <v>232</v>
      </c>
      <c r="B233" s="551" t="str">
        <f>IF(法术书!AR34="","",法术书!AR34)</f>
        <v/>
      </c>
      <c r="C233" s="551" t="str">
        <f>IFERROR(VLOOKUP(B233,法术大全!$A:$W,5,FALSE),"")</f>
        <v/>
      </c>
      <c r="D233" s="730" t="str">
        <f>IFERROR(VLOOKUP(B233,法术大全!$A:$W,4,FALSE),"")</f>
        <v/>
      </c>
      <c r="E233" s="729">
        <v>232</v>
      </c>
      <c r="F233" s="731" t="str" cm="1">
        <f t="array" ref="F233">IFERROR(INDEX($B$1:$B$301,SMALL(IF($B$1:$B$301&lt;&gt;"",ROW($B$1:$B$301),4^8),ROW(233:233)))&amp;"","")</f>
        <v/>
      </c>
    </row>
    <row r="234" customHeight="1" spans="1:6">
      <c r="A234" s="729">
        <v>233</v>
      </c>
      <c r="B234" s="551" t="str">
        <f>IF(法术书!AR35="","",法术书!AR35)</f>
        <v/>
      </c>
      <c r="C234" s="551" t="str">
        <f>IFERROR(VLOOKUP(B234,法术大全!$A:$W,5,FALSE),"")</f>
        <v/>
      </c>
      <c r="D234" s="730" t="str">
        <f>IFERROR(VLOOKUP(B234,法术大全!$A:$W,4,FALSE),"")</f>
        <v/>
      </c>
      <c r="E234" s="729">
        <v>233</v>
      </c>
      <c r="F234" s="731" t="str" cm="1">
        <f t="array" ref="F234">IFERROR(INDEX($B$1:$B$301,SMALL(IF($B$1:$B$301&lt;&gt;"",ROW($B$1:$B$301),4^8),ROW(234:234)))&amp;"","")</f>
        <v/>
      </c>
    </row>
    <row r="235" customHeight="1" spans="1:6">
      <c r="A235" s="729">
        <v>234</v>
      </c>
      <c r="B235" s="551" t="str">
        <f>IF(法术书!AR36="","",法术书!AR36)</f>
        <v/>
      </c>
      <c r="C235" s="551" t="str">
        <f>IFERROR(VLOOKUP(B235,法术大全!$A:$W,5,FALSE),"")</f>
        <v/>
      </c>
      <c r="D235" s="730" t="str">
        <f>IFERROR(VLOOKUP(B235,法术大全!$A:$W,4,FALSE),"")</f>
        <v/>
      </c>
      <c r="E235" s="729">
        <v>234</v>
      </c>
      <c r="F235" s="731" t="str" cm="1">
        <f t="array" ref="F235">IFERROR(INDEX($B$1:$B$301,SMALL(IF($B$1:$B$301&lt;&gt;"",ROW($B$1:$B$301),4^8),ROW(235:235)))&amp;"","")</f>
        <v/>
      </c>
    </row>
    <row r="236" customHeight="1" spans="1:6">
      <c r="A236" s="729">
        <v>235</v>
      </c>
      <c r="B236" s="551" t="str">
        <f>IF(法术书!AR37="","",法术书!AR37)</f>
        <v/>
      </c>
      <c r="C236" s="551" t="str">
        <f>IFERROR(VLOOKUP(B236,法术大全!$A:$W,5,FALSE),"")</f>
        <v/>
      </c>
      <c r="D236" s="730" t="str">
        <f>IFERROR(VLOOKUP(B236,法术大全!$A:$W,4,FALSE),"")</f>
        <v/>
      </c>
      <c r="E236" s="729">
        <v>235</v>
      </c>
      <c r="F236" s="731" t="str" cm="1">
        <f t="array" ref="F236">IFERROR(INDEX($B$1:$B$301,SMALL(IF($B$1:$B$301&lt;&gt;"",ROW($B$1:$B$301),4^8),ROW(236:236)))&amp;"","")</f>
        <v/>
      </c>
    </row>
    <row r="237" customHeight="1" spans="1:6">
      <c r="A237" s="729">
        <v>236</v>
      </c>
      <c r="B237" s="551" t="str">
        <f>IF(法术书!AR38="","",法术书!AR38)</f>
        <v/>
      </c>
      <c r="C237" s="551" t="str">
        <f>IFERROR(VLOOKUP(B237,法术大全!$A:$W,5,FALSE),"")</f>
        <v/>
      </c>
      <c r="D237" s="730" t="str">
        <f>IFERROR(VLOOKUP(B237,法术大全!$A:$W,4,FALSE),"")</f>
        <v/>
      </c>
      <c r="E237" s="729">
        <v>236</v>
      </c>
      <c r="F237" s="731" t="str" cm="1">
        <f t="array" ref="F237">IFERROR(INDEX($B$1:$B$301,SMALL(IF($B$1:$B$301&lt;&gt;"",ROW($B$1:$B$301),4^8),ROW(237:237)))&amp;"","")</f>
        <v/>
      </c>
    </row>
    <row r="238" customHeight="1" spans="1:6">
      <c r="A238" s="729">
        <v>237</v>
      </c>
      <c r="B238" s="551" t="str">
        <f>IF(法术书!AR39="","",法术书!AR39)</f>
        <v/>
      </c>
      <c r="C238" s="551" t="str">
        <f>IFERROR(VLOOKUP(B238,法术大全!$A:$W,5,FALSE),"")</f>
        <v/>
      </c>
      <c r="D238" s="730" t="str">
        <f>IFERROR(VLOOKUP(B238,法术大全!$A:$W,4,FALSE),"")</f>
        <v/>
      </c>
      <c r="E238" s="729">
        <v>237</v>
      </c>
      <c r="F238" s="731" t="str" cm="1">
        <f t="array" ref="F238">IFERROR(INDEX($B$1:$B$301,SMALL(IF($B$1:$B$301&lt;&gt;"",ROW($B$1:$B$301),4^8),ROW(238:238)))&amp;"","")</f>
        <v/>
      </c>
    </row>
    <row r="239" customHeight="1" spans="1:6">
      <c r="A239" s="729">
        <v>238</v>
      </c>
      <c r="B239" s="551" t="str">
        <f>IF(法术书!AR40="","",法术书!AR40)</f>
        <v/>
      </c>
      <c r="C239" s="551" t="str">
        <f>IFERROR(VLOOKUP(B239,法术大全!$A:$W,5,FALSE),"")</f>
        <v/>
      </c>
      <c r="D239" s="730" t="str">
        <f>IFERROR(VLOOKUP(B239,法术大全!$A:$W,4,FALSE),"")</f>
        <v/>
      </c>
      <c r="E239" s="729">
        <v>238</v>
      </c>
      <c r="F239" s="731" t="str" cm="1">
        <f t="array" ref="F239">IFERROR(INDEX($B$1:$B$301,SMALL(IF($B$1:$B$301&lt;&gt;"",ROW($B$1:$B$301),4^8),ROW(239:239)))&amp;"","")</f>
        <v/>
      </c>
    </row>
    <row r="240" customHeight="1" spans="1:6">
      <c r="A240" s="729">
        <v>239</v>
      </c>
      <c r="B240" s="551" t="str">
        <f>IF(法术书!AR41="","",法术书!AR41)</f>
        <v/>
      </c>
      <c r="C240" s="551" t="str">
        <f>IFERROR(VLOOKUP(B240,法术大全!$A:$W,5,FALSE),"")</f>
        <v/>
      </c>
      <c r="D240" s="730" t="str">
        <f>IFERROR(VLOOKUP(B240,法术大全!$A:$W,4,FALSE),"")</f>
        <v/>
      </c>
      <c r="E240" s="729">
        <v>239</v>
      </c>
      <c r="F240" s="731" t="str" cm="1">
        <f t="array" ref="F240">IFERROR(INDEX($B$1:$B$301,SMALL(IF($B$1:$B$301&lt;&gt;"",ROW($B$1:$B$301),4^8),ROW(240:240)))&amp;"","")</f>
        <v/>
      </c>
    </row>
    <row r="241" customHeight="1" spans="1:6">
      <c r="A241" s="729">
        <v>240</v>
      </c>
      <c r="B241" s="551" t="str">
        <f>IF(法术书!AR42="","",法术书!AR42)</f>
        <v/>
      </c>
      <c r="C241" s="551" t="str">
        <f>IFERROR(VLOOKUP(B241,法术大全!$A:$W,5,FALSE),"")</f>
        <v/>
      </c>
      <c r="D241" s="730" t="str">
        <f>IFERROR(VLOOKUP(B241,法术大全!$A:$W,4,FALSE),"")</f>
        <v/>
      </c>
      <c r="E241" s="729">
        <v>240</v>
      </c>
      <c r="F241" s="731" t="str" cm="1">
        <f t="array" ref="F241">IFERROR(INDEX($B$1:$B$301,SMALL(IF($B$1:$B$301&lt;&gt;"",ROW($B$1:$B$301),4^8),ROW(241:241)))&amp;"","")</f>
        <v/>
      </c>
    </row>
    <row r="242" customHeight="1" spans="1:6">
      <c r="A242" s="729">
        <v>241</v>
      </c>
      <c r="B242" s="551" t="str">
        <f>IF(法术书!AR43="","",法术书!AR43)</f>
        <v/>
      </c>
      <c r="C242" s="551" t="str">
        <f>IFERROR(VLOOKUP(B242,法术大全!$A:$W,5,FALSE),"")</f>
        <v/>
      </c>
      <c r="D242" s="730" t="str">
        <f>IFERROR(VLOOKUP(B242,法术大全!$A:$W,4,FALSE),"")</f>
        <v/>
      </c>
      <c r="E242" s="729">
        <v>241</v>
      </c>
      <c r="F242" s="731" t="str" cm="1">
        <f t="array" ref="F242">IFERROR(INDEX($B$1:$B$301,SMALL(IF($B$1:$B$301&lt;&gt;"",ROW($B$1:$B$301),4^8),ROW(242:242)))&amp;"","")</f>
        <v/>
      </c>
    </row>
    <row r="243" customHeight="1" spans="1:6">
      <c r="A243" s="729">
        <v>242</v>
      </c>
      <c r="B243" s="551" t="str">
        <f>IF(法术书!AR44="","",法术书!AR44)</f>
        <v/>
      </c>
      <c r="C243" s="551" t="str">
        <f>IFERROR(VLOOKUP(B243,法术大全!$A:$W,5,FALSE),"")</f>
        <v/>
      </c>
      <c r="D243" s="730" t="str">
        <f>IFERROR(VLOOKUP(B243,法术大全!$A:$W,4,FALSE),"")</f>
        <v/>
      </c>
      <c r="E243" s="729">
        <v>242</v>
      </c>
      <c r="F243" s="731" t="str" cm="1">
        <f t="array" ref="F243">IFERROR(INDEX($B$1:$B$301,SMALL(IF($B$1:$B$301&lt;&gt;"",ROW($B$1:$B$301),4^8),ROW(243:243)))&amp;"","")</f>
        <v/>
      </c>
    </row>
    <row r="244" customHeight="1" spans="1:6">
      <c r="A244" s="729">
        <v>243</v>
      </c>
      <c r="B244" s="551" t="str">
        <f>IF(法术书!AR45="","",法术书!AR45)</f>
        <v/>
      </c>
      <c r="C244" s="551" t="str">
        <f>IFERROR(VLOOKUP(B244,法术大全!$A:$W,5,FALSE),"")</f>
        <v/>
      </c>
      <c r="D244" s="730" t="str">
        <f>IFERROR(VLOOKUP(B244,法术大全!$A:$W,4,FALSE),"")</f>
        <v/>
      </c>
      <c r="E244" s="729">
        <v>243</v>
      </c>
      <c r="F244" s="731" t="str" cm="1">
        <f t="array" ref="F244">IFERROR(INDEX($B$1:$B$301,SMALL(IF($B$1:$B$301&lt;&gt;"",ROW($B$1:$B$301),4^8),ROW(244:244)))&amp;"","")</f>
        <v/>
      </c>
    </row>
    <row r="245" customHeight="1" spans="1:6">
      <c r="A245" s="729">
        <v>244</v>
      </c>
      <c r="B245" s="551" t="str">
        <f>IF(法术书!AR46="","",法术书!AR46)</f>
        <v/>
      </c>
      <c r="C245" s="551" t="str">
        <f>IFERROR(VLOOKUP(B245,法术大全!$A:$W,5,FALSE),"")</f>
        <v/>
      </c>
      <c r="D245" s="730" t="str">
        <f>IFERROR(VLOOKUP(B245,法术大全!$A:$W,4,FALSE),"")</f>
        <v/>
      </c>
      <c r="E245" s="729">
        <v>244</v>
      </c>
      <c r="F245" s="731" t="str" cm="1">
        <f t="array" ref="F245">IFERROR(INDEX($B$1:$B$301,SMALL(IF($B$1:$B$301&lt;&gt;"",ROW($B$1:$B$301),4^8),ROW(245:245)))&amp;"","")</f>
        <v/>
      </c>
    </row>
    <row r="246" customHeight="1" spans="1:6">
      <c r="A246" s="729">
        <v>245</v>
      </c>
      <c r="B246" s="551" t="str">
        <f>IF(法术书!AR47="","",法术书!AR47)</f>
        <v/>
      </c>
      <c r="C246" s="551" t="str">
        <f>IFERROR(VLOOKUP(B246,法术大全!$A:$W,5,FALSE),"")</f>
        <v/>
      </c>
      <c r="D246" s="730" t="str">
        <f>IFERROR(VLOOKUP(B246,法术大全!$A:$W,4,FALSE),"")</f>
        <v/>
      </c>
      <c r="E246" s="729">
        <v>245</v>
      </c>
      <c r="F246" s="731" t="str" cm="1">
        <f t="array" ref="F246">IFERROR(INDEX($B$1:$B$301,SMALL(IF($B$1:$B$301&lt;&gt;"",ROW($B$1:$B$301),4^8),ROW(246:246)))&amp;"","")</f>
        <v/>
      </c>
    </row>
    <row r="247" customHeight="1" spans="1:6">
      <c r="A247" s="729">
        <v>246</v>
      </c>
      <c r="B247" s="551" t="str">
        <f>IF(法术书!AR48="","",法术书!AR48)</f>
        <v/>
      </c>
      <c r="C247" s="551" t="str">
        <f>IFERROR(VLOOKUP(B247,法术大全!$A:$W,5,FALSE),"")</f>
        <v/>
      </c>
      <c r="D247" s="730" t="str">
        <f>IFERROR(VLOOKUP(B247,法术大全!$A:$W,4,FALSE),"")</f>
        <v/>
      </c>
      <c r="E247" s="729">
        <v>246</v>
      </c>
      <c r="F247" s="731" t="str" cm="1">
        <f t="array" ref="F247">IFERROR(INDEX($B$1:$B$301,SMALL(IF($B$1:$B$301&lt;&gt;"",ROW($B$1:$B$301),4^8),ROW(247:247)))&amp;"","")</f>
        <v/>
      </c>
    </row>
    <row r="248" customHeight="1" spans="1:6">
      <c r="A248" s="729">
        <v>247</v>
      </c>
      <c r="B248" s="551" t="str">
        <f>IF(法术书!AR49="","",法术书!AR49)</f>
        <v/>
      </c>
      <c r="C248" s="551" t="str">
        <f>IFERROR(VLOOKUP(B248,法术大全!$A:$W,5,FALSE),"")</f>
        <v/>
      </c>
      <c r="D248" s="730" t="str">
        <f>IFERROR(VLOOKUP(B248,法术大全!$A:$W,4,FALSE),"")</f>
        <v/>
      </c>
      <c r="E248" s="729">
        <v>247</v>
      </c>
      <c r="F248" s="731" t="str" cm="1">
        <f t="array" ref="F248">IFERROR(INDEX($B$1:$B$301,SMALL(IF($B$1:$B$301&lt;&gt;"",ROW($B$1:$B$301),4^8),ROW(248:248)))&amp;"","")</f>
        <v/>
      </c>
    </row>
    <row r="249" customHeight="1" spans="1:6">
      <c r="A249" s="729">
        <v>248</v>
      </c>
      <c r="B249" s="551" t="str">
        <f>IF(法术书!AR50="","",法术书!AR50)</f>
        <v/>
      </c>
      <c r="C249" s="551" t="str">
        <f>IFERROR(VLOOKUP(B249,法术大全!$A:$W,5,FALSE),"")</f>
        <v/>
      </c>
      <c r="D249" s="730" t="str">
        <f>IFERROR(VLOOKUP(B249,法术大全!$A:$W,4,FALSE),"")</f>
        <v/>
      </c>
      <c r="E249" s="729">
        <v>248</v>
      </c>
      <c r="F249" s="731" t="str" cm="1">
        <f t="array" ref="F249">IFERROR(INDEX($B$1:$B$301,SMALL(IF($B$1:$B$301&lt;&gt;"",ROW($B$1:$B$301),4^8),ROW(249:249)))&amp;"","")</f>
        <v/>
      </c>
    </row>
    <row r="250" customHeight="1" spans="1:6">
      <c r="A250" s="729">
        <v>249</v>
      </c>
      <c r="B250" s="551" t="str">
        <f>IF(法术书!AR51="","",法术书!AR51)</f>
        <v/>
      </c>
      <c r="C250" s="551" t="str">
        <f>IFERROR(VLOOKUP(B250,法术大全!$A:$W,5,FALSE),"")</f>
        <v/>
      </c>
      <c r="D250" s="730" t="str">
        <f>IFERROR(VLOOKUP(B250,法术大全!$A:$W,4,FALSE),"")</f>
        <v/>
      </c>
      <c r="E250" s="729">
        <v>249</v>
      </c>
      <c r="F250" s="731" t="str" cm="1">
        <f t="array" ref="F250">IFERROR(INDEX($B$1:$B$301,SMALL(IF($B$1:$B$301&lt;&gt;"",ROW($B$1:$B$301),4^8),ROW(250:250)))&amp;"","")</f>
        <v/>
      </c>
    </row>
    <row r="251" customHeight="1" spans="1:6">
      <c r="A251" s="729">
        <v>250</v>
      </c>
      <c r="B251" s="551" t="str">
        <f>IF(法术书!AR52="","",法术书!AR52)</f>
        <v/>
      </c>
      <c r="C251" s="551" t="str">
        <f>IFERROR(VLOOKUP(B251,法术大全!$A:$W,5,FALSE),"")</f>
        <v/>
      </c>
      <c r="D251" s="730" t="str">
        <f>IFERROR(VLOOKUP(B251,法术大全!$A:$W,4,FALSE),"")</f>
        <v/>
      </c>
      <c r="E251" s="729">
        <v>250</v>
      </c>
      <c r="F251" s="731" t="str" cm="1">
        <f t="array" ref="F251">IFERROR(INDEX($B$1:$B$301,SMALL(IF($B$1:$B$301&lt;&gt;"",ROW($B$1:$B$301),4^8),ROW(251:251)))&amp;"","")</f>
        <v/>
      </c>
    </row>
    <row r="252" customHeight="1" spans="1:6">
      <c r="A252" s="729">
        <v>251</v>
      </c>
      <c r="B252" s="551" t="str">
        <f>IF(法术书!AW3="","",法术书!AW3)</f>
        <v/>
      </c>
      <c r="C252" s="551" t="str">
        <f>IFERROR(VLOOKUP(B252,法术大全!$A:$W,5,FALSE),"")</f>
        <v/>
      </c>
      <c r="D252" s="730" t="str">
        <f>IFERROR(VLOOKUP(B252,法术大全!$A:$W,4,FALSE),"")</f>
        <v/>
      </c>
      <c r="E252" s="729">
        <v>251</v>
      </c>
      <c r="F252" s="731" t="str" cm="1">
        <f t="array" ref="F252">IFERROR(INDEX($B$1:$B$301,SMALL(IF($B$1:$B$301&lt;&gt;"",ROW($B$1:$B$301),4^8),ROW(252:252)))&amp;"","")</f>
        <v/>
      </c>
    </row>
    <row r="253" customHeight="1" spans="1:6">
      <c r="A253" s="729">
        <v>252</v>
      </c>
      <c r="B253" s="551" t="str">
        <f>IF(法术书!AW4="","",法术书!AW4)</f>
        <v/>
      </c>
      <c r="C253" s="551" t="str">
        <f>IFERROR(VLOOKUP(B253,法术大全!$A:$W,5,FALSE),"")</f>
        <v/>
      </c>
      <c r="D253" s="730" t="str">
        <f>IFERROR(VLOOKUP(B253,法术大全!$A:$W,4,FALSE),"")</f>
        <v/>
      </c>
      <c r="E253" s="729">
        <v>252</v>
      </c>
      <c r="F253" s="731" t="str" cm="1">
        <f t="array" ref="F253">IFERROR(INDEX($B$1:$B$301,SMALL(IF($B$1:$B$301&lt;&gt;"",ROW($B$1:$B$301),4^8),ROW(253:253)))&amp;"","")</f>
        <v/>
      </c>
    </row>
    <row r="254" customHeight="1" spans="1:6">
      <c r="A254" s="729">
        <v>253</v>
      </c>
      <c r="B254" s="551" t="str">
        <f>IF(法术书!AW5="","",法术书!AW5)</f>
        <v/>
      </c>
      <c r="C254" s="551" t="str">
        <f>IFERROR(VLOOKUP(B254,法术大全!$A:$W,5,FALSE),"")</f>
        <v/>
      </c>
      <c r="D254" s="730" t="str">
        <f>IFERROR(VLOOKUP(B254,法术大全!$A:$W,4,FALSE),"")</f>
        <v/>
      </c>
      <c r="E254" s="729">
        <v>253</v>
      </c>
      <c r="F254" s="731" t="str" cm="1">
        <f t="array" ref="F254">IFERROR(INDEX($B$1:$B$301,SMALL(IF($B$1:$B$301&lt;&gt;"",ROW($B$1:$B$301),4^8),ROW(254:254)))&amp;"","")</f>
        <v/>
      </c>
    </row>
    <row r="255" customHeight="1" spans="1:6">
      <c r="A255" s="729">
        <v>254</v>
      </c>
      <c r="B255" s="551" t="str">
        <f>IF(法术书!AW6="","",法术书!AW6)</f>
        <v/>
      </c>
      <c r="C255" s="551" t="str">
        <f>IFERROR(VLOOKUP(B255,法术大全!$A:$W,5,FALSE),"")</f>
        <v/>
      </c>
      <c r="D255" s="730" t="str">
        <f>IFERROR(VLOOKUP(B255,法术大全!$A:$W,4,FALSE),"")</f>
        <v/>
      </c>
      <c r="E255" s="729">
        <v>254</v>
      </c>
      <c r="F255" s="731" t="str" cm="1">
        <f t="array" ref="F255">IFERROR(INDEX($B$1:$B$301,SMALL(IF($B$1:$B$301&lt;&gt;"",ROW($B$1:$B$301),4^8),ROW(255:255)))&amp;"","")</f>
        <v/>
      </c>
    </row>
    <row r="256" customHeight="1" spans="1:6">
      <c r="A256" s="729">
        <v>255</v>
      </c>
      <c r="B256" s="551" t="str">
        <f>IF(法术书!AW7="","",法术书!AW7)</f>
        <v/>
      </c>
      <c r="C256" s="551" t="str">
        <f>IFERROR(VLOOKUP(B256,法术大全!$A:$W,5,FALSE),"")</f>
        <v/>
      </c>
      <c r="D256" s="730" t="str">
        <f>IFERROR(VLOOKUP(B256,法术大全!$A:$W,4,FALSE),"")</f>
        <v/>
      </c>
      <c r="E256" s="729">
        <v>255</v>
      </c>
      <c r="F256" s="731" t="str" cm="1">
        <f t="array" ref="F256">IFERROR(INDEX($B$1:$B$301,SMALL(IF($B$1:$B$301&lt;&gt;"",ROW($B$1:$B$301),4^8),ROW(256:256)))&amp;"","")</f>
        <v/>
      </c>
    </row>
    <row r="257" customHeight="1" spans="1:6">
      <c r="A257" s="729">
        <v>256</v>
      </c>
      <c r="B257" s="551" t="str">
        <f>IF(法术书!AW8="","",法术书!AW8)</f>
        <v/>
      </c>
      <c r="C257" s="551" t="str">
        <f>IFERROR(VLOOKUP(B257,法术大全!$A:$W,5,FALSE),"")</f>
        <v/>
      </c>
      <c r="D257" s="730" t="str">
        <f>IFERROR(VLOOKUP(B257,法术大全!$A:$W,4,FALSE),"")</f>
        <v/>
      </c>
      <c r="E257" s="729">
        <v>256</v>
      </c>
      <c r="F257" s="731" t="str" cm="1">
        <f t="array" ref="F257">IFERROR(INDEX($B$1:$B$301,SMALL(IF($B$1:$B$301&lt;&gt;"",ROW($B$1:$B$301),4^8),ROW(257:257)))&amp;"","")</f>
        <v/>
      </c>
    </row>
    <row r="258" customHeight="1" spans="1:6">
      <c r="A258" s="729">
        <v>257</v>
      </c>
      <c r="B258" s="551" t="str">
        <f>IF(法术书!AW9="","",法术书!AW9)</f>
        <v/>
      </c>
      <c r="C258" s="551" t="str">
        <f>IFERROR(VLOOKUP(B258,法术大全!$A:$W,5,FALSE),"")</f>
        <v/>
      </c>
      <c r="D258" s="730" t="str">
        <f>IFERROR(VLOOKUP(B258,法术大全!$A:$W,4,FALSE),"")</f>
        <v/>
      </c>
      <c r="E258" s="729">
        <v>257</v>
      </c>
      <c r="F258" s="731" t="str" cm="1">
        <f t="array" ref="F258">IFERROR(INDEX($B$1:$B$301,SMALL(IF($B$1:$B$301&lt;&gt;"",ROW($B$1:$B$301),4^8),ROW(258:258)))&amp;"","")</f>
        <v/>
      </c>
    </row>
    <row r="259" customHeight="1" spans="1:6">
      <c r="A259" s="729">
        <v>258</v>
      </c>
      <c r="B259" s="551" t="str">
        <f>IF(法术书!AW10="","",法术书!AW10)</f>
        <v/>
      </c>
      <c r="C259" s="551" t="str">
        <f>IFERROR(VLOOKUP(B259,法术大全!$A:$W,5,FALSE),"")</f>
        <v/>
      </c>
      <c r="D259" s="730" t="str">
        <f>IFERROR(VLOOKUP(B259,法术大全!$A:$W,4,FALSE),"")</f>
        <v/>
      </c>
      <c r="E259" s="729">
        <v>258</v>
      </c>
      <c r="F259" s="731" t="str" cm="1">
        <f t="array" ref="F259">IFERROR(INDEX($B$1:$B$301,SMALL(IF($B$1:$B$301&lt;&gt;"",ROW($B$1:$B$301),4^8),ROW(259:259)))&amp;"","")</f>
        <v/>
      </c>
    </row>
    <row r="260" customHeight="1" spans="1:6">
      <c r="A260" s="729">
        <v>259</v>
      </c>
      <c r="B260" s="551" t="str">
        <f>IF(法术书!AW11="","",法术书!AW11)</f>
        <v/>
      </c>
      <c r="C260" s="551" t="str">
        <f>IFERROR(VLOOKUP(B260,法术大全!$A:$W,5,FALSE),"")</f>
        <v/>
      </c>
      <c r="D260" s="730" t="str">
        <f>IFERROR(VLOOKUP(B260,法术大全!$A:$W,4,FALSE),"")</f>
        <v/>
      </c>
      <c r="E260" s="729">
        <v>259</v>
      </c>
      <c r="F260" s="731" t="str" cm="1">
        <f t="array" ref="F260">IFERROR(INDEX($B$1:$B$301,SMALL(IF($B$1:$B$301&lt;&gt;"",ROW($B$1:$B$301),4^8),ROW(260:260)))&amp;"","")</f>
        <v/>
      </c>
    </row>
    <row r="261" customHeight="1" spans="1:6">
      <c r="A261" s="729">
        <v>260</v>
      </c>
      <c r="B261" s="551" t="str">
        <f>IF(法术书!AW12="","",法术书!AW12)</f>
        <v/>
      </c>
      <c r="C261" s="551" t="str">
        <f>IFERROR(VLOOKUP(B261,法术大全!$A:$W,5,FALSE),"")</f>
        <v/>
      </c>
      <c r="D261" s="730" t="str">
        <f>IFERROR(VLOOKUP(B261,法术大全!$A:$W,4,FALSE),"")</f>
        <v/>
      </c>
      <c r="E261" s="729">
        <v>260</v>
      </c>
      <c r="F261" s="731" t="str" cm="1">
        <f t="array" ref="F261">IFERROR(INDEX($B$1:$B$301,SMALL(IF($B$1:$B$301&lt;&gt;"",ROW($B$1:$B$301),4^8),ROW(261:261)))&amp;"","")</f>
        <v/>
      </c>
    </row>
    <row r="262" customHeight="1" spans="1:6">
      <c r="A262" s="729">
        <v>261</v>
      </c>
      <c r="B262" s="551" t="str">
        <f>IF(法术书!AW13="","",法术书!AW13)</f>
        <v/>
      </c>
      <c r="C262" s="551" t="str">
        <f>IFERROR(VLOOKUP(B262,法术大全!$A:$W,5,FALSE),"")</f>
        <v/>
      </c>
      <c r="D262" s="730" t="str">
        <f>IFERROR(VLOOKUP(B262,法术大全!$A:$W,4,FALSE),"")</f>
        <v/>
      </c>
      <c r="E262" s="729">
        <v>261</v>
      </c>
      <c r="F262" s="731" t="str" cm="1">
        <f t="array" ref="F262">IFERROR(INDEX($B$1:$B$301,SMALL(IF($B$1:$B$301&lt;&gt;"",ROW($B$1:$B$301),4^8),ROW(262:262)))&amp;"","")</f>
        <v/>
      </c>
    </row>
    <row r="263" customHeight="1" spans="1:6">
      <c r="A263" s="729">
        <v>262</v>
      </c>
      <c r="B263" s="551" t="str">
        <f>IF(法术书!AW14="","",法术书!AW14)</f>
        <v/>
      </c>
      <c r="C263" s="551" t="str">
        <f>IFERROR(VLOOKUP(B263,法术大全!$A:$W,5,FALSE),"")</f>
        <v/>
      </c>
      <c r="D263" s="730" t="str">
        <f>IFERROR(VLOOKUP(B263,法术大全!$A:$W,4,FALSE),"")</f>
        <v/>
      </c>
      <c r="E263" s="729">
        <v>262</v>
      </c>
      <c r="F263" s="731" t="str" cm="1">
        <f t="array" ref="F263">IFERROR(INDEX($B$1:$B$301,SMALL(IF($B$1:$B$301&lt;&gt;"",ROW($B$1:$B$301),4^8),ROW(263:263)))&amp;"","")</f>
        <v/>
      </c>
    </row>
    <row r="264" customHeight="1" spans="1:6">
      <c r="A264" s="729">
        <v>263</v>
      </c>
      <c r="B264" s="551" t="str">
        <f>IF(法术书!AW15="","",法术书!AW15)</f>
        <v/>
      </c>
      <c r="C264" s="551" t="str">
        <f>IFERROR(VLOOKUP(B264,法术大全!$A:$W,5,FALSE),"")</f>
        <v/>
      </c>
      <c r="D264" s="730" t="str">
        <f>IFERROR(VLOOKUP(B264,法术大全!$A:$W,4,FALSE),"")</f>
        <v/>
      </c>
      <c r="E264" s="729">
        <v>263</v>
      </c>
      <c r="F264" s="731" t="str" cm="1">
        <f t="array" ref="F264">IFERROR(INDEX($B$1:$B$301,SMALL(IF($B$1:$B$301&lt;&gt;"",ROW($B$1:$B$301),4^8),ROW(264:264)))&amp;"","")</f>
        <v/>
      </c>
    </row>
    <row r="265" customHeight="1" spans="1:6">
      <c r="A265" s="729">
        <v>264</v>
      </c>
      <c r="B265" s="551" t="str">
        <f>IF(法术书!AW16="","",法术书!AW16)</f>
        <v/>
      </c>
      <c r="C265" s="551" t="str">
        <f>IFERROR(VLOOKUP(B265,法术大全!$A:$W,5,FALSE),"")</f>
        <v/>
      </c>
      <c r="D265" s="730" t="str">
        <f>IFERROR(VLOOKUP(B265,法术大全!$A:$W,4,FALSE),"")</f>
        <v/>
      </c>
      <c r="E265" s="729">
        <v>264</v>
      </c>
      <c r="F265" s="731" t="str" cm="1">
        <f t="array" ref="F265">IFERROR(INDEX($B$1:$B$301,SMALL(IF($B$1:$B$301&lt;&gt;"",ROW($B$1:$B$301),4^8),ROW(265:265)))&amp;"","")</f>
        <v/>
      </c>
    </row>
    <row r="266" customHeight="1" spans="1:6">
      <c r="A266" s="729">
        <v>265</v>
      </c>
      <c r="B266" s="551" t="str">
        <f>IF(法术书!AW17="","",法术书!AW17)</f>
        <v/>
      </c>
      <c r="C266" s="551" t="str">
        <f>IFERROR(VLOOKUP(B266,法术大全!$A:$W,5,FALSE),"")</f>
        <v/>
      </c>
      <c r="D266" s="730" t="str">
        <f>IFERROR(VLOOKUP(B266,法术大全!$A:$W,4,FALSE),"")</f>
        <v/>
      </c>
      <c r="E266" s="729">
        <v>265</v>
      </c>
      <c r="F266" s="731" t="str" cm="1">
        <f t="array" ref="F266">IFERROR(INDEX($B$1:$B$301,SMALL(IF($B$1:$B$301&lt;&gt;"",ROW($B$1:$B$301),4^8),ROW(266:266)))&amp;"","")</f>
        <v/>
      </c>
    </row>
    <row r="267" customHeight="1" spans="1:6">
      <c r="A267" s="729">
        <v>266</v>
      </c>
      <c r="B267" s="551" t="str">
        <f>IF(法术书!AW18="","",法术书!AW18)</f>
        <v/>
      </c>
      <c r="C267" s="551" t="str">
        <f>IFERROR(VLOOKUP(B267,法术大全!$A:$W,5,FALSE),"")</f>
        <v/>
      </c>
      <c r="D267" s="730" t="str">
        <f>IFERROR(VLOOKUP(B267,法术大全!$A:$W,4,FALSE),"")</f>
        <v/>
      </c>
      <c r="E267" s="729">
        <v>266</v>
      </c>
      <c r="F267" s="731" t="str" cm="1">
        <f t="array" ref="F267">IFERROR(INDEX($B$1:$B$301,SMALL(IF($B$1:$B$301&lt;&gt;"",ROW($B$1:$B$301),4^8),ROW(267:267)))&amp;"","")</f>
        <v/>
      </c>
    </row>
    <row r="268" customHeight="1" spans="1:6">
      <c r="A268" s="729">
        <v>267</v>
      </c>
      <c r="B268" s="551" t="str">
        <f>IF(法术书!AW19="","",法术书!AW19)</f>
        <v/>
      </c>
      <c r="C268" s="551" t="str">
        <f>IFERROR(VLOOKUP(B268,法术大全!$A:$W,5,FALSE),"")</f>
        <v/>
      </c>
      <c r="D268" s="730" t="str">
        <f>IFERROR(VLOOKUP(B268,法术大全!$A:$W,4,FALSE),"")</f>
        <v/>
      </c>
      <c r="E268" s="729">
        <v>267</v>
      </c>
      <c r="F268" s="731" t="str" cm="1">
        <f t="array" ref="F268">IFERROR(INDEX($B$1:$B$301,SMALL(IF($B$1:$B$301&lt;&gt;"",ROW($B$1:$B$301),4^8),ROW(268:268)))&amp;"","")</f>
        <v/>
      </c>
    </row>
    <row r="269" customHeight="1" spans="1:6">
      <c r="A269" s="729">
        <v>268</v>
      </c>
      <c r="B269" s="551" t="str">
        <f>IF(法术书!AW20="","",法术书!AW20)</f>
        <v/>
      </c>
      <c r="C269" s="551" t="str">
        <f>IFERROR(VLOOKUP(B269,法术大全!$A:$W,5,FALSE),"")</f>
        <v/>
      </c>
      <c r="D269" s="730" t="str">
        <f>IFERROR(VLOOKUP(B269,法术大全!$A:$W,4,FALSE),"")</f>
        <v/>
      </c>
      <c r="E269" s="729">
        <v>268</v>
      </c>
      <c r="F269" s="731" t="str" cm="1">
        <f t="array" ref="F269">IFERROR(INDEX($B$1:$B$301,SMALL(IF($B$1:$B$301&lt;&gt;"",ROW($B$1:$B$301),4^8),ROW(269:269)))&amp;"","")</f>
        <v/>
      </c>
    </row>
    <row r="270" customHeight="1" spans="1:6">
      <c r="A270" s="729">
        <v>269</v>
      </c>
      <c r="B270" s="551" t="str">
        <f>IF(法术书!AW21="","",法术书!AW21)</f>
        <v/>
      </c>
      <c r="C270" s="551" t="str">
        <f>IFERROR(VLOOKUP(B270,法术大全!$A:$W,5,FALSE),"")</f>
        <v/>
      </c>
      <c r="D270" s="730" t="str">
        <f>IFERROR(VLOOKUP(B270,法术大全!$A:$W,4,FALSE),"")</f>
        <v/>
      </c>
      <c r="E270" s="729">
        <v>269</v>
      </c>
      <c r="F270" s="731" t="str" cm="1">
        <f t="array" ref="F270">IFERROR(INDEX($B$1:$B$301,SMALL(IF($B$1:$B$301&lt;&gt;"",ROW($B$1:$B$301),4^8),ROW(270:270)))&amp;"","")</f>
        <v/>
      </c>
    </row>
    <row r="271" customHeight="1" spans="1:6">
      <c r="A271" s="729">
        <v>270</v>
      </c>
      <c r="B271" s="551" t="str">
        <f>IF(法术书!AW22="","",法术书!AW22)</f>
        <v/>
      </c>
      <c r="C271" s="551" t="str">
        <f>IFERROR(VLOOKUP(B271,法术大全!$A:$W,5,FALSE),"")</f>
        <v/>
      </c>
      <c r="D271" s="730" t="str">
        <f>IFERROR(VLOOKUP(B271,法术大全!$A:$W,4,FALSE),"")</f>
        <v/>
      </c>
      <c r="E271" s="729">
        <v>270</v>
      </c>
      <c r="F271" s="731" t="str" cm="1">
        <f t="array" ref="F271">IFERROR(INDEX($B$1:$B$301,SMALL(IF($B$1:$B$301&lt;&gt;"",ROW($B$1:$B$301),4^8),ROW(271:271)))&amp;"","")</f>
        <v/>
      </c>
    </row>
    <row r="272" customHeight="1" spans="1:6">
      <c r="A272" s="729">
        <v>271</v>
      </c>
      <c r="B272" s="551" t="str">
        <f>IF(法术书!AW23="","",法术书!AW23)</f>
        <v/>
      </c>
      <c r="C272" s="551" t="str">
        <f>IFERROR(VLOOKUP(B272,法术大全!$A:$W,5,FALSE),"")</f>
        <v/>
      </c>
      <c r="D272" s="730" t="str">
        <f>IFERROR(VLOOKUP(B272,法术大全!$A:$W,4,FALSE),"")</f>
        <v/>
      </c>
      <c r="E272" s="729">
        <v>271</v>
      </c>
      <c r="F272" s="731" t="str" cm="1">
        <f t="array" ref="F272">IFERROR(INDEX($B$1:$B$301,SMALL(IF($B$1:$B$301&lt;&gt;"",ROW($B$1:$B$301),4^8),ROW(272:272)))&amp;"","")</f>
        <v/>
      </c>
    </row>
    <row r="273" customHeight="1" spans="1:6">
      <c r="A273" s="729">
        <v>272</v>
      </c>
      <c r="B273" s="551" t="str">
        <f>IF(法术书!AW24="","",法术书!AW24)</f>
        <v/>
      </c>
      <c r="C273" s="551" t="str">
        <f>IFERROR(VLOOKUP(B273,法术大全!$A:$W,5,FALSE),"")</f>
        <v/>
      </c>
      <c r="D273" s="730" t="str">
        <f>IFERROR(VLOOKUP(B273,法术大全!$A:$W,4,FALSE),"")</f>
        <v/>
      </c>
      <c r="E273" s="729">
        <v>272</v>
      </c>
      <c r="F273" s="731" t="str" cm="1">
        <f t="array" ref="F273">IFERROR(INDEX($B$1:$B$301,SMALL(IF($B$1:$B$301&lt;&gt;"",ROW($B$1:$B$301),4^8),ROW(273:273)))&amp;"","")</f>
        <v/>
      </c>
    </row>
    <row r="274" customHeight="1" spans="1:6">
      <c r="A274" s="729">
        <v>273</v>
      </c>
      <c r="B274" s="551" t="str">
        <f>IF(法术书!AW25="","",法术书!AW25)</f>
        <v/>
      </c>
      <c r="C274" s="551" t="str">
        <f>IFERROR(VLOOKUP(B274,法术大全!$A:$W,5,FALSE),"")</f>
        <v/>
      </c>
      <c r="D274" s="730" t="str">
        <f>IFERROR(VLOOKUP(B274,法术大全!$A:$W,4,FALSE),"")</f>
        <v/>
      </c>
      <c r="E274" s="729">
        <v>273</v>
      </c>
      <c r="F274" s="731" t="str" cm="1">
        <f t="array" ref="F274">IFERROR(INDEX($B$1:$B$301,SMALL(IF($B$1:$B$301&lt;&gt;"",ROW($B$1:$B$301),4^8),ROW(274:274)))&amp;"","")</f>
        <v/>
      </c>
    </row>
    <row r="275" customHeight="1" spans="1:6">
      <c r="A275" s="729">
        <v>274</v>
      </c>
      <c r="B275" s="551" t="str">
        <f>IF(法术书!AW26="","",法术书!AW26)</f>
        <v/>
      </c>
      <c r="C275" s="551" t="str">
        <f>IFERROR(VLOOKUP(B275,法术大全!$A:$W,5,FALSE),"")</f>
        <v/>
      </c>
      <c r="D275" s="730" t="str">
        <f>IFERROR(VLOOKUP(B275,法术大全!$A:$W,4,FALSE),"")</f>
        <v/>
      </c>
      <c r="E275" s="729">
        <v>274</v>
      </c>
      <c r="F275" s="731" t="str" cm="1">
        <f t="array" ref="F275">IFERROR(INDEX($B$1:$B$301,SMALL(IF($B$1:$B$301&lt;&gt;"",ROW($B$1:$B$301),4^8),ROW(275:275)))&amp;"","")</f>
        <v/>
      </c>
    </row>
    <row r="276" customHeight="1" spans="1:6">
      <c r="A276" s="729">
        <v>275</v>
      </c>
      <c r="B276" s="551" t="str">
        <f>IF(法术书!AW27="","",法术书!AW27)</f>
        <v/>
      </c>
      <c r="C276" s="551" t="str">
        <f>IFERROR(VLOOKUP(B276,法术大全!$A:$W,5,FALSE),"")</f>
        <v/>
      </c>
      <c r="D276" s="730" t="str">
        <f>IFERROR(VLOOKUP(B276,法术大全!$A:$W,4,FALSE),"")</f>
        <v/>
      </c>
      <c r="E276" s="729">
        <v>275</v>
      </c>
      <c r="F276" s="731" t="str" cm="1">
        <f t="array" ref="F276">IFERROR(INDEX($B$1:$B$301,SMALL(IF($B$1:$B$301&lt;&gt;"",ROW($B$1:$B$301),4^8),ROW(276:276)))&amp;"","")</f>
        <v/>
      </c>
    </row>
    <row r="277" customHeight="1" spans="1:6">
      <c r="A277" s="729">
        <v>276</v>
      </c>
      <c r="B277" s="551" t="str">
        <f>IF(法术书!AW28="","",法术书!AW28)</f>
        <v/>
      </c>
      <c r="C277" s="551" t="str">
        <f>IFERROR(VLOOKUP(B277,法术大全!$A:$W,5,FALSE),"")</f>
        <v/>
      </c>
      <c r="D277" s="730" t="str">
        <f>IFERROR(VLOOKUP(B277,法术大全!$A:$W,4,FALSE),"")</f>
        <v/>
      </c>
      <c r="E277" s="729">
        <v>276</v>
      </c>
      <c r="F277" s="731" t="str" cm="1">
        <f t="array" ref="F277">IFERROR(INDEX($B$1:$B$301,SMALL(IF($B$1:$B$301&lt;&gt;"",ROW($B$1:$B$301),4^8),ROW(277:277)))&amp;"","")</f>
        <v/>
      </c>
    </row>
    <row r="278" customHeight="1" spans="1:6">
      <c r="A278" s="729">
        <v>277</v>
      </c>
      <c r="B278" s="551" t="str">
        <f>IF(法术书!AW29="","",法术书!AW29)</f>
        <v/>
      </c>
      <c r="C278" s="551" t="str">
        <f>IFERROR(VLOOKUP(B278,法术大全!$A:$W,5,FALSE),"")</f>
        <v/>
      </c>
      <c r="D278" s="730" t="str">
        <f>IFERROR(VLOOKUP(B278,法术大全!$A:$W,4,FALSE),"")</f>
        <v/>
      </c>
      <c r="E278" s="729">
        <v>277</v>
      </c>
      <c r="F278" s="731" t="str" cm="1">
        <f t="array" ref="F278">IFERROR(INDEX($B$1:$B$301,SMALL(IF($B$1:$B$301&lt;&gt;"",ROW($B$1:$B$301),4^8),ROW(278:278)))&amp;"","")</f>
        <v/>
      </c>
    </row>
    <row r="279" customHeight="1" spans="1:6">
      <c r="A279" s="729">
        <v>278</v>
      </c>
      <c r="B279" s="551" t="str">
        <f>IF(法术书!AW30="","",法术书!AW30)</f>
        <v/>
      </c>
      <c r="C279" s="551" t="str">
        <f>IFERROR(VLOOKUP(B279,法术大全!$A:$W,5,FALSE),"")</f>
        <v/>
      </c>
      <c r="D279" s="730" t="str">
        <f>IFERROR(VLOOKUP(B279,法术大全!$A:$W,4,FALSE),"")</f>
        <v/>
      </c>
      <c r="E279" s="729">
        <v>278</v>
      </c>
      <c r="F279" s="731" t="str" cm="1">
        <f t="array" ref="F279">IFERROR(INDEX($B$1:$B$301,SMALL(IF($B$1:$B$301&lt;&gt;"",ROW($B$1:$B$301),4^8),ROW(279:279)))&amp;"","")</f>
        <v/>
      </c>
    </row>
    <row r="280" customHeight="1" spans="1:6">
      <c r="A280" s="729">
        <v>279</v>
      </c>
      <c r="B280" s="551" t="str">
        <f>IF(法术书!AW31="","",法术书!AW31)</f>
        <v/>
      </c>
      <c r="C280" s="551" t="str">
        <f>IFERROR(VLOOKUP(B280,法术大全!$A:$W,5,FALSE),"")</f>
        <v/>
      </c>
      <c r="D280" s="730" t="str">
        <f>IFERROR(VLOOKUP(B280,法术大全!$A:$W,4,FALSE),"")</f>
        <v/>
      </c>
      <c r="E280" s="729">
        <v>279</v>
      </c>
      <c r="F280" s="731" t="str" cm="1">
        <f t="array" ref="F280">IFERROR(INDEX($B$1:$B$301,SMALL(IF($B$1:$B$301&lt;&gt;"",ROW($B$1:$B$301),4^8),ROW(280:280)))&amp;"","")</f>
        <v/>
      </c>
    </row>
    <row r="281" customHeight="1" spans="1:6">
      <c r="A281" s="729">
        <v>280</v>
      </c>
      <c r="B281" s="551" t="str">
        <f>IF(法术书!AW32="","",法术书!AW32)</f>
        <v/>
      </c>
      <c r="C281" s="551" t="str">
        <f>IFERROR(VLOOKUP(B281,法术大全!$A:$W,5,FALSE),"")</f>
        <v/>
      </c>
      <c r="D281" s="730" t="str">
        <f>IFERROR(VLOOKUP(B281,法术大全!$A:$W,4,FALSE),"")</f>
        <v/>
      </c>
      <c r="E281" s="729">
        <v>280</v>
      </c>
      <c r="F281" s="731" t="str" cm="1">
        <f t="array" ref="F281">IFERROR(INDEX($B$1:$B$301,SMALL(IF($B$1:$B$301&lt;&gt;"",ROW($B$1:$B$301),4^8),ROW(281:281)))&amp;"","")</f>
        <v/>
      </c>
    </row>
    <row r="282" customHeight="1" spans="1:6">
      <c r="A282" s="729">
        <v>281</v>
      </c>
      <c r="B282" s="551" t="str">
        <f>IF(法术书!AW33="","",法术书!AW33)</f>
        <v/>
      </c>
      <c r="C282" s="551" t="str">
        <f>IFERROR(VLOOKUP(B282,法术大全!$A:$W,5,FALSE),"")</f>
        <v/>
      </c>
      <c r="D282" s="730" t="str">
        <f>IFERROR(VLOOKUP(B282,法术大全!$A:$W,4,FALSE),"")</f>
        <v/>
      </c>
      <c r="E282" s="729">
        <v>281</v>
      </c>
      <c r="F282" s="731" t="str" cm="1">
        <f t="array" ref="F282">IFERROR(INDEX($B$1:$B$301,SMALL(IF($B$1:$B$301&lt;&gt;"",ROW($B$1:$B$301),4^8),ROW(282:282)))&amp;"","")</f>
        <v/>
      </c>
    </row>
    <row r="283" customHeight="1" spans="1:6">
      <c r="A283" s="729">
        <v>282</v>
      </c>
      <c r="B283" s="551" t="str">
        <f>IF(法术书!AW34="","",法术书!AW34)</f>
        <v/>
      </c>
      <c r="C283" s="551" t="str">
        <f>IFERROR(VLOOKUP(B283,法术大全!$A:$W,5,FALSE),"")</f>
        <v/>
      </c>
      <c r="D283" s="730" t="str">
        <f>IFERROR(VLOOKUP(B283,法术大全!$A:$W,4,FALSE),"")</f>
        <v/>
      </c>
      <c r="E283" s="729">
        <v>282</v>
      </c>
      <c r="F283" s="731" t="str" cm="1">
        <f t="array" ref="F283">IFERROR(INDEX($B$1:$B$301,SMALL(IF($B$1:$B$301&lt;&gt;"",ROW($B$1:$B$301),4^8),ROW(283:283)))&amp;"","")</f>
        <v/>
      </c>
    </row>
    <row r="284" customHeight="1" spans="1:6">
      <c r="A284" s="729">
        <v>283</v>
      </c>
      <c r="B284" s="551" t="str">
        <f>IF(法术书!AW35="","",法术书!AW35)</f>
        <v/>
      </c>
      <c r="C284" s="551" t="str">
        <f>IFERROR(VLOOKUP(B284,法术大全!$A:$W,5,FALSE),"")</f>
        <v/>
      </c>
      <c r="D284" s="730" t="str">
        <f>IFERROR(VLOOKUP(B284,法术大全!$A:$W,4,FALSE),"")</f>
        <v/>
      </c>
      <c r="E284" s="729">
        <v>283</v>
      </c>
      <c r="F284" s="731" t="str" cm="1">
        <f t="array" ref="F284">IFERROR(INDEX($B$1:$B$301,SMALL(IF($B$1:$B$301&lt;&gt;"",ROW($B$1:$B$301),4^8),ROW(284:284)))&amp;"","")</f>
        <v/>
      </c>
    </row>
    <row r="285" customHeight="1" spans="1:6">
      <c r="A285" s="729">
        <v>284</v>
      </c>
      <c r="B285" s="551" t="str">
        <f>IF(法术书!AW36="","",法术书!AW36)</f>
        <v/>
      </c>
      <c r="C285" s="551" t="str">
        <f>IFERROR(VLOOKUP(B285,法术大全!$A:$W,5,FALSE),"")</f>
        <v/>
      </c>
      <c r="D285" s="730" t="str">
        <f>IFERROR(VLOOKUP(B285,法术大全!$A:$W,4,FALSE),"")</f>
        <v/>
      </c>
      <c r="E285" s="729">
        <v>284</v>
      </c>
      <c r="F285" s="731" t="str" cm="1">
        <f t="array" ref="F285">IFERROR(INDEX($B$1:$B$301,SMALL(IF($B$1:$B$301&lt;&gt;"",ROW($B$1:$B$301),4^8),ROW(285:285)))&amp;"","")</f>
        <v/>
      </c>
    </row>
    <row r="286" customHeight="1" spans="1:6">
      <c r="A286" s="729">
        <v>285</v>
      </c>
      <c r="B286" s="551" t="str">
        <f>IF(法术书!AW37="","",法术书!AW37)</f>
        <v/>
      </c>
      <c r="C286" s="551" t="str">
        <f>IFERROR(VLOOKUP(B286,法术大全!$A:$W,5,FALSE),"")</f>
        <v/>
      </c>
      <c r="D286" s="730" t="str">
        <f>IFERROR(VLOOKUP(B286,法术大全!$A:$W,4,FALSE),"")</f>
        <v/>
      </c>
      <c r="E286" s="729">
        <v>285</v>
      </c>
      <c r="F286" s="731" t="str" cm="1">
        <f t="array" ref="F286">IFERROR(INDEX($B$1:$B$301,SMALL(IF($B$1:$B$301&lt;&gt;"",ROW($B$1:$B$301),4^8),ROW(286:286)))&amp;"","")</f>
        <v/>
      </c>
    </row>
    <row r="287" customHeight="1" spans="1:6">
      <c r="A287" s="729">
        <v>286</v>
      </c>
      <c r="B287" s="551" t="str">
        <f>IF(法术书!AW38="","",法术书!AW38)</f>
        <v/>
      </c>
      <c r="C287" s="551" t="str">
        <f>IFERROR(VLOOKUP(B287,法术大全!$A:$W,5,FALSE),"")</f>
        <v/>
      </c>
      <c r="D287" s="730" t="str">
        <f>IFERROR(VLOOKUP(B287,法术大全!$A:$W,4,FALSE),"")</f>
        <v/>
      </c>
      <c r="E287" s="729">
        <v>286</v>
      </c>
      <c r="F287" s="731" t="str" cm="1">
        <f t="array" ref="F287">IFERROR(INDEX($B$1:$B$301,SMALL(IF($B$1:$B$301&lt;&gt;"",ROW($B$1:$B$301),4^8),ROW(287:287)))&amp;"","")</f>
        <v/>
      </c>
    </row>
    <row r="288" customHeight="1" spans="1:6">
      <c r="A288" s="729">
        <v>287</v>
      </c>
      <c r="B288" s="551" t="str">
        <f>IF(法术书!AW39="","",法术书!AW39)</f>
        <v/>
      </c>
      <c r="C288" s="551" t="str">
        <f>IFERROR(VLOOKUP(B288,法术大全!$A:$W,5,FALSE),"")</f>
        <v/>
      </c>
      <c r="D288" s="730" t="str">
        <f>IFERROR(VLOOKUP(B288,法术大全!$A:$W,4,FALSE),"")</f>
        <v/>
      </c>
      <c r="E288" s="729">
        <v>287</v>
      </c>
      <c r="F288" s="731" t="str" cm="1">
        <f t="array" ref="F288">IFERROR(INDEX($B$1:$B$301,SMALL(IF($B$1:$B$301&lt;&gt;"",ROW($B$1:$B$301),4^8),ROW(288:288)))&amp;"","")</f>
        <v/>
      </c>
    </row>
    <row r="289" customHeight="1" spans="1:6">
      <c r="A289" s="729">
        <v>288</v>
      </c>
      <c r="B289" s="551" t="str">
        <f>IF(法术书!AW40="","",法术书!AW40)</f>
        <v/>
      </c>
      <c r="C289" s="551" t="str">
        <f>IFERROR(VLOOKUP(B289,法术大全!$A:$W,5,FALSE),"")</f>
        <v/>
      </c>
      <c r="D289" s="730" t="str">
        <f>IFERROR(VLOOKUP(B289,法术大全!$A:$W,4,FALSE),"")</f>
        <v/>
      </c>
      <c r="E289" s="729">
        <v>288</v>
      </c>
      <c r="F289" s="731" t="str" cm="1">
        <f t="array" ref="F289">IFERROR(INDEX($B$1:$B$301,SMALL(IF($B$1:$B$301&lt;&gt;"",ROW($B$1:$B$301),4^8),ROW(289:289)))&amp;"","")</f>
        <v/>
      </c>
    </row>
    <row r="290" customHeight="1" spans="1:6">
      <c r="A290" s="729">
        <v>289</v>
      </c>
      <c r="B290" s="551" t="str">
        <f>IF(法术书!AW41="","",法术书!AW41)</f>
        <v/>
      </c>
      <c r="C290" s="551" t="str">
        <f>IFERROR(VLOOKUP(B290,法术大全!$A:$W,5,FALSE),"")</f>
        <v/>
      </c>
      <c r="D290" s="730" t="str">
        <f>IFERROR(VLOOKUP(B290,法术大全!$A:$W,4,FALSE),"")</f>
        <v/>
      </c>
      <c r="E290" s="729">
        <v>289</v>
      </c>
      <c r="F290" s="731" t="str" cm="1">
        <f t="array" ref="F290">IFERROR(INDEX($B$1:$B$301,SMALL(IF($B$1:$B$301&lt;&gt;"",ROW($B$1:$B$301),4^8),ROW(290:290)))&amp;"","")</f>
        <v/>
      </c>
    </row>
    <row r="291" customHeight="1" spans="1:6">
      <c r="A291" s="729">
        <v>290</v>
      </c>
      <c r="B291" s="551" t="str">
        <f>IF(法术书!AW42="","",法术书!AW42)</f>
        <v/>
      </c>
      <c r="C291" s="551" t="str">
        <f>IFERROR(VLOOKUP(B291,法术大全!$A:$W,5,FALSE),"")</f>
        <v/>
      </c>
      <c r="D291" s="730" t="str">
        <f>IFERROR(VLOOKUP(B291,法术大全!$A:$W,4,FALSE),"")</f>
        <v/>
      </c>
      <c r="E291" s="729">
        <v>290</v>
      </c>
      <c r="F291" s="731" t="str" cm="1">
        <f t="array" ref="F291">IFERROR(INDEX($B$1:$B$301,SMALL(IF($B$1:$B$301&lt;&gt;"",ROW($B$1:$B$301),4^8),ROW(291:291)))&amp;"","")</f>
        <v/>
      </c>
    </row>
    <row r="292" customHeight="1" spans="1:6">
      <c r="A292" s="729">
        <v>291</v>
      </c>
      <c r="B292" s="551" t="str">
        <f>IF(法术书!AW43="","",法术书!AW43)</f>
        <v/>
      </c>
      <c r="C292" s="551" t="str">
        <f>IFERROR(VLOOKUP(B292,法术大全!$A:$W,5,FALSE),"")</f>
        <v/>
      </c>
      <c r="D292" s="730" t="str">
        <f>IFERROR(VLOOKUP(B292,法术大全!$A:$W,4,FALSE),"")</f>
        <v/>
      </c>
      <c r="E292" s="729">
        <v>291</v>
      </c>
      <c r="F292" s="731" t="str" cm="1">
        <f t="array" ref="F292">IFERROR(INDEX($B$1:$B$301,SMALL(IF($B$1:$B$301&lt;&gt;"",ROW($B$1:$B$301),4^8),ROW(292:292)))&amp;"","")</f>
        <v/>
      </c>
    </row>
    <row r="293" customHeight="1" spans="1:6">
      <c r="A293" s="729">
        <v>292</v>
      </c>
      <c r="B293" s="551" t="str">
        <f>IF(法术书!AW44="","",法术书!AW44)</f>
        <v/>
      </c>
      <c r="C293" s="551" t="str">
        <f>IFERROR(VLOOKUP(B293,法术大全!$A:$W,5,FALSE),"")</f>
        <v/>
      </c>
      <c r="D293" s="730" t="str">
        <f>IFERROR(VLOOKUP(B293,法术大全!$A:$W,4,FALSE),"")</f>
        <v/>
      </c>
      <c r="E293" s="729">
        <v>292</v>
      </c>
      <c r="F293" s="731" t="str" cm="1">
        <f t="array" ref="F293">IFERROR(INDEX($B$1:$B$301,SMALL(IF($B$1:$B$301&lt;&gt;"",ROW($B$1:$B$301),4^8),ROW(293:293)))&amp;"","")</f>
        <v/>
      </c>
    </row>
    <row r="294" customHeight="1" spans="1:6">
      <c r="A294" s="729">
        <v>293</v>
      </c>
      <c r="B294" s="551" t="str">
        <f>IF(法术书!AW45="","",法术书!AW45)</f>
        <v/>
      </c>
      <c r="C294" s="551" t="str">
        <f>IFERROR(VLOOKUP(B294,法术大全!$A:$W,5,FALSE),"")</f>
        <v/>
      </c>
      <c r="D294" s="730" t="str">
        <f>IFERROR(VLOOKUP(B294,法术大全!$A:$W,4,FALSE),"")</f>
        <v/>
      </c>
      <c r="E294" s="729">
        <v>293</v>
      </c>
      <c r="F294" s="731" t="str" cm="1">
        <f t="array" ref="F294">IFERROR(INDEX($B$1:$B$301,SMALL(IF($B$1:$B$301&lt;&gt;"",ROW($B$1:$B$301),4^8),ROW(294:294)))&amp;"","")</f>
        <v/>
      </c>
    </row>
    <row r="295" customHeight="1" spans="1:6">
      <c r="A295" s="729">
        <v>294</v>
      </c>
      <c r="B295" s="551" t="str">
        <f>IF(法术书!AW46="","",法术书!AW46)</f>
        <v/>
      </c>
      <c r="C295" s="551" t="str">
        <f>IFERROR(VLOOKUP(B295,法术大全!$A:$W,5,FALSE),"")</f>
        <v/>
      </c>
      <c r="D295" s="730" t="str">
        <f>IFERROR(VLOOKUP(B295,法术大全!$A:$W,4,FALSE),"")</f>
        <v/>
      </c>
      <c r="E295" s="729">
        <v>294</v>
      </c>
      <c r="F295" s="731" t="str" cm="1">
        <f t="array" ref="F295">IFERROR(INDEX($B$1:$B$301,SMALL(IF($B$1:$B$301&lt;&gt;"",ROW($B$1:$B$301),4^8),ROW(295:295)))&amp;"","")</f>
        <v/>
      </c>
    </row>
    <row r="296" customHeight="1" spans="1:6">
      <c r="A296" s="729">
        <v>295</v>
      </c>
      <c r="B296" s="551" t="str">
        <f>IF(法术书!AW47="","",法术书!AW47)</f>
        <v/>
      </c>
      <c r="C296" s="551" t="str">
        <f>IFERROR(VLOOKUP(B296,法术大全!$A:$W,5,FALSE),"")</f>
        <v/>
      </c>
      <c r="D296" s="730" t="str">
        <f>IFERROR(VLOOKUP(B296,法术大全!$A:$W,4,FALSE),"")</f>
        <v/>
      </c>
      <c r="E296" s="729">
        <v>295</v>
      </c>
      <c r="F296" s="731" t="str" cm="1">
        <f t="array" ref="F296">IFERROR(INDEX($B$1:$B$301,SMALL(IF($B$1:$B$301&lt;&gt;"",ROW($B$1:$B$301),4^8),ROW(296:296)))&amp;"","")</f>
        <v/>
      </c>
    </row>
    <row r="297" customHeight="1" spans="1:6">
      <c r="A297" s="729">
        <v>296</v>
      </c>
      <c r="B297" s="551" t="str">
        <f>IF(法术书!AW48="","",法术书!AW48)</f>
        <v/>
      </c>
      <c r="C297" s="551" t="str">
        <f>IFERROR(VLOOKUP(B297,法术大全!$A:$W,5,FALSE),"")</f>
        <v/>
      </c>
      <c r="D297" s="730" t="str">
        <f>IFERROR(VLOOKUP(B297,法术大全!$A:$W,4,FALSE),"")</f>
        <v/>
      </c>
      <c r="E297" s="729">
        <v>296</v>
      </c>
      <c r="F297" s="731" t="str" cm="1">
        <f t="array" ref="F297">IFERROR(INDEX($B$1:$B$301,SMALL(IF($B$1:$B$301&lt;&gt;"",ROW($B$1:$B$301),4^8),ROW(297:297)))&amp;"","")</f>
        <v/>
      </c>
    </row>
    <row r="298" customHeight="1" spans="1:6">
      <c r="A298" s="729">
        <v>297</v>
      </c>
      <c r="B298" s="551" t="str">
        <f>IF(法术书!AW49="","",法术书!AW49)</f>
        <v/>
      </c>
      <c r="C298" s="551" t="str">
        <f>IFERROR(VLOOKUP(B298,法术大全!$A:$W,5,FALSE),"")</f>
        <v/>
      </c>
      <c r="D298" s="730" t="str">
        <f>IFERROR(VLOOKUP(B298,法术大全!$A:$W,4,FALSE),"")</f>
        <v/>
      </c>
      <c r="E298" s="729">
        <v>297</v>
      </c>
      <c r="F298" s="731" t="str" cm="1">
        <f t="array" ref="F298">IFERROR(INDEX($B$1:$B$301,SMALL(IF($B$1:$B$301&lt;&gt;"",ROW($B$1:$B$301),4^8),ROW(298:298)))&amp;"","")</f>
        <v/>
      </c>
    </row>
    <row r="299" customHeight="1" spans="1:6">
      <c r="A299" s="729">
        <v>298</v>
      </c>
      <c r="B299" s="551" t="str">
        <f>IF(法术书!AW50="","",法术书!AW50)</f>
        <v/>
      </c>
      <c r="C299" s="551" t="str">
        <f>IFERROR(VLOOKUP(B299,法术大全!$A:$W,5,FALSE),"")</f>
        <v/>
      </c>
      <c r="D299" s="730" t="str">
        <f>IFERROR(VLOOKUP(B299,法术大全!$A:$W,4,FALSE),"")</f>
        <v/>
      </c>
      <c r="E299" s="729">
        <v>298</v>
      </c>
      <c r="F299" s="731" t="str" cm="1">
        <f t="array" ref="F299">IFERROR(INDEX($B$1:$B$301,SMALL(IF($B$1:$B$301&lt;&gt;"",ROW($B$1:$B$301),4^8),ROW(299:299)))&amp;"","")</f>
        <v/>
      </c>
    </row>
    <row r="300" customHeight="1" spans="1:6">
      <c r="A300" s="729">
        <v>299</v>
      </c>
      <c r="B300" s="551" t="str">
        <f>IF(法术书!AW51="","",法术书!AW51)</f>
        <v/>
      </c>
      <c r="C300" s="551" t="str">
        <f>IFERROR(VLOOKUP(B300,法术大全!$A:$W,5,FALSE),"")</f>
        <v/>
      </c>
      <c r="D300" s="730" t="str">
        <f>IFERROR(VLOOKUP(B300,法术大全!$A:$W,4,FALSE),"")</f>
        <v/>
      </c>
      <c r="E300" s="729">
        <v>299</v>
      </c>
      <c r="F300" s="731" t="str" cm="1">
        <f t="array" ref="F300">IFERROR(INDEX($B$1:$B$301,SMALL(IF($B$1:$B$301&lt;&gt;"",ROW($B$1:$B$301),4^8),ROW(300:300)))&amp;"","")</f>
        <v/>
      </c>
    </row>
    <row r="301" customHeight="1" spans="1:6">
      <c r="A301" s="729">
        <v>300</v>
      </c>
      <c r="B301" s="551" t="str">
        <f>IF(法术书!AW52="","",法术书!AW52)</f>
        <v/>
      </c>
      <c r="C301" s="551" t="str">
        <f>IFERROR(VLOOKUP(B301,法术大全!$A:$W,5,FALSE),"")</f>
        <v/>
      </c>
      <c r="D301" s="730" t="str">
        <f>IFERROR(VLOOKUP(B301,法术大全!$A:$W,4,FALSE),"")</f>
        <v/>
      </c>
      <c r="E301" s="729">
        <v>300</v>
      </c>
      <c r="F301" s="731" t="str" cm="1">
        <f t="array" ref="F301">IFERROR(INDEX($B$1:$B$301,SMALL(IF($B$1:$B$301&lt;&gt;"",ROW($B$1:$B$301),4^8),ROW(301:301)))&amp;"","")</f>
        <v/>
      </c>
    </row>
    <row r="302" customHeight="1" spans="1:1">
      <c r="A302" s="729" t="str">
        <f>IFERROR(VLOOKUP(#REF!,#REF!,17,FALSE),"")</f>
        <v/>
      </c>
    </row>
    <row r="303" customHeight="1" spans="1:1">
      <c r="A303" s="729" t="str">
        <f>IFERROR(VLOOKUP(#REF!,#REF!,17,FALSE),"")</f>
        <v/>
      </c>
    </row>
    <row r="304" customHeight="1" spans="1:1">
      <c r="A304" s="729" t="str">
        <f>IFERROR(VLOOKUP(#REF!,#REF!,17,FALSE),"")</f>
        <v/>
      </c>
    </row>
    <row r="305" customHeight="1" spans="1:1">
      <c r="A305" s="729" t="str">
        <f>IFERROR(VLOOKUP(#REF!,#REF!,17,FALSE),"")</f>
        <v/>
      </c>
    </row>
    <row r="306" customHeight="1" spans="1:1">
      <c r="A306" s="729" t="str">
        <f>IFERROR(VLOOKUP(#REF!,#REF!,17,FALSE),"")</f>
        <v/>
      </c>
    </row>
    <row r="307" customHeight="1" spans="1:1">
      <c r="A307" s="729" t="str">
        <f>IFERROR(VLOOKUP(#REF!,#REF!,17,FALSE),"")</f>
        <v/>
      </c>
    </row>
    <row r="308" customHeight="1" spans="1:1">
      <c r="A308" s="729" t="str">
        <f>IFERROR(VLOOKUP(#REF!,#REF!,17,FALSE),"")</f>
        <v/>
      </c>
    </row>
    <row r="309" customHeight="1" spans="1:1">
      <c r="A309" s="729" t="str">
        <f>IFERROR(VLOOKUP(#REF!,#REF!,17,FALSE),"")</f>
        <v/>
      </c>
    </row>
    <row r="310" customHeight="1" spans="1:1">
      <c r="A310" s="729" t="str">
        <f>IFERROR(VLOOKUP(#REF!,#REF!,17,FALSE),"")</f>
        <v/>
      </c>
    </row>
    <row r="311" customHeight="1" spans="1:1">
      <c r="A311" s="729" t="str">
        <f>IFERROR(VLOOKUP(#REF!,#REF!,17,FALSE),"")</f>
        <v/>
      </c>
    </row>
    <row r="312" customHeight="1" spans="1:1">
      <c r="A312" s="729" t="str">
        <f>IFERROR(VLOOKUP(#REF!,#REF!,17,FALSE),"")</f>
        <v/>
      </c>
    </row>
    <row r="313" customHeight="1" spans="1:1">
      <c r="A313" s="729" t="str">
        <f>IFERROR(VLOOKUP(#REF!,#REF!,17,FALSE),"")</f>
        <v/>
      </c>
    </row>
    <row r="314" customHeight="1" spans="1:1">
      <c r="A314" s="729" t="str">
        <f>IFERROR(VLOOKUP(#REF!,#REF!,17,FALSE),"")</f>
        <v/>
      </c>
    </row>
    <row r="315" customHeight="1" spans="1:1">
      <c r="A315" s="729" t="str">
        <f>IFERROR(VLOOKUP(#REF!,#REF!,17,FALSE),"")</f>
        <v/>
      </c>
    </row>
    <row r="316" customHeight="1" spans="1:1">
      <c r="A316" s="729" t="str">
        <f>IFERROR(VLOOKUP(#REF!,#REF!,17,FALSE),"")</f>
        <v/>
      </c>
    </row>
    <row r="317" customHeight="1" spans="1:1">
      <c r="A317" s="729" t="str">
        <f>IFERROR(VLOOKUP(#REF!,#REF!,17,FALSE),"")</f>
        <v/>
      </c>
    </row>
    <row r="318" customHeight="1" spans="1:1">
      <c r="A318" s="729" t="str">
        <f>IFERROR(VLOOKUP(#REF!,#REF!,17,FALSE),"")</f>
        <v/>
      </c>
    </row>
    <row r="319" customHeight="1" spans="1:1">
      <c r="A319" s="729" t="str">
        <f>IFERROR(VLOOKUP(#REF!,#REF!,17,FALSE),"")</f>
        <v/>
      </c>
    </row>
    <row r="320" customHeight="1" spans="1:1">
      <c r="A320" s="729" t="str">
        <f>IFERROR(VLOOKUP(#REF!,#REF!,17,FALSE),"")</f>
        <v/>
      </c>
    </row>
    <row r="321" customHeight="1" spans="1:1">
      <c r="A321" s="729" t="str">
        <f>IFERROR(VLOOKUP(#REF!,#REF!,17,FALSE),"")</f>
        <v/>
      </c>
    </row>
    <row r="322" customHeight="1" spans="1:1">
      <c r="A322" s="729" t="str">
        <f>IFERROR(VLOOKUP(#REF!,#REF!,17,FALSE),"")</f>
        <v/>
      </c>
    </row>
    <row r="323" customHeight="1" spans="1:1">
      <c r="A323" s="729" t="str">
        <f>IFERROR(VLOOKUP(#REF!,#REF!,17,FALSE),"")</f>
        <v/>
      </c>
    </row>
    <row r="324" customHeight="1" spans="1:1">
      <c r="A324" s="729" t="str">
        <f>IFERROR(VLOOKUP(#REF!,#REF!,17,FALSE),"")</f>
        <v/>
      </c>
    </row>
    <row r="325" customHeight="1" spans="1:1">
      <c r="A325" s="729" t="str">
        <f>IFERROR(VLOOKUP(#REF!,#REF!,17,FALSE),"")</f>
        <v/>
      </c>
    </row>
    <row r="326" customHeight="1" spans="1:1">
      <c r="A326" s="729" t="str">
        <f>IFERROR(VLOOKUP(#REF!,#REF!,17,FALSE),"")</f>
        <v/>
      </c>
    </row>
    <row r="327" customHeight="1" spans="1:1">
      <c r="A327" s="729" t="str">
        <f>IFERROR(VLOOKUP(#REF!,#REF!,17,FALSE),"")</f>
        <v/>
      </c>
    </row>
    <row r="328" customHeight="1" spans="1:1">
      <c r="A328" s="729" t="str">
        <f>IFERROR(VLOOKUP(#REF!,#REF!,17,FALSE),"")</f>
        <v/>
      </c>
    </row>
    <row r="329" customHeight="1" spans="1:1">
      <c r="A329" s="729" t="str">
        <f>IFERROR(VLOOKUP(#REF!,#REF!,17,FALSE),"")</f>
        <v/>
      </c>
    </row>
    <row r="330" customHeight="1" spans="1:1">
      <c r="A330" s="729" t="str">
        <f>IFERROR(VLOOKUP(#REF!,#REF!,17,FALSE),"")</f>
        <v/>
      </c>
    </row>
    <row r="331" customHeight="1" spans="1:1">
      <c r="A331" s="729" t="str">
        <f>IFERROR(VLOOKUP(#REF!,#REF!,17,FALSE),"")</f>
        <v/>
      </c>
    </row>
    <row r="332" customHeight="1" spans="1:1">
      <c r="A332" s="729" t="str">
        <f>IFERROR(VLOOKUP(#REF!,#REF!,17,FALSE),"")</f>
        <v/>
      </c>
    </row>
    <row r="333" customHeight="1" spans="1:1">
      <c r="A333" s="729" t="str">
        <f>IFERROR(VLOOKUP(#REF!,#REF!,17,FALSE),"")</f>
        <v/>
      </c>
    </row>
    <row r="334" customHeight="1" spans="1:1">
      <c r="A334" s="729" t="str">
        <f>IFERROR(VLOOKUP(#REF!,#REF!,17,FALSE),"")</f>
        <v/>
      </c>
    </row>
    <row r="335" customHeight="1" spans="1:1">
      <c r="A335" s="729" t="str">
        <f>IFERROR(VLOOKUP(#REF!,#REF!,17,FALSE),"")</f>
        <v/>
      </c>
    </row>
    <row r="336" customHeight="1" spans="1:1">
      <c r="A336" s="729" t="str">
        <f>IFERROR(VLOOKUP(#REF!,#REF!,17,FALSE),"")</f>
        <v/>
      </c>
    </row>
    <row r="337" customHeight="1" spans="1:1">
      <c r="A337" s="729" t="str">
        <f>IFERROR(VLOOKUP(#REF!,#REF!,17,FALSE),"")</f>
        <v/>
      </c>
    </row>
    <row r="338" customHeight="1" spans="1:1">
      <c r="A338" s="729" t="str">
        <f>IFERROR(VLOOKUP(#REF!,#REF!,17,FALSE),"")</f>
        <v/>
      </c>
    </row>
    <row r="339" customHeight="1" spans="1:1">
      <c r="A339" s="729" t="str">
        <f>IFERROR(VLOOKUP(#REF!,#REF!,17,FALSE),"")</f>
        <v/>
      </c>
    </row>
    <row r="340" customHeight="1" spans="1:1">
      <c r="A340" s="729" t="str">
        <f>IFERROR(VLOOKUP(#REF!,#REF!,17,FALSE),"")</f>
        <v/>
      </c>
    </row>
    <row r="341" customHeight="1" spans="1:1">
      <c r="A341" s="729" t="str">
        <f>IFERROR(VLOOKUP(#REF!,#REF!,17,FALSE),"")</f>
        <v/>
      </c>
    </row>
    <row r="342" customHeight="1" spans="1:1">
      <c r="A342" s="729" t="str">
        <f>IFERROR(VLOOKUP(#REF!,#REF!,17,FALSE),"")</f>
        <v/>
      </c>
    </row>
    <row r="343" customHeight="1" spans="1:1">
      <c r="A343" s="729" t="str">
        <f>IFERROR(VLOOKUP(#REF!,#REF!,17,FALSE),"")</f>
        <v/>
      </c>
    </row>
    <row r="344" customHeight="1" spans="1:1">
      <c r="A344" s="729" t="str">
        <f>IFERROR(VLOOKUP(#REF!,#REF!,17,FALSE),"")</f>
        <v/>
      </c>
    </row>
    <row r="345" customHeight="1" spans="1:1">
      <c r="A345" s="729" t="str">
        <f>IFERROR(VLOOKUP(#REF!,#REF!,17,FALSE),"")</f>
        <v/>
      </c>
    </row>
    <row r="346" customHeight="1" spans="1:1">
      <c r="A346" s="729" t="str">
        <f>IFERROR(VLOOKUP(#REF!,#REF!,17,FALSE),"")</f>
        <v/>
      </c>
    </row>
    <row r="347" customHeight="1" spans="1:1">
      <c r="A347" s="729" t="str">
        <f>IFERROR(VLOOKUP(#REF!,#REF!,17,FALSE),"")</f>
        <v/>
      </c>
    </row>
    <row r="348" customHeight="1" spans="1:1">
      <c r="A348" s="729" t="str">
        <f>IFERROR(VLOOKUP(#REF!,#REF!,17,FALSE),"")</f>
        <v/>
      </c>
    </row>
    <row r="349" customHeight="1" spans="1:1">
      <c r="A349" s="729" t="str">
        <f>IFERROR(VLOOKUP(#REF!,#REF!,17,FALSE),"")</f>
        <v/>
      </c>
    </row>
    <row r="350" customHeight="1" spans="1:1">
      <c r="A350" s="729" t="str">
        <f>IFERROR(VLOOKUP(#REF!,#REF!,17,FALSE),"")</f>
        <v/>
      </c>
    </row>
    <row r="351" customHeight="1" spans="1:1">
      <c r="A351" s="729" t="str">
        <f>IFERROR(VLOOKUP(#REF!,#REF!,17,FALSE),"")</f>
        <v/>
      </c>
    </row>
    <row r="352" customHeight="1" spans="1:1">
      <c r="A352" s="729" t="str">
        <f>IFERROR(VLOOKUP(#REF!,#REF!,17,FALSE),"")</f>
        <v/>
      </c>
    </row>
    <row r="353" customHeight="1" spans="1:1">
      <c r="A353" s="729" t="str">
        <f>IFERROR(VLOOKUP(#REF!,#REF!,17,FALSE),"")</f>
        <v/>
      </c>
    </row>
    <row r="354" customHeight="1" spans="1:1">
      <c r="A354" s="729" t="str">
        <f>IFERROR(VLOOKUP(#REF!,#REF!,17,FALSE),"")</f>
        <v/>
      </c>
    </row>
    <row r="355" customHeight="1" spans="1:1">
      <c r="A355" s="729" t="str">
        <f>IFERROR(VLOOKUP(#REF!,#REF!,17,FALSE),"")</f>
        <v/>
      </c>
    </row>
    <row r="356" customHeight="1" spans="1:1">
      <c r="A356" s="729" t="str">
        <f>IFERROR(VLOOKUP(#REF!,#REF!,17,FALSE),"")</f>
        <v/>
      </c>
    </row>
    <row r="357" customHeight="1" spans="1:1">
      <c r="A357" s="729" t="str">
        <f>IFERROR(VLOOKUP(#REF!,#REF!,17,FALSE),"")</f>
        <v/>
      </c>
    </row>
    <row r="358" customHeight="1" spans="1:1">
      <c r="A358" s="729" t="str">
        <f>IFERROR(VLOOKUP(#REF!,#REF!,17,FALSE),"")</f>
        <v/>
      </c>
    </row>
    <row r="359" customHeight="1" spans="1:1">
      <c r="A359" s="729" t="str">
        <f>IFERROR(VLOOKUP(#REF!,#REF!,17,FALSE),"")</f>
        <v/>
      </c>
    </row>
    <row r="360" customHeight="1" spans="1:1">
      <c r="A360" s="729" t="str">
        <f>IFERROR(VLOOKUP(#REF!,#REF!,17,FALSE),"")</f>
        <v/>
      </c>
    </row>
    <row r="361" customHeight="1" spans="1:1">
      <c r="A361" s="729" t="str">
        <f>IFERROR(VLOOKUP(#REF!,#REF!,17,FALSE),"")</f>
        <v/>
      </c>
    </row>
    <row r="362" customHeight="1" spans="1:1">
      <c r="A362" s="729" t="str">
        <f>IFERROR(VLOOKUP(#REF!,#REF!,17,FALSE),"")</f>
        <v/>
      </c>
    </row>
    <row r="363" customHeight="1" spans="1:1">
      <c r="A363" s="729" t="str">
        <f>IFERROR(VLOOKUP(#REF!,#REF!,17,FALSE),"")</f>
        <v/>
      </c>
    </row>
  </sheetData>
  <mergeCells count="204">
    <mergeCell ref="E1:F1"/>
    <mergeCell ref="CI1:CJ1"/>
    <mergeCell ref="AL2:BG2"/>
    <mergeCell ref="BJ2:CE2"/>
    <mergeCell ref="BJ3:BO3"/>
    <mergeCell ref="BQ3:BX3"/>
    <mergeCell ref="BZ3:CE3"/>
    <mergeCell ref="BJ4:BO4"/>
    <mergeCell ref="BQ4:BX4"/>
    <mergeCell ref="BZ4:CE4"/>
    <mergeCell ref="BJ5:BN5"/>
    <mergeCell ref="BO5:BX5"/>
    <mergeCell ref="BZ5:CE5"/>
    <mergeCell ref="BZ6:CE6"/>
    <mergeCell ref="BZ7:CE7"/>
    <mergeCell ref="BJ8:BX8"/>
    <mergeCell ref="BZ8:CE8"/>
    <mergeCell ref="BZ9:CE9"/>
    <mergeCell ref="BZ10:CE10"/>
    <mergeCell ref="BJ11:CE11"/>
    <mergeCell ref="AL15:AZ15"/>
    <mergeCell ref="BB20:BF20"/>
    <mergeCell ref="BB21:BF21"/>
    <mergeCell ref="BB22:BF22"/>
    <mergeCell ref="BB23:BF23"/>
    <mergeCell ref="BB24:BF24"/>
    <mergeCell ref="BB25:BF25"/>
    <mergeCell ref="AL32:AO32"/>
    <mergeCell ref="AP32:BB32"/>
    <mergeCell ref="BD32:BG32"/>
    <mergeCell ref="BH32:BR32"/>
    <mergeCell ref="BS32:BT32"/>
    <mergeCell ref="AL33:AO33"/>
    <mergeCell ref="AP33:BB33"/>
    <mergeCell ref="BD33:BG33"/>
    <mergeCell ref="BH33:BR33"/>
    <mergeCell ref="BS33:BT33"/>
    <mergeCell ref="AL34:AO34"/>
    <mergeCell ref="AP34:BB34"/>
    <mergeCell ref="BD34:BG34"/>
    <mergeCell ref="BH34:BR34"/>
    <mergeCell ref="BS34:BT34"/>
    <mergeCell ref="AL35:AO35"/>
    <mergeCell ref="AP35:BB35"/>
    <mergeCell ref="BD35:BG35"/>
    <mergeCell ref="BH35:BR35"/>
    <mergeCell ref="BS35:BT35"/>
    <mergeCell ref="AL36:AO36"/>
    <mergeCell ref="AP36:BB36"/>
    <mergeCell ref="BD36:BG36"/>
    <mergeCell ref="BH36:BR36"/>
    <mergeCell ref="BS36:BT36"/>
    <mergeCell ref="AL37:AO37"/>
    <mergeCell ref="AP37:BB37"/>
    <mergeCell ref="BD37:BG37"/>
    <mergeCell ref="BH37:BR37"/>
    <mergeCell ref="BS37:BT37"/>
    <mergeCell ref="AL38:AO38"/>
    <mergeCell ref="AP38:BB38"/>
    <mergeCell ref="BD38:BG38"/>
    <mergeCell ref="BH38:BR38"/>
    <mergeCell ref="BS38:BT38"/>
    <mergeCell ref="AL40:BG40"/>
    <mergeCell ref="BJ40:CE40"/>
    <mergeCell ref="AL41:AN41"/>
    <mergeCell ref="AR41:AS41"/>
    <mergeCell ref="AT41:BG41"/>
    <mergeCell ref="BJ41:BT41"/>
    <mergeCell ref="BU41:CE41"/>
    <mergeCell ref="AL42:AP42"/>
    <mergeCell ref="AR42:AS42"/>
    <mergeCell ref="AT42:BG42"/>
    <mergeCell ref="BJ42:BN42"/>
    <mergeCell ref="BO42:BT42"/>
    <mergeCell ref="BU42:BY42"/>
    <mergeCell ref="BZ42:CE42"/>
    <mergeCell ref="AL43:AP43"/>
    <mergeCell ref="AR43:AS43"/>
    <mergeCell ref="AT43:BG43"/>
    <mergeCell ref="BJ43:BN43"/>
    <mergeCell ref="BO43:BT43"/>
    <mergeCell ref="BU43:BY43"/>
    <mergeCell ref="BZ43:CE43"/>
    <mergeCell ref="AL44:AP44"/>
    <mergeCell ref="AR44:AS44"/>
    <mergeCell ref="AT44:BG44"/>
    <mergeCell ref="BJ44:BN44"/>
    <mergeCell ref="BO44:BT44"/>
    <mergeCell ref="BU44:BY44"/>
    <mergeCell ref="BZ44:CE44"/>
    <mergeCell ref="AL45:AP45"/>
    <mergeCell ref="AR45:AS45"/>
    <mergeCell ref="AT45:BG45"/>
    <mergeCell ref="BJ45:BN45"/>
    <mergeCell ref="BO45:BT45"/>
    <mergeCell ref="BU45:BY45"/>
    <mergeCell ref="BZ45:CE45"/>
    <mergeCell ref="AL46:AP46"/>
    <mergeCell ref="AR46:AS46"/>
    <mergeCell ref="AT46:BG46"/>
    <mergeCell ref="BJ46:BN46"/>
    <mergeCell ref="BO46:BT46"/>
    <mergeCell ref="BU46:BY46"/>
    <mergeCell ref="BZ46:CE46"/>
    <mergeCell ref="AL47:AN47"/>
    <mergeCell ref="AR47:BB47"/>
    <mergeCell ref="BC47:BG47"/>
    <mergeCell ref="BJ47:BN47"/>
    <mergeCell ref="BO47:BT47"/>
    <mergeCell ref="BU47:BY47"/>
    <mergeCell ref="BZ47:CE47"/>
    <mergeCell ref="AL48:AP48"/>
    <mergeCell ref="AR48:BB48"/>
    <mergeCell ref="BC48:BD48"/>
    <mergeCell ref="BF48:BG48"/>
    <mergeCell ref="BJ48:BN48"/>
    <mergeCell ref="BO48:BT48"/>
    <mergeCell ref="BU48:BY48"/>
    <mergeCell ref="BZ48:CE48"/>
    <mergeCell ref="AL49:AP49"/>
    <mergeCell ref="AR49:BB49"/>
    <mergeCell ref="BC49:BD49"/>
    <mergeCell ref="BF49:BG49"/>
    <mergeCell ref="BJ49:BN49"/>
    <mergeCell ref="BO49:BT49"/>
    <mergeCell ref="BU49:BY49"/>
    <mergeCell ref="BZ49:CE49"/>
    <mergeCell ref="AL50:AP50"/>
    <mergeCell ref="AR50:BB50"/>
    <mergeCell ref="BC50:BD50"/>
    <mergeCell ref="BF50:BG50"/>
    <mergeCell ref="BJ50:BN50"/>
    <mergeCell ref="BO50:BT50"/>
    <mergeCell ref="BU50:BY50"/>
    <mergeCell ref="BZ50:CE50"/>
    <mergeCell ref="AL51:AP51"/>
    <mergeCell ref="AR51:BB51"/>
    <mergeCell ref="BC51:BD51"/>
    <mergeCell ref="BF51:BG51"/>
    <mergeCell ref="BJ51:BN51"/>
    <mergeCell ref="BO51:BT51"/>
    <mergeCell ref="BU51:BY51"/>
    <mergeCell ref="BZ51:CE51"/>
    <mergeCell ref="AL52:AP52"/>
    <mergeCell ref="AR52:BB52"/>
    <mergeCell ref="BC52:BD52"/>
    <mergeCell ref="BF52:BG52"/>
    <mergeCell ref="BJ52:BN52"/>
    <mergeCell ref="BO52:BT52"/>
    <mergeCell ref="BU52:BY52"/>
    <mergeCell ref="BZ52:CE52"/>
    <mergeCell ref="BJ57:BR57"/>
    <mergeCell ref="BJ60:BO60"/>
    <mergeCell ref="BQ60:BV60"/>
    <mergeCell ref="BW60:CE60"/>
    <mergeCell ref="BK67:BO67"/>
    <mergeCell ref="BP67:CE67"/>
    <mergeCell ref="BK68:BO68"/>
    <mergeCell ref="BP68:CE68"/>
    <mergeCell ref="BK69:BO69"/>
    <mergeCell ref="BP69:CE69"/>
    <mergeCell ref="BK70:BO70"/>
    <mergeCell ref="BP70:CE70"/>
    <mergeCell ref="BK71:BO71"/>
    <mergeCell ref="BP71:CE71"/>
    <mergeCell ref="BK72:BO72"/>
    <mergeCell ref="BP72:CE72"/>
    <mergeCell ref="BK73:BO73"/>
    <mergeCell ref="BP73:CE73"/>
    <mergeCell ref="BK74:BO74"/>
    <mergeCell ref="BP74:CE74"/>
    <mergeCell ref="BK75:BO75"/>
    <mergeCell ref="BP75:CE75"/>
    <mergeCell ref="BK76:BO76"/>
    <mergeCell ref="BP76:CE76"/>
    <mergeCell ref="BK77:BO77"/>
    <mergeCell ref="BP77:CE77"/>
    <mergeCell ref="BK78:BO78"/>
    <mergeCell ref="BP78:CE78"/>
    <mergeCell ref="BK79:BO79"/>
    <mergeCell ref="BP79:CE79"/>
    <mergeCell ref="BK80:BO80"/>
    <mergeCell ref="BP80:CE80"/>
    <mergeCell ref="BK81:BO81"/>
    <mergeCell ref="BP81:CE81"/>
    <mergeCell ref="BK82:BO82"/>
    <mergeCell ref="BP82:CE82"/>
    <mergeCell ref="BK83:BO83"/>
    <mergeCell ref="BP83:CE83"/>
    <mergeCell ref="BK84:BO84"/>
    <mergeCell ref="BP84:CE84"/>
    <mergeCell ref="BK85:BO85"/>
    <mergeCell ref="BP85:CE85"/>
    <mergeCell ref="BK86:BO86"/>
    <mergeCell ref="BP86:CE86"/>
    <mergeCell ref="BK87:BO87"/>
    <mergeCell ref="BP87:CE87"/>
    <mergeCell ref="BK88:BO88"/>
    <mergeCell ref="BP88:CE88"/>
    <mergeCell ref="BJ9:BX10"/>
    <mergeCell ref="AL3:BG13"/>
    <mergeCell ref="AL16:AZ29"/>
    <mergeCell ref="BJ12:CE24"/>
    <mergeCell ref="BJ6:BX7"/>
  </mergeCells>
  <dataValidations count="6">
    <dataValidation allowBlank="1" showErrorMessage="1" sqref="BU41:CA41"/>
    <dataValidation type="list" allowBlank="1" showInputMessage="1" sqref="BJ60:BO60">
      <formula1>OFFSET(职业!$AA$3:$AA$22,,,SUMPRODUCT(N(LEN(职业!$AA$3:$AA$22)&gt;0)),)</formula1>
    </dataValidation>
    <dataValidation type="list" allowBlank="1" showInputMessage="1" prompt="该表格整合收录了部分拓展职业，如果要使用拓展职业请先咨询下你家的DM哦~&#10;" sqref="BQ60:BV60">
      <formula1>OFFSET(职业!$AM$2,,,SUMPRODUCT(N(LEN(职业!$AM$2:$AM$24)&gt;0)),)</formula1>
    </dataValidation>
    <dataValidation type="decimal" operator="between" allowBlank="1" showInputMessage="1" showErrorMessage="1" errorTitle="温馨提示：不要填写单位" error="使用公式决定金钱只需填写数字，请勿填写如gp这样的单位，银币和铜币可以填写在小数点后，每0.1即是1银币，每0.01即是1铜币。&#10;使用文字记录非钱币资源不会影响公式，如需继续请点击确定或敲一下回车即可。" sqref="BO43:BP52 BZ43:CE52" errorStyle="information">
      <formula1>0</formula1>
      <formula2>9.9999E+307</formula2>
    </dataValidation>
    <dataValidation type="list" allowBlank="1" showInputMessage="1" sqref="BK67:BO88">
      <formula1>OFFSET(职业!$CU$2,,,SUMPRODUCT(N(LEN(职业!$CU$2:$CU$101)&gt;0)))</formula1>
    </dataValidation>
    <dataValidation type="list" allowBlank="1" showInputMessage="1" sqref="BP67:CE88">
      <formula1>职业!$CX60</formula1>
    </dataValidation>
  </dataValidation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CX284"/>
  <sheetViews>
    <sheetView zoomScale="70" zoomScaleNormal="70" topLeftCell="A7" workbookViewId="0">
      <pane xSplit="1" topLeftCell="V1" activePane="topRight" state="frozen"/>
      <selection/>
      <selection pane="topRight" activeCell="AJ28" sqref="AJ28"/>
    </sheetView>
  </sheetViews>
  <sheetFormatPr defaultColWidth="9" defaultRowHeight="16.2" customHeight="1"/>
  <cols>
    <col min="1" max="1" width="9" style="586" customWidth="1"/>
    <col min="2" max="39" width="9" style="587"/>
    <col min="40" max="40" width="9.10909090909091" style="587" customWidth="1"/>
    <col min="41" max="41" width="10" style="587" customWidth="1"/>
    <col min="42" max="49" width="9.10909090909091" style="587" customWidth="1"/>
    <col min="50" max="99" width="9" style="587"/>
    <col min="100" max="100" width="9" style="587" customWidth="1"/>
    <col min="101" max="101" width="10" style="587" customWidth="1"/>
    <col min="102" max="16384" width="9" style="587"/>
  </cols>
  <sheetData>
    <row r="1" customHeight="1" spans="2:102">
      <c r="B1" s="586" t="s">
        <v>373</v>
      </c>
      <c r="C1" s="588" t="s">
        <v>374</v>
      </c>
      <c r="D1" s="589" t="s">
        <v>375</v>
      </c>
      <c r="E1" s="590" t="s">
        <v>376</v>
      </c>
      <c r="F1" s="591" t="s">
        <v>377</v>
      </c>
      <c r="G1" s="592" t="s">
        <v>378</v>
      </c>
      <c r="H1" s="593" t="s">
        <v>379</v>
      </c>
      <c r="K1" s="615" t="s">
        <v>380</v>
      </c>
      <c r="L1" s="616" t="s">
        <v>381</v>
      </c>
      <c r="M1" s="617" t="s">
        <v>382</v>
      </c>
      <c r="N1" s="618" t="s">
        <v>383</v>
      </c>
      <c r="Q1" s="587" t="s">
        <v>384</v>
      </c>
      <c r="R1" s="629" t="s">
        <v>385</v>
      </c>
      <c r="S1" s="630" t="s">
        <v>386</v>
      </c>
      <c r="U1" s="631" t="s">
        <v>387</v>
      </c>
      <c r="W1" s="632" t="s">
        <v>388</v>
      </c>
      <c r="X1" s="633" t="s">
        <v>389</v>
      </c>
      <c r="Y1" s="638" t="s">
        <v>390</v>
      </c>
      <c r="Z1" s="639" t="s">
        <v>391</v>
      </c>
      <c r="AB1" s="587" t="s">
        <v>392</v>
      </c>
      <c r="AC1" s="640" t="str">
        <f>IFERROR(IF(VLOOKUP(AB2,$B$3:$Z$22,2,FALSE)=0,"",VLOOKUP(AB2,$B$3:$Z$22,2,FALSE)),"")</f>
        <v/>
      </c>
      <c r="AD1" s="583" t="s">
        <v>393</v>
      </c>
      <c r="AE1" s="587" t="s">
        <v>394</v>
      </c>
      <c r="AF1" s="640" t="str">
        <f>IFERROR(IF(VLOOKUP(AE2,$B$3:$Z$22,2,FALSE)=0,"",VLOOKUP(AE2,$B$3:$Z$22,2,FALSE)),"")</f>
        <v/>
      </c>
      <c r="AG1" s="646" t="s">
        <v>395</v>
      </c>
      <c r="AH1" s="587" t="s">
        <v>396</v>
      </c>
      <c r="AI1" s="640" t="str">
        <f>IFERROR(IF(VLOOKUP(AH2,$B$3:$Z$22,2,FALSE)=0,"",VLOOKUP(AH2,$B$3:$Z$22,2,FALSE)),"")</f>
        <v/>
      </c>
      <c r="AJ1" s="646" t="s">
        <v>395</v>
      </c>
      <c r="AK1" s="587" t="s">
        <v>397</v>
      </c>
      <c r="AL1" s="640" t="str">
        <f>IFERROR(IF(VLOOKUP(AK2,$B$3:$Z$22,2,FALSE)=0,"",VLOOKUP(AK2,$B$3:$Z$22,2,FALSE)),"")</f>
        <v>犬师拳狩</v>
      </c>
      <c r="AM1" s="646" t="s">
        <v>395</v>
      </c>
      <c r="AO1" s="658" t="s">
        <v>398</v>
      </c>
      <c r="AP1" s="659"/>
      <c r="AQ1" s="660" t="s">
        <v>399</v>
      </c>
      <c r="AR1" s="506"/>
      <c r="AS1" s="661" t="s">
        <v>400</v>
      </c>
      <c r="AT1" s="662" t="s">
        <v>401</v>
      </c>
      <c r="AU1" s="663" t="s">
        <v>402</v>
      </c>
      <c r="AV1" s="646" t="str">
        <f>IF(AR12+AT17+AX18+AV17=0,"",AR12+AT17+AX18+AV17)</f>
        <v/>
      </c>
      <c r="AY1" s="587" t="s">
        <v>403</v>
      </c>
      <c r="AZ1" s="587" t="s">
        <v>404</v>
      </c>
      <c r="BA1" s="587" t="s">
        <v>405</v>
      </c>
      <c r="BB1" s="587" t="s">
        <v>406</v>
      </c>
      <c r="BC1" s="587" t="s">
        <v>404</v>
      </c>
      <c r="BE1" s="452" t="s">
        <v>407</v>
      </c>
      <c r="BF1" s="452" t="s">
        <v>408</v>
      </c>
      <c r="BG1" s="452" t="s">
        <v>409</v>
      </c>
      <c r="BH1" s="452" t="s">
        <v>410</v>
      </c>
      <c r="BI1" s="452" t="s">
        <v>411</v>
      </c>
      <c r="BJ1" s="452" t="s">
        <v>412</v>
      </c>
      <c r="BK1" s="452" t="s">
        <v>413</v>
      </c>
      <c r="BL1" s="452" t="s">
        <v>414</v>
      </c>
      <c r="BM1" s="452" t="s">
        <v>415</v>
      </c>
      <c r="BN1" s="452" t="s">
        <v>416</v>
      </c>
      <c r="BO1" s="695" t="s">
        <v>417</v>
      </c>
      <c r="BP1" s="452" t="s">
        <v>407</v>
      </c>
      <c r="BQ1" s="452" t="s">
        <v>408</v>
      </c>
      <c r="BR1" s="452" t="s">
        <v>409</v>
      </c>
      <c r="BS1" s="452" t="s">
        <v>410</v>
      </c>
      <c r="BT1" s="452" t="s">
        <v>411</v>
      </c>
      <c r="BU1" s="695" t="s">
        <v>412</v>
      </c>
      <c r="BV1" s="452" t="s">
        <v>407</v>
      </c>
      <c r="BW1" s="452" t="s">
        <v>408</v>
      </c>
      <c r="BX1" s="452" t="s">
        <v>409</v>
      </c>
      <c r="BY1" s="452" t="s">
        <v>410</v>
      </c>
      <c r="BZ1" s="452" t="s">
        <v>411</v>
      </c>
      <c r="CA1" s="697" t="s">
        <v>407</v>
      </c>
      <c r="CB1" s="452" t="s">
        <v>408</v>
      </c>
      <c r="CC1" s="452" t="s">
        <v>409</v>
      </c>
      <c r="CD1" s="452" t="s">
        <v>410</v>
      </c>
      <c r="CE1" s="452" t="s">
        <v>411</v>
      </c>
      <c r="CF1" s="452" t="s">
        <v>412</v>
      </c>
      <c r="CH1" s="640"/>
      <c r="CI1" s="587" t="s">
        <v>404</v>
      </c>
      <c r="CJ1" s="587" t="s">
        <v>418</v>
      </c>
      <c r="CK1" s="587" t="s">
        <v>419</v>
      </c>
      <c r="CL1" s="587" t="s">
        <v>420</v>
      </c>
      <c r="CM1" s="642" t="s">
        <v>421</v>
      </c>
      <c r="CO1" s="587" t="s">
        <v>404</v>
      </c>
      <c r="CP1" s="587" t="s">
        <v>418</v>
      </c>
      <c r="CQ1" s="587" t="s">
        <v>419</v>
      </c>
      <c r="CR1" s="587" t="s">
        <v>422</v>
      </c>
      <c r="CS1" s="587" t="s">
        <v>423</v>
      </c>
      <c r="CT1" s="703" t="s">
        <v>424</v>
      </c>
      <c r="CU1" s="704"/>
      <c r="CV1" s="587" t="s">
        <v>404</v>
      </c>
      <c r="CW1" s="587" t="s">
        <v>425</v>
      </c>
      <c r="CX1" s="587" t="s">
        <v>426</v>
      </c>
    </row>
    <row r="2" customHeight="1" spans="2:102">
      <c r="B2" s="587">
        <v>1</v>
      </c>
      <c r="C2" s="587">
        <v>2</v>
      </c>
      <c r="D2" s="587">
        <v>3</v>
      </c>
      <c r="E2" s="587">
        <v>4</v>
      </c>
      <c r="F2" s="587">
        <v>5</v>
      </c>
      <c r="G2" s="587">
        <v>6</v>
      </c>
      <c r="H2" s="587">
        <v>7</v>
      </c>
      <c r="I2" s="587">
        <v>8</v>
      </c>
      <c r="J2" s="587">
        <v>9</v>
      </c>
      <c r="K2" s="587">
        <v>10</v>
      </c>
      <c r="L2" s="587">
        <v>11</v>
      </c>
      <c r="M2" s="587">
        <v>12</v>
      </c>
      <c r="N2" s="587">
        <v>13</v>
      </c>
      <c r="O2" s="587">
        <v>14</v>
      </c>
      <c r="P2" s="587">
        <v>15</v>
      </c>
      <c r="Q2" s="587">
        <v>16</v>
      </c>
      <c r="R2" s="587">
        <v>17</v>
      </c>
      <c r="S2" s="587">
        <v>18</v>
      </c>
      <c r="T2" s="587">
        <v>19</v>
      </c>
      <c r="U2" s="587">
        <v>20</v>
      </c>
      <c r="V2" s="587">
        <v>21</v>
      </c>
      <c r="W2" s="587">
        <v>22</v>
      </c>
      <c r="X2" s="587">
        <v>23</v>
      </c>
      <c r="Y2" s="587">
        <v>24</v>
      </c>
      <c r="Z2" s="641">
        <v>25</v>
      </c>
      <c r="AB2" s="587">
        <f>主要!E6</f>
        <v>0</v>
      </c>
      <c r="AC2" s="640" t="str">
        <f>IFERROR(IF(VLOOKUP(AB2,$B$3:$Z$22,3,FALSE)=0,"",VLOOKUP(AB2,$B$3:$Z$22,3,FALSE)),"")</f>
        <v/>
      </c>
      <c r="AD2" s="642" t="str" cm="1">
        <f t="array" ref="AD2">IFERROR(INDEX($AC$1:$AC$24,SMALL(IF($AC$1:$AC$24&lt;&gt;"",ROW($AC$1:$AC$24),4^8),ROW(AC1)))&amp;"","")</f>
        <v/>
      </c>
      <c r="AE2" s="643">
        <f>主要!E7</f>
        <v>0</v>
      </c>
      <c r="AF2" s="640" t="str">
        <f>IFERROR(IF(VLOOKUP(AE2,$B$3:$Z$22,3,FALSE)=0,"",VLOOKUP(AE2,$B$3:$Z$22,3,FALSE)),"")</f>
        <v/>
      </c>
      <c r="AG2" s="642" t="str" cm="1">
        <f t="array" ref="AG2">IFERROR(INDEX($AF$1:$AF$24,SMALL(IF($AF$1:$AF$24&lt;&gt;"",ROW($AF$1:$AF$24),4^8),ROW(1:1)))&amp;"","")</f>
        <v/>
      </c>
      <c r="AH2" s="587">
        <f>主要!E8</f>
        <v>0</v>
      </c>
      <c r="AI2" s="640" t="str">
        <f>IFERROR(IF(VLOOKUP(AH2,$B$3:$Z$22,3,FALSE)=0,"",VLOOKUP(AH2,$B$3:$Z$22,3,FALSE)),"")</f>
        <v/>
      </c>
      <c r="AJ2" s="642" t="str" cm="1">
        <f t="array" ref="AJ2">IFERROR(INDEX($AI$1:$AI$24,SMALL(IF($AI$1:$AI$24&lt;&gt;"",ROW($AI$1:$AI$24),4^8),ROW(1:1)))&amp;"","")</f>
        <v/>
      </c>
      <c r="AK2" s="587" t="str">
        <f>主要!AW9</f>
        <v>拳斗士</v>
      </c>
      <c r="AL2" s="640" t="str">
        <f>IFERROR(IF(VLOOKUP(AK2,$B$3:$Z$22,3,FALSE)=0,"",VLOOKUP(AK2,$B$3:$Z$22,3,FALSE)),"")</f>
        <v>惧恶之手</v>
      </c>
      <c r="AM2" s="642" t="str" cm="1">
        <f t="array" ref="AM2">IFERROR(INDEX($AL$1:$AL$24,SMALL(IF($AL$1:$AL$24&lt;&gt;"",ROW($AL$1:$AL$24),4^8),ROW(1:1)))&amp;"","")</f>
        <v>犬师拳狩</v>
      </c>
      <c r="AO2" s="661" t="s">
        <v>427</v>
      </c>
      <c r="AP2" s="662" t="s">
        <v>428</v>
      </c>
      <c r="AQ2" s="664" t="s">
        <v>428</v>
      </c>
      <c r="AR2" s="665">
        <v>4</v>
      </c>
      <c r="AS2" s="664" t="str">
        <f>IFERROR(VLOOKUP(主要!E6,$AO$2:$AP$21,2,FALSE),"")</f>
        <v/>
      </c>
      <c r="AT2" s="665">
        <f>IFERROR(VLOOKUP(AS2,$AQ$2:$AR$5,2,FALSE),0)</f>
        <v>0</v>
      </c>
      <c r="AU2" s="587" t="s">
        <v>429</v>
      </c>
      <c r="AV2" s="642" t="str">
        <f>IF(AR13+AT18+AX19+AV18=0,"",AR13+AT18+AX19+AV18)</f>
        <v/>
      </c>
      <c r="AY2" s="587" t="s">
        <v>430</v>
      </c>
      <c r="AZ2" s="587">
        <f t="shared" ref="AZ2:AZ21" si="0">IFERROR(VLOOKUP(AY2,$BA$2:$BC$4,3,0),0)</f>
        <v>0</v>
      </c>
      <c r="BA2" s="587">
        <f>IF(主要!E6="",0,主要!E6)</f>
        <v>0</v>
      </c>
      <c r="BB2" s="587">
        <f>IF(主要!I6="",0,主要!I6)</f>
        <v>0</v>
      </c>
      <c r="BC2" s="587">
        <f>IF(主要!O6="",0,主要!O6)</f>
        <v>1</v>
      </c>
      <c r="BE2" s="587">
        <v>0</v>
      </c>
      <c r="BO2" s="612"/>
      <c r="BP2" s="587">
        <v>0</v>
      </c>
      <c r="BU2" s="612"/>
      <c r="BV2" s="587">
        <v>0</v>
      </c>
      <c r="CA2" s="610">
        <v>0</v>
      </c>
      <c r="CB2" s="698"/>
      <c r="CC2" s="698"/>
      <c r="CD2" s="698"/>
      <c r="CE2" s="698"/>
      <c r="CF2" s="698"/>
      <c r="CH2" s="640" t="s">
        <v>430</v>
      </c>
      <c r="CI2" s="587">
        <v>1</v>
      </c>
      <c r="CJ2" s="587">
        <v>2</v>
      </c>
      <c r="CK2" s="587">
        <v>3</v>
      </c>
      <c r="CL2" s="587">
        <v>1</v>
      </c>
      <c r="CM2" s="642" cm="1">
        <f t="array" ref="CM2">_xlfn.IFS($AZ$2=20,26,$AZ$2&gt;=19,25,$AZ$2&gt;=18,24,$AZ$2&gt;=17,23,$AZ$2&gt;=15,22,$AZ$2&gt;=11,20,$AZ$2&gt;=9,19,$AZ$2&gt;=7,18,$AZ$2&gt;=5,16,$AZ$2&gt;=4,14,$AZ$2&gt;=3,13,$AZ$2=2,11,$AZ$2=1,9,1,0)</f>
        <v>0</v>
      </c>
      <c r="CN2" s="701" t="str">
        <f>IF(主要!AW9&lt;&gt;"",主要!AW9,"")</f>
        <v>拳斗士</v>
      </c>
      <c r="CO2" s="702">
        <f>IFERROR(VLOOKUP($CN$2,$CH$2:$CM$22,2,FALSE),"")</f>
        <v>55</v>
      </c>
      <c r="CP2" s="702">
        <f>IFERROR(VLOOKUP($CN$2,$CH$2:$CM$22,3,FALSE),"")</f>
        <v>56</v>
      </c>
      <c r="CQ2" s="702">
        <f>IFERROR(VLOOKUP($CN$2,$CH$2:$CM$22,4,FALSE),"")</f>
        <v>57</v>
      </c>
      <c r="CR2" s="702">
        <f>IFERROR(VLOOKUP($CN$2,$CH$2:$CM$22,5,FALSE),"")</f>
        <v>1</v>
      </c>
      <c r="CS2" s="702">
        <f>IFERROR(VLOOKUP($CN$2,$CH$2:$CM$22,6,FALSE),"")</f>
        <v>0</v>
      </c>
      <c r="CT2" s="705" t="str">
        <f t="shared" ref="CT2:CT33" si="1">IFERROR(IF(OR(CO6="",COUNTIF($CW$2:$CW$81,CO6)),"",CO6),"")</f>
        <v/>
      </c>
      <c r="CU2" s="706" t="str" cm="1">
        <f t="array" ref="CU2">INDEX(CT:CT,SMALL(IF($CT$2:$CT$101&lt;&gt;"",ROW($CT$2:$CT$101),142),ROW(CT1)))&amp;""</f>
        <v/>
      </c>
      <c r="CV2" s="701" t="str">
        <f>IFERROR(VLOOKUP(CW2,$CO$6:$CQ$105,3,FALSE),"")</f>
        <v/>
      </c>
      <c r="CW2" s="702" t="str">
        <f>IF(主要!AX11="","",主要!AX11)</f>
        <v>豁免熟练</v>
      </c>
      <c r="CX2" s="702" t="str">
        <f>IFERROR(VLOOKUP(CW2,$CO$6:$CQ$105,2,FALSE),"")</f>
        <v/>
      </c>
    </row>
    <row r="3" customHeight="1" spans="1:102">
      <c r="A3" s="586">
        <v>1</v>
      </c>
      <c r="B3" s="578" t="s">
        <v>431</v>
      </c>
      <c r="C3" s="578" t="s">
        <v>432</v>
      </c>
      <c r="D3" s="578" t="s">
        <v>433</v>
      </c>
      <c r="E3" s="578" t="s">
        <v>434</v>
      </c>
      <c r="F3" s="578" t="s">
        <v>435</v>
      </c>
      <c r="G3" s="594" t="str">
        <f>IF(主要!$CD$3="O","先祖守卫道途","")</f>
        <v>先祖守卫道途</v>
      </c>
      <c r="H3" s="594" t="str">
        <f>IF(主要!$CD$3="O","风暴先驱道途","")</f>
        <v>风暴先驱道途</v>
      </c>
      <c r="I3" s="596" t="str">
        <f>IF(主要!$CD$4="O","狂野魔法道途","")</f>
        <v>狂野魔法道途</v>
      </c>
      <c r="J3" s="596" t="str">
        <f>IF(主要!$CD$4="O","野兽道途","")</f>
        <v>野兽道途</v>
      </c>
      <c r="K3" s="619" t="str">
        <f>IF(主要!$CD$7="O","巨人道途","")</f>
        <v>巨人道途</v>
      </c>
      <c r="L3" s="620" t="str">
        <f>IF(主要!$CO$4="O","巨像道途","")</f>
        <v>巨像道途</v>
      </c>
      <c r="M3" s="599" t="str">
        <f>IF(主要!$CO$12="O","肌肉法师道途","")</f>
        <v>肌肉法师道途</v>
      </c>
      <c r="N3" s="578"/>
      <c r="R3" s="634" t="str">
        <f>IF(主要!$CO$5="O","腐鸦道途","")</f>
        <v>腐鸦道途</v>
      </c>
      <c r="S3" s="598" t="str">
        <f>IF(主要!$CO$6="O","古神道途","")</f>
        <v>古神道途</v>
      </c>
      <c r="T3" s="598" t="str">
        <f>IF(主要!$CO$6="O","污霭狂怒者道途","")</f>
        <v>污霭狂怒者道途</v>
      </c>
      <c r="U3" s="635" t="str">
        <f>IF(主要!$CO$8="O","噬影徒","")</f>
        <v>噬影徒</v>
      </c>
      <c r="W3" s="636" t="str">
        <f>IF(主要!$CO$13="O","实验道途","")</f>
        <v>实验道途</v>
      </c>
      <c r="X3" s="633" t="str">
        <f>IF(主要!$CO$10="O","炼狱道途","")</f>
        <v>炼狱道途</v>
      </c>
      <c r="Y3" s="644" t="str">
        <f>IF(主要!$CO$11="O","腹酿道途","")</f>
        <v>腹酿道途</v>
      </c>
      <c r="Z3" s="645" t="str">
        <f>IF(主要!$CO$14="O","蔑法道途","")</f>
        <v>蔑法道途</v>
      </c>
      <c r="AA3" s="646" t="str" cm="1">
        <f t="array" ref="AA3">IFERROR(INDEX($B$1:$B$22,SMALL(IF($B$1:$B$22&lt;&gt;"",ROW($B$1:$B$22),4^8),ROW(3:3)))&amp;"","")</f>
        <v>野蛮人</v>
      </c>
      <c r="AC3" s="640" t="str">
        <f>IFERROR(IF(VLOOKUP(AB2,$B$3:$Z$22,4,FALSE)=0,"",VLOOKUP(AB2,$B$3:$Z$22,4,FALSE)),"")</f>
        <v/>
      </c>
      <c r="AD3" s="642" t="str" cm="1">
        <f t="array" ref="AD3">IFERROR(INDEX($AC$1:$AC$24,SMALL(IF($AC$1:$AC$24&lt;&gt;"",ROW($AC$1:$AC$24),4^8),ROW(AC2)))&amp;"","")</f>
        <v/>
      </c>
      <c r="AF3" s="640" t="str">
        <f>IFERROR(IF(VLOOKUP(AE2,$B$3:$Z$22,4,FALSE)=0,"",VLOOKUP(AE2,$B$3:$Z$22,4,FALSE)),"")</f>
        <v/>
      </c>
      <c r="AG3" s="642" t="str" cm="1">
        <f t="array" ref="AG3">IFERROR(INDEX($AF$1:$AF$24,SMALL(IF($AF$1:$AF$24&lt;&gt;"",ROW($AF$1:$AF$24),4^8),ROW(2:2)))&amp;"","")</f>
        <v/>
      </c>
      <c r="AI3" s="640" t="str">
        <f>IFERROR(IF(VLOOKUP(AH2,$B$3:$Z$22,4,FALSE)=0,"",VLOOKUP(AH2,$B$3:$Z$22,4,FALSE)),"")</f>
        <v/>
      </c>
      <c r="AJ3" s="642" t="str" cm="1">
        <f t="array" ref="AJ3">IFERROR(INDEX($AI$1:$AI$24,SMALL(IF($AI$1:$AI$24&lt;&gt;"",ROW($AI$1:$AI$24),4^8),ROW(2:2)))&amp;"","")</f>
        <v/>
      </c>
      <c r="AL3" s="640" t="str">
        <f>IFERROR(IF(VLOOKUP(AK2,$B$3:$Z$22,4,FALSE)=0,"",VLOOKUP(AK2,$B$3:$Z$22,4,FALSE)),"")</f>
        <v>怒雷恶氓</v>
      </c>
      <c r="AM3" s="642" t="str" cm="1">
        <f t="array" ref="AM3">IFERROR(INDEX($AL$1:$AL$24,SMALL(IF($AL$1:$AL$24&lt;&gt;"",ROW($AL$1:$AL$24),4^8),ROW(2:2)))&amp;"","")</f>
        <v>惧恶之手</v>
      </c>
      <c r="AO3" s="664" t="s">
        <v>436</v>
      </c>
      <c r="AP3" s="665" t="s">
        <v>428</v>
      </c>
      <c r="AQ3" s="664" t="s">
        <v>437</v>
      </c>
      <c r="AR3" s="665">
        <v>5</v>
      </c>
      <c r="AS3" s="664" t="str">
        <f>IFERROR(VLOOKUP(主要!E7,$AO$2:$AP$21,2,FALSE),"")</f>
        <v/>
      </c>
      <c r="AT3" s="665">
        <f t="shared" ref="AT3:AT4" si="2">IFERROR(VLOOKUP(AS3,$AQ$2:$AR$5,2,FALSE),0)</f>
        <v>0</v>
      </c>
      <c r="AU3" s="587" t="s">
        <v>438</v>
      </c>
      <c r="AV3" s="642" t="str">
        <f>IF(AR14+AT19+AX20+AV19=0,"",AR14+AT19+AX20+AV19)</f>
        <v/>
      </c>
      <c r="AY3" s="587" t="s">
        <v>439</v>
      </c>
      <c r="AZ3" s="587">
        <f t="shared" si="0"/>
        <v>0</v>
      </c>
      <c r="BA3" s="587">
        <f>IF(主要!E7="",0,主要!E7)</f>
        <v>0</v>
      </c>
      <c r="BB3" s="587">
        <f>IF(主要!I7="",0,主要!I7)</f>
        <v>0</v>
      </c>
      <c r="BC3" s="587">
        <f>IF(主要!O7="",0,主要!O7)</f>
        <v>0</v>
      </c>
      <c r="BE3" s="692">
        <v>1</v>
      </c>
      <c r="BF3" s="692">
        <v>2</v>
      </c>
      <c r="BG3" s="692"/>
      <c r="BH3" s="692"/>
      <c r="BI3" s="692"/>
      <c r="BJ3" s="692"/>
      <c r="BK3" s="692"/>
      <c r="BL3" s="692"/>
      <c r="BM3" s="692"/>
      <c r="BN3" s="692"/>
      <c r="BO3" s="696">
        <v>4</v>
      </c>
      <c r="BP3" s="692">
        <v>1</v>
      </c>
      <c r="BQ3" s="692">
        <v>1</v>
      </c>
      <c r="BR3" s="692"/>
      <c r="BS3" s="692"/>
      <c r="BT3" s="692"/>
      <c r="BU3" s="696"/>
      <c r="BV3" s="692">
        <v>1</v>
      </c>
      <c r="BW3" s="692"/>
      <c r="BX3" s="692"/>
      <c r="BY3" s="692"/>
      <c r="BZ3" s="692"/>
      <c r="CA3" s="699">
        <v>1</v>
      </c>
      <c r="CB3" s="692">
        <v>1</v>
      </c>
      <c r="CC3" s="692"/>
      <c r="CD3" s="692"/>
      <c r="CE3" s="692"/>
      <c r="CF3" s="692"/>
      <c r="CH3" s="640" t="s">
        <v>439</v>
      </c>
      <c r="CI3" s="587">
        <v>4</v>
      </c>
      <c r="CJ3" s="587">
        <v>5</v>
      </c>
      <c r="CK3" s="587">
        <v>6</v>
      </c>
      <c r="CL3" s="587">
        <v>1</v>
      </c>
      <c r="CM3" s="642" cm="1">
        <f t="array" ref="CM3">_xlfn.IFS($AZ$3&gt;=20,24,$AZ$3&gt;=19,23,$AZ$3&gt;=18,22,$AZ$3&gt;=10,21,$AZ$3&gt;=7,20,$AZ$3&gt;=5,19,$AZ$3&gt;=4,18,$AZ$3&gt;=3,17,$AZ$3=2,16,$AZ$3=1,14,1,0)</f>
        <v>0</v>
      </c>
      <c r="CN3" s="701" t="str">
        <f>IF(主要!BD9&lt;&gt;"",主要!BD9,"")</f>
        <v>方圆擂尊</v>
      </c>
      <c r="CP3" s="587" t="s">
        <v>440</v>
      </c>
      <c r="CQ3" s="587" t="s">
        <v>440</v>
      </c>
      <c r="CR3" s="702">
        <f>IFERROR(VLOOKUP($CN$3,$CH$30:$CJ$284,2,FALSE),"")</f>
        <v>49</v>
      </c>
      <c r="CS3" s="702">
        <f>IFERROR(VLOOKUP($CN$3,$CH$30:$CJ$284,3,FALSE),"")</f>
        <v>0</v>
      </c>
      <c r="CT3" s="705" t="str">
        <f t="shared" si="1"/>
        <v/>
      </c>
      <c r="CU3" s="706" t="str" cm="1">
        <f t="array" ref="CU3">INDEX(CT:CT,SMALL(IF($CT$2:$CT$101&lt;&gt;"",ROW($CT$2:$CT$101),142),ROW(CT2)))&amp;""</f>
        <v/>
      </c>
      <c r="CV3" s="701" t="str">
        <f t="shared" ref="CV3:CV66" si="3">IFERROR(VLOOKUP(CW3,$CO$6:$CQ$105,3,FALSE),"")</f>
        <v/>
      </c>
      <c r="CW3" s="702" t="str">
        <f>IF(主要!AX12="","",主要!AX12)</f>
        <v>技能熟练</v>
      </c>
      <c r="CX3" s="702" t="str">
        <f t="shared" ref="CX3:CX66" si="4">IFERROR(VLOOKUP(CW3,$CO$6:$CQ$105,2,FALSE),"")</f>
        <v/>
      </c>
    </row>
    <row r="4" customHeight="1" spans="1:102">
      <c r="A4" s="586">
        <v>2</v>
      </c>
      <c r="B4" s="578" t="s">
        <v>256</v>
      </c>
      <c r="C4" s="578" t="s">
        <v>441</v>
      </c>
      <c r="D4" s="578" t="s">
        <v>442</v>
      </c>
      <c r="E4" s="578" t="s">
        <v>443</v>
      </c>
      <c r="F4" s="578" t="s">
        <v>444</v>
      </c>
      <c r="G4" s="594" t="str">
        <f>IF(主要!$CD$3="O","剑舞学院","")</f>
        <v>剑舞学院</v>
      </c>
      <c r="H4" s="594" t="str">
        <f>IF(主要!$CD$3="O","低语学院","")</f>
        <v>低语学院</v>
      </c>
      <c r="I4" s="596" t="str">
        <f>IF(主要!$CD$4="O","创造学院","")</f>
        <v>创造学院</v>
      </c>
      <c r="J4" s="596" t="str">
        <f>IF(主要!$CD$4="O","雄辩学院","")</f>
        <v>雄辩学院</v>
      </c>
      <c r="K4" s="621" t="str">
        <f>IF(主要!$CD$19="O","精魂学院","")</f>
        <v>精魂学院</v>
      </c>
      <c r="L4" s="620" t="str">
        <f>IF(主要!$CO$4="O","悲剧学院","")</f>
        <v>悲剧学院</v>
      </c>
      <c r="M4" s="622" t="str">
        <f>IF(主要!$CO$7="O","旅路学院","")</f>
        <v>旅路学院</v>
      </c>
      <c r="N4" s="578"/>
      <c r="Q4" s="587" t="str">
        <f>IF(主要!$CD$10="O","皓月学院","")</f>
        <v>皓月学院</v>
      </c>
      <c r="R4" s="634" t="str">
        <f>IF(主要!$CO$5="O","安魂学院","")</f>
        <v>安魂学院</v>
      </c>
      <c r="S4" s="598" t="str">
        <f>IF(主要!$CO$6="O","末谕学院","")</f>
        <v>末谕学院</v>
      </c>
      <c r="U4" s="635" t="str">
        <f>IF(主要!$CO$8="O","暗影学院","")</f>
        <v>暗影学院</v>
      </c>
      <c r="W4" s="636" t="str">
        <f>IF(主要!$CO$13="O","灵哨学院","")</f>
        <v>灵哨学院</v>
      </c>
      <c r="X4" s="633" t="str">
        <f>IF(主要!$CO$10="O","交易学院","")</f>
        <v>交易学院</v>
      </c>
      <c r="Y4" s="644" t="str">
        <f>IF(主要!$CO$11="O","面具学院","")</f>
        <v>面具学院</v>
      </c>
      <c r="Z4" s="645" t="str">
        <f>IF(主要!$CO$14="O","戏剧学院","")</f>
        <v>戏剧学院</v>
      </c>
      <c r="AA4" s="642" t="str" cm="1">
        <f t="array" ref="AA4">IFERROR(INDEX($B$1:$B$22,SMALL(IF($B$1:$B$22&lt;&gt;"",ROW($B$1:$B$22),4^8),ROW(4:4)))&amp;"","")</f>
        <v>吟游诗人</v>
      </c>
      <c r="AC4" s="640" t="str">
        <f>IFERROR(IF(VLOOKUP(AB2,$B$3:$Z$22,5,FALSE)=0,"",VLOOKUP(AB2,$B$3:$Z$22,5,FALSE)),"")</f>
        <v/>
      </c>
      <c r="AD4" s="642" t="str" cm="1">
        <f t="array" ref="AD4">IFERROR(INDEX($AC$1:$AC$24,SMALL(IF($AC$1:$AC$24&lt;&gt;"",ROW($AC$1:$AC$24),4^8),ROW(AC3)))&amp;"","")</f>
        <v/>
      </c>
      <c r="AF4" s="640" t="str">
        <f>IFERROR(IF(VLOOKUP(AE2,$B$3:$Z$22,5,FALSE)=0,"",VLOOKUP(AE2,$B$3:$Z$22,5,FALSE)),"")</f>
        <v/>
      </c>
      <c r="AG4" s="642" t="str" cm="1">
        <f t="array" ref="AG4">IFERROR(INDEX($AF$1:$AF$24,SMALL(IF($AF$1:$AF$24&lt;&gt;"",ROW($AF$1:$AF$24),4^8),ROW(3:3)))&amp;"","")</f>
        <v/>
      </c>
      <c r="AI4" s="640" t="str">
        <f>IFERROR(IF(VLOOKUP(AH2,$B$3:$Z$22,5,FALSE)=0,"",VLOOKUP(AH2,$B$3:$Z$22,5,FALSE)),"")</f>
        <v/>
      </c>
      <c r="AJ4" s="642" t="str" cm="1">
        <f t="array" ref="AJ4">IFERROR(INDEX($AI$1:$AI$24,SMALL(IF($AI$1:$AI$24&lt;&gt;"",ROW($AI$1:$AI$24),4^8),ROW(3:3)))&amp;"","")</f>
        <v/>
      </c>
      <c r="AL4" s="640" t="str">
        <f>IFERROR(IF(VLOOKUP(AK2,$B$3:$Z$22,5,FALSE)=0,"",VLOOKUP(AK2,$B$3:$Z$22,5,FALSE)),"")</f>
        <v>街角圣徒</v>
      </c>
      <c r="AM4" s="642" t="str" cm="1">
        <f t="array" ref="AM4">IFERROR(INDEX($AL$1:$AL$24,SMALL(IF($AL$1:$AL$24&lt;&gt;"",ROW($AL$1:$AL$24),4^8),ROW(3:3)))&amp;"","")</f>
        <v>怒雷恶氓</v>
      </c>
      <c r="AO4" s="664" t="s">
        <v>445</v>
      </c>
      <c r="AP4" s="665" t="s">
        <v>428</v>
      </c>
      <c r="AQ4" s="664" t="s">
        <v>446</v>
      </c>
      <c r="AR4" s="665">
        <v>6</v>
      </c>
      <c r="AS4" s="666" t="str">
        <f>IFERROR(VLOOKUP(主要!E8,$AO$2:$AP$21,2,FALSE),"")</f>
        <v/>
      </c>
      <c r="AT4" s="667">
        <f t="shared" si="2"/>
        <v>0</v>
      </c>
      <c r="AU4" s="587" t="s">
        <v>447</v>
      </c>
      <c r="AV4" s="642" t="str">
        <f>IF(AR15+AT20+AX21+AV20=0,"",AR15+AT20+AX21+AV20)</f>
        <v/>
      </c>
      <c r="AY4" s="587" t="s">
        <v>448</v>
      </c>
      <c r="AZ4" s="587">
        <f t="shared" si="0"/>
        <v>0</v>
      </c>
      <c r="BA4" s="587">
        <f>IF(主要!E8="",0,主要!E8)</f>
        <v>0</v>
      </c>
      <c r="BB4" s="587">
        <f>IF(主要!I8="",0,主要!I8)</f>
        <v>0</v>
      </c>
      <c r="BC4" s="587">
        <f>IF(主要!O8="",0,主要!O8)</f>
        <v>0</v>
      </c>
      <c r="BE4" s="452">
        <v>2</v>
      </c>
      <c r="BF4" s="452">
        <v>3</v>
      </c>
      <c r="BG4" s="452"/>
      <c r="BH4" s="452"/>
      <c r="BI4" s="452"/>
      <c r="BJ4" s="452"/>
      <c r="BK4" s="452"/>
      <c r="BL4" s="452"/>
      <c r="BM4" s="452"/>
      <c r="BN4" s="452"/>
      <c r="BO4" s="695">
        <v>6</v>
      </c>
      <c r="BP4" s="452">
        <v>2</v>
      </c>
      <c r="BQ4" s="452">
        <v>2</v>
      </c>
      <c r="BR4" s="452"/>
      <c r="BS4" s="452"/>
      <c r="BT4" s="452"/>
      <c r="BU4" s="695"/>
      <c r="BV4" s="452">
        <v>2</v>
      </c>
      <c r="BW4" s="452"/>
      <c r="BX4" s="452"/>
      <c r="BY4" s="452"/>
      <c r="BZ4" s="452"/>
      <c r="CA4" s="697">
        <v>2</v>
      </c>
      <c r="CB4" s="452">
        <v>2</v>
      </c>
      <c r="CC4" s="452"/>
      <c r="CD4" s="452"/>
      <c r="CE4" s="452"/>
      <c r="CF4" s="452"/>
      <c r="CH4" s="640" t="s">
        <v>448</v>
      </c>
      <c r="CI4" s="587">
        <v>7</v>
      </c>
      <c r="CJ4" s="587">
        <v>8</v>
      </c>
      <c r="CK4" s="587">
        <v>9</v>
      </c>
      <c r="CL4" s="587">
        <v>1</v>
      </c>
      <c r="CM4" s="642" cm="1">
        <f t="array" ref="CM4">_xlfn.IFS($AZ$4&gt;=20,25,$AZ$4&gt;=19,24,$AZ$4&gt;=14,23,$AZ$4&gt;=10,22,$AZ$4&gt;=7,21,$AZ$4&gt;=5,20,$AZ$4&gt;=4,19,$AZ$4&gt;=3,18,$AZ$4=2,17,$AZ$4=1,14,1,0)</f>
        <v>0</v>
      </c>
      <c r="CT4" s="705" t="str">
        <f t="shared" si="1"/>
        <v/>
      </c>
      <c r="CU4" s="706" t="str" cm="1">
        <f t="array" ref="CU4">INDEX(CT:CT,SMALL(IF($CT$2:$CT$101&lt;&gt;"",ROW($CT$2:$CT$101),142),ROW(CT3)))&amp;""</f>
        <v/>
      </c>
      <c r="CV4" s="701" t="str">
        <f t="shared" si="3"/>
        <v/>
      </c>
      <c r="CW4" s="702" t="str">
        <f>IF(主要!AX13="","",主要!AX13)</f>
        <v>武器熟练</v>
      </c>
      <c r="CX4" s="702" t="str">
        <f t="shared" si="4"/>
        <v/>
      </c>
    </row>
    <row r="5" customHeight="1" spans="1:102">
      <c r="A5" s="586">
        <v>3</v>
      </c>
      <c r="B5" s="578" t="s">
        <v>260</v>
      </c>
      <c r="C5" s="578" t="s">
        <v>449</v>
      </c>
      <c r="D5" s="578" t="s">
        <v>450</v>
      </c>
      <c r="E5" s="578" t="s">
        <v>451</v>
      </c>
      <c r="F5" s="578" t="s">
        <v>452</v>
      </c>
      <c r="G5" s="594" t="str">
        <f>IF(主要!$CD$3="O","锻造领域","")</f>
        <v>锻造领域</v>
      </c>
      <c r="H5" s="594" t="str">
        <f>IF(主要!$CD$3="O","坟墓领域","")</f>
        <v>坟墓领域</v>
      </c>
      <c r="I5" s="596" t="str">
        <f>IF(主要!$CD$4="O","秩序领域","")</f>
        <v>秩序领域</v>
      </c>
      <c r="J5" s="596" t="str">
        <f>IF(主要!$CD$4="O","和平领域","")</f>
        <v>和平领域</v>
      </c>
      <c r="K5" s="596" t="str">
        <f>IF(主要!$CD$4="O","暮光领域","")</f>
        <v>暮光领域</v>
      </c>
      <c r="L5" s="620" t="str">
        <f>IF(主要!$CO$4="O","月亮领域","")</f>
        <v>月亮领域</v>
      </c>
      <c r="M5" s="620" t="str">
        <f>IF(主要!$CO$4="O","鲜血领域","")</f>
        <v>鲜血领域</v>
      </c>
      <c r="N5" s="622" t="str">
        <f>IF(主要!$CO$7="O","团队领域","")</f>
        <v>团队领域</v>
      </c>
      <c r="O5" s="622" t="str">
        <f>IF(主要!$CO$7="O","黑夜领域","")</f>
        <v>黑夜领域</v>
      </c>
      <c r="Q5" s="587" t="str">
        <f>IF(主要!$CD$10="O","知识领域","")</f>
        <v>知识领域</v>
      </c>
      <c r="R5" s="634" t="str">
        <f>IF(主要!$CO$5="O","审判领域","")</f>
        <v>审判领域</v>
      </c>
      <c r="S5" s="598" t="str">
        <f>IF(主要!$CO$6="O","暗影领域-德城","")</f>
        <v>暗影领域-德城</v>
      </c>
      <c r="T5" s="635" t="str">
        <f>IF(主要!$CO$8="O","监管领域","")</f>
        <v>监管领域</v>
      </c>
      <c r="U5" s="635" t="str">
        <f>IF(主要!$CO$8="O","暗影领域","")</f>
        <v>暗影领域</v>
      </c>
      <c r="W5" s="636" t="str">
        <f>IF(主要!$CO$13="O","丰收领域","")</f>
        <v>丰收领域</v>
      </c>
      <c r="X5" s="633" t="str">
        <f>IF(主要!$CO$10="O","宴饮领域","")</f>
        <v>宴饮领域</v>
      </c>
      <c r="Z5" s="645" t="str">
        <f>IF(主要!$CO$14="O","天启领域","")</f>
        <v>天启领域</v>
      </c>
      <c r="AA5" s="642" t="str" cm="1">
        <f t="array" ref="AA5">IFERROR(INDEX($B$1:$B$22,SMALL(IF($B$1:$B$22&lt;&gt;"",ROW($B$1:$B$22),4^8),ROW(5:5)))&amp;"","")</f>
        <v>牧师</v>
      </c>
      <c r="AC5" s="640" t="str">
        <f>IFERROR(IF(VLOOKUP(AB2,$B$3:$Z$22,6,FALSE)=0,"",VLOOKUP(AB2,$B$3:$Z$22,6,FALSE)),"")</f>
        <v/>
      </c>
      <c r="AD5" s="642" t="str" cm="1">
        <f t="array" ref="AD5">IFERROR(INDEX($AC$1:$AC$24,SMALL(IF($AC$1:$AC$24&lt;&gt;"",ROW($AC$1:$AC$24),4^8),ROW(AC4)))&amp;"","")</f>
        <v/>
      </c>
      <c r="AF5" s="640" t="str">
        <f>IFERROR(IF(VLOOKUP(AE2,$B$3:$Z$22,6,FALSE)=0,"",VLOOKUP(AE2,$B$3:$Z$22,6,FALSE)),"")</f>
        <v/>
      </c>
      <c r="AG5" s="642" t="str" cm="1">
        <f t="array" ref="AG5">IFERROR(INDEX($AF$1:$AF$24,SMALL(IF($AF$1:$AF$24&lt;&gt;"",ROW($AF$1:$AF$24),4^8),ROW(4:4)))&amp;"","")</f>
        <v/>
      </c>
      <c r="AI5" s="640" t="str">
        <f>IFERROR(IF(VLOOKUP(AH2,$B$3:$Z$22,6,FALSE)=0,"",VLOOKUP(AH2,$B$3:$Z$22,6,FALSE)),"")</f>
        <v/>
      </c>
      <c r="AJ5" s="642" t="str" cm="1">
        <f t="array" ref="AJ5">IFERROR(INDEX($AI$1:$AI$24,SMALL(IF($AI$1:$AI$24&lt;&gt;"",ROW($AI$1:$AI$24),4^8),ROW(4:4)))&amp;"","")</f>
        <v/>
      </c>
      <c r="AL5" s="640" t="str">
        <f>IFERROR(IF(VLOOKUP(AK2,$B$3:$Z$22,6,FALSE)=0,"",VLOOKUP(AK2,$B$3:$Z$22,6,FALSE)),"")</f>
        <v>方圆擂尊</v>
      </c>
      <c r="AM5" s="642" t="str" cm="1">
        <f t="array" ref="AM5">IFERROR(INDEX($AL$1:$AL$24,SMALL(IF($AL$1:$AL$24&lt;&gt;"",ROW($AL$1:$AL$24),4^8),ROW(4:4)))&amp;"","")</f>
        <v>街角圣徒</v>
      </c>
      <c r="AO5" s="664" t="s">
        <v>453</v>
      </c>
      <c r="AP5" s="665" t="s">
        <v>437</v>
      </c>
      <c r="AQ5" s="666" t="s">
        <v>454</v>
      </c>
      <c r="AR5" s="667">
        <v>7</v>
      </c>
      <c r="AS5" s="452"/>
      <c r="AT5" s="452"/>
      <c r="AU5" s="640" t="s">
        <v>455</v>
      </c>
      <c r="AV5" s="642" t="str">
        <f>IF(AR16+AT21+AV21=0,"",AR16+AT21+AV21)</f>
        <v/>
      </c>
      <c r="AY5" s="587" t="s">
        <v>456</v>
      </c>
      <c r="AZ5" s="587">
        <f t="shared" si="0"/>
        <v>0</v>
      </c>
      <c r="BE5" s="692">
        <v>3</v>
      </c>
      <c r="BF5" s="692">
        <v>4</v>
      </c>
      <c r="BG5" s="692">
        <v>2</v>
      </c>
      <c r="BH5" s="692"/>
      <c r="BI5" s="692"/>
      <c r="BJ5" s="692"/>
      <c r="BK5" s="692"/>
      <c r="BL5" s="692"/>
      <c r="BM5" s="692"/>
      <c r="BN5" s="692"/>
      <c r="BO5" s="696">
        <v>14</v>
      </c>
      <c r="BP5" s="692">
        <v>3</v>
      </c>
      <c r="BQ5" s="692"/>
      <c r="BR5" s="692">
        <v>2</v>
      </c>
      <c r="BS5" s="692"/>
      <c r="BT5" s="692"/>
      <c r="BU5" s="696"/>
      <c r="BV5" s="692">
        <v>3</v>
      </c>
      <c r="BW5" s="692">
        <v>1</v>
      </c>
      <c r="BX5" s="692"/>
      <c r="BY5" s="692"/>
      <c r="BZ5" s="692"/>
      <c r="CA5" s="699">
        <v>3</v>
      </c>
      <c r="CB5" s="692"/>
      <c r="CC5" s="692">
        <v>2</v>
      </c>
      <c r="CD5" s="692"/>
      <c r="CE5" s="692"/>
      <c r="CF5" s="692"/>
      <c r="CH5" s="640" t="s">
        <v>456</v>
      </c>
      <c r="CI5" s="587">
        <v>10</v>
      </c>
      <c r="CJ5" s="587">
        <v>11</v>
      </c>
      <c r="CK5" s="587">
        <v>12</v>
      </c>
      <c r="CL5" s="587">
        <v>1</v>
      </c>
      <c r="CM5" s="642" cm="1">
        <f t="array" ref="CM5">_xlfn.IFS($AZ$5&gt;=20,29,$AZ$5&gt;=19,28,$AZ$5&gt;=18,27,$AZ$5&gt;=15,26,$AZ$5&gt;=7,25,$AZ$5&gt;=5,24,$AZ$5&gt;=4,23,$AZ$5&gt;=3,22,$AZ$5=2,21,$AZ$5=1,15,1,0)</f>
        <v>0</v>
      </c>
      <c r="CN5" s="701">
        <v>0</v>
      </c>
      <c r="CO5" s="702" t="s">
        <v>418</v>
      </c>
      <c r="CP5" s="702" t="s">
        <v>419</v>
      </c>
      <c r="CQ5" s="702"/>
      <c r="CR5" s="702" t="s">
        <v>457</v>
      </c>
      <c r="CT5" s="705" t="str">
        <f t="shared" si="1"/>
        <v/>
      </c>
      <c r="CU5" s="706" t="str" cm="1">
        <f t="array" ref="CU5">INDEX(CT:CT,SMALL(IF($CT$2:$CT$101&lt;&gt;"",ROW($CT$2:$CT$101),142),ROW(CT4)))&amp;""</f>
        <v/>
      </c>
      <c r="CV5" s="701" t="str">
        <f t="shared" si="3"/>
        <v/>
      </c>
      <c r="CW5" s="702" t="str">
        <f>IF(主要!AX14="","",主要!AX14)</f>
        <v>工具熟练</v>
      </c>
      <c r="CX5" s="702" t="str">
        <f t="shared" si="4"/>
        <v/>
      </c>
    </row>
    <row r="6" customHeight="1" spans="1:102">
      <c r="A6" s="586">
        <v>4</v>
      </c>
      <c r="B6" s="578" t="s">
        <v>265</v>
      </c>
      <c r="C6" s="578" t="s">
        <v>458</v>
      </c>
      <c r="D6" s="578" t="s">
        <v>459</v>
      </c>
      <c r="E6" s="578" t="s">
        <v>460</v>
      </c>
      <c r="F6" s="595" t="s">
        <v>461</v>
      </c>
      <c r="G6" s="594" t="str">
        <f>IF(主要!$CD$3="O","梦境结社","")</f>
        <v>梦境结社</v>
      </c>
      <c r="H6" s="594" t="str">
        <f>IF(主要!$CD$3="O","牧人结社","")</f>
        <v>牧人结社</v>
      </c>
      <c r="I6" s="596" t="str">
        <f>IF(主要!$CD$4="O","孢子结社","")</f>
        <v>孢子结社</v>
      </c>
      <c r="J6" s="596" t="str">
        <f>IF(主要!$CD$4="O","野火结社","")</f>
        <v>野火结社</v>
      </c>
      <c r="K6" s="620" t="str">
        <f>IF(主要!$CO$4="O","枯朽结社","")</f>
        <v>枯朽结社</v>
      </c>
      <c r="L6" s="623" t="str">
        <f>IF(主要!$CO$7="O","守望结社","")</f>
        <v>守望结社</v>
      </c>
      <c r="O6" s="624" t="str">
        <f>IF(主要!$CO$21="O","恩护结社","")</f>
        <v>恩护结社</v>
      </c>
      <c r="S6" s="598" t="str">
        <f>IF(主要!$CO$6="O","秽染结社","")</f>
        <v>秽染结社</v>
      </c>
      <c r="U6" s="635" t="str">
        <f>IF(主要!$CO$8="O","暗影结社","")</f>
        <v>暗影结社</v>
      </c>
      <c r="V6" s="636" t="str">
        <f>IF(主要!$CO$13="O","旧途结社","")</f>
        <v>旧途结社</v>
      </c>
      <c r="W6" s="636" t="str">
        <f>IF(主要!$CO$13="O","柳艺结社","")</f>
        <v>柳艺结社</v>
      </c>
      <c r="X6" s="633" t="str">
        <f>IF(主要!$CO$10="O","巨龙结社","")</f>
        <v>巨龙结社</v>
      </c>
      <c r="Y6" s="644" t="str">
        <f>IF(主要!$CO$11="O","落英结社","")</f>
        <v>落英结社</v>
      </c>
      <c r="Z6" s="645" t="str">
        <f>IF(主要!$CO$14="O","共生结社","")</f>
        <v>共生结社</v>
      </c>
      <c r="AA6" s="642" t="str" cm="1">
        <f t="array" ref="AA6">IFERROR(INDEX($B$1:$B$22,SMALL(IF($B$1:$B$22&lt;&gt;"",ROW($B$1:$B$22),4^8),ROW(6:6)))&amp;"","")</f>
        <v>德鲁伊</v>
      </c>
      <c r="AC6" s="640" t="str">
        <f>IFERROR(IF(VLOOKUP(AB2,$B$3:$Z$22,7,FALSE)=0,"",VLOOKUP(AB2,$B$3:$Z$22,7,FALSE)),"")</f>
        <v/>
      </c>
      <c r="AD6" s="642" t="str" cm="1">
        <f t="array" ref="AD6">IFERROR(INDEX($AC$1:$AC$24,SMALL(IF($AC$1:$AC$24&lt;&gt;"",ROW($AC$1:$AC$24),4^8),ROW(AC5)))&amp;"","")</f>
        <v/>
      </c>
      <c r="AF6" s="640" t="str">
        <f>IFERROR(IF(VLOOKUP(AE2,$B$3:$Z$22,7,FALSE)=0,"",VLOOKUP(AE2,$B$3:$Z$22,7,FALSE)),"")</f>
        <v/>
      </c>
      <c r="AG6" s="642" t="str" cm="1">
        <f t="array" ref="AG6">IFERROR(INDEX($AF$1:$AF$24,SMALL(IF($AF$1:$AF$24&lt;&gt;"",ROW($AF$1:$AF$24),4^8),ROW(5:5)))&amp;"","")</f>
        <v/>
      </c>
      <c r="AI6" s="640" t="str">
        <f>IFERROR(IF(VLOOKUP(AH2,$B$3:$Z$22,7,FALSE)=0,"",VLOOKUP(AH2,$B$3:$Z$22,7,FALSE)),"")</f>
        <v/>
      </c>
      <c r="AJ6" s="642" t="str" cm="1">
        <f t="array" ref="AJ6">IFERROR(INDEX($AI$1:$AI$24,SMALL(IF($AI$1:$AI$24&lt;&gt;"",ROW($AI$1:$AI$24),4^8),ROW(5:5)))&amp;"","")</f>
        <v/>
      </c>
      <c r="AL6" s="640" t="str">
        <f>IFERROR(IF(VLOOKUP(AK2,$B$3:$Z$22,7,FALSE)=0,"",VLOOKUP(AK2,$B$3:$Z$22,7,FALSE)),"")</f>
        <v>甜蜜科学</v>
      </c>
      <c r="AM6" s="642" t="str" cm="1">
        <f t="array" ref="AM6">IFERROR(INDEX($AL$1:$AL$24,SMALL(IF($AL$1:$AL$24&lt;&gt;"",ROW($AL$1:$AL$24),4^8),ROW(5:5)))&amp;"","")</f>
        <v>方圆擂尊</v>
      </c>
      <c r="AO6" s="664" t="s">
        <v>462</v>
      </c>
      <c r="AP6" s="665" t="s">
        <v>437</v>
      </c>
      <c r="AQ6" s="660" t="s">
        <v>463</v>
      </c>
      <c r="AR6" s="506"/>
      <c r="AS6" s="668" t="s">
        <v>464</v>
      </c>
      <c r="AT6" s="668">
        <f>主要!O6+主要!O7+主要!O8</f>
        <v>1</v>
      </c>
      <c r="AU6" s="640" t="s">
        <v>465</v>
      </c>
      <c r="AV6" s="642" t="str">
        <f>IF(AR17+0=0,"",AR17)</f>
        <v/>
      </c>
      <c r="AY6" s="587" t="s">
        <v>466</v>
      </c>
      <c r="AZ6" s="587">
        <f t="shared" si="0"/>
        <v>0</v>
      </c>
      <c r="BB6" s="587" t="s">
        <v>467</v>
      </c>
      <c r="BC6" s="587">
        <f>IF($BB$2="奥法骑士",$BC$2,IF($BB$3="奥法骑士",$BC$3,IF($BB$4="奥法骑士",$BC$4,0)))</f>
        <v>0</v>
      </c>
      <c r="BE6" s="452">
        <v>4</v>
      </c>
      <c r="BF6" s="452">
        <v>4</v>
      </c>
      <c r="BG6" s="452">
        <v>3</v>
      </c>
      <c r="BH6" s="452"/>
      <c r="BI6" s="452"/>
      <c r="BJ6" s="452"/>
      <c r="BK6" s="452"/>
      <c r="BL6" s="452"/>
      <c r="BM6" s="452"/>
      <c r="BN6" s="452"/>
      <c r="BO6" s="695">
        <v>17</v>
      </c>
      <c r="BP6" s="452">
        <v>4</v>
      </c>
      <c r="BQ6" s="452"/>
      <c r="BR6" s="452">
        <v>2</v>
      </c>
      <c r="BS6" s="452"/>
      <c r="BT6" s="452"/>
      <c r="BU6" s="695"/>
      <c r="BV6" s="452">
        <v>4</v>
      </c>
      <c r="BW6" s="452">
        <v>1</v>
      </c>
      <c r="BX6" s="452"/>
      <c r="BY6" s="452"/>
      <c r="BZ6" s="452"/>
      <c r="CA6" s="697">
        <v>4</v>
      </c>
      <c r="CB6" s="452"/>
      <c r="CC6" s="452">
        <v>2</v>
      </c>
      <c r="CD6" s="452"/>
      <c r="CE6" s="452"/>
      <c r="CF6" s="452"/>
      <c r="CH6" s="640" t="s">
        <v>466</v>
      </c>
      <c r="CI6" s="587">
        <v>13</v>
      </c>
      <c r="CJ6" s="587">
        <v>14</v>
      </c>
      <c r="CK6" s="587">
        <v>15</v>
      </c>
      <c r="CL6" s="587">
        <v>1</v>
      </c>
      <c r="CM6" s="642" cm="1">
        <f t="array" ref="CM6">_xlfn.IFS($AZ$6=20,21,$AZ$6&gt;=19,20,$AZ$6&gt;=13,19,$AZ$6&gt;=11,18,$AZ$6&gt;=9,17,$AZ$6&gt;=5,15,$AZ$6&gt;=4,13,$AZ$6&gt;=3,12,$AZ$6&gt;=2,11,$AZ$6=1,9,1,0)</f>
        <v>0</v>
      </c>
      <c r="CN6" s="701" t="str">
        <f>IFERROR(IF(CN5+1&gt;CS2,IF(CN5+1&gt;CS2,IF(CR3+CR5&gt;CS3,"",CR3+CR5)),CN5+1),"")</f>
        <v/>
      </c>
      <c r="CO6" s="702" t="str" cm="1">
        <f t="array" ref="CO6">IFERROR(INDEX($B$34:$BO$262,CN6,$CP$2),"")</f>
        <v/>
      </c>
      <c r="CP6" s="702" t="str" cm="1">
        <f t="array" ref="CP6">IFERROR(INDEX($B$34:$BO$262,CN6,$CQ$2),"")</f>
        <v/>
      </c>
      <c r="CQ6" s="702" t="str" cm="1">
        <f t="array" ref="CQ6">IF(IFERROR(INDEX($B$34:$BO$262,CN6,$CO$2),"")=0,"",IFERROR(INDEX($B$34:$BO$262,CN6,$CO$2),""))</f>
        <v/>
      </c>
      <c r="CR6" s="702" t="str">
        <f>IFERROR(IF(CN5+1&gt;CS2,CR5+1,0),"")</f>
        <v/>
      </c>
      <c r="CT6" s="705" t="str">
        <f t="shared" si="1"/>
        <v/>
      </c>
      <c r="CU6" s="706" t="str" cm="1">
        <f t="array" ref="CU6">INDEX(CT:CT,SMALL(IF($CT$2:$CT$101&lt;&gt;"",ROW($CT$2:$CT$101),142),ROW(CT5)))&amp;""</f>
        <v/>
      </c>
      <c r="CV6" s="701" t="str">
        <f t="shared" si="3"/>
        <v/>
      </c>
      <c r="CW6" s="702" t="str">
        <f>IF(主要!AX15="","",主要!AX15)</f>
        <v>护甲受训</v>
      </c>
      <c r="CX6" s="702" t="str">
        <f t="shared" si="4"/>
        <v/>
      </c>
    </row>
    <row r="7" customHeight="1" spans="1:102">
      <c r="A7" s="586">
        <v>5</v>
      </c>
      <c r="B7" s="578" t="s">
        <v>468</v>
      </c>
      <c r="C7" s="578" t="s">
        <v>469</v>
      </c>
      <c r="D7" s="578" t="s">
        <v>470</v>
      </c>
      <c r="E7" s="578" t="s">
        <v>294</v>
      </c>
      <c r="F7" s="578" t="s">
        <v>471</v>
      </c>
      <c r="G7" s="594" t="str">
        <f>IF(主要!$CD$3="O","魔射手","")</f>
        <v>魔射手</v>
      </c>
      <c r="H7" s="594" t="str">
        <f>IF(主要!$CD$3="O","骑兵","")</f>
        <v>骑兵</v>
      </c>
      <c r="I7" s="594" t="str">
        <f>IF(主要!$CD$3="O","武士","")</f>
        <v>武士</v>
      </c>
      <c r="J7" s="596" t="str">
        <f>IF(主要!$CD$4="O","符文骑士","")</f>
        <v>符文骑士</v>
      </c>
      <c r="K7" s="625" t="str">
        <f>IF(主要!$CD$23="O","回音骑士","")</f>
        <v>回音骑士</v>
      </c>
      <c r="L7" s="599" t="str">
        <f>IF(主要!$CO$12="O","地城探险家","")</f>
        <v>地城探险家</v>
      </c>
      <c r="M7" s="622" t="str">
        <f>IF(主要!$CO$7="O","法外狂徒","")</f>
        <v>法外狂徒</v>
      </c>
      <c r="O7" s="624" t="str">
        <f>IF(主要!$CO$21="O","角斗士","")</f>
        <v>角斗士</v>
      </c>
      <c r="Q7" s="587" t="str">
        <f>IF(主要!$CD$10="O","旗将","")</f>
        <v>旗将</v>
      </c>
      <c r="R7" s="634" t="str">
        <f>IF(主要!$CO$5="O","破锋者","")</f>
        <v>破锋者</v>
      </c>
      <c r="S7" s="598" t="str">
        <f>IF(主要!$CO$6="O","指挥官","")</f>
        <v>指挥官</v>
      </c>
      <c r="W7" s="636" t="str">
        <f>IF(主要!$CO$13="O","陵墓守卫","")</f>
        <v>陵墓守卫</v>
      </c>
      <c r="X7" s="633" t="str">
        <f>IF(主要!$CO$10="O","钢隼","")</f>
        <v>钢隼</v>
      </c>
      <c r="Y7" s="644" t="str">
        <f>IF(主要!$CO$11="O","附灵","")</f>
        <v>附灵</v>
      </c>
      <c r="Z7" s="645" t="str">
        <f>IF(主要!$CO$14="O","英雄","")</f>
        <v>英雄</v>
      </c>
      <c r="AA7" s="642" t="str" cm="1">
        <f t="array" ref="AA7">IFERROR(INDEX($B$1:$B$22,SMALL(IF($B$1:$B$22&lt;&gt;"",ROW($B$1:$B$22),4^8),ROW(7:7)))&amp;"","")</f>
        <v>战士</v>
      </c>
      <c r="AC7" s="640" t="str">
        <f>IFERROR(IF(VLOOKUP(AB2,$B$3:$Z$22,8,FALSE)=0,"",VLOOKUP(AB2,$B$3:$Z$22,8,FALSE)),"")</f>
        <v/>
      </c>
      <c r="AD7" s="642" t="str" cm="1">
        <f t="array" ref="AD7">IFERROR(INDEX($AC$1:$AC$24,SMALL(IF($AC$1:$AC$24&lt;&gt;"",ROW($AC$1:$AC$24),4^8),ROW(AC6)))&amp;"","")</f>
        <v/>
      </c>
      <c r="AF7" s="640" t="str">
        <f>IFERROR(IF(VLOOKUP(AE2,$B$3:$Z$22,8,FALSE)=0,"",VLOOKUP(AE2,$B$3:$Z$22,8,FALSE)),"")</f>
        <v/>
      </c>
      <c r="AG7" s="642" t="str" cm="1">
        <f t="array" ref="AG7">IFERROR(INDEX($AF$1:$AF$24,SMALL(IF($AF$1:$AF$24&lt;&gt;"",ROW($AF$1:$AF$24),4^8),ROW(6:6)))&amp;"","")</f>
        <v/>
      </c>
      <c r="AI7" s="640" t="str">
        <f>IFERROR(IF(VLOOKUP(AH2,$B$3:$Z$22,8,FALSE)=0,"",VLOOKUP(AH2,$B$3:$Z$22,8,FALSE)),"")</f>
        <v/>
      </c>
      <c r="AJ7" s="642" t="str" cm="1">
        <f t="array" ref="AJ7">IFERROR(INDEX($AI$1:$AI$24,SMALL(IF($AI$1:$AI$24&lt;&gt;"",ROW($AI$1:$AI$24),4^8),ROW(6:6)))&amp;"","")</f>
        <v/>
      </c>
      <c r="AL7" s="640" t="str">
        <f>IFERROR(IF(VLOOKUP(AK2,$B$3:$Z$22,8,FALSE)=0,"",VLOOKUP(AK2,$B$3:$Z$22,8,FALSE)),"")</f>
        <v/>
      </c>
      <c r="AM7" s="642" t="str" cm="1">
        <f t="array" ref="AM7">IFERROR(INDEX($AL$1:$AL$24,SMALL(IF($AL$1:$AL$24&lt;&gt;"",ROW($AL$1:$AL$24),4^8),ROW(6:6)))&amp;"","")</f>
        <v>甜蜜科学</v>
      </c>
      <c r="AO7" s="664" t="s">
        <v>472</v>
      </c>
      <c r="AP7" s="665" t="s">
        <v>437</v>
      </c>
      <c r="AQ7" s="664" t="s">
        <v>428</v>
      </c>
      <c r="AR7" s="665">
        <v>2</v>
      </c>
      <c r="AS7" s="668" t="s">
        <v>473</v>
      </c>
      <c r="AT7" s="668">
        <f>IFERROR(VLOOKUP(AS2,AQ7:AR10,2,FALSE),0)</f>
        <v>0</v>
      </c>
      <c r="AU7" s="640" t="s">
        <v>474</v>
      </c>
      <c r="AV7" s="642" t="str">
        <f>IF(AR18+0=0,"",AR18)</f>
        <v/>
      </c>
      <c r="AY7" s="587" t="s">
        <v>475</v>
      </c>
      <c r="AZ7" s="587">
        <f t="shared" si="0"/>
        <v>0</v>
      </c>
      <c r="BB7" s="587" t="s">
        <v>476</v>
      </c>
      <c r="BC7" s="587">
        <f>IF($BB$2="诡术师",$BC$2,IF($BB$3="诡术师",$BC$3,IF($BB$4="诡术师",$BC$4,0)))</f>
        <v>0</v>
      </c>
      <c r="BE7" s="692">
        <v>5</v>
      </c>
      <c r="BF7" s="692">
        <v>4</v>
      </c>
      <c r="BG7" s="692">
        <v>3</v>
      </c>
      <c r="BH7" s="692">
        <v>2</v>
      </c>
      <c r="BI7" s="692"/>
      <c r="BJ7" s="692"/>
      <c r="BK7" s="692"/>
      <c r="BL7" s="692"/>
      <c r="BM7" s="692"/>
      <c r="BN7" s="692"/>
      <c r="BO7" s="696">
        <v>27</v>
      </c>
      <c r="BP7" s="692">
        <v>5</v>
      </c>
      <c r="BQ7" s="692"/>
      <c r="BR7" s="692"/>
      <c r="BS7" s="692">
        <v>2</v>
      </c>
      <c r="BT7" s="692"/>
      <c r="BU7" s="696"/>
      <c r="BV7" s="692">
        <v>5</v>
      </c>
      <c r="BW7" s="692">
        <v>1</v>
      </c>
      <c r="BX7" s="692"/>
      <c r="BY7" s="692"/>
      <c r="BZ7" s="692"/>
      <c r="CA7" s="699">
        <v>5</v>
      </c>
      <c r="CB7" s="692"/>
      <c r="CC7" s="692"/>
      <c r="CD7" s="692">
        <v>3</v>
      </c>
      <c r="CE7" s="692"/>
      <c r="CF7" s="692"/>
      <c r="CH7" s="640" t="s">
        <v>475</v>
      </c>
      <c r="CI7" s="587">
        <v>16</v>
      </c>
      <c r="CJ7" s="587">
        <v>17</v>
      </c>
      <c r="CK7" s="587">
        <v>18</v>
      </c>
      <c r="CL7" s="587">
        <v>1</v>
      </c>
      <c r="CM7" s="642" cm="1">
        <f t="array" ref="CM7">_xlfn.IFS($AZ$7=20,28,$AZ$7=19,27,$AZ$7=18,26,$AZ$7&gt;=15,25,$AZ$7&gt;=14,24,$AZ$7&gt;=13,23,$AZ$7&gt;=10,22,$AZ$7&gt;=9,20,$AZ$7&gt;=7,19,$AZ$7&gt;=6,18,$AZ$7&gt;=5,17,$AZ$7&gt;=4,15,$AZ$7&gt;=3,13,$AZ$7=2,11,$AZ$7=1,8,1,0)</f>
        <v>0</v>
      </c>
      <c r="CN7" s="701" t="str">
        <f>IFERROR(IF(CN6+1&gt;CS2,IF(CN6+1&gt;CS2,IF(CR3+CR6&gt;CS3,"",CR3+CR6)),CN6+1),"")</f>
        <v/>
      </c>
      <c r="CO7" s="702" t="str" cm="1">
        <f t="array" ref="CO7">IFERROR(INDEX($B$34:$BO$262,CN7,$CP$2),"")</f>
        <v/>
      </c>
      <c r="CP7" s="702" t="str" cm="1">
        <f t="array" ref="CP7">IFERROR(INDEX($B$34:$BO$262,CN7,$CQ$2),"")</f>
        <v/>
      </c>
      <c r="CQ7" s="702" t="str" cm="1">
        <f t="array" ref="CQ7">IF(IFERROR(INDEX($B$34:$BO$262,CN7,$CO$2),"")=0,"",IFERROR(INDEX($B$34:$BO$262,CN7,$CO$2),""))</f>
        <v/>
      </c>
      <c r="CR7" s="702" t="str">
        <f>IFERROR(IF(CN6+1&gt;CS2,CR6+1,0),"")</f>
        <v/>
      </c>
      <c r="CT7" s="705" t="str">
        <f t="shared" si="1"/>
        <v/>
      </c>
      <c r="CU7" s="706" t="str" cm="1">
        <f t="array" ref="CU7">INDEX(CT:CT,SMALL(IF($CT$2:$CT$101&lt;&gt;"",ROW($CT$2:$CT$101),142),ROW(CT6)))&amp;""</f>
        <v/>
      </c>
      <c r="CV7" s="701" t="str">
        <f t="shared" si="3"/>
        <v/>
      </c>
      <c r="CW7" s="702" t="str">
        <f>IF(主要!AX16="","",主要!AX16)</f>
        <v>起始装备</v>
      </c>
      <c r="CX7" s="702" t="str">
        <f t="shared" si="4"/>
        <v/>
      </c>
    </row>
    <row r="8" customHeight="1" spans="1:102">
      <c r="A8" s="586">
        <v>6</v>
      </c>
      <c r="B8" s="578" t="s">
        <v>477</v>
      </c>
      <c r="C8" s="578" t="s">
        <v>478</v>
      </c>
      <c r="D8" s="578" t="s">
        <v>479</v>
      </c>
      <c r="E8" s="578" t="s">
        <v>480</v>
      </c>
      <c r="F8" s="578" t="s">
        <v>481</v>
      </c>
      <c r="G8" s="594" t="str">
        <f>IF(主要!$CD$3="O","醉拳宗","")</f>
        <v>醉拳宗</v>
      </c>
      <c r="H8" s="594" t="str">
        <f>IF(主要!$CD$3="O","剑圣宗","")</f>
        <v>剑圣宗</v>
      </c>
      <c r="I8" s="594" t="str">
        <f>IF(主要!$CD$3="O","日魂宗","")</f>
        <v>日魂宗</v>
      </c>
      <c r="J8" s="596" t="str">
        <f>IF(主要!$CD$4="O","星我宗","")</f>
        <v>星我宗</v>
      </c>
      <c r="K8" s="626" t="str">
        <f>IF(主要!$CD$6="O","神龙宗","")</f>
        <v>神龙宗</v>
      </c>
      <c r="L8" s="620" t="str">
        <f>IF(主要!$CO$4="O","钴魂宗","")</f>
        <v>钴魂宗</v>
      </c>
      <c r="M8" s="599" t="str">
        <f>IF(主要!$CO$12="O","街霸武者","")</f>
        <v>街霸武者</v>
      </c>
      <c r="O8" s="624" t="str">
        <f>IF(主要!$CO$22="O","秘术武者","")</f>
        <v>秘术武者</v>
      </c>
      <c r="S8" s="598" t="str">
        <f>IF(主要!$CO$6="O","盘蛇宗","")</f>
        <v>盘蛇宗</v>
      </c>
      <c r="T8" s="598" t="str">
        <f>IF(主要!$CO$6="O","织法宗","")</f>
        <v>织法宗</v>
      </c>
      <c r="U8" s="635" t="str">
        <f>IF(主要!$CO$8="O","先知宗","")</f>
        <v>先知宗</v>
      </c>
      <c r="W8" s="636" t="str">
        <f>IF(主要!$CO$13="O","疫瘴武者","")</f>
        <v>疫瘴武者</v>
      </c>
      <c r="X8" s="633" t="str">
        <f>IF(主要!$CO$10="O","虚灵宗","")</f>
        <v>虚灵宗</v>
      </c>
      <c r="Y8" s="644" t="str">
        <f>IF(主要!$CO$11="O","绵龙牧者","")</f>
        <v>绵龙牧者</v>
      </c>
      <c r="Z8" s="645" t="str">
        <f>IF(主要!$CO$14="O","天衡武者","")</f>
        <v>天衡武者</v>
      </c>
      <c r="AA8" s="642" t="str" cm="1">
        <f t="array" ref="AA8">IFERROR(INDEX($B$1:$B$22,SMALL(IF($B$1:$B$22&lt;&gt;"",ROW($B$1:$B$22),4^8),ROW(8:8)))&amp;"","")</f>
        <v>武僧</v>
      </c>
      <c r="AC8" s="640" t="str">
        <f>IFERROR(IF(VLOOKUP(AB2,$B$3:$Z$22,9,FALSE)=0,"",VLOOKUP(AB2,$B$3:$Z$22,9,FALSE)),"")</f>
        <v/>
      </c>
      <c r="AD8" s="642" t="str" cm="1">
        <f t="array" ref="AD8">IFERROR(INDEX($AC$1:$AC$24,SMALL(IF($AC$1:$AC$24&lt;&gt;"",ROW($AC$1:$AC$24),4^8),ROW(AC7)))&amp;"","")</f>
        <v/>
      </c>
      <c r="AF8" s="640" t="str">
        <f>IFERROR(IF(VLOOKUP(AE2,$B$3:$Z$22,9,FALSE)=0,"",VLOOKUP(AE2,$B$3:$Z$22,9,FALSE)),"")</f>
        <v/>
      </c>
      <c r="AG8" s="642" t="str" cm="1">
        <f t="array" ref="AG8">IFERROR(INDEX($AF$1:$AF$24,SMALL(IF($AF$1:$AF$24&lt;&gt;"",ROW($AF$1:$AF$24),4^8),ROW(7:7)))&amp;"","")</f>
        <v/>
      </c>
      <c r="AI8" s="640" t="str">
        <f>IFERROR(IF(VLOOKUP(AH2,$B$3:$Z$22,9,FALSE)=0,"",VLOOKUP(AH2,$B$3:$Z$22,9,FALSE)),"")</f>
        <v/>
      </c>
      <c r="AJ8" s="642" t="str" cm="1">
        <f t="array" ref="AJ8">IFERROR(INDEX($AI$1:$AI$24,SMALL(IF($AI$1:$AI$24&lt;&gt;"",ROW($AI$1:$AI$24),4^8),ROW(7:7)))&amp;"","")</f>
        <v/>
      </c>
      <c r="AL8" s="640" t="str">
        <f>IFERROR(IF(VLOOKUP(AK2,$B$3:$Z$22,9,FALSE)=0,"",VLOOKUP(AK2,$B$3:$Z$22,9,FALSE)),"")</f>
        <v/>
      </c>
      <c r="AM8" s="642" t="str" cm="1">
        <f t="array" ref="AM8">IFERROR(INDEX($AL$1:$AL$24,SMALL(IF($AL$1:$AL$24&lt;&gt;"",ROW($AL$1:$AL$24),4^8),ROW(7:7)))&amp;"","")</f>
        <v/>
      </c>
      <c r="AO8" s="664" t="s">
        <v>482</v>
      </c>
      <c r="AP8" s="665" t="s">
        <v>437</v>
      </c>
      <c r="AQ8" s="664" t="s">
        <v>437</v>
      </c>
      <c r="AR8" s="665">
        <v>3</v>
      </c>
      <c r="AU8" s="640" t="s">
        <v>483</v>
      </c>
      <c r="AV8" s="642" t="str">
        <f>IF(AR19+0=0,"",AR19)</f>
        <v/>
      </c>
      <c r="AY8" s="587" t="s">
        <v>484</v>
      </c>
      <c r="AZ8" s="587">
        <f t="shared" si="0"/>
        <v>0</v>
      </c>
      <c r="BB8" s="679" t="s">
        <v>301</v>
      </c>
      <c r="BC8" s="587">
        <f>IF($BB$3="筑灭师",$BC$3,IF($BB$4="筑灭师",$BC$4,IF($BB$5="筑灭师",$BC$5,0)))</f>
        <v>0</v>
      </c>
      <c r="BE8" s="452">
        <v>6</v>
      </c>
      <c r="BF8" s="452">
        <v>4</v>
      </c>
      <c r="BG8" s="452">
        <v>3</v>
      </c>
      <c r="BH8" s="452">
        <v>3</v>
      </c>
      <c r="BI8" s="452"/>
      <c r="BJ8" s="452"/>
      <c r="BK8" s="452"/>
      <c r="BL8" s="452"/>
      <c r="BM8" s="452"/>
      <c r="BN8" s="452"/>
      <c r="BO8" s="695">
        <v>32</v>
      </c>
      <c r="BP8" s="452">
        <v>6</v>
      </c>
      <c r="BQ8" s="452"/>
      <c r="BR8" s="452"/>
      <c r="BS8" s="452">
        <v>2</v>
      </c>
      <c r="BT8" s="452"/>
      <c r="BU8" s="695"/>
      <c r="BV8" s="452">
        <v>6</v>
      </c>
      <c r="BW8" s="452">
        <v>2</v>
      </c>
      <c r="BX8" s="452"/>
      <c r="BY8" s="452"/>
      <c r="BZ8" s="452"/>
      <c r="CA8" s="697">
        <v>6</v>
      </c>
      <c r="CB8" s="452"/>
      <c r="CC8" s="452"/>
      <c r="CD8" s="452">
        <v>3</v>
      </c>
      <c r="CE8" s="452"/>
      <c r="CF8" s="452"/>
      <c r="CH8" s="640" t="s">
        <v>484</v>
      </c>
      <c r="CI8" s="587">
        <v>19</v>
      </c>
      <c r="CJ8" s="587">
        <v>20</v>
      </c>
      <c r="CK8" s="587">
        <v>21</v>
      </c>
      <c r="CL8" s="587">
        <v>1</v>
      </c>
      <c r="CM8" s="642" cm="1">
        <f t="array" ref="CM8">_xlfn.IFS($AZ$8&gt;=19,29,$AZ$8&gt;=18,28,$AZ$8&gt;=14,27,$AZ$8&gt;=11,26,$AZ$8&gt;=10,25,$AZ$8&gt;=9,24,$AZ$8&gt;=6,23,$AZ$8&gt;=5,22,$AZ$8&gt;=4,20,$AZ$8&gt;=3,19,$AZ$8=2,16,$AZ$8=1,14,1,0)</f>
        <v>0</v>
      </c>
      <c r="CN8" s="701" t="str">
        <f>IFERROR(IF(CN7+1&gt;CS2,IF(CN7+1&gt;CS2,IF(CR3+CR7&gt;CS3,"",CR3+CR7)),CN7+1),"")</f>
        <v/>
      </c>
      <c r="CO8" s="702" t="str" cm="1">
        <f t="array" ref="CO8">IFERROR(INDEX($B$34:$BO$262,CN8,$CP$2),"")</f>
        <v/>
      </c>
      <c r="CP8" s="702" t="str" cm="1">
        <f t="array" ref="CP8">IFERROR(INDEX($B$34:$BO$262,CN8,$CQ$2),"")</f>
        <v/>
      </c>
      <c r="CQ8" s="702" t="str" cm="1">
        <f t="array" ref="CQ8">IF(IFERROR(INDEX($B$34:$BO$262,CN8,$CO$2),"")=0,"",IFERROR(INDEX($B$34:$BO$262,CN8,$CO$2),""))</f>
        <v/>
      </c>
      <c r="CR8" s="702" t="str">
        <f>IFERROR(IF(CN7+1&gt;CS2,CR7+1,0),"")</f>
        <v/>
      </c>
      <c r="CT8" s="705" t="str">
        <f t="shared" si="1"/>
        <v/>
      </c>
      <c r="CU8" s="706" t="str" cm="1">
        <f t="array" ref="CU8">INDEX(CT:CT,SMALL(IF($CT$2:$CT$101&lt;&gt;"",ROW($CT$2:$CT$101),142),ROW(CT7)))&amp;""</f>
        <v/>
      </c>
      <c r="CV8" s="701" t="str">
        <f t="shared" si="3"/>
        <v/>
      </c>
      <c r="CW8" s="702" t="str">
        <f>IF(主要!AX17="","",主要!AX17)</f>
        <v/>
      </c>
      <c r="CX8" s="702" t="str">
        <f t="shared" si="4"/>
        <v/>
      </c>
    </row>
    <row r="9" customHeight="1" spans="1:102">
      <c r="A9" s="586">
        <v>7</v>
      </c>
      <c r="B9" s="578" t="s">
        <v>269</v>
      </c>
      <c r="C9" s="578" t="s">
        <v>485</v>
      </c>
      <c r="D9" s="578" t="s">
        <v>486</v>
      </c>
      <c r="E9" s="578" t="s">
        <v>487</v>
      </c>
      <c r="F9" s="578" t="s">
        <v>488</v>
      </c>
      <c r="G9" s="594" t="str">
        <f>IF(主要!$CD$3="O","征服之誓","")</f>
        <v>征服之誓</v>
      </c>
      <c r="H9" s="594" t="str">
        <f>IF(主要!$CD$3="O","救赎之誓","")</f>
        <v>救赎之誓</v>
      </c>
      <c r="I9" s="596" t="str">
        <f>IF(主要!$CD$4="O","守望之誓","")</f>
        <v>守望之誓</v>
      </c>
      <c r="J9" s="620" t="str">
        <f>IF(主要!$CO$4="O","远洋之誓","")</f>
        <v>远洋之誓</v>
      </c>
      <c r="K9" s="599" t="str">
        <f>IF(主要!$CO$12="O","狂欢之誓","")</f>
        <v>狂欢之誓</v>
      </c>
      <c r="O9" s="624" t="str">
        <f>IF(主要!$CO$22="O","护法之誓","")</f>
        <v>护法之誓</v>
      </c>
      <c r="Q9" s="587" t="str">
        <f>IF(主要!$CD$10="O","巨灵贵族之誓","")</f>
        <v>巨灵贵族之誓</v>
      </c>
      <c r="R9" s="634" t="str">
        <f>IF(主要!$CO$5="O","狂热之誓","")</f>
        <v>狂热之誓</v>
      </c>
      <c r="S9" s="598" t="str">
        <f>IF(主要!$CO$6="O","巫咒之誓","")</f>
        <v>巫咒之誓</v>
      </c>
      <c r="W9" s="636" t="str">
        <f>IF(主要!$CO$13="O","惩戒之誓","")</f>
        <v>惩戒之誓</v>
      </c>
      <c r="X9" s="633" t="str">
        <f>IF(主要!$CO$10="O","饮咒之誓","")</f>
        <v>饮咒之誓</v>
      </c>
      <c r="Y9" s="644" t="str">
        <f>IF(主要!$CO$11="O","川流之誓","")</f>
        <v>川流之誓</v>
      </c>
      <c r="Z9" s="645" t="str">
        <f>IF(主要!$CO$14="O","守护之誓","")</f>
        <v>守护之誓</v>
      </c>
      <c r="AA9" s="642" t="str" cm="1">
        <f t="array" ref="AA9">IFERROR(INDEX($B$1:$B$22,SMALL(IF($B$1:$B$22&lt;&gt;"",ROW($B$1:$B$22),4^8),ROW(9:9)))&amp;"","")</f>
        <v>圣武士</v>
      </c>
      <c r="AC9" s="640" t="str">
        <f>IFERROR(IF(VLOOKUP(AB2,$B$3:$Z$22,10,FALSE)=0,"",VLOOKUP(AB2,$B$3:$Z$22,10,FALSE)),"")</f>
        <v/>
      </c>
      <c r="AD9" s="642" t="str" cm="1">
        <f t="array" ref="AD9">IFERROR(INDEX($AC$1:$AC$24,SMALL(IF($AC$1:$AC$24&lt;&gt;"",ROW($AC$1:$AC$24),4^8),ROW(AC8)))&amp;"","")</f>
        <v/>
      </c>
      <c r="AF9" s="640" t="str">
        <f>IFERROR(IF(VLOOKUP(AE2,$B$3:$Z$22,10,FALSE)=0,"",VLOOKUP(AE2,$B$3:$Z$22,10,FALSE)),"")</f>
        <v/>
      </c>
      <c r="AG9" s="642" t="str" cm="1">
        <f t="array" ref="AG9">IFERROR(INDEX($AF$1:$AF$24,SMALL(IF($AF$1:$AF$24&lt;&gt;"",ROW($AF$1:$AF$24),4^8),ROW(8:8)))&amp;"","")</f>
        <v/>
      </c>
      <c r="AI9" s="640" t="str">
        <f>IFERROR(IF(VLOOKUP(AH2,$B$3:$Z$22,10,FALSE)=0,"",VLOOKUP(AH2,$B$3:$Z$22,10,FALSE)),"")</f>
        <v/>
      </c>
      <c r="AJ9" s="642" t="str" cm="1">
        <f t="array" ref="AJ9">IFERROR(INDEX($AI$1:$AI$24,SMALL(IF($AI$1:$AI$24&lt;&gt;"",ROW($AI$1:$AI$24),4^8),ROW(8:8)))&amp;"","")</f>
        <v/>
      </c>
      <c r="AL9" s="640" t="str">
        <f>IFERROR(IF(VLOOKUP(AK2,$B$3:$Z$22,10,FALSE)=0,"",VLOOKUP(AK2,$B$3:$Z$22,10,FALSE)),"")</f>
        <v/>
      </c>
      <c r="AM9" s="642" t="str" cm="1">
        <f t="array" ref="AM9">IFERROR(INDEX($AL$1:$AL$24,SMALL(IF($AL$1:$AL$24&lt;&gt;"",ROW($AL$1:$AL$24),4^8),ROW(8:8)))&amp;"","")</f>
        <v/>
      </c>
      <c r="AO9" s="664" t="s">
        <v>489</v>
      </c>
      <c r="AP9" s="665" t="s">
        <v>437</v>
      </c>
      <c r="AQ9" s="664" t="s">
        <v>446</v>
      </c>
      <c r="AR9" s="665">
        <v>4</v>
      </c>
      <c r="AS9" s="587" t="s">
        <v>490</v>
      </c>
      <c r="AT9" s="587">
        <f>$AZ$3+$AZ$4+$AZ$5+$AZ$11+$AZ$13+$AZ$15</f>
        <v>0</v>
      </c>
      <c r="AU9" s="669" t="s">
        <v>491</v>
      </c>
      <c r="AV9" s="648" t="str">
        <f>IF(AR20+0=0,"",AR20)</f>
        <v/>
      </c>
      <c r="AY9" s="587" t="s">
        <v>492</v>
      </c>
      <c r="AZ9" s="587">
        <f t="shared" si="0"/>
        <v>0</v>
      </c>
      <c r="BB9" s="679" t="s">
        <v>304</v>
      </c>
      <c r="BC9" s="587">
        <f>IF($BB$2="魔弹客",$BC$2,IF($BB$3="魔弹客",$BC$3,IF($BB$4="魔弹客",$BC$4,0)))</f>
        <v>0</v>
      </c>
      <c r="BE9" s="692">
        <v>7</v>
      </c>
      <c r="BF9" s="692">
        <v>4</v>
      </c>
      <c r="BG9" s="692">
        <v>3</v>
      </c>
      <c r="BH9" s="692">
        <v>3</v>
      </c>
      <c r="BI9" s="692">
        <v>1</v>
      </c>
      <c r="BJ9" s="692"/>
      <c r="BK9" s="692"/>
      <c r="BL9" s="692"/>
      <c r="BM9" s="692"/>
      <c r="BN9" s="692"/>
      <c r="BO9" s="696">
        <v>38</v>
      </c>
      <c r="BP9" s="692">
        <v>7</v>
      </c>
      <c r="BQ9" s="692"/>
      <c r="BR9" s="692"/>
      <c r="BS9" s="692"/>
      <c r="BT9" s="692">
        <v>2</v>
      </c>
      <c r="BU9" s="696"/>
      <c r="BV9" s="692">
        <v>7</v>
      </c>
      <c r="BW9" s="692"/>
      <c r="BX9" s="692">
        <v>2</v>
      </c>
      <c r="BY9" s="692"/>
      <c r="BZ9" s="692"/>
      <c r="CA9" s="699">
        <v>7</v>
      </c>
      <c r="CB9" s="692"/>
      <c r="CC9" s="692"/>
      <c r="CD9" s="692"/>
      <c r="CE9" s="692">
        <v>3</v>
      </c>
      <c r="CF9" s="692"/>
      <c r="CH9" s="640" t="s">
        <v>492</v>
      </c>
      <c r="CI9" s="587">
        <v>22</v>
      </c>
      <c r="CJ9" s="587">
        <v>23</v>
      </c>
      <c r="CK9" s="587">
        <v>24</v>
      </c>
      <c r="CL9" s="587">
        <v>1</v>
      </c>
      <c r="CM9" s="642" cm="1">
        <f t="array" ref="CM9">_xlfn.IFS($AZ$9=20,28,$AZ$9&gt;=19,27,$AZ$9&gt;=18,26,$AZ$9&gt;=17,25,$AZ$9&gt;=14,24,$AZ$9&gt;=13,23,$AZ$9&gt;=10,22,$AZ$9&gt;=9,21,$AZ$9&gt;=6,20,$AZ$9&gt;=5,19,$AZ$9&gt;=4,18,$AZ$9&gt;=3,17,$AZ$9=2,16,$AZ$9=1,14,1,0)</f>
        <v>0</v>
      </c>
      <c r="CN9" s="701" t="str">
        <f>IFERROR(IF(CN8+1&gt;CS2,IF(CN8+1&gt;CS2,IF(CR3+CR8&gt;CS3,"",CR3+CR8)),CN8+1),"")</f>
        <v/>
      </c>
      <c r="CO9" s="702" t="str" cm="1">
        <f t="array" ref="CO9">IFERROR(INDEX($B$34:$BO$262,CN9,$CP$2),"")</f>
        <v/>
      </c>
      <c r="CP9" s="702" t="str" cm="1">
        <f t="array" ref="CP9">IFERROR(INDEX($B$34:$BO$262,CN9,$CQ$2),"")</f>
        <v/>
      </c>
      <c r="CQ9" s="702" t="str" cm="1">
        <f t="array" ref="CQ9">IF(IFERROR(INDEX($B$34:$BO$262,CN9,$CO$2),"")=0,"",IFERROR(INDEX($B$34:$BO$262,CN9,$CO$2),""))</f>
        <v/>
      </c>
      <c r="CR9" s="702" t="str">
        <f>IFERROR(IF(CN8+1&gt;CS2,CR8+1,0),"")</f>
        <v/>
      </c>
      <c r="CT9" s="705" t="str">
        <f t="shared" si="1"/>
        <v/>
      </c>
      <c r="CU9" s="706" t="str" cm="1">
        <f t="array" ref="CU9">INDEX(CT:CT,SMALL(IF($CT$2:$CT$101&lt;&gt;"",ROW($CT$2:$CT$101),142),ROW(CT8)))&amp;""</f>
        <v/>
      </c>
      <c r="CV9" s="701" t="str">
        <f t="shared" si="3"/>
        <v/>
      </c>
      <c r="CW9" s="702" t="str">
        <f>IF(主要!AX18="","",主要!AX18)</f>
        <v/>
      </c>
      <c r="CX9" s="702" t="str">
        <f t="shared" si="4"/>
        <v/>
      </c>
    </row>
    <row r="10" customHeight="1" spans="1:102">
      <c r="A10" s="586">
        <v>8</v>
      </c>
      <c r="B10" s="578" t="s">
        <v>273</v>
      </c>
      <c r="C10" s="578" t="s">
        <v>493</v>
      </c>
      <c r="D10" s="578" t="s">
        <v>494</v>
      </c>
      <c r="E10" s="578" t="s">
        <v>495</v>
      </c>
      <c r="F10" s="578" t="s">
        <v>496</v>
      </c>
      <c r="G10" s="594" t="str">
        <f>IF(主要!$CD$3="O","边界行者","")</f>
        <v>边界行者</v>
      </c>
      <c r="H10" s="594" t="str">
        <f>IF(主要!$CD$3="O","怪物杀手","")</f>
        <v>怪物杀手</v>
      </c>
      <c r="I10" s="596" t="str">
        <f>IF(主要!$CD$4="O","集群牧者","")</f>
        <v>集群牧者</v>
      </c>
      <c r="J10" s="626" t="str">
        <f>IF(主要!$CD$6="O","龙兽守卫","")</f>
        <v>龙兽守卫</v>
      </c>
      <c r="Q10" s="587" t="str">
        <f>IF(主要!$CD$10="O","凛冬行者","")</f>
        <v>凛冬行者</v>
      </c>
      <c r="R10" s="578"/>
      <c r="S10" s="598" t="str">
        <f>IF(主要!$CO$6="O","城市游侠","")</f>
        <v>城市游侠</v>
      </c>
      <c r="W10" s="636" t="str">
        <f>IF(主要!$CO$13="O","噩兆先驱","")</f>
        <v>噩兆先驱</v>
      </c>
      <c r="X10" s="633" t="str">
        <f>IF(主要!$CO$10="O","天鹏旅人","")</f>
        <v>天鹏旅人</v>
      </c>
      <c r="Y10" s="644" t="str">
        <f>IF(主要!$CO$11="O","侵蚀行者","")</f>
        <v>侵蚀行者</v>
      </c>
      <c r="Z10" s="645" t="str">
        <f>IF(主要!$CO$14="O","荒径守护者","")</f>
        <v>荒径守护者</v>
      </c>
      <c r="AA10" s="642" t="str" cm="1">
        <f t="array" ref="AA10">IFERROR(INDEX($B$1:$B$22,SMALL(IF($B$1:$B$22&lt;&gt;"",ROW($B$1:$B$22),4^8),ROW(10:10)))&amp;"","")</f>
        <v>游侠</v>
      </c>
      <c r="AC10" s="640" t="str">
        <f>IFERROR(IF(VLOOKUP(AB2,$B$3:$Z$22,11,FALSE)=0,"",VLOOKUP(AB2,$B$3:$Z$22,11,FALSE)),"")</f>
        <v/>
      </c>
      <c r="AD10" s="642" t="str" cm="1">
        <f t="array" ref="AD10">IFERROR(INDEX($AC$1:$AC$24,SMALL(IF($AC$1:$AC$24&lt;&gt;"",ROW($AC$1:$AC$24),4^8),ROW(AC9)))&amp;"","")</f>
        <v/>
      </c>
      <c r="AF10" s="640" t="str">
        <f>IFERROR(IF(VLOOKUP(AE2,$B$3:$Z$22,11,FALSE)=0,"",VLOOKUP(AE2,$B$3:$Z$22,11,FALSE)),"")</f>
        <v/>
      </c>
      <c r="AG10" s="642" t="str" cm="1">
        <f t="array" ref="AG10">IFERROR(INDEX($AF$1:$AF$24,SMALL(IF($AF$1:$AF$24&lt;&gt;"",ROW($AF$1:$AF$24),4^8),ROW(9:9)))&amp;"","")</f>
        <v/>
      </c>
      <c r="AI10" s="640" t="str">
        <f>IFERROR(IF(VLOOKUP(AH2,$B$3:$Z$22,11,FALSE)=0,"",VLOOKUP(AH2,$B$3:$Z$22,11,FALSE)),"")</f>
        <v/>
      </c>
      <c r="AJ10" s="642" t="str" cm="1">
        <f t="array" ref="AJ10">IFERROR(INDEX($AI$1:$AI$24,SMALL(IF($AI$1:$AI$24&lt;&gt;"",ROW($AI$1:$AI$24),4^8),ROW(9:9)))&amp;"","")</f>
        <v/>
      </c>
      <c r="AL10" s="640" t="str">
        <f>IFERROR(IF(VLOOKUP(AK2,$B$3:$Z$22,11,FALSE)=0,"",VLOOKUP(AK2,$B$3:$Z$22,11,FALSE)),"")</f>
        <v/>
      </c>
      <c r="AM10" s="642" t="str" cm="1">
        <f t="array" ref="AM10">IFERROR(INDEX($AL$1:$AL$24,SMALL(IF($AL$1:$AL$24&lt;&gt;"",ROW($AL$1:$AL$24),4^8),ROW(9:9)))&amp;"","")</f>
        <v/>
      </c>
      <c r="AO10" s="664" t="s">
        <v>497</v>
      </c>
      <c r="AP10" s="665" t="s">
        <v>437</v>
      </c>
      <c r="AQ10" s="666" t="s">
        <v>454</v>
      </c>
      <c r="AR10" s="667">
        <v>5</v>
      </c>
      <c r="AS10" s="587" t="s">
        <v>498</v>
      </c>
      <c r="AT10" s="587">
        <f>ROUNDUP(($AZ$8+$AZ$9+$AZ$14)/2,0)</f>
        <v>0</v>
      </c>
      <c r="AY10" s="587" t="s">
        <v>499</v>
      </c>
      <c r="AZ10" s="587">
        <f t="shared" si="0"/>
        <v>0</v>
      </c>
      <c r="BB10" s="679" t="s">
        <v>307</v>
      </c>
      <c r="BC10" s="587">
        <f>IF($BB$2="织法宗",$BC$2,IF($BB$3="织法宗",$BC$3,IF($BB$4="织法宗",$BC$4,0)))</f>
        <v>0</v>
      </c>
      <c r="BE10" s="452">
        <v>8</v>
      </c>
      <c r="BF10" s="452">
        <v>4</v>
      </c>
      <c r="BG10" s="452">
        <v>3</v>
      </c>
      <c r="BH10" s="452">
        <v>3</v>
      </c>
      <c r="BI10" s="452">
        <v>2</v>
      </c>
      <c r="BJ10" s="452"/>
      <c r="BK10" s="452"/>
      <c r="BL10" s="452"/>
      <c r="BM10" s="452"/>
      <c r="BN10" s="452"/>
      <c r="BO10" s="695">
        <v>44</v>
      </c>
      <c r="BP10" s="452">
        <v>8</v>
      </c>
      <c r="BQ10" s="452"/>
      <c r="BR10" s="452"/>
      <c r="BS10" s="452"/>
      <c r="BT10" s="452">
        <v>2</v>
      </c>
      <c r="BU10" s="695"/>
      <c r="BV10" s="452">
        <v>8</v>
      </c>
      <c r="BW10" s="452"/>
      <c r="BX10" s="452">
        <v>2</v>
      </c>
      <c r="BY10" s="452"/>
      <c r="BZ10" s="452"/>
      <c r="CA10" s="697">
        <v>8</v>
      </c>
      <c r="CB10" s="452"/>
      <c r="CC10" s="452"/>
      <c r="CD10" s="452"/>
      <c r="CE10" s="452">
        <v>3</v>
      </c>
      <c r="CF10" s="452"/>
      <c r="CH10" s="640" t="s">
        <v>499</v>
      </c>
      <c r="CI10" s="587">
        <v>25</v>
      </c>
      <c r="CJ10" s="587">
        <v>26</v>
      </c>
      <c r="CK10" s="587">
        <v>27</v>
      </c>
      <c r="CL10" s="587">
        <v>1</v>
      </c>
      <c r="CM10" s="642" cm="1">
        <f t="array" ref="CM10">_xlfn.IFS($AZ$10=20,24,$AZ$10&gt;=19,23,$AZ$10&gt;=18,22,$AZ$10&gt;=15,21,$AZ$10&gt;=14,20,$AZ$10&gt;=11,19,$AZ$10&gt;=7,18,$AZ$10&gt;=5,16,$AZ$10&gt;=4,14,$AZ$10&gt;=3,13,$AZ$10=2,11,$AZ$10=1,10,1,0)</f>
        <v>0</v>
      </c>
      <c r="CN10" s="701" t="str">
        <f>IFERROR(IF(CN9+1&gt;CS2,IF(CN9+1&gt;CS2,IF(CR3+CR9&gt;CS3,"",CR3+CR9)),CN9+1),"")</f>
        <v/>
      </c>
      <c r="CO10" s="702" t="str" cm="1">
        <f t="array" ref="CO10">IFERROR(INDEX($B$34:$BO$262,CN10,$CP$2),"")</f>
        <v/>
      </c>
      <c r="CP10" s="702" t="str" cm="1">
        <f t="array" ref="CP10">IFERROR(INDEX($B$34:$BO$262,CN10,$CQ$2),"")</f>
        <v/>
      </c>
      <c r="CQ10" s="702" t="str" cm="1">
        <f t="array" ref="CQ10">IF(IFERROR(INDEX($B$34:$BO$262,CN10,$CO$2),"")=0,"",IFERROR(INDEX($B$34:$BO$262,CN10,$CO$2),""))</f>
        <v/>
      </c>
      <c r="CR10" s="702" t="str">
        <f>IFERROR(IF(CN9+1&gt;CS2,CR9+1,0),"")</f>
        <v/>
      </c>
      <c r="CT10" s="705" t="str">
        <f t="shared" si="1"/>
        <v/>
      </c>
      <c r="CU10" s="706" t="str" cm="1">
        <f t="array" ref="CU10">INDEX(CT:CT,SMALL(IF($CT$2:$CT$101&lt;&gt;"",ROW($CT$2:$CT$101),142),ROW(CT9)))&amp;""</f>
        <v/>
      </c>
      <c r="CV10" s="701" t="str">
        <f t="shared" si="3"/>
        <v/>
      </c>
      <c r="CW10" s="702" t="str">
        <f>IF(主要!AX19="","",主要!AX19)</f>
        <v/>
      </c>
      <c r="CX10" s="702" t="str">
        <f t="shared" si="4"/>
        <v/>
      </c>
    </row>
    <row r="11" customHeight="1" spans="1:102">
      <c r="A11" s="586">
        <v>9</v>
      </c>
      <c r="B11" s="578" t="s">
        <v>500</v>
      </c>
      <c r="C11" s="578" t="s">
        <v>296</v>
      </c>
      <c r="D11" s="578" t="s">
        <v>501</v>
      </c>
      <c r="E11" s="578" t="s">
        <v>502</v>
      </c>
      <c r="F11" s="578" t="s">
        <v>503</v>
      </c>
      <c r="G11" s="594" t="str">
        <f>IF(主要!$CD$3="O","调查员","")</f>
        <v>调查员</v>
      </c>
      <c r="H11" s="594" t="str">
        <f>IF(主要!$CD$3="O","策士","")</f>
        <v>策士</v>
      </c>
      <c r="I11" s="594" t="str">
        <f>IF(主要!$CD$3="O","斥候","")</f>
        <v>斥候</v>
      </c>
      <c r="J11" s="594" t="str">
        <f>IF(主要!$CD$3="O","游荡剑客","")</f>
        <v>游荡剑客</v>
      </c>
      <c r="K11" s="596" t="str">
        <f>IF(主要!$CD$4="O","鬼魅","")</f>
        <v>鬼魅</v>
      </c>
      <c r="L11" s="599" t="str">
        <f>IF(主要!$CO$12="O","蛛网追猎者","")</f>
        <v>蛛网追猎者</v>
      </c>
      <c r="O11" s="624" t="str">
        <f>IF(主要!$CO$22="O","窃法者","")</f>
        <v>窃法者</v>
      </c>
      <c r="Q11" s="587" t="str">
        <f>IF(主要!$CD$10="O","三神门徒","")</f>
        <v>三神门徒</v>
      </c>
      <c r="R11" s="634" t="str">
        <f>IF(主要!$CO$5="O","厄运使者","")</f>
        <v>厄运使者</v>
      </c>
      <c r="S11" s="598" t="str">
        <f>IF(主要!$CO$6="O","走私者","")</f>
        <v>走私者</v>
      </c>
      <c r="U11" s="635" t="str">
        <f>IF(主要!$CO$8="O","缚影使","")</f>
        <v>缚影使</v>
      </c>
      <c r="W11" s="636" t="str">
        <f>IF(主要!$CO$13="O","罪人","")</f>
        <v>罪人</v>
      </c>
      <c r="X11" s="633" t="str">
        <f>IF(主要!$CO$10="O","残戮行医","")</f>
        <v>残戮行医</v>
      </c>
      <c r="Y11" s="644" t="str">
        <f>IF(主要!$CO$11="O","蜡艺师","")</f>
        <v>蜡艺师</v>
      </c>
      <c r="Z11" s="645" t="str">
        <f>IF(主要!$CO$14="O","暗影潜行者","")</f>
        <v>暗影潜行者</v>
      </c>
      <c r="AA11" s="642" t="str" cm="1">
        <f t="array" ref="AA11">IFERROR(INDEX($B$1:$B$22,SMALL(IF($B$1:$B$22&lt;&gt;"",ROW($B$1:$B$22),4^8),ROW(11:11)))&amp;"","")</f>
        <v>游荡者</v>
      </c>
      <c r="AC11" s="640" t="str">
        <f>IFERROR(IF(VLOOKUP(AB2,$B$3:$Z$22,12,FALSE)=0,"",VLOOKUP(AB2,$B$3:$Z$22,12,FALSE)),"")</f>
        <v/>
      </c>
      <c r="AD11" s="642" t="str" cm="1">
        <f t="array" ref="AD11">IFERROR(INDEX($AC$1:$AC$24,SMALL(IF($AC$1:$AC$24&lt;&gt;"",ROW($AC$1:$AC$24),4^8),ROW(AC10)))&amp;"","")</f>
        <v/>
      </c>
      <c r="AF11" s="640" t="str">
        <f>IFERROR(IF(VLOOKUP(AE2,$B$3:$Z$22,12,FALSE)=0,"",VLOOKUP(AE2,$B$3:$Z$22,12,FALSE)),"")</f>
        <v/>
      </c>
      <c r="AG11" s="642" t="str" cm="1">
        <f t="array" ref="AG11">IFERROR(INDEX($AF$1:$AF$24,SMALL(IF($AF$1:$AF$24&lt;&gt;"",ROW($AF$1:$AF$24),4^8),ROW(10:10)))&amp;"","")</f>
        <v/>
      </c>
      <c r="AI11" s="640" t="str">
        <f>IFERROR(IF(VLOOKUP(AH2,$B$3:$Z$22,12,FALSE)=0,"",VLOOKUP(AH2,$B$3:$Z$22,12,FALSE)),"")</f>
        <v/>
      </c>
      <c r="AJ11" s="642" t="str" cm="1">
        <f t="array" ref="AJ11">IFERROR(INDEX($AI$1:$AI$24,SMALL(IF($AI$1:$AI$24&lt;&gt;"",ROW($AI$1:$AI$24),4^8),ROW(10:10)))&amp;"","")</f>
        <v/>
      </c>
      <c r="AL11" s="640" t="str">
        <f>IFERROR(IF(VLOOKUP(AK2,$B$3:$Z$22,12,FALSE)=0,"",VLOOKUP(AK2,$B$3:$Z$22,12,FALSE)),"")</f>
        <v/>
      </c>
      <c r="AM11" s="642" t="str" cm="1">
        <f t="array" ref="AM11">IFERROR(INDEX($AL$1:$AL$24,SMALL(IF($AL$1:$AL$24&lt;&gt;"",ROW($AL$1:$AL$24),4^8),ROW(10:10)))&amp;"","")</f>
        <v/>
      </c>
      <c r="AO11" s="664" t="s">
        <v>504</v>
      </c>
      <c r="AP11" s="665" t="s">
        <v>437</v>
      </c>
      <c r="AQ11" s="670" t="s">
        <v>505</v>
      </c>
      <c r="AR11" s="671">
        <f>AT9+AT10+AT11</f>
        <v>0</v>
      </c>
      <c r="AS11" s="578" t="s">
        <v>506</v>
      </c>
      <c r="AT11" s="587">
        <f>IF(AT9=0,IF(AT10=0,ROUNDUP((BC6+BC7+BC9+BC8+BC11)/3,0),ROUNDDOWN((BC6+BC7+BC9+BC8+BC11)/3,0)),ROUNDDOWN((BC6+BC7+BC9+BC8+BC11)/3,0))</f>
        <v>0</v>
      </c>
      <c r="AY11" s="587" t="s">
        <v>507</v>
      </c>
      <c r="AZ11" s="587">
        <f t="shared" si="0"/>
        <v>0</v>
      </c>
      <c r="BB11" s="679" t="s">
        <v>309</v>
      </c>
      <c r="BC11" s="587">
        <f>IF($BB$2="秘术武者",$BC$2,IF($BB$3="秘术武者",$BC$3,IF($BB$4="秘术武者",$BC$4,0)))</f>
        <v>0</v>
      </c>
      <c r="BE11" s="692">
        <v>9</v>
      </c>
      <c r="BF11" s="692">
        <v>4</v>
      </c>
      <c r="BG11" s="692">
        <v>3</v>
      </c>
      <c r="BH11" s="692">
        <v>3</v>
      </c>
      <c r="BI11" s="692">
        <v>3</v>
      </c>
      <c r="BJ11" s="692">
        <v>1</v>
      </c>
      <c r="BK11" s="692"/>
      <c r="BL11" s="692"/>
      <c r="BM11" s="692"/>
      <c r="BN11" s="692"/>
      <c r="BO11" s="696">
        <v>57</v>
      </c>
      <c r="BP11" s="692">
        <v>9</v>
      </c>
      <c r="BQ11" s="692"/>
      <c r="BR11" s="692"/>
      <c r="BS11" s="692"/>
      <c r="BT11" s="692"/>
      <c r="BU11" s="696">
        <v>3</v>
      </c>
      <c r="BV11" s="692">
        <v>9</v>
      </c>
      <c r="BW11" s="692"/>
      <c r="BX11" s="692">
        <v>2</v>
      </c>
      <c r="BY11" s="692"/>
      <c r="BZ11" s="692"/>
      <c r="CA11" s="699">
        <v>9</v>
      </c>
      <c r="CB11" s="692"/>
      <c r="CC11" s="692"/>
      <c r="CD11" s="692"/>
      <c r="CE11" s="692"/>
      <c r="CF11" s="692">
        <v>4</v>
      </c>
      <c r="CH11" s="640" t="s">
        <v>507</v>
      </c>
      <c r="CI11" s="587">
        <v>28</v>
      </c>
      <c r="CJ11" s="587">
        <v>29</v>
      </c>
      <c r="CK11" s="587">
        <v>30</v>
      </c>
      <c r="CL11" s="587">
        <v>1</v>
      </c>
      <c r="CM11" s="642" cm="1">
        <f t="array" ref="CM11">_xlfn.IFS($AZ$11=20,32,$AZ$11&gt;=19,31,$AZ$11&gt;=7,30,$AZ$11&gt;=5,29,$AZ$11&gt;=4,28,$AZ$11&gt;=3,27,$AZ$11=2,26,$AZ$11=1,14,1,0)</f>
        <v>0</v>
      </c>
      <c r="CN11" s="701" t="str">
        <f>IFERROR(IF(CN10+1&gt;CS2,IF(CN10+1&gt;CS2,IF(CR3+CR10&gt;CS3,"",CR3+CR10)),CN10+1),"")</f>
        <v/>
      </c>
      <c r="CO11" s="702" t="str" cm="1">
        <f t="array" ref="CO11">IFERROR(INDEX($B$34:$BO$262,CN11,$CP$2),"")</f>
        <v/>
      </c>
      <c r="CP11" s="702" t="str" cm="1">
        <f t="array" ref="CP11">IFERROR(INDEX($B$34:$BO$262,CN11,$CQ$2),"")</f>
        <v/>
      </c>
      <c r="CQ11" s="702" t="str" cm="1">
        <f t="array" ref="CQ11">IF(IFERROR(INDEX($B$34:$BO$262,CN11,$CO$2),"")=0,"",IFERROR(INDEX($B$34:$BO$262,CN11,$CO$2),""))</f>
        <v/>
      </c>
      <c r="CR11" s="702" t="str">
        <f>IFERROR(IF(CN10+1&gt;CS2,CR10+1,0),"")</f>
        <v/>
      </c>
      <c r="CT11" s="705" t="str">
        <f t="shared" si="1"/>
        <v/>
      </c>
      <c r="CU11" s="706" t="str" cm="1">
        <f t="array" ref="CU11">INDEX(CT:CT,SMALL(IF($CT$2:$CT$101&lt;&gt;"",ROW($CT$2:$CT$101),142),ROW(CT10)))&amp;""</f>
        <v/>
      </c>
      <c r="CV11" s="701" t="str">
        <f t="shared" si="3"/>
        <v/>
      </c>
      <c r="CW11" s="702" t="str">
        <f>IF(主要!AX20="","",主要!AX20)</f>
        <v/>
      </c>
      <c r="CX11" s="702" t="str">
        <f t="shared" si="4"/>
        <v/>
      </c>
    </row>
    <row r="12" customHeight="1" spans="1:102">
      <c r="A12" s="586">
        <v>10</v>
      </c>
      <c r="B12" s="578" t="s">
        <v>276</v>
      </c>
      <c r="C12" s="578" t="s">
        <v>508</v>
      </c>
      <c r="D12" s="578" t="s">
        <v>509</v>
      </c>
      <c r="E12" s="578" t="s">
        <v>510</v>
      </c>
      <c r="F12" s="578" t="s">
        <v>511</v>
      </c>
      <c r="G12" s="594" t="str">
        <f>IF(主要!$CD$3="O","神圣之魂","")</f>
        <v>神圣之魂</v>
      </c>
      <c r="H12" s="594" t="str">
        <f>IF(主要!$CD$3="O","幽影魔法","")</f>
        <v>幽影魔法</v>
      </c>
      <c r="I12" s="594" t="str">
        <f>IF(主要!$CD$3="O","风暴术法","")</f>
        <v>风暴术法</v>
      </c>
      <c r="J12" s="620" t="str">
        <f>IF(主要!$CO$4="O","符文之子","")</f>
        <v>符文之子</v>
      </c>
      <c r="N12" s="578"/>
      <c r="O12" s="624" t="str">
        <f>IF(主要!$CO$21="O","亵渎术法","")</f>
        <v>亵渎术法</v>
      </c>
      <c r="Q12" s="587" t="str">
        <f>IF(主要!$CD$10="O","咒火术法","")</f>
        <v>咒火术法</v>
      </c>
      <c r="S12" s="598" t="str">
        <f>IF(主要!$CO$6="O","妄质之魂","")</f>
        <v>妄质之魂</v>
      </c>
      <c r="U12" s="635" t="str">
        <f>IF(主要!$CO$8="O","织光者","")</f>
        <v>织光者</v>
      </c>
      <c r="W12" s="636" t="str">
        <f>IF(主要!$CO$13="O","猩红术法","")</f>
        <v>猩红术法</v>
      </c>
      <c r="X12" s="633" t="str">
        <f>IF(主要!$CO$10="O","荒漠之魂","")</f>
        <v>荒漠之魂</v>
      </c>
      <c r="Y12" s="644" t="str">
        <f>IF(主要!$CO$11="O","鬼之血脉","")</f>
        <v>鬼之血脉</v>
      </c>
      <c r="Z12" s="645" t="str">
        <f>IF(主要!$CO$14="O","饥欲之暗","")</f>
        <v>饥欲之暗</v>
      </c>
      <c r="AA12" s="642" t="str" cm="1">
        <f t="array" ref="AA12">IFERROR(INDEX($B$1:$B$22,SMALL(IF($B$1:$B$22&lt;&gt;"",ROW($B$1:$B$22),4^8),ROW(12:12)))&amp;"","")</f>
        <v>术士</v>
      </c>
      <c r="AC12" s="640" t="str">
        <f>IFERROR(IF(VLOOKUP(AB2,$B$3:$Z$22,13,FALSE)=0,"",VLOOKUP(AB2,$B$3:$Z$22,13,FALSE)),"")</f>
        <v/>
      </c>
      <c r="AD12" s="642" t="str" cm="1">
        <f t="array" ref="AD12">IFERROR(INDEX($AC$1:$AC$24,SMALL(IF($AC$1:$AC$24&lt;&gt;"",ROW($AC$1:$AC$24),4^8),ROW(AC11)))&amp;"","")</f>
        <v/>
      </c>
      <c r="AF12" s="640" t="str">
        <f>IFERROR(IF(VLOOKUP(AE2,$B$3:$Z$22,13,FALSE)=0,"",VLOOKUP(AE2,$B$3:$Z$22,13,FALSE)),"")</f>
        <v/>
      </c>
      <c r="AG12" s="642" t="str" cm="1">
        <f t="array" ref="AG12">IFERROR(INDEX($AF$1:$AF$24,SMALL(IF($AF$1:$AF$24&lt;&gt;"",ROW($AF$1:$AF$24),4^8),ROW(11:11)))&amp;"","")</f>
        <v/>
      </c>
      <c r="AI12" s="640" t="str">
        <f>IFERROR(IF(VLOOKUP(AH2,$B$3:$Z$22,13,FALSE)=0,"",VLOOKUP(AH2,$B$3:$Z$22,13,FALSE)),"")</f>
        <v/>
      </c>
      <c r="AJ12" s="642" t="str" cm="1">
        <f t="array" ref="AJ12">IFERROR(INDEX($AI$1:$AI$24,SMALL(IF($AI$1:$AI$24&lt;&gt;"",ROW($AI$1:$AI$24),4^8),ROW(11:11)))&amp;"","")</f>
        <v/>
      </c>
      <c r="AL12" s="640" t="str">
        <f>IFERROR(IF(VLOOKUP(AK2,$B$3:$Z$22,13,FALSE)=0,"",VLOOKUP(AK2,$B$3:$Z$22,13,FALSE)),"")</f>
        <v/>
      </c>
      <c r="AM12" s="642" t="str" cm="1">
        <f t="array" ref="AM12">IFERROR(INDEX($AL$1:$AL$24,SMALL(IF($AL$1:$AL$24&lt;&gt;"",ROW($AL$1:$AL$24),4^8),ROW(11:11)))&amp;"","")</f>
        <v/>
      </c>
      <c r="AO12" s="664" t="s">
        <v>512</v>
      </c>
      <c r="AP12" s="665" t="s">
        <v>437</v>
      </c>
      <c r="AQ12" s="587" t="s">
        <v>402</v>
      </c>
      <c r="AR12" s="642">
        <f>IFERROR(VLOOKUP($AR$11,$BE$2:$BO$22,2,FALSE),0)</f>
        <v>0</v>
      </c>
      <c r="AY12" s="587" t="s">
        <v>513</v>
      </c>
      <c r="AZ12" s="587">
        <f t="shared" si="0"/>
        <v>0</v>
      </c>
      <c r="BE12" s="452">
        <v>10</v>
      </c>
      <c r="BF12" s="452">
        <v>4</v>
      </c>
      <c r="BG12" s="452">
        <v>3</v>
      </c>
      <c r="BH12" s="452">
        <v>3</v>
      </c>
      <c r="BI12" s="452">
        <v>3</v>
      </c>
      <c r="BJ12" s="452">
        <v>2</v>
      </c>
      <c r="BK12" s="452"/>
      <c r="BL12" s="452"/>
      <c r="BM12" s="452"/>
      <c r="BN12" s="452"/>
      <c r="BO12" s="695">
        <v>64</v>
      </c>
      <c r="BP12" s="452">
        <v>10</v>
      </c>
      <c r="BQ12" s="452"/>
      <c r="BR12" s="452"/>
      <c r="BS12" s="452"/>
      <c r="BT12" s="452"/>
      <c r="BU12" s="695">
        <v>3</v>
      </c>
      <c r="BV12" s="452">
        <v>10</v>
      </c>
      <c r="BW12" s="452"/>
      <c r="BX12" s="452">
        <v>2</v>
      </c>
      <c r="BY12" s="452"/>
      <c r="BZ12" s="452"/>
      <c r="CA12" s="697">
        <v>10</v>
      </c>
      <c r="CB12" s="452"/>
      <c r="CC12" s="452"/>
      <c r="CD12" s="452"/>
      <c r="CE12" s="452"/>
      <c r="CF12" s="452">
        <v>4</v>
      </c>
      <c r="CH12" s="640" t="s">
        <v>513</v>
      </c>
      <c r="CI12" s="587">
        <v>31</v>
      </c>
      <c r="CJ12" s="587">
        <v>32</v>
      </c>
      <c r="CK12" s="587">
        <v>33</v>
      </c>
      <c r="CL12" s="587">
        <v>1</v>
      </c>
      <c r="CM12" s="642" cm="1">
        <f t="array" ref="CM12">_xlfn.IFS($AZ$12=20,72,$AZ$12&gt;=19,71,$AZ$12&gt;=15,70,$AZ$12&gt;=12,68,$AZ$12&gt;=11,66,$AZ$12&gt;=9,65,$AZ$12&gt;=7,60,$AZ$12&gt;=5,54,$AZ$12&gt;=4,41,$AZ$12&gt;=3,40,$AZ$12=2,39,$AZ$12=1,24,1,0)</f>
        <v>0</v>
      </c>
      <c r="CN12" s="701" t="str">
        <f>IFERROR(IF(CN11+1&gt;CS2,IF(CN11+1&gt;CS2,IF(CR3+CR11&gt;CS3,"",CR3+CR11)),CN11+1),"")</f>
        <v/>
      </c>
      <c r="CO12" s="702" t="str" cm="1">
        <f t="array" ref="CO12">IFERROR(INDEX($B$34:$BO$262,CN12,$CP$2),"")</f>
        <v/>
      </c>
      <c r="CP12" s="702" t="str" cm="1">
        <f t="array" ref="CP12">IFERROR(INDEX($B$34:$BO$262,CN12,$CQ$2),"")</f>
        <v/>
      </c>
      <c r="CQ12" s="702" t="str" cm="1">
        <f t="array" ref="CQ12">IF(IFERROR(INDEX($B$34:$BO$262,CN12,$CO$2),"")=0,"",IFERROR(INDEX($B$34:$BO$262,CN12,$CO$2),""))</f>
        <v/>
      </c>
      <c r="CR12" s="702" t="str">
        <f>IFERROR(IF(CN11+1&gt;CS2,CR11+1,0),"")</f>
        <v/>
      </c>
      <c r="CT12" s="705" t="str">
        <f t="shared" si="1"/>
        <v/>
      </c>
      <c r="CU12" s="706" t="str" cm="1">
        <f t="array" ref="CU12">INDEX(CT:CT,SMALL(IF($CT$2:$CT$101&lt;&gt;"",ROW($CT$2:$CT$101),142),ROW(CT11)))&amp;""</f>
        <v/>
      </c>
      <c r="CV12" s="701" t="str">
        <f t="shared" si="3"/>
        <v/>
      </c>
      <c r="CW12" s="702" t="str">
        <f>IF(主要!AX21="","",主要!AX21)</f>
        <v/>
      </c>
      <c r="CX12" s="702" t="str">
        <f t="shared" si="4"/>
        <v/>
      </c>
    </row>
    <row r="13" customHeight="1" spans="1:102">
      <c r="A13" s="586">
        <v>11</v>
      </c>
      <c r="B13" s="578" t="s">
        <v>279</v>
      </c>
      <c r="C13" s="578" t="s">
        <v>514</v>
      </c>
      <c r="D13" s="578" t="s">
        <v>515</v>
      </c>
      <c r="E13" s="578" t="s">
        <v>516</v>
      </c>
      <c r="F13" s="578" t="s">
        <v>517</v>
      </c>
      <c r="G13" s="594" t="str">
        <f>IF(主要!$CD$3="O","咒剑","")</f>
        <v>咒剑</v>
      </c>
      <c r="H13" s="596" t="str">
        <f>IF(主要!$CD$4="O","巨灵宗主","")</f>
        <v>巨灵宗主</v>
      </c>
      <c r="I13" s="596" t="str">
        <f>IF(主要!$CD$4="O","深海意志","")</f>
        <v>深海意志</v>
      </c>
      <c r="J13" s="621" t="str">
        <f>IF(主要!$CD$19="O","死灵宗主","")</f>
        <v>死灵宗主</v>
      </c>
      <c r="K13" s="599" t="str">
        <f>IF(主要!$CO$12="O","未来的你宗主","")</f>
        <v>未来的你宗主</v>
      </c>
      <c r="L13" s="623" t="str">
        <f>IF(主要!$CO$7="O","猎食者","")</f>
        <v>猎食者</v>
      </c>
      <c r="N13" s="624" t="str">
        <f>IF(主要!$CO$22="O","契灵宗主","")</f>
        <v>契灵宗主</v>
      </c>
      <c r="O13" s="624" t="str">
        <f>IF(主要!$CO$21="O","巫王宗主","")</f>
        <v>巫王宗主</v>
      </c>
      <c r="S13" s="598" t="str">
        <f>IF(主要!$CO$6="O","域外天魔","")</f>
        <v>域外天魔</v>
      </c>
      <c r="T13" s="598" t="str">
        <f>IF(主要!$CO$6="O","畸变血肉","")</f>
        <v>畸变血肉</v>
      </c>
      <c r="U13" s="635" t="str">
        <f>IF(主要!$CO$8="O","悲伤之母","")</f>
        <v>悲伤之母</v>
      </c>
      <c r="V13" s="636" t="str">
        <f>IF(主要!$CO$13="O","愚神宗主","")</f>
        <v>愚神宗主</v>
      </c>
      <c r="W13" s="636" t="str">
        <f>IF(主要!$CO$13="O","角之王宗主","")</f>
        <v>角之王宗主</v>
      </c>
      <c r="X13" s="633" t="str">
        <f>IF(主要!$CO$10="O","众首","")</f>
        <v>众首</v>
      </c>
      <c r="Y13" s="644" t="str">
        <f>IF(主要!$CO$11="O","灯笼","")</f>
        <v>灯笼</v>
      </c>
      <c r="Z13" s="645" t="str">
        <f>IF(主要!$CO$14="O","崇高猫猫庭","")</f>
        <v>崇高猫猫庭</v>
      </c>
      <c r="AA13" s="642" t="str" cm="1">
        <f t="array" ref="AA13">IFERROR(INDEX($B$1:$B$22,SMALL(IF($B$1:$B$22&lt;&gt;"",ROW($B$1:$B$22),4^8),ROW(13:13)))&amp;"","")</f>
        <v>魔契师</v>
      </c>
      <c r="AC13" s="640" t="str">
        <f>IFERROR(IF(VLOOKUP(AB2,$B$3:$Z$22,14,FALSE)=0,"",VLOOKUP(AB2,$B$3:$Z$22,14,FALSE)),"")</f>
        <v/>
      </c>
      <c r="AD13" s="642" t="str" cm="1">
        <f t="array" ref="AD13">IFERROR(INDEX($AC$1:$AC$24,SMALL(IF($AC$1:$AC$24&lt;&gt;"",ROW($AC$1:$AC$24),4^8),ROW(AC12)))&amp;"","")</f>
        <v/>
      </c>
      <c r="AF13" s="640" t="str">
        <f>IFERROR(IF(VLOOKUP(AE2,$B$3:$Z$22,14,FALSE)=0,"",VLOOKUP(AE2,$B$3:$Z$22,14,FALSE)),"")</f>
        <v/>
      </c>
      <c r="AG13" s="642" t="str" cm="1">
        <f t="array" ref="AG13">IFERROR(INDEX($AF$1:$AF$24,SMALL(IF($AF$1:$AF$24&lt;&gt;"",ROW($AF$1:$AF$24),4^8),ROW(12:12)))&amp;"","")</f>
        <v/>
      </c>
      <c r="AI13" s="640" t="str">
        <f>IFERROR(IF(VLOOKUP(AH2,$B$3:$Z$22,14,FALSE)=0,"",VLOOKUP(AH2,$B$3:$Z$22,14,FALSE)),"")</f>
        <v/>
      </c>
      <c r="AJ13" s="642" t="str" cm="1">
        <f t="array" ref="AJ13">IFERROR(INDEX($AI$1:$AI$24,SMALL(IF($AI$1:$AI$24&lt;&gt;"",ROW($AI$1:$AI$24),4^8),ROW(12:12)))&amp;"","")</f>
        <v/>
      </c>
      <c r="AL13" s="640" t="str">
        <f>IFERROR(IF(VLOOKUP(AK2,$B$3:$Z$22,14,FALSE)=0,"",VLOOKUP(AK2,$B$3:$Z$22,14,FALSE)),"")</f>
        <v/>
      </c>
      <c r="AM13" s="642" t="str" cm="1">
        <f t="array" ref="AM13">IFERROR(INDEX($AL$1:$AL$24,SMALL(IF($AL$1:$AL$24&lt;&gt;"",ROW($AL$1:$AL$24),4^8),ROW(12:12)))&amp;"","")</f>
        <v/>
      </c>
      <c r="AO13" s="672" t="s">
        <v>518</v>
      </c>
      <c r="AP13" s="508" t="s">
        <v>437</v>
      </c>
      <c r="AQ13" s="587" t="s">
        <v>429</v>
      </c>
      <c r="AR13" s="642">
        <f>IFERROR(VLOOKUP($AR$11,$BE$2:$BO$22,3,FALSE),0)</f>
        <v>0</v>
      </c>
      <c r="AY13" s="587" t="s">
        <v>519</v>
      </c>
      <c r="AZ13" s="587">
        <f t="shared" si="0"/>
        <v>0</v>
      </c>
      <c r="BE13" s="692">
        <v>11</v>
      </c>
      <c r="BF13" s="692">
        <v>4</v>
      </c>
      <c r="BG13" s="692">
        <v>3</v>
      </c>
      <c r="BH13" s="692">
        <v>3</v>
      </c>
      <c r="BI13" s="692">
        <v>3</v>
      </c>
      <c r="BJ13" s="692">
        <v>2</v>
      </c>
      <c r="BK13" s="692">
        <v>1</v>
      </c>
      <c r="BL13" s="692"/>
      <c r="BM13" s="692"/>
      <c r="BN13" s="692"/>
      <c r="BO13" s="696">
        <v>73</v>
      </c>
      <c r="BP13" s="692">
        <v>11</v>
      </c>
      <c r="BQ13" s="692"/>
      <c r="BR13" s="692"/>
      <c r="BS13" s="692"/>
      <c r="BT13" s="692"/>
      <c r="BU13" s="696">
        <v>3</v>
      </c>
      <c r="BV13" s="692">
        <v>11</v>
      </c>
      <c r="BW13" s="692"/>
      <c r="BX13" s="692">
        <v>2</v>
      </c>
      <c r="BY13" s="692"/>
      <c r="BZ13" s="692"/>
      <c r="CA13" s="699">
        <v>11</v>
      </c>
      <c r="CB13" s="692"/>
      <c r="CC13" s="692"/>
      <c r="CD13" s="692"/>
      <c r="CE13" s="692"/>
      <c r="CF13" s="692">
        <v>4</v>
      </c>
      <c r="CH13" s="640" t="s">
        <v>519</v>
      </c>
      <c r="CI13" s="587">
        <v>34</v>
      </c>
      <c r="CJ13" s="587">
        <v>35</v>
      </c>
      <c r="CK13" s="587">
        <v>36</v>
      </c>
      <c r="CL13" s="587">
        <v>1</v>
      </c>
      <c r="CM13" s="642" cm="1">
        <f t="array" ref="CM13">_xlfn.IFS($AZ$13=20,26,$AZ$13&gt;=19,25,$AZ$13&gt;=18,24,$AZ$13&gt;=5,23,$AZ$13&gt;=4,22,$AZ$13&gt;=3,21,$AZ$13=2,20,$AZ$13=1,19,1,0)</f>
        <v>0</v>
      </c>
      <c r="CN13" s="701" t="str">
        <f>IFERROR(IF(CN12+1&gt;CS2,IF(CN12+1&gt;CS2,IF(CR3+CR12&gt;CS3,"",CR3+CR12)),CN12+1),"")</f>
        <v/>
      </c>
      <c r="CO13" s="702" t="str" cm="1">
        <f t="array" ref="CO13">IFERROR(INDEX($B$34:$BO$262,CN13,$CP$2),"")</f>
        <v/>
      </c>
      <c r="CP13" s="702" t="str" cm="1">
        <f t="array" ref="CP13">IFERROR(INDEX($B$34:$BO$262,CN13,$CQ$2),"")</f>
        <v/>
      </c>
      <c r="CQ13" s="702" t="str" cm="1">
        <f t="array" ref="CQ13">IF(IFERROR(INDEX($B$34:$BO$262,CN13,$CO$2),"")=0,"",IFERROR(INDEX($B$34:$BO$262,CN13,$CO$2),""))</f>
        <v/>
      </c>
      <c r="CR13" s="702" t="str">
        <f>IFERROR(IF(CN12+1&gt;CS2,CR12+1,0),"")</f>
        <v/>
      </c>
      <c r="CT13" s="705" t="str">
        <f t="shared" si="1"/>
        <v/>
      </c>
      <c r="CU13" s="706" t="str" cm="1">
        <f t="array" ref="CU13">INDEX(CT:CT,SMALL(IF($CT$2:$CT$101&lt;&gt;"",ROW($CT$2:$CT$101),142),ROW(CT12)))&amp;""</f>
        <v/>
      </c>
      <c r="CV13" s="701" t="str">
        <f t="shared" si="3"/>
        <v/>
      </c>
      <c r="CW13" s="702" t="str">
        <f>IF(主要!AX22="","",主要!AX22)</f>
        <v/>
      </c>
      <c r="CX13" s="702" t="str">
        <f t="shared" si="4"/>
        <v/>
      </c>
    </row>
    <row r="14" customHeight="1" spans="1:102">
      <c r="A14" s="586">
        <v>12</v>
      </c>
      <c r="B14" s="578" t="s">
        <v>282</v>
      </c>
      <c r="C14" s="578" t="s">
        <v>520</v>
      </c>
      <c r="D14" s="578" t="s">
        <v>521</v>
      </c>
      <c r="E14" s="578" t="s">
        <v>522</v>
      </c>
      <c r="F14" s="578" t="s">
        <v>523</v>
      </c>
      <c r="G14" s="594" t="str">
        <f>IF(主要!$CD$3="O","战争魔法","")</f>
        <v>战争魔法</v>
      </c>
      <c r="H14" s="596" t="str">
        <f>IF(主要!$CD$4="O","书士会","")</f>
        <v>书士会</v>
      </c>
      <c r="I14" s="625" t="str">
        <f>IF(主要!$CD$23="O","时间魔法","")</f>
        <v>时间魔法</v>
      </c>
      <c r="J14" s="625" t="str">
        <f>IF(主要!$CD$23="O","重力魔法","")</f>
        <v>重力魔法</v>
      </c>
      <c r="K14" s="620" t="str">
        <f>IF(主要!$CO$4="O","血魔法","")</f>
        <v>血魔法</v>
      </c>
      <c r="L14" s="623" t="str">
        <f>IF(主要!$CO$7="O","地脉魔法","")</f>
        <v>地脉魔法</v>
      </c>
      <c r="N14" s="578"/>
      <c r="Q14" s="587" t="str">
        <f>IF(主要!$CD$10="O","剑咏者","")</f>
        <v>剑咏者</v>
      </c>
      <c r="S14" s="598" t="str">
        <f>IF(主要!$CO$6="O","叛道法师魔","")</f>
        <v>叛道法师魔</v>
      </c>
      <c r="U14" s="635" t="str">
        <f>IF(主要!$CO$8="O","暗影","")</f>
        <v>暗影</v>
      </c>
      <c r="V14" s="636" t="str">
        <f>IF(主要!$CO$13="O","神秘学者","")</f>
        <v>神秘学者</v>
      </c>
      <c r="W14" s="636" t="str">
        <f>IF(主要!$CO$13="O","贤者","")</f>
        <v>贤者</v>
      </c>
      <c r="X14" s="633" t="str">
        <f>IF(主要!$CO$10="O","远古魔杖学","")</f>
        <v>远古魔杖学</v>
      </c>
      <c r="Y14" s="644" t="str">
        <f>IF(主要!$CO$11="O","折纸魔法师","")</f>
        <v>折纸魔法师</v>
      </c>
      <c r="Z14" s="645" t="str">
        <f>IF(主要!$CO$14="O","司书","")</f>
        <v>司书</v>
      </c>
      <c r="AA14" s="642" t="str" cm="1">
        <f t="array" ref="AA14">IFERROR(INDEX($B$1:$B$22,SMALL(IF($B$1:$B$22&lt;&gt;"",ROW($B$1:$B$22),4^8),ROW(14:14)))&amp;"","")</f>
        <v>法师</v>
      </c>
      <c r="AC14" s="640" t="str">
        <f>IFERROR(IF(VLOOKUP(AB2,$B$3:$Z$22,15,FALSE)=0,"",VLOOKUP(AB2,$B$3:$Z$22,15,FALSE)),"")</f>
        <v/>
      </c>
      <c r="AD14" s="642" t="str" cm="1">
        <f t="array" ref="AD14">IFERROR(INDEX($AC$1:$AC$24,SMALL(IF($AC$1:$AC$24&lt;&gt;"",ROW($AC$1:$AC$24),4^8),ROW(AC13)))&amp;"","")</f>
        <v/>
      </c>
      <c r="AF14" s="640" t="str">
        <f>IFERROR(IF(VLOOKUP(AE2,$B$3:$Z$22,15,FALSE)=0,"",VLOOKUP(AE2,$B$3:$Z$22,15,FALSE)),"")</f>
        <v/>
      </c>
      <c r="AG14" s="642" t="str" cm="1">
        <f t="array" ref="AG14">IFERROR(INDEX($AF$1:$AF$24,SMALL(IF($AF$1:$AF$24&lt;&gt;"",ROW($AF$1:$AF$24),4^8),ROW(13:13)))&amp;"","")</f>
        <v/>
      </c>
      <c r="AI14" s="640" t="str">
        <f>IFERROR(IF(VLOOKUP(AH2,$B$3:$Z$22,15,FALSE)=0,"",VLOOKUP(AH2,$B$3:$Z$22,15,FALSE)),"")</f>
        <v/>
      </c>
      <c r="AJ14" s="642" t="str" cm="1">
        <f t="array" ref="AJ14">IFERROR(INDEX($AI$1:$AI$24,SMALL(IF($AI$1:$AI$24&lt;&gt;"",ROW($AI$1:$AI$24),4^8),ROW(13:13)))&amp;"","")</f>
        <v/>
      </c>
      <c r="AL14" s="640" t="str">
        <f>IFERROR(IF(VLOOKUP(AK2,$B$3:$Z$22,15,FALSE)=0,"",VLOOKUP(AK2,$B$3:$Z$22,15,FALSE)),"")</f>
        <v/>
      </c>
      <c r="AM14" s="642" t="str" cm="1">
        <f t="array" ref="AM14">IFERROR(INDEX($AL$1:$AL$24,SMALL(IF($AL$1:$AL$24&lt;&gt;"",ROW($AL$1:$AL$24),4^8),ROW(13:13)))&amp;"","")</f>
        <v/>
      </c>
      <c r="AO14" s="664" t="s">
        <v>524</v>
      </c>
      <c r="AP14" s="665" t="s">
        <v>446</v>
      </c>
      <c r="AQ14" s="587" t="s">
        <v>438</v>
      </c>
      <c r="AR14" s="642">
        <f>IFERROR(VLOOKUP($AR$11,$BE$2:$BO$22,4,FALSE),0)</f>
        <v>0</v>
      </c>
      <c r="AY14" s="587" t="s">
        <v>525</v>
      </c>
      <c r="AZ14" s="587">
        <f t="shared" si="0"/>
        <v>0</v>
      </c>
      <c r="BE14" s="452">
        <v>12</v>
      </c>
      <c r="BF14" s="452">
        <v>4</v>
      </c>
      <c r="BG14" s="452">
        <v>3</v>
      </c>
      <c r="BH14" s="452">
        <v>3</v>
      </c>
      <c r="BI14" s="452">
        <v>3</v>
      </c>
      <c r="BJ14" s="452">
        <v>2</v>
      </c>
      <c r="BK14" s="452">
        <v>1</v>
      </c>
      <c r="BL14" s="452"/>
      <c r="BM14" s="452"/>
      <c r="BN14" s="452"/>
      <c r="BO14" s="695">
        <v>73</v>
      </c>
      <c r="BP14" s="452">
        <v>12</v>
      </c>
      <c r="BQ14" s="452"/>
      <c r="BR14" s="452"/>
      <c r="BS14" s="452"/>
      <c r="BT14" s="452"/>
      <c r="BU14" s="695">
        <v>3</v>
      </c>
      <c r="BV14" s="452">
        <v>12</v>
      </c>
      <c r="BW14" s="452"/>
      <c r="BX14" s="452">
        <v>2</v>
      </c>
      <c r="BY14" s="452"/>
      <c r="BZ14" s="452"/>
      <c r="CA14" s="697">
        <v>12</v>
      </c>
      <c r="CB14" s="452"/>
      <c r="CC14" s="452"/>
      <c r="CD14" s="452"/>
      <c r="CE14" s="452"/>
      <c r="CF14" s="452">
        <v>4</v>
      </c>
      <c r="CH14" s="640" t="s">
        <v>525</v>
      </c>
      <c r="CI14" s="587">
        <v>37</v>
      </c>
      <c r="CJ14" s="587">
        <v>38</v>
      </c>
      <c r="CK14" s="587">
        <v>39</v>
      </c>
      <c r="CL14" s="587">
        <v>1</v>
      </c>
      <c r="CM14" s="642" cm="1">
        <f t="array" ref="CM14">_xlfn.IFS($AZ$14=20,29,$AZ$14&gt;=19,28,$AZ$14&gt;=18,27,$AZ$14&gt;=14,26,$AZ$14&gt;=11,24,$AZ$14&gt;=10,23,$AZ$14&gt;=7,21,$AZ$14&gt;=6,20,$AZ$14&gt;=4,18,$AZ$14&gt;=3,17,$AZ$14=2,16,$AZ$14=1,15,1,0)</f>
        <v>0</v>
      </c>
      <c r="CN14" s="701" t="str">
        <f>IFERROR(IF(CN13+1&gt;CS2,IF(CN13+1&gt;CS2,IF(CR3+CR13&gt;CS3,"",CR3+CR13)),CN13+1),"")</f>
        <v/>
      </c>
      <c r="CO14" s="702" t="str" cm="1">
        <f t="array" ref="CO14">IFERROR(INDEX($B$34:$BO$262,CN14,$CP$2),"")</f>
        <v/>
      </c>
      <c r="CP14" s="702" t="str" cm="1">
        <f t="array" ref="CP14">IFERROR(INDEX($B$34:$BO$262,CN14,$CQ$2),"")</f>
        <v/>
      </c>
      <c r="CQ14" s="702" t="str" cm="1">
        <f t="array" ref="CQ14">IF(IFERROR(INDEX($B$34:$BO$262,CN14,$CO$2),"")=0,"",IFERROR(INDEX($B$34:$BO$262,CN14,$CO$2),""))</f>
        <v/>
      </c>
      <c r="CR14" s="702" t="str">
        <f>IFERROR(IF(CN13+1&gt;CS2,CR13+1,0),"")</f>
        <v/>
      </c>
      <c r="CT14" s="705" t="str">
        <f t="shared" si="1"/>
        <v/>
      </c>
      <c r="CU14" s="706" t="str" cm="1">
        <f t="array" ref="CU14">INDEX(CT:CT,SMALL(IF($CT$2:$CT$101&lt;&gt;"",ROW($CT$2:$CT$101),142),ROW(CT13)))&amp;""</f>
        <v/>
      </c>
      <c r="CV14" s="701" t="str">
        <f t="shared" si="3"/>
        <v/>
      </c>
      <c r="CW14" s="702" t="str">
        <f>IF(主要!AX23="","",主要!AX23)</f>
        <v/>
      </c>
      <c r="CX14" s="702" t="str">
        <f t="shared" si="4"/>
        <v/>
      </c>
    </row>
    <row r="15" customHeight="1" spans="1:102">
      <c r="A15" s="586">
        <v>13</v>
      </c>
      <c r="B15" s="578" t="str">
        <f>IF(主要!$CD$13="O","奇械师","")</f>
        <v>奇械师</v>
      </c>
      <c r="C15" s="578" t="s">
        <v>526</v>
      </c>
      <c r="D15" s="578" t="s">
        <v>527</v>
      </c>
      <c r="E15" s="578" t="s">
        <v>528</v>
      </c>
      <c r="F15" s="578" t="s">
        <v>529</v>
      </c>
      <c r="G15" s="578" t="s">
        <v>530</v>
      </c>
      <c r="H15" s="578"/>
      <c r="I15" s="578"/>
      <c r="J15" s="578"/>
      <c r="K15" s="578"/>
      <c r="L15" s="578"/>
      <c r="M15" s="578"/>
      <c r="N15" s="578"/>
      <c r="O15" s="578"/>
      <c r="P15" s="578"/>
      <c r="Q15" s="578"/>
      <c r="Z15" s="641"/>
      <c r="AA15" s="642" t="str" cm="1">
        <f t="array" ref="AA15">IFERROR(INDEX($B$1:$B$22,SMALL(IF($B$1:$B$22&lt;&gt;"",ROW($B$1:$B$22),4^8),ROW(15:15)))&amp;"","")</f>
        <v>奇械师</v>
      </c>
      <c r="AC15" s="640" t="str">
        <f>IFERROR(IF(VLOOKUP(AB2,$B$3:$Z$22,16,FALSE)=0,"",VLOOKUP(AB2,$B$3:$Z$22,16,FALSE)),"")</f>
        <v/>
      </c>
      <c r="AD15" s="642" t="str" cm="1">
        <f t="array" ref="AD15">IFERROR(INDEX($AC$1:$AC$24,SMALL(IF($AC$1:$AC$24&lt;&gt;"",ROW($AC$1:$AC$24),4^8),ROW(AC14)))&amp;"","")</f>
        <v/>
      </c>
      <c r="AF15" s="640" t="str">
        <f>IFERROR(IF(VLOOKUP(AE2,$B$3:$Z$22,16,FALSE)=0,"",VLOOKUP(AE2,$B$3:$Z$22,16,FALSE)),"")</f>
        <v/>
      </c>
      <c r="AG15" s="642" t="str" cm="1">
        <f t="array" ref="AG15">IFERROR(INDEX($AF$1:$AF$24,SMALL(IF($AF$1:$AF$24&lt;&gt;"",ROW($AF$1:$AF$24),4^8),ROW(14:14)))&amp;"","")</f>
        <v/>
      </c>
      <c r="AI15" s="640" t="str">
        <f>IFERROR(IF(VLOOKUP(AH2,$B$3:$Z$22,16,FALSE)=0,"",VLOOKUP(AH2,$B$3:$Z$22,16,FALSE)),"")</f>
        <v/>
      </c>
      <c r="AJ15" s="642" t="str" cm="1">
        <f t="array" ref="AJ15">IFERROR(INDEX($AI$1:$AI$24,SMALL(IF($AI$1:$AI$24&lt;&gt;"",ROW($AI$1:$AI$24),4^8),ROW(14:14)))&amp;"","")</f>
        <v/>
      </c>
      <c r="AL15" s="640" t="str">
        <f>IFERROR(IF(VLOOKUP(AK2,$B$3:$Z$22,16,FALSE)=0,"",VLOOKUP(AK2,$B$3:$Z$22,16,FALSE)),"")</f>
        <v/>
      </c>
      <c r="AM15" s="642" t="str" cm="1">
        <f t="array" ref="AM15">IFERROR(INDEX($AL$1:$AL$24,SMALL(IF($AL$1:$AL$24&lt;&gt;"",ROW($AL$1:$AL$24),4^8),ROW(14:14)))&amp;"","")</f>
        <v/>
      </c>
      <c r="AO15" s="664" t="s">
        <v>531</v>
      </c>
      <c r="AP15" s="665" t="s">
        <v>446</v>
      </c>
      <c r="AQ15" s="587" t="s">
        <v>447</v>
      </c>
      <c r="AR15" s="642">
        <f>IFERROR(VLOOKUP($AR$11,$BE$2:$BO$22,5,FALSE),0)</f>
        <v>0</v>
      </c>
      <c r="AY15" s="587" t="s">
        <v>532</v>
      </c>
      <c r="AZ15" s="587">
        <f t="shared" si="0"/>
        <v>0</v>
      </c>
      <c r="BE15" s="692">
        <v>13</v>
      </c>
      <c r="BF15" s="692">
        <v>4</v>
      </c>
      <c r="BG15" s="692">
        <v>3</v>
      </c>
      <c r="BH15" s="692">
        <v>3</v>
      </c>
      <c r="BI15" s="692">
        <v>3</v>
      </c>
      <c r="BJ15" s="692">
        <v>2</v>
      </c>
      <c r="BK15" s="692">
        <v>1</v>
      </c>
      <c r="BL15" s="692">
        <v>1</v>
      </c>
      <c r="BM15" s="692"/>
      <c r="BN15" s="692"/>
      <c r="BO15" s="696">
        <v>83</v>
      </c>
      <c r="BP15" s="692">
        <v>13</v>
      </c>
      <c r="BQ15" s="692"/>
      <c r="BR15" s="692"/>
      <c r="BS15" s="692"/>
      <c r="BT15" s="692"/>
      <c r="BU15" s="696">
        <v>3</v>
      </c>
      <c r="BV15" s="692">
        <v>13</v>
      </c>
      <c r="BW15" s="692"/>
      <c r="BX15" s="692"/>
      <c r="BY15" s="692">
        <v>2</v>
      </c>
      <c r="BZ15" s="692"/>
      <c r="CA15" s="699">
        <v>13</v>
      </c>
      <c r="CB15" s="692"/>
      <c r="CC15" s="692"/>
      <c r="CD15" s="692"/>
      <c r="CE15" s="692"/>
      <c r="CF15" s="692">
        <v>5</v>
      </c>
      <c r="CH15" s="640" t="s">
        <v>532</v>
      </c>
      <c r="CI15" s="587">
        <v>40</v>
      </c>
      <c r="CJ15" s="587">
        <v>41</v>
      </c>
      <c r="CK15" s="587">
        <v>42</v>
      </c>
      <c r="CL15" s="587">
        <v>1</v>
      </c>
      <c r="CM15" s="642" cm="1">
        <f t="array" ref="CM15">_xlfn.IFS($AZ$15&gt;=20,34,$AZ$15&gt;=19,33,$AZ$15&gt;=18,32,$AZ$15&gt;=7,31,$AZ$15&gt;=5,30,$AZ$15&gt;=4,9,$AZ$15&gt;=3,28,$AZ$15=2,27,$AZ$15=1,15,1,0)</f>
        <v>0</v>
      </c>
      <c r="CN15" s="701" t="str">
        <f>IFERROR(IF(CN14+1&gt;CS2,IF(CN14+1&gt;CS2,IF(CR3+CR14&gt;CS3,"",CR3+CR14)),CN14+1),"")</f>
        <v/>
      </c>
      <c r="CO15" s="702" t="str" cm="1">
        <f t="array" ref="CO15">IFERROR(INDEX($B$34:$BO$262,CN15,$CP$2),"")</f>
        <v/>
      </c>
      <c r="CP15" s="702" t="str" cm="1">
        <f t="array" ref="CP15">IFERROR(INDEX($B$34:$BO$262,CN15,$CQ$2),"")</f>
        <v/>
      </c>
      <c r="CQ15" s="702" t="str" cm="1">
        <f t="array" ref="CQ15">IF(IFERROR(INDEX($B$34:$BO$262,CN15,$CO$2),"")=0,"",IFERROR(INDEX($B$34:$BO$262,CN15,$CO$2),""))</f>
        <v/>
      </c>
      <c r="CR15" s="702" t="str">
        <f>IFERROR(IF(CN14+1&gt;CS2,CR14+1,0),"")</f>
        <v/>
      </c>
      <c r="CT15" s="705" t="str">
        <f t="shared" si="1"/>
        <v/>
      </c>
      <c r="CU15" s="706" t="str" cm="1">
        <f t="array" ref="CU15">INDEX(CT:CT,SMALL(IF($CT$2:$CT$101&lt;&gt;"",ROW($CT$2:$CT$101),142),ROW(CT14)))&amp;""</f>
        <v/>
      </c>
      <c r="CV15" s="701" t="str">
        <f t="shared" si="3"/>
        <v/>
      </c>
      <c r="CW15" s="702" t="str">
        <f>IF(主要!AX24="","",主要!AX24)</f>
        <v/>
      </c>
      <c r="CX15" s="702" t="str">
        <f t="shared" si="4"/>
        <v/>
      </c>
    </row>
    <row r="16" customHeight="1" spans="1:102">
      <c r="A16" s="586">
        <v>14</v>
      </c>
      <c r="B16" s="597" t="str">
        <f>IF(主要!$CO$23="O","灵能使","")</f>
        <v>灵能使</v>
      </c>
      <c r="C16" s="597" t="s">
        <v>533</v>
      </c>
      <c r="D16" s="597" t="s">
        <v>534</v>
      </c>
      <c r="E16" s="597" t="s">
        <v>535</v>
      </c>
      <c r="F16" s="597" t="s">
        <v>536</v>
      </c>
      <c r="G16" s="578"/>
      <c r="H16" s="578"/>
      <c r="I16" s="578"/>
      <c r="J16" s="578"/>
      <c r="K16" s="578"/>
      <c r="L16" s="578"/>
      <c r="M16" s="578"/>
      <c r="N16" s="578"/>
      <c r="O16" s="578"/>
      <c r="P16" s="578"/>
      <c r="Q16" s="578"/>
      <c r="Z16" s="641"/>
      <c r="AA16" s="642" t="str" cm="1">
        <f t="array" ref="AA16">IFERROR(INDEX($B$1:$B$22,SMALL(IF($B$1:$B$22&lt;&gt;"",ROW($B$1:$B$22),4^8),ROW(16:16)))&amp;"","")</f>
        <v>灵能使</v>
      </c>
      <c r="AC16" s="640" t="str">
        <f>IFERROR(IF(VLOOKUP(AB2,$B$3:$Z$22,17,FALSE)=0,"",VLOOKUP(AB2,$B$3:$Z$22,17,FALSE)),"")</f>
        <v/>
      </c>
      <c r="AD16" s="642" t="str" cm="1">
        <f t="array" ref="AD16">IFERROR(INDEX($AC$1:$AC$24,SMALL(IF($AC$1:$AC$24&lt;&gt;"",ROW($AC$1:$AC$24),4^8),ROW(AC15)))&amp;"","")</f>
        <v/>
      </c>
      <c r="AF16" s="640" t="str">
        <f>IFERROR(IF(VLOOKUP(AE2,$B$3:$Z$22,17,FALSE)=0,"",VLOOKUP(AE2,$B$3:$Z$22,17,FALSE)),"")</f>
        <v/>
      </c>
      <c r="AG16" s="642" t="str" cm="1">
        <f t="array" ref="AG16">IFERROR(INDEX($AF$1:$AF$24,SMALL(IF($AF$1:$AF$24&lt;&gt;"",ROW($AF$1:$AF$24),4^8),ROW(15:15)))&amp;"","")</f>
        <v/>
      </c>
      <c r="AI16" s="640" t="str">
        <f>IFERROR(IF(VLOOKUP(AH2,$B$3:$Z$22,17,FALSE)=0,"",VLOOKUP(AH2,$B$3:$Z$22,17,FALSE)),"")</f>
        <v/>
      </c>
      <c r="AJ16" s="642" t="str" cm="1">
        <f t="array" ref="AJ16">IFERROR(INDEX($AI$1:$AI$24,SMALL(IF($AI$1:$AI$24&lt;&gt;"",ROW($AI$1:$AI$24),4^8),ROW(15:15)))&amp;"","")</f>
        <v/>
      </c>
      <c r="AL16" s="640" t="str">
        <f>IFERROR(IF(VLOOKUP(AK2,$B$3:$Z$22,17,FALSE)=0,"",VLOOKUP(AK2,$B$3:$Z$22,17,FALSE)),"")</f>
        <v/>
      </c>
      <c r="AM16" s="642" t="str" cm="1">
        <f t="array" ref="AM16">IFERROR(INDEX($AL$1:$AL$24,SMALL(IF($AL$1:$AL$24&lt;&gt;"",ROW($AL$1:$AL$24),4^8),ROW(15:15)))&amp;"","")</f>
        <v/>
      </c>
      <c r="AO16" s="664" t="s">
        <v>537</v>
      </c>
      <c r="AP16" s="665" t="s">
        <v>446</v>
      </c>
      <c r="AQ16" s="587" t="s">
        <v>455</v>
      </c>
      <c r="AR16" s="642">
        <f>IFERROR(VLOOKUP($AR$11,$BE$2:$BO$22,6,FALSE),0)</f>
        <v>0</v>
      </c>
      <c r="AS16" s="673" t="s">
        <v>513</v>
      </c>
      <c r="AT16" s="646"/>
      <c r="AU16" s="674" t="s">
        <v>289</v>
      </c>
      <c r="AV16" s="646"/>
      <c r="AY16" s="587" t="s">
        <v>538</v>
      </c>
      <c r="AZ16" s="587">
        <f t="shared" si="0"/>
        <v>0</v>
      </c>
      <c r="BB16" s="587" t="s">
        <v>539</v>
      </c>
      <c r="BC16" s="587">
        <f>IF($BB$2="渎魂圣约",$BC$2,IF($BB$3="渎魂圣约",$BC$3,IF($BB$4="渎魂圣约",$BC$4,0)))</f>
        <v>0</v>
      </c>
      <c r="BE16" s="452">
        <v>14</v>
      </c>
      <c r="BF16" s="452">
        <v>4</v>
      </c>
      <c r="BG16" s="452">
        <v>3</v>
      </c>
      <c r="BH16" s="452">
        <v>3</v>
      </c>
      <c r="BI16" s="452">
        <v>3</v>
      </c>
      <c r="BJ16" s="452">
        <v>2</v>
      </c>
      <c r="BK16" s="452">
        <v>1</v>
      </c>
      <c r="BL16" s="452">
        <v>1</v>
      </c>
      <c r="BM16" s="452"/>
      <c r="BN16" s="452"/>
      <c r="BO16" s="695">
        <v>83</v>
      </c>
      <c r="BP16" s="452">
        <v>14</v>
      </c>
      <c r="BQ16" s="452"/>
      <c r="BR16" s="452"/>
      <c r="BS16" s="452"/>
      <c r="BT16" s="452"/>
      <c r="BU16" s="695">
        <v>3</v>
      </c>
      <c r="BV16" s="452">
        <v>14</v>
      </c>
      <c r="BW16" s="452"/>
      <c r="BX16" s="452"/>
      <c r="BY16" s="452">
        <v>2</v>
      </c>
      <c r="BZ16" s="452"/>
      <c r="CA16" s="697">
        <v>14</v>
      </c>
      <c r="CB16" s="452"/>
      <c r="CC16" s="452"/>
      <c r="CD16" s="452"/>
      <c r="CE16" s="452"/>
      <c r="CF16" s="452">
        <v>5</v>
      </c>
      <c r="CH16" s="640" t="s">
        <v>538</v>
      </c>
      <c r="CI16" s="587">
        <v>43</v>
      </c>
      <c r="CJ16" s="587">
        <v>44</v>
      </c>
      <c r="CK16" s="587">
        <v>45</v>
      </c>
      <c r="CL16" s="587">
        <v>1</v>
      </c>
      <c r="CM16" s="642" cm="1">
        <f t="array" ref="CM16">_xlfn.IFS($AZ$16&gt;=20,38,$AZ$16&gt;=19,37,$AZ$16&gt;=18,36,$AZ$16&gt;=15,34,$AZ$16&gt;=14,32,$AZ$16&gt;=13,28,$AZ$16&gt;=10,27,$AZ$16&gt;=9,26,$AZ$16&gt;=6,25,$AZ$16&gt;=5,24,$AZ$16&gt;=4,23,$AZ$16&gt;=3,22,$AZ$16=2,21,$AZ$16=1,17,1,0)</f>
        <v>0</v>
      </c>
      <c r="CN16" s="701" t="str">
        <f>IFERROR(IF(CN15+1&gt;CS2,IF(CN15+1&gt;CS2,IF(CR3+CR15&gt;CS3,"",CR3+CR15)),CN15+1),"")</f>
        <v/>
      </c>
      <c r="CO16" s="702" t="str" cm="1">
        <f t="array" ref="CO16">IFERROR(INDEX($B$34:$BO$262,CN16,$CP$2),"")</f>
        <v/>
      </c>
      <c r="CP16" s="702" t="str" cm="1">
        <f t="array" ref="CP16">IFERROR(INDEX($B$34:$BO$262,CN16,$CQ$2),"")</f>
        <v/>
      </c>
      <c r="CQ16" s="702" t="str" cm="1">
        <f t="array" ref="CQ16">IF(IFERROR(INDEX($B$34:$BO$262,CN16,$CO$2),"")=0,"",IFERROR(INDEX($B$34:$BO$262,CN16,$CO$2),""))</f>
        <v/>
      </c>
      <c r="CR16" s="702" t="str">
        <f>IFERROR(IF(CN15+1&gt;CS2,CR15+1,0),"")</f>
        <v/>
      </c>
      <c r="CT16" s="705" t="str">
        <f t="shared" si="1"/>
        <v/>
      </c>
      <c r="CU16" s="706" t="str" cm="1">
        <f t="array" ref="CU16">INDEX(CT:CT,SMALL(IF($CT$2:$CT$101&lt;&gt;"",ROW($CT$2:$CT$101),142),ROW(CT15)))&amp;""</f>
        <v/>
      </c>
      <c r="CV16" s="701" t="str">
        <f t="shared" si="3"/>
        <v/>
      </c>
      <c r="CW16" s="702" t="str">
        <f>IF(主要!AX25="","",主要!AX25)</f>
        <v/>
      </c>
      <c r="CX16" s="702" t="str">
        <f t="shared" si="4"/>
        <v/>
      </c>
    </row>
    <row r="17" customHeight="1" spans="1:102">
      <c r="A17" s="586">
        <v>15</v>
      </c>
      <c r="B17" s="578" t="str">
        <f>IF(主要!$CO$3="O","血猎手","")</f>
        <v>血猎手</v>
      </c>
      <c r="C17" s="578" t="s">
        <v>540</v>
      </c>
      <c r="D17" s="578" t="s">
        <v>541</v>
      </c>
      <c r="E17" s="578" t="s">
        <v>542</v>
      </c>
      <c r="F17" s="578" t="s">
        <v>299</v>
      </c>
      <c r="G17" s="578"/>
      <c r="H17" s="578"/>
      <c r="I17" s="578"/>
      <c r="J17" s="578"/>
      <c r="K17" s="578"/>
      <c r="L17" s="578"/>
      <c r="M17" s="578"/>
      <c r="N17" s="578"/>
      <c r="O17" s="578"/>
      <c r="P17" s="578"/>
      <c r="Q17" s="578"/>
      <c r="Z17" s="641"/>
      <c r="AA17" s="642" t="str" cm="1">
        <f t="array" ref="AA17">IFERROR(INDEX($B$1:$B$22,SMALL(IF($B$1:$B$22&lt;&gt;"",ROW($B$1:$B$22),4^8),ROW(17:17)))&amp;"","")</f>
        <v>血猎手</v>
      </c>
      <c r="AC17" s="640" t="str">
        <f>IFERROR(IF(VLOOKUP(AB2,$B$3:$Z$22,18,FALSE)=0,"",VLOOKUP(AB2,$B$3:$Z$22,18,FALSE)),"")</f>
        <v/>
      </c>
      <c r="AD17" s="642" t="str" cm="1">
        <f t="array" ref="AD17">IFERROR(INDEX($AC$1:$AC$24,SMALL(IF($AC$1:$AC$24&lt;&gt;"",ROW($AC$1:$AC$24),4^8),ROW(AC16)))&amp;"","")</f>
        <v/>
      </c>
      <c r="AF17" s="640" t="str">
        <f>IFERROR(IF(VLOOKUP(AE2,$B$3:$Z$22,18,FALSE)=0,"",VLOOKUP(AE2,$B$3:$Z$22,18,FALSE)),"")</f>
        <v/>
      </c>
      <c r="AG17" s="642" t="str" cm="1">
        <f t="array" ref="AG17">IFERROR(INDEX($AF$1:$AF$24,SMALL(IF($AF$1:$AF$24&lt;&gt;"",ROW($AF$1:$AF$24),4^8),ROW(16:16)))&amp;"","")</f>
        <v/>
      </c>
      <c r="AI17" s="640" t="str">
        <f>IFERROR(IF(VLOOKUP(AH2,$B$3:$Z$22,18,FALSE)=0,"",VLOOKUP(AH2,$B$3:$Z$22,18,FALSE)),"")</f>
        <v/>
      </c>
      <c r="AJ17" s="642" t="str" cm="1">
        <f t="array" ref="AJ17">IFERROR(INDEX($AI$1:$AI$24,SMALL(IF($AI$1:$AI$24&lt;&gt;"",ROW($AI$1:$AI$24),4^8),ROW(16:16)))&amp;"","")</f>
        <v/>
      </c>
      <c r="AL17" s="640" t="str">
        <f>IFERROR(IF(VLOOKUP(AK2,$B$3:$Z$22,18,FALSE)=0,"",VLOOKUP(AK2,$B$3:$Z$22,18,FALSE)),"")</f>
        <v/>
      </c>
      <c r="AM17" s="642" t="str" cm="1">
        <f t="array" ref="AM17">IFERROR(INDEX($AL$1:$AL$24,SMALL(IF($AL$1:$AL$24&lt;&gt;"",ROW($AL$1:$AL$24),4^8),ROW(16:16)))&amp;"","")</f>
        <v/>
      </c>
      <c r="AO17" s="664" t="s">
        <v>543</v>
      </c>
      <c r="AP17" s="665" t="s">
        <v>446</v>
      </c>
      <c r="AQ17" s="640" t="s">
        <v>465</v>
      </c>
      <c r="AR17" s="642">
        <f>IFERROR(VLOOKUP($AR$11,$BE$2:$BO$22,7,FALSE),0)</f>
        <v>0</v>
      </c>
      <c r="AS17" s="640" t="s">
        <v>402</v>
      </c>
      <c r="AT17" s="642">
        <f>IFERROR(VLOOKUP($AZ$12,$BP$2:$BU$22,2,FALSE),0)</f>
        <v>0</v>
      </c>
      <c r="AU17" s="640" t="s">
        <v>402</v>
      </c>
      <c r="AV17" s="642">
        <f>IFERROR(VLOOKUP($AZ$17,$CA$2:$CF$22,2,FALSE),0)</f>
        <v>0</v>
      </c>
      <c r="AW17" s="673" t="s">
        <v>539</v>
      </c>
      <c r="AX17" s="646"/>
      <c r="AY17" s="679" t="s">
        <v>289</v>
      </c>
      <c r="AZ17" s="587">
        <f t="shared" si="0"/>
        <v>0</v>
      </c>
      <c r="BE17" s="692">
        <v>15</v>
      </c>
      <c r="BF17" s="692">
        <v>4</v>
      </c>
      <c r="BG17" s="692">
        <v>3</v>
      </c>
      <c r="BH17" s="692">
        <v>3</v>
      </c>
      <c r="BI17" s="692">
        <v>3</v>
      </c>
      <c r="BJ17" s="692">
        <v>2</v>
      </c>
      <c r="BK17" s="692">
        <v>1</v>
      </c>
      <c r="BL17" s="692">
        <v>1</v>
      </c>
      <c r="BM17" s="692">
        <v>1</v>
      </c>
      <c r="BN17" s="692"/>
      <c r="BO17" s="696">
        <v>94</v>
      </c>
      <c r="BP17" s="692">
        <v>15</v>
      </c>
      <c r="BQ17" s="692"/>
      <c r="BR17" s="692"/>
      <c r="BS17" s="692"/>
      <c r="BT17" s="692"/>
      <c r="BU17" s="696">
        <v>3</v>
      </c>
      <c r="BV17" s="692">
        <v>15</v>
      </c>
      <c r="BW17" s="692"/>
      <c r="BX17" s="692"/>
      <c r="BY17" s="692">
        <v>2</v>
      </c>
      <c r="BZ17" s="692"/>
      <c r="CA17" s="699">
        <v>15</v>
      </c>
      <c r="CB17" s="692"/>
      <c r="CC17" s="692"/>
      <c r="CD17" s="692"/>
      <c r="CE17" s="692"/>
      <c r="CF17" s="692">
        <v>5</v>
      </c>
      <c r="CH17" s="640" t="s">
        <v>544</v>
      </c>
      <c r="CI17" s="587">
        <v>46</v>
      </c>
      <c r="CJ17" s="587">
        <v>47</v>
      </c>
      <c r="CK17" s="587">
        <v>48</v>
      </c>
      <c r="CL17" s="587">
        <v>1</v>
      </c>
      <c r="CM17" s="642" cm="1">
        <f t="array" ref="CM17">_xlfn.IFS($AZ$17=20,59,$AZ$17&gt;=19,58,$AZ$17&gt;=14,57,$AZ$17&gt;=11,53,$AZ$17&gt;=10,52,$AZ$17&gt;=6,46,$AZ$17&gt;=4,35,$AZ$17=3,34,$AZ$17=2,33,$AZ$17=1,13,1,0)</f>
        <v>0</v>
      </c>
      <c r="CN17" s="701" t="str">
        <f>IFERROR(IF(CN16+1&gt;CS2,IF(CN16+1&gt;CS2,IF(CR3+CR16&gt;CS3,"",CR3+CR16)),CN16+1),"")</f>
        <v/>
      </c>
      <c r="CO17" s="702" t="str" cm="1">
        <f t="array" ref="CO17">IFERROR(INDEX($B$34:$BO$262,CN17,$CP$2),"")</f>
        <v/>
      </c>
      <c r="CP17" s="702" t="str" cm="1">
        <f t="array" ref="CP17">IFERROR(INDEX($B$34:$BO$262,CN17,$CQ$2),"")</f>
        <v/>
      </c>
      <c r="CQ17" s="702" t="str" cm="1">
        <f t="array" ref="CQ17">IF(IFERROR(INDEX($B$34:$BO$262,CN17,$CO$2),"")=0,"",IFERROR(INDEX($B$34:$BO$262,CN17,$CO$2),""))</f>
        <v/>
      </c>
      <c r="CR17" s="702" t="str">
        <f>IFERROR(IF(CN16+1&gt;CS2,CR16+1,0),"")</f>
        <v/>
      </c>
      <c r="CT17" s="705" t="str">
        <f t="shared" si="1"/>
        <v/>
      </c>
      <c r="CU17" s="706" t="str" cm="1">
        <f t="array" ref="CU17">INDEX(CT:CT,SMALL(IF($CT$2:$CT$101&lt;&gt;"",ROW($CT$2:$CT$101),142),ROW(CT16)))&amp;""</f>
        <v/>
      </c>
      <c r="CV17" s="701" t="str">
        <f t="shared" si="3"/>
        <v/>
      </c>
      <c r="CW17" s="702" t="str">
        <f>IF(主要!AX26="","",主要!AX26)</f>
        <v/>
      </c>
      <c r="CX17" s="702" t="str">
        <f t="shared" si="4"/>
        <v/>
      </c>
    </row>
    <row r="18" customHeight="1" spans="1:102">
      <c r="A18" s="586">
        <v>16</v>
      </c>
      <c r="B18" s="598" t="str">
        <f>IF(主要!$CO$6="O","药剂师","")</f>
        <v>药剂师</v>
      </c>
      <c r="C18" s="598" t="s">
        <v>545</v>
      </c>
      <c r="D18" s="598" t="s">
        <v>546</v>
      </c>
      <c r="E18" s="598" t="s">
        <v>547</v>
      </c>
      <c r="F18" s="598" t="s">
        <v>548</v>
      </c>
      <c r="G18" s="598" t="s">
        <v>549</v>
      </c>
      <c r="H18" s="598" t="s">
        <v>550</v>
      </c>
      <c r="I18" s="578"/>
      <c r="J18" s="578"/>
      <c r="K18" s="578"/>
      <c r="L18" s="578"/>
      <c r="M18" s="578"/>
      <c r="N18" s="578"/>
      <c r="O18" s="578"/>
      <c r="P18" s="578"/>
      <c r="Q18" s="578"/>
      <c r="Z18" s="641"/>
      <c r="AA18" s="642" t="str" cm="1">
        <f t="array" ref="AA18">IFERROR(INDEX($B$1:$B$22,SMALL(IF($B$1:$B$22&lt;&gt;"",ROW($B$1:$B$22),4^8),ROW(18:18)))&amp;"","")</f>
        <v>药剂师</v>
      </c>
      <c r="AC18" s="640" t="str">
        <f>IFERROR(IF(VLOOKUP(AB2,$B$3:$Z$22,19,FALSE)=0,"",VLOOKUP(AB2,$B$3:$Z$22,19,FALSE)),"")</f>
        <v/>
      </c>
      <c r="AD18" s="642" t="str" cm="1">
        <f t="array" ref="AD18">IFERROR(INDEX($AC$1:$AC$24,SMALL(IF($AC$1:$AC$24&lt;&gt;"",ROW($AC$1:$AC$24),4^8),ROW(AC17)))&amp;"","")</f>
        <v/>
      </c>
      <c r="AF18" s="640" t="str">
        <f>IFERROR(IF(VLOOKUP(AE2,$B$3:$Z$22,19,FALSE)=0,"",VLOOKUP(AE2,$B$3:$Z$22,19,FALSE)),"")</f>
        <v/>
      </c>
      <c r="AG18" s="642" t="str" cm="1">
        <f t="array" ref="AG18">IFERROR(INDEX($AF$1:$AF$24,SMALL(IF($AF$1:$AF$24&lt;&gt;"",ROW($AF$1:$AF$24),4^8),ROW(17:17)))&amp;"","")</f>
        <v/>
      </c>
      <c r="AI18" s="640" t="str">
        <f>IFERROR(IF(VLOOKUP(AH2,$B$3:$Z$22,19,FALSE)=0,"",VLOOKUP(AH2,$B$3:$Z$22,19,FALSE)),"")</f>
        <v/>
      </c>
      <c r="AJ18" s="642" t="str" cm="1">
        <f t="array" ref="AJ18">IFERROR(INDEX($AI$1:$AI$24,SMALL(IF($AI$1:$AI$24&lt;&gt;"",ROW($AI$1:$AI$24),4^8),ROW(17:17)))&amp;"","")</f>
        <v/>
      </c>
      <c r="AL18" s="640" t="str">
        <f>IFERROR(IF(VLOOKUP(AK2,$B$3:$Z$22,19,FALSE)=0,"",VLOOKUP(AK2,$B$3:$Z$22,19,FALSE)),"")</f>
        <v/>
      </c>
      <c r="AM18" s="642" t="str" cm="1">
        <f t="array" ref="AM18">IFERROR(INDEX($AL$1:$AL$24,SMALL(IF($AL$1:$AL$24&lt;&gt;"",ROW($AL$1:$AL$24),4^8),ROW(17:17)))&amp;"","")</f>
        <v/>
      </c>
      <c r="AO18" s="675" t="s">
        <v>87</v>
      </c>
      <c r="AP18" s="665" t="s">
        <v>446</v>
      </c>
      <c r="AQ18" s="640" t="s">
        <v>474</v>
      </c>
      <c r="AR18" s="642">
        <f>IFERROR(VLOOKUP($AR$11,$BE$2:$BO$22,8,FALSE),0)</f>
        <v>0</v>
      </c>
      <c r="AS18" s="640" t="s">
        <v>429</v>
      </c>
      <c r="AT18" s="642">
        <f>IFERROR(VLOOKUP($AZ$12,$BP$2:$BU$22,3,FALSE),0)</f>
        <v>0</v>
      </c>
      <c r="AU18" s="640" t="s">
        <v>429</v>
      </c>
      <c r="AV18" s="642">
        <f>IFERROR(VLOOKUP($AZ$17,$CA$2:$CF$22,3,FALSE),0)</f>
        <v>0</v>
      </c>
      <c r="AW18" s="640" t="s">
        <v>402</v>
      </c>
      <c r="AX18" s="642">
        <f>IFERROR(VLOOKUP($BC$16,$BV$2:$BZ$22,2,FALSE),0)</f>
        <v>0</v>
      </c>
      <c r="AY18" s="679" t="s">
        <v>518</v>
      </c>
      <c r="AZ18" s="587">
        <f t="shared" si="0"/>
        <v>0</v>
      </c>
      <c r="BE18" s="452">
        <v>16</v>
      </c>
      <c r="BF18" s="452">
        <v>4</v>
      </c>
      <c r="BG18" s="452">
        <v>3</v>
      </c>
      <c r="BH18" s="452">
        <v>3</v>
      </c>
      <c r="BI18" s="452">
        <v>3</v>
      </c>
      <c r="BJ18" s="452">
        <v>2</v>
      </c>
      <c r="BK18" s="452">
        <v>1</v>
      </c>
      <c r="BL18" s="452">
        <v>1</v>
      </c>
      <c r="BM18" s="452">
        <v>1</v>
      </c>
      <c r="BN18" s="452"/>
      <c r="BO18" s="695">
        <v>94</v>
      </c>
      <c r="BP18" s="452">
        <v>16</v>
      </c>
      <c r="BQ18" s="452"/>
      <c r="BR18" s="452"/>
      <c r="BS18" s="452"/>
      <c r="BT18" s="452"/>
      <c r="BU18" s="695">
        <v>3</v>
      </c>
      <c r="BV18" s="452">
        <v>16</v>
      </c>
      <c r="BW18" s="452"/>
      <c r="BX18" s="452"/>
      <c r="BY18" s="452">
        <v>2</v>
      </c>
      <c r="BZ18" s="452"/>
      <c r="CA18" s="697">
        <v>16</v>
      </c>
      <c r="CB18" s="452"/>
      <c r="CC18" s="452"/>
      <c r="CD18" s="452"/>
      <c r="CE18" s="452"/>
      <c r="CF18" s="452">
        <v>5</v>
      </c>
      <c r="CH18" s="700" t="s">
        <v>518</v>
      </c>
      <c r="CI18" s="587">
        <v>49</v>
      </c>
      <c r="CJ18" s="587">
        <v>50</v>
      </c>
      <c r="CK18" s="587">
        <v>51</v>
      </c>
      <c r="CL18" s="587">
        <v>1</v>
      </c>
      <c r="CM18" s="642" cm="1">
        <f t="array" ref="CM18">_xlfn.IFS($AZ$18=20,28,$AZ$18&gt;=19,27,$AZ$18&gt;=18,26,$AZ$18&gt;=15,25,$AZ$18&gt;=13,24,$AZ$18&gt;=11,23,$AZ$18&gt;=7,22,$AZ$18&gt;=5,21,$AZ$18&gt;=4,19,$AZ$18=3,18,$AZ$18=2,17,$AZ$18=1,9,1,0)</f>
        <v>0</v>
      </c>
      <c r="CN18" s="701" t="str">
        <f>IFERROR(IF(CN17+1&gt;CS2,IF(CN17+1&gt;CS2,IF(CR3+CR17&gt;CS3,"",CR3+CR17)),CN17+1),"")</f>
        <v/>
      </c>
      <c r="CO18" s="702" t="str" cm="1">
        <f t="array" ref="CO18">IFERROR(INDEX($B$34:$BO$262,CN18,$CP$2),"")</f>
        <v/>
      </c>
      <c r="CP18" s="702" t="str" cm="1">
        <f t="array" ref="CP18">IFERROR(INDEX($B$34:$BO$262,CN18,$CQ$2),"")</f>
        <v/>
      </c>
      <c r="CQ18" s="702" t="str" cm="1">
        <f t="array" ref="CQ18">IF(IFERROR(INDEX($B$34:$BO$262,CN18,$CO$2),"")=0,"",IFERROR(INDEX($B$34:$BO$262,CN18,$CO$2),""))</f>
        <v/>
      </c>
      <c r="CR18" s="702" t="str">
        <f>IFERROR(IF(CN17+1&gt;CS2,CR17+1,0),"")</f>
        <v/>
      </c>
      <c r="CT18" s="705" t="str">
        <f t="shared" si="1"/>
        <v/>
      </c>
      <c r="CU18" s="706" t="str" cm="1">
        <f t="array" ref="CU18">INDEX(CT:CT,SMALL(IF($CT$2:$CT$101&lt;&gt;"",ROW($CT$2:$CT$101),142),ROW(CT17)))&amp;""</f>
        <v/>
      </c>
      <c r="CV18" s="701" t="str">
        <f t="shared" si="3"/>
        <v/>
      </c>
      <c r="CW18" s="702" t="str">
        <f>IF(主要!AX27="","",主要!AX27)</f>
        <v/>
      </c>
      <c r="CX18" s="702" t="str">
        <f t="shared" si="4"/>
        <v/>
      </c>
    </row>
    <row r="19" customHeight="1" spans="1:102">
      <c r="A19" s="586">
        <v>17</v>
      </c>
      <c r="B19" s="599" t="str">
        <f>IF(主要!$CO$12="O","铳士","")</f>
        <v>铳士</v>
      </c>
      <c r="C19" s="599" t="s">
        <v>551</v>
      </c>
      <c r="D19" s="599" t="s">
        <v>552</v>
      </c>
      <c r="E19" s="599" t="s">
        <v>553</v>
      </c>
      <c r="F19" s="599" t="s">
        <v>304</v>
      </c>
      <c r="G19" s="599" t="s">
        <v>554</v>
      </c>
      <c r="H19" s="599" t="s">
        <v>555</v>
      </c>
      <c r="I19" s="578"/>
      <c r="J19" s="578"/>
      <c r="K19" s="578"/>
      <c r="L19" s="578"/>
      <c r="M19" s="578"/>
      <c r="N19" s="578"/>
      <c r="O19" s="578"/>
      <c r="P19" s="578"/>
      <c r="Q19" s="578"/>
      <c r="Z19" s="641"/>
      <c r="AA19" s="642" t="str" cm="1">
        <f t="array" ref="AA19">IFERROR(INDEX($B$1:$B$22,SMALL(IF($B$1:$B$22&lt;&gt;"",ROW($B$1:$B$22),4^8),ROW(19:19)))&amp;"","")</f>
        <v>铳士</v>
      </c>
      <c r="AC19" s="640" t="str">
        <f>IFERROR(IF(VLOOKUP(AB2,$B$3:$Z$22,20,FALSE)=0,"",VLOOKUP(AB2,$B$3:$Z$22,20,FALSE)),"")</f>
        <v/>
      </c>
      <c r="AD19" s="642" t="str" cm="1">
        <f t="array" ref="AD19">IFERROR(INDEX($AC$1:$AC$24,SMALL(IF($AC$1:$AC$24&lt;&gt;"",ROW($AC$1:$AC$24),4^8),ROW(AC18)))&amp;"","")</f>
        <v/>
      </c>
      <c r="AF19" s="640" t="str">
        <f>IFERROR(IF(VLOOKUP(AE2,$B$3:$Z$22,20,FALSE)=0,"",VLOOKUP(AE2,$B$3:$Z$22,20,FALSE)),"")</f>
        <v/>
      </c>
      <c r="AG19" s="642" t="str" cm="1">
        <f t="array" ref="AG19">IFERROR(INDEX($AF$1:$AF$24,SMALL(IF($AF$1:$AF$24&lt;&gt;"",ROW($AF$1:$AF$24),4^8),ROW(18:18)))&amp;"","")</f>
        <v/>
      </c>
      <c r="AI19" s="640" t="str">
        <f>IFERROR(IF(VLOOKUP(AH2,$B$3:$Z$22,20,FALSE)=0,"",VLOOKUP(AH2,$B$3:$Z$22,20,FALSE)),"")</f>
        <v/>
      </c>
      <c r="AJ19" s="642" t="str" cm="1">
        <f t="array" ref="AJ19">IFERROR(INDEX($AI$1:$AI$24,SMALL(IF($AI$1:$AI$24&lt;&gt;"",ROW($AI$1:$AI$24),4^8),ROW(18:18)))&amp;"","")</f>
        <v/>
      </c>
      <c r="AL19" s="640" t="str">
        <f>IFERROR(IF(VLOOKUP(AK2,$B$3:$Z$22,20,FALSE)=0,"",VLOOKUP(AK2,$B$3:$Z$22,20,FALSE)),"")</f>
        <v/>
      </c>
      <c r="AM19" s="642" t="str" cm="1">
        <f t="array" ref="AM19">IFERROR(INDEX($AL$1:$AL$24,SMALL(IF($AL$1:$AL$24&lt;&gt;"",ROW($AL$1:$AL$24),4^8),ROW(18:18)))&amp;"","")</f>
        <v/>
      </c>
      <c r="AO19" s="675" t="s">
        <v>83</v>
      </c>
      <c r="AP19" s="665" t="s">
        <v>446</v>
      </c>
      <c r="AQ19" s="640" t="s">
        <v>483</v>
      </c>
      <c r="AR19" s="642">
        <f>IFERROR(VLOOKUP($AR$11,$BE$2:$BO$22,9,FALSE),0)</f>
        <v>0</v>
      </c>
      <c r="AS19" s="640" t="s">
        <v>438</v>
      </c>
      <c r="AT19" s="642">
        <f>IFERROR(VLOOKUP($AZ$12,$BP$2:$BU$22,4,FALSE),0)</f>
        <v>0</v>
      </c>
      <c r="AU19" s="640" t="s">
        <v>438</v>
      </c>
      <c r="AV19" s="642">
        <f>IFERROR(VLOOKUP($AZ$17,$CA$2:$CF$22,4,FALSE),0)</f>
        <v>0</v>
      </c>
      <c r="AW19" s="640" t="s">
        <v>429</v>
      </c>
      <c r="AX19" s="642">
        <f>IFERROR(VLOOKUP($BC$16,$BV$2:$BZ$22,3,FALSE),0)</f>
        <v>0</v>
      </c>
      <c r="AY19" s="679" t="s">
        <v>87</v>
      </c>
      <c r="AZ19" s="587">
        <f t="shared" si="0"/>
        <v>0</v>
      </c>
      <c r="BE19" s="692">
        <v>17</v>
      </c>
      <c r="BF19" s="692">
        <v>4</v>
      </c>
      <c r="BG19" s="692">
        <v>3</v>
      </c>
      <c r="BH19" s="692">
        <v>3</v>
      </c>
      <c r="BI19" s="692">
        <v>3</v>
      </c>
      <c r="BJ19" s="692">
        <v>2</v>
      </c>
      <c r="BK19" s="692">
        <v>1</v>
      </c>
      <c r="BL19" s="692">
        <v>1</v>
      </c>
      <c r="BM19" s="692">
        <v>1</v>
      </c>
      <c r="BN19" s="692">
        <v>1</v>
      </c>
      <c r="BO19" s="696">
        <v>107</v>
      </c>
      <c r="BP19" s="692">
        <v>17</v>
      </c>
      <c r="BQ19" s="692"/>
      <c r="BR19" s="692"/>
      <c r="BS19" s="692"/>
      <c r="BT19" s="692"/>
      <c r="BU19" s="696">
        <v>4</v>
      </c>
      <c r="BV19" s="692">
        <v>17</v>
      </c>
      <c r="BW19" s="692"/>
      <c r="BX19" s="692"/>
      <c r="BY19" s="692">
        <v>2</v>
      </c>
      <c r="BZ19" s="692"/>
      <c r="CA19" s="699">
        <v>17</v>
      </c>
      <c r="CB19" s="692"/>
      <c r="CC19" s="692"/>
      <c r="CD19" s="692"/>
      <c r="CE19" s="692"/>
      <c r="CF19" s="692">
        <v>6</v>
      </c>
      <c r="CH19" s="700" t="s">
        <v>87</v>
      </c>
      <c r="CI19" s="587">
        <v>52</v>
      </c>
      <c r="CJ19" s="587">
        <v>53</v>
      </c>
      <c r="CK19" s="587">
        <v>54</v>
      </c>
      <c r="CL19" s="587">
        <v>1</v>
      </c>
      <c r="CM19" s="642" cm="1">
        <f t="array" ref="CM19">_xlfn.IFS($AZ$19&gt;=20,41,$AZ$19&gt;=19,40,$AZ$19&gt;=14,39,$AZ$19&gt;=13,38,$AZ$19&gt;=11,30,$AZ$19&gt;=10,29,$AZ$19&gt;=7,28,$AZ$19&gt;=6,22,$AZ$19&gt;=5,21,$AZ$19&gt;=4,20,$AZ$19&gt;=3,19,$AZ$19&gt;=2,17,$AZ$19&gt;=1,10,1,0)</f>
        <v>0</v>
      </c>
      <c r="CN19" s="701" t="str">
        <f>IFERROR(IF(CN18+1&gt;CS2,IF(CN18+1&gt;CS2,IF(CR3+CR18&gt;CS3,"",CR3+CR18)),CN18+1),"")</f>
        <v/>
      </c>
      <c r="CO19" s="702" t="str" cm="1">
        <f t="array" ref="CO19">IFERROR(INDEX($B$34:$BO$262,CN19,$CP$2),"")</f>
        <v/>
      </c>
      <c r="CP19" s="702" t="str" cm="1">
        <f t="array" ref="CP19">IFERROR(INDEX($B$34:$BO$262,CN19,$CQ$2),"")</f>
        <v/>
      </c>
      <c r="CQ19" s="702" t="str" cm="1">
        <f t="array" ref="CQ19">IF(IFERROR(INDEX($B$34:$BO$262,CN19,$CO$2),"")=0,"",IFERROR(INDEX($B$34:$BO$262,CN19,$CO$2),""))</f>
        <v/>
      </c>
      <c r="CR19" s="702" t="str">
        <f>IFERROR(IF(CN18+1&gt;CS2,CR18+1,0),"")</f>
        <v/>
      </c>
      <c r="CT19" s="705" t="str">
        <f t="shared" si="1"/>
        <v/>
      </c>
      <c r="CU19" s="706" t="str" cm="1">
        <f t="array" ref="CU19">INDEX(CT:CT,SMALL(IF($CT$2:$CT$101&lt;&gt;"",ROW($CT$2:$CT$101),142),ROW(CT18)))&amp;""</f>
        <v/>
      </c>
      <c r="CV19" s="701" t="str">
        <f t="shared" si="3"/>
        <v/>
      </c>
      <c r="CW19" s="702" t="str">
        <f>IF(主要!AX28="","",主要!AX28)</f>
        <v/>
      </c>
      <c r="CX19" s="702" t="str">
        <f t="shared" si="4"/>
        <v/>
      </c>
    </row>
    <row r="20" customHeight="1" spans="1:102">
      <c r="A20" s="586">
        <v>18</v>
      </c>
      <c r="B20" s="578" t="str">
        <f>IF(主要!$CO$9="O","邪狱使","")</f>
        <v>邪狱使</v>
      </c>
      <c r="C20" s="578" t="s">
        <v>301</v>
      </c>
      <c r="D20" s="578" t="s">
        <v>556</v>
      </c>
      <c r="E20" s="578" t="s">
        <v>557</v>
      </c>
      <c r="F20" s="578" t="s">
        <v>558</v>
      </c>
      <c r="G20" s="578" t="s">
        <v>559</v>
      </c>
      <c r="H20" s="578"/>
      <c r="I20" s="578"/>
      <c r="J20" s="578"/>
      <c r="K20" s="578"/>
      <c r="L20" s="578"/>
      <c r="M20" s="578"/>
      <c r="N20" s="578"/>
      <c r="O20" s="578"/>
      <c r="P20" s="578"/>
      <c r="Q20" s="578"/>
      <c r="Z20" s="641"/>
      <c r="AA20" s="642" t="str" cm="1">
        <f t="array" ref="AA20">IFERROR(INDEX($B$1:$B$22,SMALL(IF($B$1:$B$22&lt;&gt;"",ROW($B$1:$B$22),4^8),ROW(20:20)))&amp;"","")</f>
        <v>邪狱使</v>
      </c>
      <c r="AC20" s="640" t="str">
        <f>IFERROR(IF(VLOOKUP(AB2,$B$3:$Z$22,21,FALSE)=0,"",VLOOKUP(AB2,$B$3:$Z$22,21,FALSE)),"")</f>
        <v/>
      </c>
      <c r="AD20" s="642" t="str" cm="1">
        <f t="array" ref="AD20">IFERROR(INDEX($AC$1:$AC$24,SMALL(IF($AC$1:$AC$24&lt;&gt;"",ROW($AC$1:$AC$24),4^8),ROW(AC19)))&amp;"","")</f>
        <v/>
      </c>
      <c r="AF20" s="640" t="str">
        <f>IFERROR(IF(VLOOKUP(AE2,$B$3:$Z$22,21,FALSE)=0,"",VLOOKUP(AE2,$B$3:$Z$22,21,FALSE)),"")</f>
        <v/>
      </c>
      <c r="AG20" s="642" t="str" cm="1">
        <f t="array" ref="AG20">IFERROR(INDEX($AF$1:$AF$24,SMALL(IF($AF$1:$AF$24&lt;&gt;"",ROW($AF$1:$AF$24),4^8),ROW(19:19)))&amp;"","")</f>
        <v/>
      </c>
      <c r="AI20" s="640" t="str">
        <f>IFERROR(IF(VLOOKUP(AH2,$B$3:$Z$22,21,FALSE)=0,"",VLOOKUP(AH2,$B$3:$Z$22,21,FALSE)),"")</f>
        <v/>
      </c>
      <c r="AJ20" s="642" t="str" cm="1">
        <f t="array" ref="AJ20">IFERROR(INDEX($AI$1:$AI$24,SMALL(IF($AI$1:$AI$24&lt;&gt;"",ROW($AI$1:$AI$24),4^8),ROW(19:19)))&amp;"","")</f>
        <v/>
      </c>
      <c r="AL20" s="640" t="str">
        <f>IFERROR(IF(VLOOKUP(AK2,$B$3:$Z$22,21,FALSE)=0,"",VLOOKUP(AK2,$B$3:$Z$22,21,FALSE)),"")</f>
        <v/>
      </c>
      <c r="AM20" s="642" t="str" cm="1">
        <f t="array" ref="AM20">IFERROR(INDEX($AL$1:$AL$24,SMALL(IF($AL$1:$AL$24&lt;&gt;"",ROW($AL$1:$AL$24),4^8),ROW(19:19)))&amp;"","")</f>
        <v/>
      </c>
      <c r="AO20" s="664"/>
      <c r="AP20" s="665"/>
      <c r="AQ20" s="640" t="s">
        <v>491</v>
      </c>
      <c r="AR20" s="642">
        <f>IFERROR(VLOOKUP($AR$11,$BE$2:$BO$22,10,FALSE),0)</f>
        <v>0</v>
      </c>
      <c r="AS20" s="640" t="s">
        <v>447</v>
      </c>
      <c r="AT20" s="642">
        <f>IFERROR(VLOOKUP($AZ$12,$BP$2:$BU$22,5,FALSE),0)</f>
        <v>0</v>
      </c>
      <c r="AU20" s="640" t="s">
        <v>447</v>
      </c>
      <c r="AV20" s="642">
        <f>IFERROR(VLOOKUP($AZ$17,$CA$2:$CF$22,5,FALSE),0)</f>
        <v>0</v>
      </c>
      <c r="AW20" s="640" t="s">
        <v>438</v>
      </c>
      <c r="AX20" s="642">
        <f>IFERROR(VLOOKUP($BC$16,$BV$2:$BZ$22,4,FALSE),0)</f>
        <v>0</v>
      </c>
      <c r="AY20" s="679" t="s">
        <v>83</v>
      </c>
      <c r="AZ20" s="587">
        <f t="shared" si="0"/>
        <v>0</v>
      </c>
      <c r="BE20" s="452">
        <v>18</v>
      </c>
      <c r="BF20" s="452">
        <v>4</v>
      </c>
      <c r="BG20" s="452">
        <v>3</v>
      </c>
      <c r="BH20" s="452">
        <v>3</v>
      </c>
      <c r="BI20" s="452">
        <v>3</v>
      </c>
      <c r="BJ20" s="452">
        <v>3</v>
      </c>
      <c r="BK20" s="452">
        <v>1</v>
      </c>
      <c r="BL20" s="452">
        <v>1</v>
      </c>
      <c r="BM20" s="452">
        <v>1</v>
      </c>
      <c r="BN20" s="452">
        <v>1</v>
      </c>
      <c r="BO20" s="695">
        <v>114</v>
      </c>
      <c r="BP20" s="452">
        <v>18</v>
      </c>
      <c r="BQ20" s="452"/>
      <c r="BR20" s="452"/>
      <c r="BS20" s="452"/>
      <c r="BT20" s="452"/>
      <c r="BU20" s="695">
        <v>4</v>
      </c>
      <c r="BV20" s="452">
        <v>18</v>
      </c>
      <c r="BW20" s="452"/>
      <c r="BX20" s="452"/>
      <c r="BY20" s="452">
        <v>2</v>
      </c>
      <c r="BZ20" s="452"/>
      <c r="CA20" s="697">
        <v>18</v>
      </c>
      <c r="CB20" s="452"/>
      <c r="CC20" s="452"/>
      <c r="CD20" s="452"/>
      <c r="CE20" s="452"/>
      <c r="CF20" s="452">
        <v>6</v>
      </c>
      <c r="CH20" s="700" t="s">
        <v>83</v>
      </c>
      <c r="CI20" s="587">
        <v>55</v>
      </c>
      <c r="CJ20" s="587">
        <v>56</v>
      </c>
      <c r="CK20" s="587">
        <v>57</v>
      </c>
      <c r="CL20" s="587">
        <v>1</v>
      </c>
      <c r="CM20" s="642" cm="1">
        <f t="array" ref="CM20">_xlfn.IFS($AZ$20&gt;=20,28,$AZ$20&gt;=19,27,$AZ$20&gt;=18,26,$AZ$20&gt;=15,25,$AZ$20&gt;=14,24,$AZ$20&gt;=13,23,$AZ$20&gt;=10,22,$AZ$20&gt;=9,20,$AZ$20&gt;=7,19,$AZ$20&gt;=6,18,$AZ$20&gt;=5,17,$AZ$20&gt;=4,15,$AZ$20&gt;=3,13,$AZ$20&gt;=2,11,$AZ$20&gt;=1,8,1,0)</f>
        <v>0</v>
      </c>
      <c r="CN20" s="701" t="str">
        <f>IFERROR(IF(CN19+1&gt;CS2,IF(CN19+1&gt;CS2,IF(CR3+CR19&gt;CS3,"",CR3+CR19)),CN19+1),"")</f>
        <v/>
      </c>
      <c r="CO20" s="702" t="str" cm="1">
        <f t="array" ref="CO20">IFERROR(INDEX($B$34:$BO$262,CN20,$CP$2),"")</f>
        <v/>
      </c>
      <c r="CP20" s="702" t="str" cm="1">
        <f t="array" ref="CP20">IFERROR(INDEX($B$34:$BO$262,CN20,$CQ$2),"")</f>
        <v/>
      </c>
      <c r="CQ20" s="702" t="str" cm="1">
        <f t="array" ref="CQ20">IF(IFERROR(INDEX($B$34:$BO$262,CN20,$CO$2),"")=0,"",IFERROR(INDEX($B$34:$BO$262,CN20,$CO$2),""))</f>
        <v/>
      </c>
      <c r="CR20" s="702" t="str">
        <f>IFERROR(IF(CN19+1&gt;CS2,CR19+1,0),"")</f>
        <v/>
      </c>
      <c r="CT20" s="705" t="str">
        <f t="shared" si="1"/>
        <v/>
      </c>
      <c r="CU20" s="706" t="str" cm="1">
        <f t="array" ref="CU20">INDEX(CT:CT,SMALL(IF($CT$2:$CT$101&lt;&gt;"",ROW($CT$2:$CT$101),142),ROW(CT19)))&amp;""</f>
        <v/>
      </c>
      <c r="CV20" s="701" t="str">
        <f t="shared" si="3"/>
        <v/>
      </c>
      <c r="CW20" s="702" t="str">
        <f>IF(主要!AX29="","",主要!AX29)</f>
        <v/>
      </c>
      <c r="CX20" s="702" t="str">
        <f t="shared" si="4"/>
        <v/>
      </c>
    </row>
    <row r="21" customHeight="1" spans="1:102">
      <c r="A21" s="586">
        <v>19</v>
      </c>
      <c r="B21" s="578" t="str">
        <f>IF(主要!$CO$16="O","拳斗士","")</f>
        <v>拳斗士</v>
      </c>
      <c r="C21" s="578" t="s">
        <v>560</v>
      </c>
      <c r="D21" s="578" t="s">
        <v>561</v>
      </c>
      <c r="E21" s="578" t="s">
        <v>562</v>
      </c>
      <c r="F21" s="578" t="s">
        <v>563</v>
      </c>
      <c r="G21" s="578" t="s">
        <v>84</v>
      </c>
      <c r="H21" s="578" t="s">
        <v>564</v>
      </c>
      <c r="I21" s="578"/>
      <c r="J21" s="578"/>
      <c r="K21" s="578"/>
      <c r="L21" s="578"/>
      <c r="M21" s="578"/>
      <c r="N21" s="578"/>
      <c r="O21" s="578"/>
      <c r="P21" s="578"/>
      <c r="Q21" s="578"/>
      <c r="Z21" s="641"/>
      <c r="AA21" s="642" t="str" cm="1">
        <f t="array" ref="AA21">IFERROR(INDEX($B$1:$B$22,SMALL(IF($B$1:$B$22&lt;&gt;"",ROW($B$1:$B$22),4^8),ROW(21:21)))&amp;"","")</f>
        <v>拳斗士</v>
      </c>
      <c r="AC21" s="640" t="str">
        <f>IFERROR(IF(VLOOKUP(AB2,$B$3:$Z$22,22,FALSE)=0,"",VLOOKUP(AB2,$B$3:$Z$22,22,FALSE)),"")</f>
        <v/>
      </c>
      <c r="AD21" s="642" t="str" cm="1">
        <f t="array" ref="AD21">IFERROR(INDEX($AC$1:$AC$24,SMALL(IF($AC$1:$AC$24&lt;&gt;"",ROW($AC$1:$AC$24),4^8),ROW(AC20)))&amp;"","")</f>
        <v/>
      </c>
      <c r="AF21" s="640" t="str">
        <f>IFERROR(IF(VLOOKUP(AE2,$B$3:$Z$22,22,FALSE)=0,"",VLOOKUP(AE2,$B$3:$Z$22,22,FALSE)),"")</f>
        <v/>
      </c>
      <c r="AG21" s="642" t="str" cm="1">
        <f t="array" ref="AG21">IFERROR(INDEX($AF$1:$AF$24,SMALL(IF($AF$1:$AF$24&lt;&gt;"",ROW($AF$1:$AF$24),4^8),ROW(20:20)))&amp;"","")</f>
        <v/>
      </c>
      <c r="AI21" s="640" t="str">
        <f>IFERROR(IF(VLOOKUP(AH2,$B$3:$Z$22,22,FALSE)=0,"",VLOOKUP(AH2,$B$3:$Z$22,22,FALSE)),"")</f>
        <v/>
      </c>
      <c r="AJ21" s="642" t="str" cm="1">
        <f t="array" ref="AJ21">IFERROR(INDEX($AI$1:$AI$24,SMALL(IF($AI$1:$AI$24&lt;&gt;"",ROW($AI$1:$AI$24),4^8),ROW(20:20)))&amp;"","")</f>
        <v/>
      </c>
      <c r="AL21" s="640" t="str">
        <f>IFERROR(IF(VLOOKUP(AK2,$B$3:$Z$22,22,FALSE)=0,"",VLOOKUP(AK2,$B$3:$Z$22,22,FALSE)),"")</f>
        <v/>
      </c>
      <c r="AM21" s="642" t="str" cm="1">
        <f t="array" ref="AM21">IFERROR(INDEX($AL$1:$AL$24,SMALL(IF($AL$1:$AL$24&lt;&gt;"",ROW($AL$1:$AL$24),4^8),ROW(20:20)))&amp;"","")</f>
        <v/>
      </c>
      <c r="AO21" s="664" t="s">
        <v>565</v>
      </c>
      <c r="AP21" s="665" t="s">
        <v>454</v>
      </c>
      <c r="AQ21" s="669" t="s">
        <v>566</v>
      </c>
      <c r="AR21" s="648">
        <f>IFERROR(VLOOKUP($AR$11,$BE$2:$BO$22,11,FALSE),0)</f>
        <v>0</v>
      </c>
      <c r="AS21" s="669" t="s">
        <v>455</v>
      </c>
      <c r="AT21" s="648">
        <f>IFERROR(VLOOKUP($AZ$12,$BP$2:$BU$22,6,FALSE),0)</f>
        <v>0</v>
      </c>
      <c r="AU21" s="669" t="s">
        <v>455</v>
      </c>
      <c r="AV21" s="648">
        <f>IFERROR(VLOOKUP($AZ$17,$CA$2:$CF$22,6,FALSE),0)</f>
        <v>0</v>
      </c>
      <c r="AW21" s="669" t="s">
        <v>447</v>
      </c>
      <c r="AX21" s="648">
        <f>IFERROR(VLOOKUP($BC$16,$BV$2:$BZ$22,5,FALSE),0)</f>
        <v>0</v>
      </c>
      <c r="AZ21" s="587">
        <f t="shared" si="0"/>
        <v>1</v>
      </c>
      <c r="BE21" s="692">
        <v>19</v>
      </c>
      <c r="BF21" s="692">
        <v>4</v>
      </c>
      <c r="BG21" s="692">
        <v>3</v>
      </c>
      <c r="BH21" s="692">
        <v>3</v>
      </c>
      <c r="BI21" s="692">
        <v>3</v>
      </c>
      <c r="BJ21" s="692">
        <v>3</v>
      </c>
      <c r="BK21" s="692">
        <v>2</v>
      </c>
      <c r="BL21" s="692">
        <v>1</v>
      </c>
      <c r="BM21" s="692">
        <v>1</v>
      </c>
      <c r="BN21" s="692">
        <v>1</v>
      </c>
      <c r="BO21" s="696">
        <v>123</v>
      </c>
      <c r="BP21" s="692">
        <v>19</v>
      </c>
      <c r="BQ21" s="692"/>
      <c r="BR21" s="692"/>
      <c r="BS21" s="692"/>
      <c r="BT21" s="692"/>
      <c r="BU21" s="696">
        <v>4</v>
      </c>
      <c r="BV21" s="692">
        <v>19</v>
      </c>
      <c r="BW21" s="692"/>
      <c r="BX21" s="692"/>
      <c r="BY21" s="692"/>
      <c r="BZ21" s="692">
        <v>2</v>
      </c>
      <c r="CA21" s="699">
        <v>19</v>
      </c>
      <c r="CB21" s="692"/>
      <c r="CC21" s="692"/>
      <c r="CD21" s="692"/>
      <c r="CE21" s="692"/>
      <c r="CF21" s="692">
        <v>6</v>
      </c>
      <c r="CH21" s="640"/>
      <c r="CM21" s="642"/>
      <c r="CN21" s="701" t="str">
        <f>IFERROR(IF(CN20+1&gt;CS2,IF(CN20+1&gt;CS2,IF(CR3+CR20&gt;CS3,"",CR3+CR20)),CN20+1),"")</f>
        <v/>
      </c>
      <c r="CO21" s="702" t="str" cm="1">
        <f t="array" ref="CO21">IFERROR(INDEX($B$34:$BO$262,CN21,$CP$2),"")</f>
        <v/>
      </c>
      <c r="CP21" s="702" t="str" cm="1">
        <f t="array" ref="CP21">IFERROR(INDEX($B$34:$BO$262,CN21,$CQ$2),"")</f>
        <v/>
      </c>
      <c r="CQ21" s="702" t="str" cm="1">
        <f t="array" ref="CQ21">IF(IFERROR(INDEX($B$34:$BO$262,CN21,$CO$2),"")=0,"",IFERROR(INDEX($B$34:$BO$262,CN21,$CO$2),""))</f>
        <v/>
      </c>
      <c r="CR21" s="702" t="str">
        <f>IFERROR(IF(CN20+1&gt;CS2,CR20+1,0),"")</f>
        <v/>
      </c>
      <c r="CT21" s="705" t="str">
        <f t="shared" si="1"/>
        <v/>
      </c>
      <c r="CU21" s="706" t="str" cm="1">
        <f t="array" ref="CU21">INDEX(CT:CT,SMALL(IF($CT$2:$CT$101&lt;&gt;"",ROW($CT$2:$CT$101),142),ROW(CT20)))&amp;""</f>
        <v/>
      </c>
      <c r="CV21" s="701" t="str">
        <f t="shared" si="3"/>
        <v/>
      </c>
      <c r="CW21" s="702" t="str">
        <f>IF(主要!AX30="","",主要!AX30)</f>
        <v/>
      </c>
      <c r="CX21" s="702" t="str">
        <f t="shared" si="4"/>
        <v/>
      </c>
    </row>
    <row r="22" customHeight="1" spans="1:102">
      <c r="A22" s="600">
        <v>20</v>
      </c>
      <c r="B22" s="601" t="str">
        <f>""</f>
        <v/>
      </c>
      <c r="C22" s="601"/>
      <c r="D22" s="601"/>
      <c r="E22" s="601"/>
      <c r="F22" s="601"/>
      <c r="G22" s="601"/>
      <c r="H22" s="601"/>
      <c r="I22" s="601"/>
      <c r="J22" s="601"/>
      <c r="K22" s="601"/>
      <c r="L22" s="601"/>
      <c r="M22" s="601"/>
      <c r="N22" s="601"/>
      <c r="O22" s="601"/>
      <c r="P22" s="601"/>
      <c r="Q22" s="601"/>
      <c r="R22" s="601"/>
      <c r="S22" s="637"/>
      <c r="T22" s="637"/>
      <c r="U22" s="637"/>
      <c r="V22" s="637"/>
      <c r="W22" s="637"/>
      <c r="X22" s="637"/>
      <c r="Y22" s="637"/>
      <c r="Z22" s="647"/>
      <c r="AA22" s="648" t="str" cm="1">
        <f t="array" ref="AA22">IFERROR(INDEX($B$1:$B$22,SMALL(IF($B$1:$B$22&lt;&gt;"",ROW($B$1:$B$22),4^8),ROW(22:22)))&amp;"","")</f>
        <v/>
      </c>
      <c r="AC22" s="640" t="str">
        <f>IFERROR(IF(VLOOKUP(AB2,$B$3:$Z$22,23,FALSE)=0,"",VLOOKUP(AB2,$B$3:$Z$22,23,FALSE)),"")</f>
        <v/>
      </c>
      <c r="AD22" s="642" t="str" cm="1">
        <f t="array" ref="AD22">IFERROR(INDEX($AC$1:$AC$24,SMALL(IF($AC$1:$AC$24&lt;&gt;"",ROW($AC$1:$AC$24),4^8),ROW(AC21)))&amp;"","")</f>
        <v/>
      </c>
      <c r="AF22" s="640" t="str">
        <f>IFERROR(IF(VLOOKUP(AE2,$B$3:$Z$22,23,FALSE)=0,"",VLOOKUP(AE2,$B$3:$Z$22,23,FALSE)),"")</f>
        <v/>
      </c>
      <c r="AG22" s="642" t="str" cm="1">
        <f t="array" ref="AG22">IFERROR(INDEX($AF$1:$AF$24,SMALL(IF($AF$1:$AF$24&lt;&gt;"",ROW($AF$1:$AF$24),4^8),ROW(21:21)))&amp;"","")</f>
        <v/>
      </c>
      <c r="AI22" s="640" t="str">
        <f>IFERROR(IF(VLOOKUP(AH2,$B$3:$Z$22,23,FALSE)=0,"",VLOOKUP(AH2,$B$3:$Z$22,23,FALSE)),"")</f>
        <v/>
      </c>
      <c r="AJ22" s="642" t="str" cm="1">
        <f t="array" ref="AJ22">IFERROR(INDEX($AI$1:$AI$24,SMALL(IF($AI$1:$AI$24&lt;&gt;"",ROW($AI$1:$AI$24),4^8),ROW(21:21)))&amp;"","")</f>
        <v/>
      </c>
      <c r="AL22" s="640" t="str">
        <f>IFERROR(IF(VLOOKUP(AK2,$B$3:$Z$22,23,FALSE)=0,"",VLOOKUP(AK2,$B$3:$Z$22,23,FALSE)),"")</f>
        <v/>
      </c>
      <c r="AM22" s="642" t="str" cm="1">
        <f t="array" ref="AM22">IFERROR(INDEX($AL$1:$AL$24,SMALL(IF($AL$1:$AL$24&lt;&gt;"",ROW($AL$1:$AL$24),4^8),ROW(21:21)))&amp;"","")</f>
        <v/>
      </c>
      <c r="BE22" s="452">
        <v>20</v>
      </c>
      <c r="BF22" s="452">
        <v>4</v>
      </c>
      <c r="BG22" s="452">
        <v>3</v>
      </c>
      <c r="BH22" s="452">
        <v>3</v>
      </c>
      <c r="BI22" s="452">
        <v>3</v>
      </c>
      <c r="BJ22" s="452">
        <v>3</v>
      </c>
      <c r="BK22" s="452">
        <v>2</v>
      </c>
      <c r="BL22" s="452">
        <v>2</v>
      </c>
      <c r="BM22" s="452">
        <v>1</v>
      </c>
      <c r="BN22" s="452">
        <v>1</v>
      </c>
      <c r="BO22" s="695">
        <v>133</v>
      </c>
      <c r="BP22" s="452">
        <v>20</v>
      </c>
      <c r="BQ22" s="452" t="str">
        <f>""</f>
        <v/>
      </c>
      <c r="BR22" s="452" t="str">
        <f>""</f>
        <v/>
      </c>
      <c r="BS22" s="452" t="str">
        <f>""</f>
        <v/>
      </c>
      <c r="BT22" s="452" t="str">
        <f>""</f>
        <v/>
      </c>
      <c r="BU22" s="695">
        <v>4</v>
      </c>
      <c r="BV22" s="452">
        <v>20</v>
      </c>
      <c r="BW22" s="452" t="str">
        <f>""</f>
        <v/>
      </c>
      <c r="BX22" s="452" t="str">
        <f>""</f>
        <v/>
      </c>
      <c r="BY22" s="452" t="str">
        <f>""</f>
        <v/>
      </c>
      <c r="BZ22" s="452">
        <v>2</v>
      </c>
      <c r="CA22" s="697">
        <v>20</v>
      </c>
      <c r="CB22" s="452" t="str">
        <f>""</f>
        <v/>
      </c>
      <c r="CC22" s="452" t="str">
        <f>""</f>
        <v/>
      </c>
      <c r="CD22" s="452" t="str">
        <f>""</f>
        <v/>
      </c>
      <c r="CE22" s="452" t="str">
        <f>""</f>
        <v/>
      </c>
      <c r="CF22" s="452">
        <v>6</v>
      </c>
      <c r="CH22" s="640"/>
      <c r="CM22" s="642"/>
      <c r="CN22" s="701" t="str">
        <f>IFERROR(IF(CN21+1&gt;CS2,IF(CN21+1&gt;CS2,IF(CR3+CR21&gt;CS3,"",CR3+CR21)),CN21+1),"")</f>
        <v/>
      </c>
      <c r="CO22" s="702" t="str" cm="1">
        <f t="array" ref="CO22">IFERROR(INDEX($B$34:$BO$262,CN22,$CP$2),"")</f>
        <v/>
      </c>
      <c r="CP22" s="702" t="str" cm="1">
        <f t="array" ref="CP22">IFERROR(INDEX($B$34:$BO$262,CN22,$CQ$2),"")</f>
        <v/>
      </c>
      <c r="CQ22" s="702" t="str" cm="1">
        <f t="array" ref="CQ22">IF(IFERROR(INDEX($B$34:$BO$262,CN22,$CO$2),"")=0,"",IFERROR(INDEX($B$34:$BO$262,CN22,$CO$2),""))</f>
        <v/>
      </c>
      <c r="CR22" s="702" t="str">
        <f>IFERROR(IF(CN21+1&gt;CS2,CR21+1,0),"")</f>
        <v/>
      </c>
      <c r="CT22" s="705" t="str">
        <f t="shared" si="1"/>
        <v/>
      </c>
      <c r="CU22" s="706" t="str" cm="1">
        <f t="array" ref="CU22">INDEX(CT:CT,SMALL(IF($CT$2:$CT$101&lt;&gt;"",ROW($CT$2:$CT$101),142),ROW(CT21)))&amp;""</f>
        <v/>
      </c>
      <c r="CV22" s="701" t="str">
        <f t="shared" si="3"/>
        <v/>
      </c>
      <c r="CW22" s="702" t="str">
        <f>IF(主要!AX31="","",主要!AX31)</f>
        <v/>
      </c>
      <c r="CX22" s="702" t="str">
        <f t="shared" si="4"/>
        <v/>
      </c>
    </row>
    <row r="23" customHeight="1" spans="29:102">
      <c r="AC23" s="640" t="str">
        <f>IFERROR(IF(VLOOKUP(AB2,$B$3:$Z$22,24,FALSE)=0,"",VLOOKUP(AB2,$B$3:$Z$22,24,FALSE)),"")</f>
        <v/>
      </c>
      <c r="AD23" s="642" t="str" cm="1">
        <f t="array" ref="AD23">IFERROR(INDEX($AC$1:$AC$24,SMALL(IF($AC$1:$AC$24&lt;&gt;"",ROW($AC$1:$AC$24),4^8),ROW(AC22)))&amp;"","")</f>
        <v/>
      </c>
      <c r="AF23" s="640" t="str">
        <f>IFERROR(IF(VLOOKUP(AE2,$B$3:$Z$22,24,FALSE)=0,"",VLOOKUP(AE2,$B$3:$Z$22,24,FALSE)),"")</f>
        <v/>
      </c>
      <c r="AG23" s="642" t="str" cm="1">
        <f t="array" ref="AG23">IFERROR(INDEX($AF$1:$AF$24,SMALL(IF($AF$1:$AF$24&lt;&gt;"",ROW($AF$1:$AF$24),4^8),ROW(22:22)))&amp;"","")</f>
        <v/>
      </c>
      <c r="AI23" s="640" t="str">
        <f>IFERROR(IF(VLOOKUP(AH2,$B$3:$Z$22,24,FALSE)=0,"",VLOOKUP(AH2,$B$3:$Z$22,24,FALSE)),"")</f>
        <v/>
      </c>
      <c r="AJ23" s="642" t="str" cm="1">
        <f t="array" ref="AJ23">IFERROR(INDEX($AI$1:$AI$24,SMALL(IF($AI$1:$AI$24&lt;&gt;"",ROW($AI$1:$AI$24),4^8),ROW(22:22)))&amp;"","")</f>
        <v/>
      </c>
      <c r="AL23" s="640" t="str">
        <f>IFERROR(IF(VLOOKUP(AK2,$B$3:$Z$22,24,FALSE)=0,"",VLOOKUP(AK2,$B$3:$Z$22,24,FALSE)),"")</f>
        <v/>
      </c>
      <c r="AM23" s="642" t="str" cm="1">
        <f t="array" ref="AM23">IFERROR(INDEX($AL$1:$AL$24,SMALL(IF($AL$1:$AL$24&lt;&gt;"",ROW($AL$1:$AL$24),4^8),ROW(22:22)))&amp;"","")</f>
        <v/>
      </c>
      <c r="BQ23" s="493" t="s">
        <v>279</v>
      </c>
      <c r="BW23" s="587" t="s">
        <v>539</v>
      </c>
      <c r="CB23" s="493" t="s">
        <v>289</v>
      </c>
      <c r="CN23" s="702" t="str">
        <f>IFERROR(IF(CN22+1&gt;CS2,IF(CN22+1&gt;CS2,IF(CR3+CR22&gt;CS3,"",CR3+CR22)),CN22+1),"")</f>
        <v/>
      </c>
      <c r="CO23" s="702" t="str" cm="1">
        <f t="array" ref="CO23">IFERROR(INDEX($B$34:$BO$262,CN23,$CP$2),"")</f>
        <v/>
      </c>
      <c r="CP23" s="702" t="str" cm="1">
        <f t="array" ref="CP23">IFERROR(INDEX($B$34:$BO$262,CN23,$CQ$2),"")</f>
        <v/>
      </c>
      <c r="CQ23" s="702" t="str" cm="1">
        <f t="array" ref="CQ23">IF(IFERROR(INDEX($B$34:$BO$262,CN23,$CO$2),"")=0,"",IFERROR(INDEX($B$34:$BO$262,CN23,$CO$2),""))</f>
        <v/>
      </c>
      <c r="CR23" s="702" t="str">
        <f>IFERROR(IF(CN22+1&gt;CS2,CR22+1,0),"")</f>
        <v/>
      </c>
      <c r="CT23" s="705" t="str">
        <f t="shared" si="1"/>
        <v/>
      </c>
      <c r="CU23" s="706" t="str" cm="1">
        <f t="array" ref="CU23">INDEX(CT:CT,SMALL(IF($CT$2:$CT$101&lt;&gt;"",ROW($CT$2:$CT$101),142),ROW(CT22)))&amp;""</f>
        <v/>
      </c>
      <c r="CV23" s="701" t="str">
        <f t="shared" si="3"/>
        <v/>
      </c>
      <c r="CW23" s="702" t="str">
        <f>IF(主要!AX32="","",主要!AX32)</f>
        <v/>
      </c>
      <c r="CX23" s="702" t="str">
        <f t="shared" si="4"/>
        <v/>
      </c>
    </row>
    <row r="24" customHeight="1" spans="29:102">
      <c r="AC24" s="640" t="str">
        <f>IFERROR(IF(VLOOKUP(AB2,$B$3:$Z$22,25,FALSE)=0,"",VLOOKUP(AB2,$B$3:$Z$22,25,FALSE)),"")</f>
        <v/>
      </c>
      <c r="AD24" s="642" t="str" cm="1">
        <f t="array" ref="AD24">IFERROR(INDEX($AC$1:$AC$24,SMALL(IF($AC$1:$AC$24&lt;&gt;"",ROW($AC$1:$AC$24),4^8),ROW(AC23)))&amp;"","")</f>
        <v/>
      </c>
      <c r="AF24" s="640" t="str">
        <f>IFERROR(IF(VLOOKUP(AE2,$B$3:$Z$22,25,FALSE)=0,"",VLOOKUP(AE2,$B$3:$Z$22,25,FALSE)),"")</f>
        <v/>
      </c>
      <c r="AG24" s="642" t="str" cm="1">
        <f t="array" ref="AG24">IFERROR(INDEX($AF$1:$AF$24,SMALL(IF($AF$1:$AF$24&lt;&gt;"",ROW($AF$1:$AF$24),4^8),ROW(23:23)))&amp;"","")</f>
        <v/>
      </c>
      <c r="AI24" s="640" t="str">
        <f>IFERROR(IF(VLOOKUP(AH2,$B$3:$Z$22,25,FALSE)=0,"",VLOOKUP(AH2,$B$3:$Z$22,25,FALSE)),"")</f>
        <v/>
      </c>
      <c r="AJ24" s="642" t="str" cm="1">
        <f t="array" ref="AJ24">IFERROR(INDEX($AI$1:$AI$24,SMALL(IF($AI$1:$AI$24&lt;&gt;"",ROW($AI$1:$AI$24),4^8),ROW(23:23)))&amp;"","")</f>
        <v/>
      </c>
      <c r="AL24" s="640" t="str">
        <f>IFERROR(IF(VLOOKUP(AK2,$B$3:$Z$22,25,FALSE)=0,"",VLOOKUP(AK2,$B$3:$Z$22,25,FALSE)),"")</f>
        <v/>
      </c>
      <c r="AM24" s="642" t="str" cm="1">
        <f t="array" ref="AM24">IFERROR(INDEX($AL$1:$AL$24,SMALL(IF($AL$1:$AL$24&lt;&gt;"",ROW($AL$1:$AL$24),4^8),ROW(23:23)))&amp;"","")</f>
        <v/>
      </c>
      <c r="CN24" s="702" t="str">
        <f>IFERROR(IF(CN23+1&gt;CS2,IF(CN23+1&gt;CS2,IF(CR3+CR23&gt;CS3,"",CR3+CR23)),CN23+1),"")</f>
        <v/>
      </c>
      <c r="CO24" s="702" t="str" cm="1">
        <f t="array" ref="CO24">IFERROR(INDEX($B$34:$BO$262,CN24,$CP$2),"")</f>
        <v/>
      </c>
      <c r="CP24" s="702" t="str" cm="1">
        <f t="array" ref="CP24">IFERROR(INDEX($B$34:$BO$262,CN24,$CQ$2),"")</f>
        <v/>
      </c>
      <c r="CQ24" s="702" t="str" cm="1">
        <f t="array" ref="CQ24">IF(IFERROR(INDEX($B$34:$BO$262,CN24,$CO$2),"")=0,"",IFERROR(INDEX($B$34:$BO$262,CN24,$CO$2),""))</f>
        <v/>
      </c>
      <c r="CR24" s="702" t="str">
        <f>IFERROR(IF(CN23+1&gt;CS2,CR23+1,0),"")</f>
        <v/>
      </c>
      <c r="CT24" s="705" t="str">
        <f t="shared" si="1"/>
        <v/>
      </c>
      <c r="CU24" s="706" t="str" cm="1">
        <f t="array" ref="CU24">INDEX(CT:CT,SMALL(IF($CT$2:$CT$101&lt;&gt;"",ROW($CT$2:$CT$101),142),ROW(CT23)))&amp;""</f>
        <v/>
      </c>
      <c r="CV24" s="701" t="str">
        <f t="shared" si="3"/>
        <v/>
      </c>
      <c r="CW24" s="702" t="str">
        <f>IF(主要!AX33="","",主要!AX33)</f>
        <v/>
      </c>
      <c r="CX24" s="702" t="str">
        <f t="shared" si="4"/>
        <v/>
      </c>
    </row>
    <row r="25" customHeight="1" spans="92:102">
      <c r="CN25" s="702" t="str">
        <f>IFERROR(IF(CN24+1&gt;CS2,IF(CN24+1&gt;CS2,IF(CR3+CR24&gt;CS3,"",CR3+CR24)),CN24+1),"")</f>
        <v/>
      </c>
      <c r="CO25" s="702" t="str" cm="1">
        <f t="array" ref="CO25">IFERROR(INDEX($B$34:$BO$262,CN25,$CP$2),"")</f>
        <v/>
      </c>
      <c r="CP25" s="702" t="str" cm="1">
        <f t="array" ref="CP25">IFERROR(INDEX($B$34:$BO$262,CN25,$CQ$2),"")</f>
        <v/>
      </c>
      <c r="CQ25" s="702" t="str" cm="1">
        <f t="array" ref="CQ25">IF(IFERROR(INDEX($B$34:$BO$262,CN25,$CO$2),"")=0,"",IFERROR(INDEX($B$34:$BO$262,CN25,$CO$2),""))</f>
        <v/>
      </c>
      <c r="CR25" s="702" t="str">
        <f>IFERROR(IF(CN24+1&gt;CS2,CR24+1,0),"")</f>
        <v/>
      </c>
      <c r="CT25" s="705" t="str">
        <f t="shared" si="1"/>
        <v/>
      </c>
      <c r="CU25" s="706" t="str" cm="1">
        <f t="array" ref="CU25">INDEX(CT:CT,SMALL(IF($CT$2:$CT$101&lt;&gt;"",ROW($CT$2:$CT$101),142),ROW(CT24)))&amp;""</f>
        <v/>
      </c>
      <c r="CV25" s="701" t="str">
        <f t="shared" si="3"/>
        <v/>
      </c>
      <c r="CW25" s="702" t="str">
        <f>IF(主要!AX34="","",主要!AX34)</f>
        <v/>
      </c>
      <c r="CX25" s="702" t="str">
        <f t="shared" si="4"/>
        <v/>
      </c>
    </row>
    <row r="26" customHeight="1" spans="92:102">
      <c r="CN26" s="702" t="str">
        <f>IFERROR(IF(CN25+1&gt;CS2,IF(CN25+1&gt;CS2,IF(CR3+CR25&gt;CS3,"",CR3+CR25)),CN25+1),"")</f>
        <v/>
      </c>
      <c r="CO26" s="702" t="str" cm="1">
        <f t="array" ref="CO26">IFERROR(INDEX($B$34:$BO$262,CN26,$CP$2),"")</f>
        <v/>
      </c>
      <c r="CP26" s="702" t="str" cm="1">
        <f t="array" ref="CP26">IFERROR(INDEX($B$34:$BO$262,CN26,$CQ$2),"")</f>
        <v/>
      </c>
      <c r="CQ26" s="702" t="str" cm="1">
        <f t="array" ref="CQ26">IF(IFERROR(INDEX($B$34:$BO$262,CN26,$CO$2),"")=0,"",IFERROR(INDEX($B$34:$BO$262,CN26,$CO$2),""))</f>
        <v/>
      </c>
      <c r="CR26" s="702" t="str">
        <f>IFERROR(IF(CN25+1&gt;CS2,CR25+1,0),"")</f>
        <v/>
      </c>
      <c r="CT26" s="705" t="str">
        <f t="shared" si="1"/>
        <v/>
      </c>
      <c r="CU26" s="706" t="str" cm="1">
        <f t="array" ref="CU26">INDEX(CT:CT,SMALL(IF($CT$2:$CT$101&lt;&gt;"",ROW($CT$2:$CT$101),142),ROW(CT25)))&amp;""</f>
        <v/>
      </c>
      <c r="CV26" s="701" t="str">
        <f t="shared" si="3"/>
        <v/>
      </c>
      <c r="CW26" s="702" t="str">
        <f>IF(主要!AX35="","",主要!AX35)</f>
        <v/>
      </c>
      <c r="CX26" s="702" t="str">
        <f t="shared" si="4"/>
        <v/>
      </c>
    </row>
    <row r="27" customHeight="1" spans="92:102">
      <c r="CN27" s="702" t="str">
        <f>IFERROR(IF(CN26+1&gt;CS2,IF(CN26+1&gt;CS2,IF(CR3+CR26&gt;CS3,"",CR3+CR26)),CN26+1),"")</f>
        <v/>
      </c>
      <c r="CO27" s="702" t="str" cm="1">
        <f t="array" ref="CO27">IFERROR(INDEX($B$34:$BO$262,CN27,$CP$2),"")</f>
        <v/>
      </c>
      <c r="CP27" s="702" t="str" cm="1">
        <f t="array" ref="CP27">IFERROR(INDEX($B$34:$BO$262,CN27,$CQ$2),"")</f>
        <v/>
      </c>
      <c r="CQ27" s="702" t="str" cm="1">
        <f t="array" ref="CQ27">IF(IFERROR(INDEX($B$34:$BO$262,CN27,$CO$2),"")=0,"",IFERROR(INDEX($B$34:$BO$262,CN27,$CO$2),""))</f>
        <v/>
      </c>
      <c r="CR27" s="702" t="str">
        <f>IFERROR(IF(CN26+1&gt;CS2,CR26+1,0),"")</f>
        <v/>
      </c>
      <c r="CT27" s="705" t="str">
        <f t="shared" si="1"/>
        <v/>
      </c>
      <c r="CU27" s="706" t="str" cm="1">
        <f t="array" ref="CU27">INDEX(CT:CT,SMALL(IF($CT$2:$CT$101&lt;&gt;"",ROW($CT$2:$CT$101),142),ROW(CT26)))&amp;""</f>
        <v/>
      </c>
      <c r="CV27" s="701" t="str">
        <f t="shared" si="3"/>
        <v/>
      </c>
      <c r="CW27" s="702" t="str">
        <f>IF(主要!AX36="","",主要!AX36)</f>
        <v/>
      </c>
      <c r="CX27" s="702" t="str">
        <f t="shared" si="4"/>
        <v/>
      </c>
    </row>
    <row r="28" customHeight="1" spans="92:102">
      <c r="CN28" s="702" t="str">
        <f>IFERROR(IF(CN27+1&gt;CS2,IF(CN27+1&gt;CS2,IF(CR3+CR27&gt;CS3,"",CR3+CR27)),CN27+1),"")</f>
        <v/>
      </c>
      <c r="CO28" s="702" t="str" cm="1">
        <f t="array" ref="CO28">IFERROR(INDEX($B$34:$BO$262,CN28,$CP$2),"")</f>
        <v/>
      </c>
      <c r="CP28" s="702" t="str" cm="1">
        <f t="array" ref="CP28">IFERROR(INDEX($B$34:$BO$262,CN28,$CQ$2),"")</f>
        <v/>
      </c>
      <c r="CQ28" s="702" t="str" cm="1">
        <f t="array" ref="CQ28">IF(IFERROR(INDEX($B$34:$BO$262,CN28,$CO$2),"")=0,"",IFERROR(INDEX($B$34:$BO$262,CN28,$CO$2),""))</f>
        <v/>
      </c>
      <c r="CR28" s="702" t="str">
        <f>IFERROR(IF(CN27+1&gt;CS2,CR27+1,0),"")</f>
        <v/>
      </c>
      <c r="CT28" s="705" t="str">
        <f t="shared" si="1"/>
        <v/>
      </c>
      <c r="CU28" s="706" t="str" cm="1">
        <f t="array" ref="CU28">INDEX(CT:CT,SMALL(IF($CT$2:$CT$101&lt;&gt;"",ROW($CT$2:$CT$101),142),ROW(CT27)))&amp;""</f>
        <v/>
      </c>
      <c r="CV28" s="701" t="str">
        <f t="shared" si="3"/>
        <v/>
      </c>
      <c r="CW28" s="702" t="str">
        <f>IF(主要!AX37="","",主要!AX37)</f>
        <v/>
      </c>
      <c r="CX28" s="702" t="str">
        <f t="shared" si="4"/>
        <v/>
      </c>
    </row>
    <row r="29" customHeight="1" spans="92:102">
      <c r="CN29" s="702" t="str">
        <f>IFERROR(IF(CN28+1&gt;CS2,IF(CN28+1&gt;CS2,IF(CR3+CR28&gt;CS3,"",CR3+CR28)),CN28+1),"")</f>
        <v/>
      </c>
      <c r="CO29" s="702" t="str" cm="1">
        <f t="array" ref="CO29">IFERROR(INDEX($B$34:$BO$262,CN29,$CP$2),"")</f>
        <v/>
      </c>
      <c r="CP29" s="702" t="str" cm="1">
        <f t="array" ref="CP29">IFERROR(INDEX($B$34:$BO$262,CN29,$CQ$2),"")</f>
        <v/>
      </c>
      <c r="CQ29" s="702" t="str" cm="1">
        <f t="array" ref="CQ29">IF(IFERROR(INDEX($B$34:$BO$262,CN29,$CO$2),"")=0,"",IFERROR(INDEX($B$34:$BO$262,CN29,$CO$2),""))</f>
        <v/>
      </c>
      <c r="CR29" s="702" t="str">
        <f>IFERROR(IF(CN28+1&gt;CS2,CR28+1,0),"")</f>
        <v/>
      </c>
      <c r="CT29" s="705" t="str">
        <f t="shared" si="1"/>
        <v/>
      </c>
      <c r="CU29" s="706" t="str" cm="1">
        <f t="array" ref="CU29">INDEX(CT:CT,SMALL(IF($CT$2:$CT$101&lt;&gt;"",ROW($CT$2:$CT$101),142),ROW(CT28)))&amp;""</f>
        <v/>
      </c>
      <c r="CV29" s="701" t="str">
        <f t="shared" si="3"/>
        <v/>
      </c>
      <c r="CW29" s="702" t="str">
        <f>IF(主要!AX38="","",主要!AX38)</f>
        <v/>
      </c>
      <c r="CX29" s="702" t="str">
        <f t="shared" si="4"/>
        <v/>
      </c>
    </row>
    <row r="30" customHeight="1" spans="86:102">
      <c r="CH30" s="587" t="s">
        <v>567</v>
      </c>
      <c r="CI30" s="587">
        <v>27</v>
      </c>
      <c r="CJ30" s="587" cm="1">
        <f t="array" ref="CJ30">_xlfn.IFS($AZ$2&gt;=14,30,$AZ$2&gt;=10,29,$AZ$2&gt;=6,28,$AZ$2&gt;=3,27,1,0)</f>
        <v>0</v>
      </c>
      <c r="CN30" s="702" t="str">
        <f>IFERROR(IF(CN29+1&gt;CS2,IF(CN29+1&gt;CS2,IF(CR3+CR29&gt;CS3,"",CR3+CR29)),CN29+1),"")</f>
        <v/>
      </c>
      <c r="CO30" s="702" t="str" cm="1">
        <f t="array" ref="CO30">IFERROR(INDEX($B$34:$BO$262,CN30,$CP$2),"")</f>
        <v/>
      </c>
      <c r="CP30" s="702" t="str" cm="1">
        <f t="array" ref="CP30">IFERROR(INDEX($B$34:$BO$262,CN30,$CQ$2),"")</f>
        <v/>
      </c>
      <c r="CQ30" s="702" t="str" cm="1">
        <f t="array" ref="CQ30">IF(IFERROR(INDEX($B$34:$BO$262,CN30,$CO$2),"")=0,"",IFERROR(INDEX($B$34:$BO$262,CN30,$CO$2),""))</f>
        <v/>
      </c>
      <c r="CR30" s="702" t="str">
        <f>IFERROR(IF(CN29+1&gt;CS2,CR29+1,0),"")</f>
        <v/>
      </c>
      <c r="CT30" s="705" t="str">
        <f t="shared" si="1"/>
        <v/>
      </c>
      <c r="CU30" s="706" t="str" cm="1">
        <f t="array" ref="CU30">INDEX(CT:CT,SMALL(IF($CT$2:$CT$101&lt;&gt;"",ROW($CT$2:$CT$101),142),ROW(CT29)))&amp;""</f>
        <v/>
      </c>
      <c r="CV30" s="701" t="str">
        <f t="shared" si="3"/>
        <v/>
      </c>
      <c r="CW30" s="702" t="str">
        <f>IF(主要!AX39="","",主要!AX39)</f>
        <v/>
      </c>
      <c r="CX30" s="702" t="str">
        <f t="shared" si="4"/>
        <v/>
      </c>
    </row>
    <row r="31" customHeight="1" spans="86:102">
      <c r="CH31" s="587" t="s">
        <v>568</v>
      </c>
      <c r="CI31" s="587">
        <v>31</v>
      </c>
      <c r="CJ31" s="587" cm="1">
        <f t="array" ref="CJ31">_xlfn.IFS($AZ$2&gt;=14,35,$AZ$2&gt;=10,34,$AZ$2&gt;=6,33,$AZ$2&gt;=3,32,1,0)</f>
        <v>0</v>
      </c>
      <c r="CN31" s="702" t="str">
        <f>IFERROR(IF(CN30+1&gt;CS2,IF(CN30+1&gt;CS2,IF(CR3+CR30&gt;CS3,"",CR3+CR30)),CN30+1),"")</f>
        <v/>
      </c>
      <c r="CO31" s="702" t="str" cm="1">
        <f t="array" ref="CO31">IFERROR(INDEX($B$34:$BO$262,CN31,$CP$2),"")</f>
        <v/>
      </c>
      <c r="CP31" s="702" t="str" cm="1">
        <f t="array" ref="CP31">IFERROR(INDEX($B$34:$BO$262,CN31,$CQ$2),"")</f>
        <v/>
      </c>
      <c r="CQ31" s="702" t="str" cm="1">
        <f t="array" ref="CQ31">IF(IFERROR(INDEX($B$34:$BO$262,CN31,$CO$2),"")=0,"",IFERROR(INDEX($B$34:$BO$262,CN31,$CO$2),""))</f>
        <v/>
      </c>
      <c r="CR31" s="702" t="str">
        <f>IFERROR(IF(CN30+1&gt;CS2,CR30+1,0),"")</f>
        <v/>
      </c>
      <c r="CT31" s="705" t="str">
        <f t="shared" si="1"/>
        <v/>
      </c>
      <c r="CU31" s="706" t="str" cm="1">
        <f t="array" ref="CU31">INDEX(CT:CT,SMALL(IF($CT$2:$CT$101&lt;&gt;"",ROW($CT$2:$CT$101),142),ROW(CT30)))&amp;""</f>
        <v/>
      </c>
      <c r="CV31" s="701" t="str">
        <f t="shared" si="3"/>
        <v/>
      </c>
      <c r="CW31" s="702" t="str">
        <f>IF(主要!AX40="","",主要!AX40)</f>
        <v/>
      </c>
      <c r="CX31" s="702" t="str">
        <f t="shared" si="4"/>
        <v/>
      </c>
    </row>
    <row r="32" customHeight="1" spans="2:102">
      <c r="B32" s="587">
        <v>1</v>
      </c>
      <c r="C32" s="587">
        <v>2</v>
      </c>
      <c r="D32" s="587">
        <v>3</v>
      </c>
      <c r="E32" s="587">
        <v>4</v>
      </c>
      <c r="F32" s="587">
        <v>5</v>
      </c>
      <c r="G32" s="587">
        <v>6</v>
      </c>
      <c r="H32" s="587">
        <v>7</v>
      </c>
      <c r="I32" s="587">
        <v>8</v>
      </c>
      <c r="J32" s="587">
        <v>9</v>
      </c>
      <c r="K32" s="587">
        <v>10</v>
      </c>
      <c r="L32" s="587">
        <v>11</v>
      </c>
      <c r="M32" s="587">
        <v>12</v>
      </c>
      <c r="N32" s="587">
        <v>13</v>
      </c>
      <c r="O32" s="587">
        <v>14</v>
      </c>
      <c r="P32" s="587">
        <v>15</v>
      </c>
      <c r="Q32" s="587">
        <v>16</v>
      </c>
      <c r="R32" s="587">
        <v>17</v>
      </c>
      <c r="S32" s="587">
        <v>18</v>
      </c>
      <c r="T32" s="587">
        <v>19</v>
      </c>
      <c r="U32" s="587">
        <v>20</v>
      </c>
      <c r="V32" s="587">
        <v>21</v>
      </c>
      <c r="W32" s="587">
        <v>22</v>
      </c>
      <c r="X32" s="587">
        <v>23</v>
      </c>
      <c r="Y32" s="587">
        <v>24</v>
      </c>
      <c r="Z32" s="587">
        <v>25</v>
      </c>
      <c r="AA32" s="587">
        <v>26</v>
      </c>
      <c r="AB32" s="587">
        <v>27</v>
      </c>
      <c r="AC32" s="587">
        <v>28</v>
      </c>
      <c r="AD32" s="587">
        <v>29</v>
      </c>
      <c r="AE32" s="587">
        <v>30</v>
      </c>
      <c r="AF32" s="587">
        <v>31</v>
      </c>
      <c r="AG32" s="587">
        <v>32</v>
      </c>
      <c r="AH32" s="587">
        <v>33</v>
      </c>
      <c r="AI32" s="587">
        <v>34</v>
      </c>
      <c r="AJ32" s="587">
        <v>35</v>
      </c>
      <c r="AK32" s="587">
        <v>36</v>
      </c>
      <c r="AL32" s="587">
        <v>37</v>
      </c>
      <c r="AM32" s="587">
        <v>38</v>
      </c>
      <c r="AN32" s="587">
        <v>39</v>
      </c>
      <c r="AO32" s="587">
        <v>40</v>
      </c>
      <c r="AP32" s="587">
        <v>41</v>
      </c>
      <c r="AQ32" s="587">
        <v>42</v>
      </c>
      <c r="AR32" s="587">
        <v>43</v>
      </c>
      <c r="AS32" s="587">
        <v>44</v>
      </c>
      <c r="AT32" s="587">
        <v>45</v>
      </c>
      <c r="AU32" s="587">
        <v>46</v>
      </c>
      <c r="AV32" s="587">
        <v>47</v>
      </c>
      <c r="AW32" s="587">
        <v>48</v>
      </c>
      <c r="AX32" s="587">
        <v>49</v>
      </c>
      <c r="AY32" s="587">
        <v>50</v>
      </c>
      <c r="AZ32" s="587">
        <v>51</v>
      </c>
      <c r="BA32" s="587">
        <v>52</v>
      </c>
      <c r="BB32" s="587">
        <v>53</v>
      </c>
      <c r="BC32" s="587">
        <v>54</v>
      </c>
      <c r="BD32" s="587">
        <v>55</v>
      </c>
      <c r="BE32" s="587">
        <v>56</v>
      </c>
      <c r="BF32" s="587">
        <v>57</v>
      </c>
      <c r="BG32" s="587">
        <v>58</v>
      </c>
      <c r="BH32" s="587">
        <v>59</v>
      </c>
      <c r="BI32" s="587">
        <v>60</v>
      </c>
      <c r="BJ32" s="587">
        <v>61</v>
      </c>
      <c r="BK32" s="587">
        <v>62</v>
      </c>
      <c r="BL32" s="587">
        <v>63</v>
      </c>
      <c r="BM32" s="587">
        <v>64</v>
      </c>
      <c r="BN32" s="587">
        <v>65</v>
      </c>
      <c r="BO32" s="587">
        <v>66</v>
      </c>
      <c r="CH32" s="587" t="s">
        <v>569</v>
      </c>
      <c r="CI32" s="587">
        <v>36</v>
      </c>
      <c r="CJ32" s="587" cm="1">
        <f t="array" ref="CJ32">_xlfn.IFS($AZ$2&gt;=14,39,$AZ$2&gt;=10,38,$AZ$2&gt;=6,37,$AZ$2&gt;=3,36,1,0)</f>
        <v>0</v>
      </c>
      <c r="CN32" s="702" t="str">
        <f>IFERROR(IF(CN31+1&gt;CS2,IF(CN31+1&gt;CS2,IF(CR3+CR31&gt;CS3,"",CR3+CR31)),CN31+1),"")</f>
        <v/>
      </c>
      <c r="CO32" s="702" t="str" cm="1">
        <f t="array" ref="CO32">IFERROR(INDEX($B$34:$BO$262,CN32,$CP$2),"")</f>
        <v/>
      </c>
      <c r="CP32" s="702" t="str" cm="1">
        <f t="array" ref="CP32">IFERROR(INDEX($B$34:$BO$262,CN32,$CQ$2),"")</f>
        <v/>
      </c>
      <c r="CQ32" s="702" t="str" cm="1">
        <f t="array" ref="CQ32">IF(IFERROR(INDEX($B$34:$BO$262,CN32,$CO$2),"")=0,"",IFERROR(INDEX($B$34:$BO$262,CN32,$CO$2),""))</f>
        <v/>
      </c>
      <c r="CR32" s="702" t="str">
        <f>IFERROR(IF(CN31+1&gt;CS2,CR31+1,0),"")</f>
        <v/>
      </c>
      <c r="CT32" s="705" t="str">
        <f t="shared" si="1"/>
        <v/>
      </c>
      <c r="CU32" s="706" t="str" cm="1">
        <f t="array" ref="CU32">INDEX(CT:CT,SMALL(IF($CT$2:$CT$101&lt;&gt;"",ROW($CT$2:$CT$101),142),ROW(CT31)))&amp;""</f>
        <v/>
      </c>
      <c r="CV32" s="701" t="str">
        <f t="shared" si="3"/>
        <v/>
      </c>
      <c r="CW32" s="702" t="str">
        <f>IF(主要!AX41="","",主要!AX41)</f>
        <v/>
      </c>
      <c r="CX32" s="702" t="str">
        <f t="shared" si="4"/>
        <v/>
      </c>
    </row>
    <row r="33" customHeight="1" spans="2:102">
      <c r="B33" s="602" t="s">
        <v>430</v>
      </c>
      <c r="C33" s="603"/>
      <c r="D33" s="604"/>
      <c r="E33" s="602" t="s">
        <v>439</v>
      </c>
      <c r="F33" s="603"/>
      <c r="G33" s="604"/>
      <c r="H33" s="602" t="s">
        <v>448</v>
      </c>
      <c r="I33" s="603"/>
      <c r="J33" s="604"/>
      <c r="K33" s="602" t="s">
        <v>456</v>
      </c>
      <c r="L33" s="603"/>
      <c r="M33" s="604"/>
      <c r="N33" s="602" t="s">
        <v>466</v>
      </c>
      <c r="O33" s="603"/>
      <c r="P33" s="604"/>
      <c r="Q33" s="602" t="s">
        <v>475</v>
      </c>
      <c r="R33" s="603"/>
      <c r="S33" s="604"/>
      <c r="T33" s="602" t="s">
        <v>484</v>
      </c>
      <c r="U33" s="603"/>
      <c r="V33" s="604"/>
      <c r="W33" s="602" t="s">
        <v>492</v>
      </c>
      <c r="X33" s="603"/>
      <c r="Y33" s="604"/>
      <c r="Z33" s="602" t="s">
        <v>499</v>
      </c>
      <c r="AA33" s="603"/>
      <c r="AB33" s="604"/>
      <c r="AC33" s="602" t="s">
        <v>507</v>
      </c>
      <c r="AD33" s="603"/>
      <c r="AE33" s="604"/>
      <c r="AF33" s="602" t="s">
        <v>513</v>
      </c>
      <c r="AG33" s="603"/>
      <c r="AH33" s="604"/>
      <c r="AI33" s="602" t="s">
        <v>519</v>
      </c>
      <c r="AJ33" s="603"/>
      <c r="AK33" s="604"/>
      <c r="AL33" s="602" t="s">
        <v>525</v>
      </c>
      <c r="AM33" s="603"/>
      <c r="AN33" s="604"/>
      <c r="AO33" s="602" t="s">
        <v>532</v>
      </c>
      <c r="AP33" s="603"/>
      <c r="AQ33" s="604"/>
      <c r="AR33" s="602" t="s">
        <v>538</v>
      </c>
      <c r="AS33" s="603"/>
      <c r="AT33" s="604"/>
      <c r="AU33" s="602" t="s">
        <v>544</v>
      </c>
      <c r="AV33" s="603"/>
      <c r="AW33" s="604"/>
      <c r="AX33" s="680" t="s">
        <v>518</v>
      </c>
      <c r="AY33" s="681"/>
      <c r="AZ33" s="682"/>
      <c r="BA33" s="683" t="s">
        <v>87</v>
      </c>
      <c r="BB33" s="603"/>
      <c r="BC33" s="604"/>
      <c r="BD33" s="683" t="s">
        <v>83</v>
      </c>
      <c r="BE33" s="603"/>
      <c r="BF33" s="604"/>
      <c r="BG33" s="602"/>
      <c r="BH33" s="603"/>
      <c r="BI33" s="604"/>
      <c r="BJ33" s="602"/>
      <c r="BK33" s="603"/>
      <c r="BL33" s="604"/>
      <c r="BM33" s="602"/>
      <c r="BN33" s="603"/>
      <c r="BO33" s="604"/>
      <c r="CH33" s="587" t="s">
        <v>570</v>
      </c>
      <c r="CI33" s="587">
        <v>40</v>
      </c>
      <c r="CJ33" s="587" cm="1">
        <f t="array" ref="CJ33">_xlfn.IFS($AZ$2&gt;=14,44,$AZ$2&gt;=10,43,$AZ$2&gt;=6,42,$AZ$2&gt;=3,41,1,0)</f>
        <v>0</v>
      </c>
      <c r="CN33" s="702" t="str">
        <f>IFERROR(IF(CN32+1&gt;CS2,IF(CN32+1&gt;CS2,IF(CR3+CR32&gt;CS3,"",CR3+CR32)),CN32+1),"")</f>
        <v/>
      </c>
      <c r="CO33" s="702" t="str" cm="1">
        <f t="array" ref="CO33">IFERROR(INDEX($B$34:$BO$262,CN33,$CP$2),"")</f>
        <v/>
      </c>
      <c r="CP33" s="702" t="str" cm="1">
        <f t="array" ref="CP33">IFERROR(INDEX($B$34:$BO$262,CN33,$CQ$2),"")</f>
        <v/>
      </c>
      <c r="CQ33" s="702" t="str" cm="1">
        <f t="array" ref="CQ33">IF(IFERROR(INDEX($B$34:$BO$262,CN33,$CO$2),"")=0,"",IFERROR(INDEX($B$34:$BO$262,CN33,$CO$2),""))</f>
        <v/>
      </c>
      <c r="CR33" s="702" t="str">
        <f>IFERROR(IF(CN32+1&gt;CS2,CR32+1,0),"")</f>
        <v/>
      </c>
      <c r="CT33" s="705" t="str">
        <f t="shared" si="1"/>
        <v/>
      </c>
      <c r="CU33" s="706" t="str" cm="1">
        <f t="array" ref="CU33">INDEX(CT:CT,SMALL(IF($CT$2:$CT$101&lt;&gt;"",ROW($CT$2:$CT$101),142),ROW(CT32)))&amp;""</f>
        <v/>
      </c>
      <c r="CV33" s="701" t="str">
        <f t="shared" si="3"/>
        <v/>
      </c>
      <c r="CW33" s="702" t="str">
        <f>IF(主要!AX42="","",主要!AX42)</f>
        <v/>
      </c>
      <c r="CX33" s="702" t="str">
        <f t="shared" si="4"/>
        <v/>
      </c>
    </row>
    <row r="34" customHeight="1" spans="1:102">
      <c r="A34" s="586">
        <v>1</v>
      </c>
      <c r="B34" s="605"/>
      <c r="C34" s="606" t="s">
        <v>571</v>
      </c>
      <c r="D34" s="607" t="s">
        <v>572</v>
      </c>
      <c r="E34" s="608"/>
      <c r="F34" s="606" t="s">
        <v>571</v>
      </c>
      <c r="G34" s="609" t="s">
        <v>573</v>
      </c>
      <c r="H34" s="608"/>
      <c r="I34" s="606" t="s">
        <v>571</v>
      </c>
      <c r="J34" s="609" t="s">
        <v>574</v>
      </c>
      <c r="K34" s="608"/>
      <c r="L34" s="606" t="s">
        <v>571</v>
      </c>
      <c r="M34" s="609" t="s">
        <v>575</v>
      </c>
      <c r="N34" s="608"/>
      <c r="O34" s="606" t="s">
        <v>571</v>
      </c>
      <c r="P34" s="609" t="s">
        <v>572</v>
      </c>
      <c r="Q34" s="608"/>
      <c r="R34" s="606" t="s">
        <v>571</v>
      </c>
      <c r="S34" s="609" t="s">
        <v>576</v>
      </c>
      <c r="T34" s="608"/>
      <c r="U34" s="606" t="s">
        <v>571</v>
      </c>
      <c r="V34" s="609" t="s">
        <v>574</v>
      </c>
      <c r="W34" s="608"/>
      <c r="X34" s="606" t="s">
        <v>571</v>
      </c>
      <c r="Y34" s="609" t="s">
        <v>576</v>
      </c>
      <c r="Z34" s="608"/>
      <c r="AA34" s="606" t="s">
        <v>571</v>
      </c>
      <c r="AB34" s="609" t="s">
        <v>577</v>
      </c>
      <c r="AC34" s="608"/>
      <c r="AD34" s="606" t="s">
        <v>571</v>
      </c>
      <c r="AE34" s="609" t="s">
        <v>578</v>
      </c>
      <c r="AF34" s="608"/>
      <c r="AG34" s="606" t="s">
        <v>571</v>
      </c>
      <c r="AH34" s="609" t="s">
        <v>574</v>
      </c>
      <c r="AI34" s="608"/>
      <c r="AJ34" s="606" t="s">
        <v>571</v>
      </c>
      <c r="AK34" s="609" t="s">
        <v>575</v>
      </c>
      <c r="AL34" s="608"/>
      <c r="AM34" s="606" t="s">
        <v>571</v>
      </c>
      <c r="AN34" s="609" t="s">
        <v>579</v>
      </c>
      <c r="AO34" s="608"/>
      <c r="AP34" s="606" t="s">
        <v>571</v>
      </c>
      <c r="AQ34" s="609" t="s">
        <v>575</v>
      </c>
      <c r="AR34" s="608"/>
      <c r="AS34" s="606" t="s">
        <v>571</v>
      </c>
      <c r="AT34" s="676" t="s">
        <v>577</v>
      </c>
      <c r="AU34" s="605"/>
      <c r="AV34" s="606" t="s">
        <v>571</v>
      </c>
      <c r="AW34" s="609" t="s">
        <v>575</v>
      </c>
      <c r="AX34" s="684"/>
      <c r="AY34" s="685" t="s">
        <v>93</v>
      </c>
      <c r="AZ34" s="686" t="s">
        <v>580</v>
      </c>
      <c r="BA34" s="608"/>
      <c r="BB34" s="606" t="s">
        <v>571</v>
      </c>
      <c r="BC34" s="609" t="s">
        <v>581</v>
      </c>
      <c r="BD34" s="608"/>
      <c r="BE34" s="606" t="s">
        <v>571</v>
      </c>
      <c r="BF34" s="693" t="s">
        <v>582</v>
      </c>
      <c r="BG34" s="608"/>
      <c r="BH34" s="606" t="s">
        <v>571</v>
      </c>
      <c r="BI34" s="609"/>
      <c r="BJ34" s="608"/>
      <c r="BK34" s="606" t="s">
        <v>571</v>
      </c>
      <c r="BL34" s="609"/>
      <c r="BM34" s="608"/>
      <c r="BN34" s="606" t="s">
        <v>571</v>
      </c>
      <c r="BO34" s="609"/>
      <c r="CH34" s="587" t="s">
        <v>583</v>
      </c>
      <c r="CI34" s="587">
        <v>45</v>
      </c>
      <c r="CJ34" s="587" cm="1">
        <f t="array" ref="CJ34">_xlfn.IFS($AZ$2&gt;=14,48,$AZ$2&gt;=10,47,$AZ$2&gt;=6,46,$AZ$2&gt;=3,45,1,0)</f>
        <v>0</v>
      </c>
      <c r="CN34" s="702" t="str">
        <f>IFERROR(IF(CN33+1&gt;CS2,IF(CN33+1&gt;CS2,IF(CR3+CR33&gt;CS3,"",CR3+CR33)),CN33+1),"")</f>
        <v/>
      </c>
      <c r="CO34" s="702" t="str" cm="1">
        <f t="array" ref="CO34">IFERROR(INDEX($B$34:$BO$262,CN34,$CP$2),"")</f>
        <v/>
      </c>
      <c r="CP34" s="702" t="str" cm="1">
        <f t="array" ref="CP34">IFERROR(INDEX($B$34:$BO$262,CN34,$CQ$2),"")</f>
        <v/>
      </c>
      <c r="CQ34" s="702" t="str" cm="1">
        <f t="array" ref="CQ34">IF(IFERROR(INDEX($B$34:$BO$262,CN34,$CO$2),"")=0,"",IFERROR(INDEX($B$34:$BO$262,CN34,$CO$2),""))</f>
        <v/>
      </c>
      <c r="CR34" s="702" t="str">
        <f>IFERROR(IF(CN33+1&gt;CS2,CR33+1,0),"")</f>
        <v/>
      </c>
      <c r="CT34" s="705" t="str">
        <f t="shared" ref="CT34:CT65" si="5">IFERROR(IF(OR(CO38="",COUNTIF($CW$2:$CW$81,CO38)),"",CO38),"")</f>
        <v/>
      </c>
      <c r="CU34" s="706" t="str" cm="1">
        <f t="array" ref="CU34">INDEX(CT:CT,SMALL(IF($CT$2:$CT$101&lt;&gt;"",ROW($CT$2:$CT$101),142),ROW(CT33)))&amp;""</f>
        <v/>
      </c>
      <c r="CV34" s="701" t="str">
        <f t="shared" si="3"/>
        <v/>
      </c>
      <c r="CW34" s="702" t="str">
        <f>IF(主要!AX43="","",主要!AX43)</f>
        <v/>
      </c>
      <c r="CX34" s="702" t="str">
        <f t="shared" si="4"/>
        <v/>
      </c>
    </row>
    <row r="35" customHeight="1" spans="1:102">
      <c r="A35" s="586">
        <v>2</v>
      </c>
      <c r="B35" s="610"/>
      <c r="C35" s="606" t="s">
        <v>584</v>
      </c>
      <c r="D35" s="607" t="s">
        <v>585</v>
      </c>
      <c r="F35" s="606" t="s">
        <v>584</v>
      </c>
      <c r="G35" s="607" t="s">
        <v>586</v>
      </c>
      <c r="I35" s="606" t="s">
        <v>584</v>
      </c>
      <c r="J35" s="607" t="s">
        <v>587</v>
      </c>
      <c r="L35" s="606" t="s">
        <v>584</v>
      </c>
      <c r="M35" s="607" t="s">
        <v>588</v>
      </c>
      <c r="O35" s="606" t="s">
        <v>584</v>
      </c>
      <c r="P35" s="607" t="s">
        <v>589</v>
      </c>
      <c r="R35" s="606" t="s">
        <v>584</v>
      </c>
      <c r="S35" s="607" t="s">
        <v>590</v>
      </c>
      <c r="U35" s="606" t="s">
        <v>584</v>
      </c>
      <c r="V35" s="607" t="s">
        <v>591</v>
      </c>
      <c r="X35" s="606" t="s">
        <v>584</v>
      </c>
      <c r="Y35" s="607" t="s">
        <v>592</v>
      </c>
      <c r="AA35" s="606" t="s">
        <v>584</v>
      </c>
      <c r="AB35" s="607" t="s">
        <v>593</v>
      </c>
      <c r="AD35" s="606" t="s">
        <v>584</v>
      </c>
      <c r="AE35" s="607" t="s">
        <v>594</v>
      </c>
      <c r="AG35" s="606" t="s">
        <v>584</v>
      </c>
      <c r="AH35" s="607" t="s">
        <v>595</v>
      </c>
      <c r="AJ35" s="606" t="s">
        <v>584</v>
      </c>
      <c r="AK35" s="607" t="s">
        <v>596</v>
      </c>
      <c r="AM35" s="606" t="s">
        <v>584</v>
      </c>
      <c r="AN35" s="607" t="s">
        <v>597</v>
      </c>
      <c r="AP35" s="606" t="s">
        <v>584</v>
      </c>
      <c r="AQ35" s="607" t="s">
        <v>598</v>
      </c>
      <c r="AS35" s="606" t="s">
        <v>584</v>
      </c>
      <c r="AT35" s="606" t="s">
        <v>599</v>
      </c>
      <c r="AU35" s="610"/>
      <c r="AV35" s="606" t="s">
        <v>584</v>
      </c>
      <c r="AW35" s="607" t="s">
        <v>600</v>
      </c>
      <c r="AX35" s="578"/>
      <c r="AY35" s="685" t="s">
        <v>8</v>
      </c>
      <c r="AZ35" s="687" t="s">
        <v>601</v>
      </c>
      <c r="BB35" s="606" t="s">
        <v>584</v>
      </c>
      <c r="BC35" s="607" t="s">
        <v>602</v>
      </c>
      <c r="BE35" s="606" t="s">
        <v>584</v>
      </c>
      <c r="BF35" s="607" t="s">
        <v>603</v>
      </c>
      <c r="BH35" s="606" t="s">
        <v>584</v>
      </c>
      <c r="BI35" s="607"/>
      <c r="BK35" s="606" t="s">
        <v>584</v>
      </c>
      <c r="BL35" s="607"/>
      <c r="BN35" s="606" t="s">
        <v>584</v>
      </c>
      <c r="BO35" s="607"/>
      <c r="CH35" s="587" t="s">
        <v>604</v>
      </c>
      <c r="CI35" s="587">
        <v>49</v>
      </c>
      <c r="CJ35" s="587" cm="1">
        <f t="array" ref="CJ35">_xlfn.IFS($AZ$2&gt;=14,52,$AZ$2&gt;=10,51,$AZ$2&gt;=6,50,$AZ$2&gt;=3,49,1,0)</f>
        <v>0</v>
      </c>
      <c r="CN35" s="702" t="str">
        <f>IFERROR(IF(CN34+1&gt;CS2,IF(CN34+1&gt;CS2,IF(CR3+CR34&gt;CS3,"",CR3+CR34)),CN34+1),"")</f>
        <v/>
      </c>
      <c r="CO35" s="702" t="str" cm="1">
        <f t="array" ref="CO35">IFERROR(INDEX($B$34:$BO$262,CN35,$CP$2),"")</f>
        <v/>
      </c>
      <c r="CP35" s="702" t="str" cm="1">
        <f t="array" ref="CP35">IFERROR(INDEX($B$34:$BO$262,CN35,$CQ$2),"")</f>
        <v/>
      </c>
      <c r="CQ35" s="702" t="str" cm="1">
        <f t="array" ref="CQ35">IF(IFERROR(INDEX($B$34:$BO$262,CN35,$CO$2),"")=0,"",IFERROR(INDEX($B$34:$BO$262,CN35,$CO$2),""))</f>
        <v/>
      </c>
      <c r="CR35" s="702" t="str">
        <f>IFERROR(IF(CN34+1&gt;CS2,CR34+1,0),"")</f>
        <v/>
      </c>
      <c r="CT35" s="705" t="str">
        <f t="shared" si="5"/>
        <v/>
      </c>
      <c r="CU35" s="706" t="str" cm="1">
        <f t="array" ref="CU35">INDEX(CT:CT,SMALL(IF($CT$2:$CT$101&lt;&gt;"",ROW($CT$2:$CT$101),142),ROW(CT34)))&amp;""</f>
        <v/>
      </c>
      <c r="CV35" s="701" t="str">
        <f t="shared" si="3"/>
        <v/>
      </c>
      <c r="CW35" s="702" t="str">
        <f>IF(主要!AX44="","",主要!AX44)</f>
        <v/>
      </c>
      <c r="CX35" s="702" t="str">
        <f t="shared" si="4"/>
        <v/>
      </c>
    </row>
    <row r="36" customHeight="1" spans="1:102">
      <c r="A36" s="586">
        <v>3</v>
      </c>
      <c r="B36" s="610"/>
      <c r="C36" s="606" t="s">
        <v>605</v>
      </c>
      <c r="D36" s="607" t="s">
        <v>606</v>
      </c>
      <c r="F36" s="606" t="s">
        <v>605</v>
      </c>
      <c r="G36" s="607" t="s">
        <v>607</v>
      </c>
      <c r="I36" s="606" t="s">
        <v>605</v>
      </c>
      <c r="J36" s="607" t="s">
        <v>607</v>
      </c>
      <c r="L36" s="606" t="s">
        <v>605</v>
      </c>
      <c r="M36" s="607" t="s">
        <v>607</v>
      </c>
      <c r="O36" s="606" t="s">
        <v>605</v>
      </c>
      <c r="P36" s="607" t="s">
        <v>606</v>
      </c>
      <c r="R36" s="606" t="s">
        <v>605</v>
      </c>
      <c r="S36" s="607" t="s">
        <v>608</v>
      </c>
      <c r="U36" s="606" t="s">
        <v>605</v>
      </c>
      <c r="V36" s="607" t="s">
        <v>606</v>
      </c>
      <c r="X36" s="606" t="s">
        <v>605</v>
      </c>
      <c r="Y36" s="607" t="s">
        <v>606</v>
      </c>
      <c r="AA36" s="606" t="s">
        <v>605</v>
      </c>
      <c r="AB36" s="607" t="s">
        <v>609</v>
      </c>
      <c r="AD36" s="606" t="s">
        <v>605</v>
      </c>
      <c r="AE36" s="607" t="s">
        <v>607</v>
      </c>
      <c r="AG36" s="606" t="s">
        <v>605</v>
      </c>
      <c r="AH36" s="607" t="s">
        <v>607</v>
      </c>
      <c r="AJ36" s="606" t="s">
        <v>605</v>
      </c>
      <c r="AK36" s="607" t="s">
        <v>607</v>
      </c>
      <c r="AM36" s="606" t="s">
        <v>605</v>
      </c>
      <c r="AN36" s="607" t="s">
        <v>607</v>
      </c>
      <c r="AP36" s="606" t="s">
        <v>605</v>
      </c>
      <c r="AQ36" s="607" t="s">
        <v>607</v>
      </c>
      <c r="AS36" s="606" t="s">
        <v>605</v>
      </c>
      <c r="AT36" s="606" t="s">
        <v>606</v>
      </c>
      <c r="AU36" s="610"/>
      <c r="AV36" s="606" t="s">
        <v>605</v>
      </c>
      <c r="AW36" s="607" t="s">
        <v>610</v>
      </c>
      <c r="AX36" s="578"/>
      <c r="AY36" s="685" t="s">
        <v>106</v>
      </c>
      <c r="AZ36" s="687" t="s">
        <v>611</v>
      </c>
      <c r="BB36" s="606" t="s">
        <v>605</v>
      </c>
      <c r="BC36" s="688" t="s">
        <v>612</v>
      </c>
      <c r="BE36" s="606" t="s">
        <v>605</v>
      </c>
      <c r="BF36" s="688" t="s">
        <v>613</v>
      </c>
      <c r="BH36" s="606" t="s">
        <v>605</v>
      </c>
      <c r="BI36" s="607"/>
      <c r="BK36" s="606" t="s">
        <v>605</v>
      </c>
      <c r="BL36" s="607"/>
      <c r="BN36" s="606" t="s">
        <v>605</v>
      </c>
      <c r="BO36" s="607"/>
      <c r="CH36" s="587" t="s">
        <v>614</v>
      </c>
      <c r="CI36" s="587">
        <v>53</v>
      </c>
      <c r="CJ36" s="587" cm="1">
        <f t="array" ref="CJ36">_xlfn.IFS($AZ$2&gt;=14,57,$AZ$2&gt;=10,56,$AZ$2&gt;=6,55,$AZ$2&gt;=3,54,1,0)</f>
        <v>0</v>
      </c>
      <c r="CN36" s="702" t="str">
        <f>IFERROR(IF(CN35+1&gt;CS2,IF(CN35+1&gt;CS2,IF(CR3+CR35&gt;CS3,"",CR3+CR35)),CN35+1),"")</f>
        <v/>
      </c>
      <c r="CO36" s="702" t="str" cm="1">
        <f t="array" ref="CO36">IFERROR(INDEX($B$34:$BO$262,CN36,$CP$2),"")</f>
        <v/>
      </c>
      <c r="CP36" s="702" t="str" cm="1">
        <f t="array" ref="CP36">IFERROR(INDEX($B$34:$BO$262,CN36,$CQ$2),"")</f>
        <v/>
      </c>
      <c r="CQ36" s="702" t="str" cm="1">
        <f t="array" ref="CQ36">IF(IFERROR(INDEX($B$34:$BO$262,CN36,$CO$2),"")=0,"",IFERROR(INDEX($B$34:$BO$262,CN36,$CO$2),""))</f>
        <v/>
      </c>
      <c r="CR36" s="702" t="str">
        <f>IFERROR(IF(CN35+1&gt;CS2,CR35+1,0),"")</f>
        <v/>
      </c>
      <c r="CT36" s="705" t="str">
        <f t="shared" si="5"/>
        <v/>
      </c>
      <c r="CU36" s="706" t="str" cm="1">
        <f t="array" ref="CU36">INDEX(CT:CT,SMALL(IF($CT$2:$CT$101&lt;&gt;"",ROW($CT$2:$CT$101),142),ROW(CT35)))&amp;""</f>
        <v/>
      </c>
      <c r="CV36" s="701" t="str">
        <f t="shared" si="3"/>
        <v/>
      </c>
      <c r="CW36" s="702" t="str">
        <f>IF(主要!AX45="","",主要!AX45)</f>
        <v/>
      </c>
      <c r="CX36" s="702" t="str">
        <f t="shared" si="4"/>
        <v/>
      </c>
    </row>
    <row r="37" customHeight="1" spans="1:102">
      <c r="A37" s="586">
        <v>4</v>
      </c>
      <c r="B37" s="610"/>
      <c r="C37" s="606" t="s">
        <v>615</v>
      </c>
      <c r="D37" s="607" t="s">
        <v>616</v>
      </c>
      <c r="F37" s="606" t="s">
        <v>615</v>
      </c>
      <c r="G37" s="607" t="s">
        <v>617</v>
      </c>
      <c r="I37" s="606" t="s">
        <v>615</v>
      </c>
      <c r="J37" s="607" t="s">
        <v>616</v>
      </c>
      <c r="L37" s="606" t="s">
        <v>615</v>
      </c>
      <c r="M37" s="607" t="s">
        <v>618</v>
      </c>
      <c r="O37" s="606" t="s">
        <v>615</v>
      </c>
      <c r="P37" s="607" t="s">
        <v>616</v>
      </c>
      <c r="R37" s="606" t="s">
        <v>615</v>
      </c>
      <c r="S37" s="607" t="s">
        <v>619</v>
      </c>
      <c r="U37" s="606" t="s">
        <v>615</v>
      </c>
      <c r="V37" s="607" t="s">
        <v>616</v>
      </c>
      <c r="X37" s="606" t="s">
        <v>615</v>
      </c>
      <c r="Y37" s="607" t="s">
        <v>616</v>
      </c>
      <c r="AA37" s="606" t="s">
        <v>615</v>
      </c>
      <c r="AB37" s="607" t="s">
        <v>620</v>
      </c>
      <c r="AD37" s="606" t="s">
        <v>615</v>
      </c>
      <c r="AE37" s="607" t="s">
        <v>616</v>
      </c>
      <c r="AG37" s="606" t="s">
        <v>615</v>
      </c>
      <c r="AH37" s="607" t="s">
        <v>616</v>
      </c>
      <c r="AJ37" s="606" t="s">
        <v>615</v>
      </c>
      <c r="AK37" s="607" t="s">
        <v>616</v>
      </c>
      <c r="AM37" s="606" t="s">
        <v>615</v>
      </c>
      <c r="AN37" s="607" t="s">
        <v>621</v>
      </c>
      <c r="AP37" s="606" t="s">
        <v>615</v>
      </c>
      <c r="AQ37" s="607" t="s">
        <v>616</v>
      </c>
      <c r="AS37" s="606" t="s">
        <v>615</v>
      </c>
      <c r="AT37" s="606" t="s">
        <v>622</v>
      </c>
      <c r="AU37" s="610"/>
      <c r="AV37" s="606" t="s">
        <v>615</v>
      </c>
      <c r="AW37" s="607" t="s">
        <v>623</v>
      </c>
      <c r="AX37" s="578"/>
      <c r="AY37" s="685" t="s">
        <v>11</v>
      </c>
      <c r="AZ37" s="687" t="s">
        <v>624</v>
      </c>
      <c r="BB37" s="606" t="s">
        <v>615</v>
      </c>
      <c r="BC37" s="688" t="s">
        <v>624</v>
      </c>
      <c r="BE37" s="606" t="s">
        <v>615</v>
      </c>
      <c r="BF37" s="607" t="s">
        <v>625</v>
      </c>
      <c r="BH37" s="606" t="s">
        <v>615</v>
      </c>
      <c r="BI37" s="607"/>
      <c r="BK37" s="606" t="s">
        <v>615</v>
      </c>
      <c r="BL37" s="607"/>
      <c r="BN37" s="606" t="s">
        <v>615</v>
      </c>
      <c r="BO37" s="607"/>
      <c r="CH37" s="587" t="s">
        <v>626</v>
      </c>
      <c r="CI37" s="587">
        <v>58</v>
      </c>
      <c r="CJ37" s="587" cm="1">
        <f t="array" ref="CJ37">_xlfn.IFS($AZ$2&gt;=14,62,$AZ$2&gt;=10,61,$AZ$2&gt;=6,60,$AZ$2&gt;=3,59,1,0)</f>
        <v>0</v>
      </c>
      <c r="CN37" s="702" t="str">
        <f>IFERROR(IF(CN36+1&gt;CS2,IF(CN36+1&gt;CS2,IF(CR3+CR36&gt;CS3,"",CR3+CR36)),CN36+1),"")</f>
        <v/>
      </c>
      <c r="CO37" s="702" t="str" cm="1">
        <f t="array" ref="CO37">IFERROR(INDEX($B$34:$BO$262,CN37,$CP$2),"")</f>
        <v/>
      </c>
      <c r="CP37" s="702" t="str" cm="1">
        <f t="array" ref="CP37">IFERROR(INDEX($B$34:$BO$262,CN37,$CQ$2),"")</f>
        <v/>
      </c>
      <c r="CQ37" s="702" t="str" cm="1">
        <f t="array" ref="CQ37">IF(IFERROR(INDEX($B$34:$BO$262,CN37,$CO$2),"")=0,"",IFERROR(INDEX($B$34:$BO$262,CN37,$CO$2),""))</f>
        <v/>
      </c>
      <c r="CR37" s="702" t="str">
        <f>IFERROR(IF(CN36+1&gt;CS2,CR36+1,0),"")</f>
        <v/>
      </c>
      <c r="CT37" s="705" t="str">
        <f t="shared" si="5"/>
        <v/>
      </c>
      <c r="CU37" s="706" t="str" cm="1">
        <f t="array" ref="CU37">INDEX(CT:CT,SMALL(IF($CT$2:$CT$101&lt;&gt;"",ROW($CT$2:$CT$101),142),ROW(CT36)))&amp;""</f>
        <v/>
      </c>
      <c r="CV37" s="701" t="str">
        <f t="shared" si="3"/>
        <v/>
      </c>
      <c r="CW37" s="702" t="str">
        <f>IF(主要!AX46="","",主要!AX46)</f>
        <v/>
      </c>
      <c r="CX37" s="702" t="str">
        <f t="shared" si="4"/>
        <v/>
      </c>
    </row>
    <row r="38" customHeight="1" spans="1:102">
      <c r="A38" s="586">
        <v>5</v>
      </c>
      <c r="B38" s="610"/>
      <c r="C38" s="606" t="s">
        <v>627</v>
      </c>
      <c r="D38" s="607" t="s">
        <v>628</v>
      </c>
      <c r="F38" s="606" t="s">
        <v>627</v>
      </c>
      <c r="G38" s="607" t="s">
        <v>629</v>
      </c>
      <c r="I38" s="606" t="s">
        <v>627</v>
      </c>
      <c r="J38" s="607" t="s">
        <v>628</v>
      </c>
      <c r="L38" s="606" t="s">
        <v>627</v>
      </c>
      <c r="M38" s="607" t="s">
        <v>630</v>
      </c>
      <c r="O38" s="606" t="s">
        <v>627</v>
      </c>
      <c r="P38" s="607" t="s">
        <v>631</v>
      </c>
      <c r="R38" s="606" t="s">
        <v>627</v>
      </c>
      <c r="S38" s="607" t="s">
        <v>616</v>
      </c>
      <c r="U38" s="606" t="s">
        <v>627</v>
      </c>
      <c r="V38" s="607" t="s">
        <v>631</v>
      </c>
      <c r="X38" s="606" t="s">
        <v>627</v>
      </c>
      <c r="Y38" s="607" t="s">
        <v>628</v>
      </c>
      <c r="AA38" s="606" t="s">
        <v>627</v>
      </c>
      <c r="AB38" s="607" t="s">
        <v>629</v>
      </c>
      <c r="AD38" s="606" t="s">
        <v>627</v>
      </c>
      <c r="AE38" s="607" t="s">
        <v>616</v>
      </c>
      <c r="AG38" s="606" t="s">
        <v>627</v>
      </c>
      <c r="AH38" s="607" t="s">
        <v>629</v>
      </c>
      <c r="AJ38" s="606" t="s">
        <v>627</v>
      </c>
      <c r="AK38" s="607" t="s">
        <v>616</v>
      </c>
      <c r="AM38" s="606" t="s">
        <v>627</v>
      </c>
      <c r="AN38" s="607" t="s">
        <v>632</v>
      </c>
      <c r="AP38" s="606" t="s">
        <v>627</v>
      </c>
      <c r="AQ38" s="607" t="s">
        <v>616</v>
      </c>
      <c r="AS38" s="606" t="s">
        <v>627</v>
      </c>
      <c r="AT38" s="606" t="s">
        <v>632</v>
      </c>
      <c r="AU38" s="610"/>
      <c r="AV38" s="606" t="s">
        <v>627</v>
      </c>
      <c r="AW38" s="607" t="s">
        <v>633</v>
      </c>
      <c r="AX38" s="578"/>
      <c r="AY38" s="685" t="s">
        <v>113</v>
      </c>
      <c r="AZ38" s="687" t="s">
        <v>634</v>
      </c>
      <c r="BB38" s="606" t="s">
        <v>627</v>
      </c>
      <c r="BC38" s="688" t="s">
        <v>635</v>
      </c>
      <c r="BE38" s="606" t="s">
        <v>627</v>
      </c>
      <c r="BF38" s="688" t="s">
        <v>634</v>
      </c>
      <c r="BH38" s="606" t="s">
        <v>627</v>
      </c>
      <c r="BI38" s="607"/>
      <c r="BK38" s="606" t="s">
        <v>627</v>
      </c>
      <c r="BL38" s="607"/>
      <c r="BN38" s="606" t="s">
        <v>627</v>
      </c>
      <c r="BO38" s="607"/>
      <c r="CH38" s="587" t="s">
        <v>636</v>
      </c>
      <c r="CI38" s="587">
        <v>63</v>
      </c>
      <c r="CJ38" s="587" cm="1">
        <f t="array" ref="CJ38">_xlfn.IFS($AZ$2&gt;=14,67,$AZ$2&gt;=10,66,$AZ$2&gt;=6,65,$AZ$2&gt;=3,64,1,0)</f>
        <v>0</v>
      </c>
      <c r="CN38" s="702" t="str">
        <f>IFERROR(IF(CN37+1&gt;CS2,IF(CN37+1&gt;CS2,IF(CR3+CR37&gt;CS3,"",CR3+CR37)),CN37+1),"")</f>
        <v/>
      </c>
      <c r="CO38" s="702" t="str" cm="1">
        <f t="array" ref="CO38">IFERROR(INDEX($B$34:$BO$262,CN38,$CP$2),"")</f>
        <v/>
      </c>
      <c r="CP38" s="702" t="str" cm="1">
        <f t="array" ref="CP38">IFERROR(INDEX($B$34:$BO$262,CN38,$CQ$2),"")</f>
        <v/>
      </c>
      <c r="CQ38" s="702" t="str" cm="1">
        <f t="array" ref="CQ38">IF(IFERROR(INDEX($B$34:$BO$262,CN38,$CO$2),"")=0,"",IFERROR(INDEX($B$34:$BO$262,CN38,$CO$2),""))</f>
        <v/>
      </c>
      <c r="CR38" s="702" t="str">
        <f>IFERROR(IF(CN37+1&gt;CS2,CR37+1,0),"")</f>
        <v/>
      </c>
      <c r="CT38" s="705" t="str">
        <f t="shared" si="5"/>
        <v/>
      </c>
      <c r="CU38" s="706" t="str" cm="1">
        <f t="array" ref="CU38">INDEX(CT:CT,SMALL(IF($CT$2:$CT$101&lt;&gt;"",ROW($CT$2:$CT$101),142),ROW(CT37)))&amp;""</f>
        <v/>
      </c>
      <c r="CV38" s="701" t="str">
        <f t="shared" si="3"/>
        <v/>
      </c>
      <c r="CW38" s="702" t="str">
        <f>IF(主要!AX47="","",主要!AX47)</f>
        <v/>
      </c>
      <c r="CX38" s="702" t="str">
        <f t="shared" si="4"/>
        <v/>
      </c>
    </row>
    <row r="39" customHeight="1" spans="1:102">
      <c r="A39" s="586">
        <v>6</v>
      </c>
      <c r="B39" s="610"/>
      <c r="C39" s="606" t="s">
        <v>637</v>
      </c>
      <c r="D39" s="607" t="s">
        <v>638</v>
      </c>
      <c r="F39" s="606" t="s">
        <v>637</v>
      </c>
      <c r="G39" s="607" t="s">
        <v>639</v>
      </c>
      <c r="I39" s="606" t="s">
        <v>637</v>
      </c>
      <c r="J39" s="607" t="s">
        <v>640</v>
      </c>
      <c r="L39" s="606" t="s">
        <v>637</v>
      </c>
      <c r="M39" s="607" t="s">
        <v>641</v>
      </c>
      <c r="O39" s="606" t="s">
        <v>637</v>
      </c>
      <c r="P39" s="607" t="s">
        <v>642</v>
      </c>
      <c r="R39" s="606" t="s">
        <v>637</v>
      </c>
      <c r="S39" s="607" t="s">
        <v>643</v>
      </c>
      <c r="U39" s="606" t="s">
        <v>637</v>
      </c>
      <c r="V39" s="607" t="s">
        <v>644</v>
      </c>
      <c r="X39" s="606" t="s">
        <v>637</v>
      </c>
      <c r="Y39" s="607" t="s">
        <v>645</v>
      </c>
      <c r="AA39" s="606" t="s">
        <v>637</v>
      </c>
      <c r="AB39" s="607" t="s">
        <v>646</v>
      </c>
      <c r="AD39" s="606" t="s">
        <v>637</v>
      </c>
      <c r="AE39" s="607" t="s">
        <v>647</v>
      </c>
      <c r="AG39" s="606" t="s">
        <v>637</v>
      </c>
      <c r="AH39" s="607" t="s">
        <v>648</v>
      </c>
      <c r="AJ39" s="606" t="s">
        <v>637</v>
      </c>
      <c r="AK39" s="607" t="s">
        <v>649</v>
      </c>
      <c r="AM39" s="606" t="s">
        <v>637</v>
      </c>
      <c r="AN39" s="607" t="s">
        <v>650</v>
      </c>
      <c r="AP39" s="606" t="s">
        <v>637</v>
      </c>
      <c r="AQ39" s="607" t="s">
        <v>651</v>
      </c>
      <c r="AS39" s="606" t="s">
        <v>637</v>
      </c>
      <c r="AT39" s="606" t="s">
        <v>652</v>
      </c>
      <c r="AU39" s="610"/>
      <c r="AV39" s="606" t="s">
        <v>637</v>
      </c>
      <c r="AW39" s="607" t="s">
        <v>653</v>
      </c>
      <c r="AX39" s="578"/>
      <c r="AY39" s="685" t="s">
        <v>117</v>
      </c>
      <c r="AZ39" s="687" t="s">
        <v>654</v>
      </c>
      <c r="BB39" s="606" t="s">
        <v>637</v>
      </c>
      <c r="BC39" s="607" t="s">
        <v>655</v>
      </c>
      <c r="BE39" s="606" t="s">
        <v>637</v>
      </c>
      <c r="BF39" s="607" t="s">
        <v>656</v>
      </c>
      <c r="BH39" s="606" t="s">
        <v>637</v>
      </c>
      <c r="BI39" s="607"/>
      <c r="BK39" s="606" t="s">
        <v>637</v>
      </c>
      <c r="BL39" s="607"/>
      <c r="BN39" s="606" t="s">
        <v>637</v>
      </c>
      <c r="BO39" s="607"/>
      <c r="CH39" s="587" t="s">
        <v>657</v>
      </c>
      <c r="CI39" s="587">
        <v>68</v>
      </c>
      <c r="CJ39" s="587" cm="1">
        <f t="array" ref="CJ39">_xlfn.IFS($AZ$2&gt;=14,73,$AZ$2&gt;=10,72,$AZ$2&gt;=6,71,$AZ$2&gt;=3,70,1,0)</f>
        <v>0</v>
      </c>
      <c r="CN39" s="702" t="str">
        <f>IFERROR(IF(CN38+1&gt;CS2,IF(CN38+1&gt;CS2,IF(CR3+CR38&gt;CS3,"",CR3+CR38)),CN38+1),"")</f>
        <v/>
      </c>
      <c r="CO39" s="702" t="str" cm="1">
        <f t="array" ref="CO39">IFERROR(INDEX($B$34:$BO$262,CN39,$CP$2),"")</f>
        <v/>
      </c>
      <c r="CP39" s="702" t="str" cm="1">
        <f t="array" ref="CP39">IFERROR(INDEX($B$34:$BO$262,CN39,$CQ$2),"")</f>
        <v/>
      </c>
      <c r="CQ39" s="702" t="str" cm="1">
        <f t="array" ref="CQ39">IF(IFERROR(INDEX($B$34:$BO$262,CN39,$CO$2),"")=0,"",IFERROR(INDEX($B$34:$BO$262,CN39,$CO$2),""))</f>
        <v/>
      </c>
      <c r="CR39" s="702" t="str">
        <f>IFERROR(IF(CN38+1&gt;CS2,CR38+1,0),"")</f>
        <v/>
      </c>
      <c r="CT39" s="705" t="str">
        <f t="shared" si="5"/>
        <v/>
      </c>
      <c r="CU39" s="706" t="str" cm="1">
        <f t="array" ref="CU39">INDEX(CT:CT,SMALL(IF($CT$2:$CT$101&lt;&gt;"",ROW($CT$2:$CT$101),142),ROW(CT38)))&amp;""</f>
        <v/>
      </c>
      <c r="CV39" s="701" t="str">
        <f t="shared" si="3"/>
        <v/>
      </c>
      <c r="CW39" s="702" t="str">
        <f>IF(主要!AX48="","",主要!AX48)</f>
        <v/>
      </c>
      <c r="CX39" s="702" t="str">
        <f t="shared" si="4"/>
        <v/>
      </c>
    </row>
    <row r="40" customHeight="1" spans="1:102">
      <c r="A40" s="586">
        <v>7</v>
      </c>
      <c r="B40" s="610">
        <v>1</v>
      </c>
      <c r="C40" s="587" t="s">
        <v>658</v>
      </c>
      <c r="D40" s="611" t="s">
        <v>659</v>
      </c>
      <c r="E40" s="587">
        <v>1</v>
      </c>
      <c r="F40" s="587" t="s">
        <v>660</v>
      </c>
      <c r="G40" s="612" t="s">
        <v>661</v>
      </c>
      <c r="H40" s="587">
        <v>1</v>
      </c>
      <c r="I40" s="587" t="s">
        <v>662</v>
      </c>
      <c r="J40" s="612" t="s">
        <v>663</v>
      </c>
      <c r="K40" s="587">
        <v>1</v>
      </c>
      <c r="L40" s="587" t="s">
        <v>662</v>
      </c>
      <c r="M40" s="612" t="s">
        <v>664</v>
      </c>
      <c r="N40" s="587">
        <v>1</v>
      </c>
      <c r="O40" s="587" t="s">
        <v>665</v>
      </c>
      <c r="P40" s="612" t="s">
        <v>666</v>
      </c>
      <c r="Q40" s="587">
        <v>1</v>
      </c>
      <c r="R40" s="587" t="s">
        <v>667</v>
      </c>
      <c r="S40" s="612" t="s">
        <v>668</v>
      </c>
      <c r="T40" s="587">
        <v>1</v>
      </c>
      <c r="U40" s="587" t="s">
        <v>669</v>
      </c>
      <c r="V40" s="612" t="s">
        <v>670</v>
      </c>
      <c r="W40" s="587">
        <v>1</v>
      </c>
      <c r="X40" s="587" t="s">
        <v>662</v>
      </c>
      <c r="Y40" s="612" t="s">
        <v>671</v>
      </c>
      <c r="Z40" s="587">
        <v>1</v>
      </c>
      <c r="AA40" s="587" t="s">
        <v>672</v>
      </c>
      <c r="AB40" s="612" t="s">
        <v>673</v>
      </c>
      <c r="AC40" s="587">
        <v>1</v>
      </c>
      <c r="AD40" s="587" t="s">
        <v>662</v>
      </c>
      <c r="AE40" s="612" t="s">
        <v>674</v>
      </c>
      <c r="AF40" s="587">
        <v>1</v>
      </c>
      <c r="AG40" s="587" t="s">
        <v>675</v>
      </c>
      <c r="AH40" s="612" t="s">
        <v>676</v>
      </c>
      <c r="AI40" s="587">
        <v>1</v>
      </c>
      <c r="AJ40" s="587" t="s">
        <v>662</v>
      </c>
      <c r="AK40" s="612" t="s">
        <v>677</v>
      </c>
      <c r="AL40" s="587">
        <v>1</v>
      </c>
      <c r="AM40" s="578" t="s">
        <v>678</v>
      </c>
      <c r="AN40" s="611" t="s">
        <v>679</v>
      </c>
      <c r="AO40" s="587">
        <v>1</v>
      </c>
      <c r="AP40" s="587" t="s">
        <v>662</v>
      </c>
      <c r="AQ40" s="612" t="s">
        <v>680</v>
      </c>
      <c r="AR40" s="587">
        <v>1</v>
      </c>
      <c r="AS40" s="587" t="s">
        <v>681</v>
      </c>
      <c r="AT40" s="612" t="s">
        <v>682</v>
      </c>
      <c r="AU40" s="587">
        <v>1</v>
      </c>
      <c r="AV40" s="587" t="s">
        <v>683</v>
      </c>
      <c r="AW40" s="612" t="s">
        <v>684</v>
      </c>
      <c r="AX40" s="578">
        <v>1</v>
      </c>
      <c r="AY40" s="578" t="s">
        <v>685</v>
      </c>
      <c r="AZ40" s="650" t="s">
        <v>686</v>
      </c>
      <c r="BA40" s="587">
        <v>1</v>
      </c>
      <c r="BB40" s="578" t="s">
        <v>687</v>
      </c>
      <c r="BC40" s="650" t="s">
        <v>688</v>
      </c>
      <c r="BD40" s="587">
        <v>1</v>
      </c>
      <c r="BE40" s="578" t="s">
        <v>689</v>
      </c>
      <c r="BF40" s="650" t="s">
        <v>690</v>
      </c>
      <c r="BO40" s="612"/>
      <c r="CH40" s="587" t="s">
        <v>691</v>
      </c>
      <c r="CI40" s="587">
        <v>74</v>
      </c>
      <c r="CJ40" s="587" cm="1">
        <f t="array" ref="CJ40">_xlfn.IFS($AZ$2&gt;=14,79,$AZ$2&gt;=10,78,$AZ$2&gt;=6,77,$AZ$2&gt;=3,75,1,0)</f>
        <v>0</v>
      </c>
      <c r="CN40" s="702" t="str">
        <f>IFERROR(IF(CN39+1&gt;CS2,IF(CN39+1&gt;CS2,IF(CR3+CR39&gt;CS3,"",CR3+CR39)),CN39+1),"")</f>
        <v/>
      </c>
      <c r="CO40" s="702" t="str" cm="1">
        <f t="array" ref="CO40">IFERROR(INDEX($B$34:$BO$262,CN40,$CP$2),"")</f>
        <v/>
      </c>
      <c r="CP40" s="702" t="str" cm="1">
        <f t="array" ref="CP40">IFERROR(INDEX($B$34:$BO$262,CN40,$CQ$2),"")</f>
        <v/>
      </c>
      <c r="CQ40" s="702" t="str" cm="1">
        <f t="array" ref="CQ40">IF(IFERROR(INDEX($B$34:$BO$262,CN40,$CO$2),"")=0,"",IFERROR(INDEX($B$34:$BO$262,CN40,$CO$2),""))</f>
        <v/>
      </c>
      <c r="CR40" s="702" t="str">
        <f>IFERROR(IF(CN39+1&gt;CS2,CR39+1,0),"")</f>
        <v/>
      </c>
      <c r="CT40" s="705" t="str">
        <f t="shared" si="5"/>
        <v/>
      </c>
      <c r="CU40" s="706" t="str" cm="1">
        <f t="array" ref="CU40">INDEX(CT:CT,SMALL(IF($CT$2:$CT$101&lt;&gt;"",ROW($CT$2:$CT$101),142),ROW(CT39)))&amp;""</f>
        <v/>
      </c>
      <c r="CV40" s="701" t="str">
        <f t="shared" si="3"/>
        <v/>
      </c>
      <c r="CW40" s="702" t="str">
        <f>IF(主要!AX49="","",主要!AX49)</f>
        <v/>
      </c>
      <c r="CX40" s="702" t="str">
        <f t="shared" si="4"/>
        <v/>
      </c>
    </row>
    <row r="41" customHeight="1" spans="1:102">
      <c r="A41" s="586">
        <v>8</v>
      </c>
      <c r="B41" s="610">
        <v>1</v>
      </c>
      <c r="C41" s="587" t="s">
        <v>692</v>
      </c>
      <c r="D41" s="612" t="s">
        <v>693</v>
      </c>
      <c r="E41" s="587">
        <v>1</v>
      </c>
      <c r="F41" s="587" t="s">
        <v>662</v>
      </c>
      <c r="G41" s="612" t="s">
        <v>694</v>
      </c>
      <c r="I41" s="587" t="s">
        <v>695</v>
      </c>
      <c r="J41" s="612" t="s">
        <v>696</v>
      </c>
      <c r="L41" s="587" t="s">
        <v>695</v>
      </c>
      <c r="M41" s="612" t="s">
        <v>697</v>
      </c>
      <c r="N41" s="587">
        <v>1</v>
      </c>
      <c r="O41" s="587" t="s">
        <v>698</v>
      </c>
      <c r="P41" s="612" t="s">
        <v>699</v>
      </c>
      <c r="Q41" s="587">
        <v>1</v>
      </c>
      <c r="R41" s="587" t="s">
        <v>692</v>
      </c>
      <c r="S41" s="612" t="s">
        <v>700</v>
      </c>
      <c r="T41" s="587">
        <v>1</v>
      </c>
      <c r="U41" s="587" t="s">
        <v>662</v>
      </c>
      <c r="V41" s="612" t="s">
        <v>701</v>
      </c>
      <c r="X41" s="587" t="s">
        <v>702</v>
      </c>
      <c r="Y41" s="612" t="s">
        <v>703</v>
      </c>
      <c r="Z41" s="587">
        <v>1</v>
      </c>
      <c r="AA41" s="587" t="s">
        <v>704</v>
      </c>
      <c r="AB41" s="612" t="s">
        <v>705</v>
      </c>
      <c r="AD41" s="587" t="s">
        <v>695</v>
      </c>
      <c r="AE41" s="612" t="s">
        <v>706</v>
      </c>
      <c r="AG41" s="649" t="s">
        <v>707</v>
      </c>
      <c r="AH41" s="628" t="s">
        <v>708</v>
      </c>
      <c r="AJ41" s="587" t="s">
        <v>695</v>
      </c>
      <c r="AK41" s="612" t="s">
        <v>709</v>
      </c>
      <c r="AL41" s="587">
        <v>1</v>
      </c>
      <c r="AM41" s="587" t="s">
        <v>662</v>
      </c>
      <c r="AN41" s="650" t="s">
        <v>710</v>
      </c>
      <c r="AP41" s="587" t="s">
        <v>695</v>
      </c>
      <c r="AQ41" s="612" t="s">
        <v>711</v>
      </c>
      <c r="AR41" s="587">
        <v>1</v>
      </c>
      <c r="AS41" s="587" t="s">
        <v>712</v>
      </c>
      <c r="AT41" s="612" t="s">
        <v>713</v>
      </c>
      <c r="AV41" s="587" t="s">
        <v>695</v>
      </c>
      <c r="AW41" s="612" t="s">
        <v>714</v>
      </c>
      <c r="AX41" s="578">
        <v>1</v>
      </c>
      <c r="AY41" s="578" t="s">
        <v>715</v>
      </c>
      <c r="AZ41" s="650" t="s">
        <v>716</v>
      </c>
      <c r="BB41" s="578" t="s">
        <v>717</v>
      </c>
      <c r="BC41" s="650" t="s">
        <v>718</v>
      </c>
      <c r="BD41" s="587">
        <v>1</v>
      </c>
      <c r="BE41" s="578" t="s">
        <v>719</v>
      </c>
      <c r="BF41" s="650" t="s">
        <v>720</v>
      </c>
      <c r="BO41" s="612"/>
      <c r="CH41" s="587" t="s">
        <v>721</v>
      </c>
      <c r="CI41" s="587">
        <v>80</v>
      </c>
      <c r="CJ41" s="587" cm="1">
        <f t="array" ref="CJ41">_xlfn.IFS($AZ$2&gt;=14,86,$AZ$2&gt;=10,84,$AZ$2&gt;=6,83,$AZ$2&gt;=3,81,1,0)</f>
        <v>0</v>
      </c>
      <c r="CN41" s="702" t="str">
        <f>IFERROR(IF(CN40+1&gt;CS2,IF(CN40+1&gt;CS2,IF(CR3+CR40&gt;CS3,"",CR3+CR40)),CN40+1),"")</f>
        <v/>
      </c>
      <c r="CO41" s="702" t="str" cm="1">
        <f t="array" ref="CO41">IFERROR(INDEX($B$34:$BO$262,CN41,$CP$2),"")</f>
        <v/>
      </c>
      <c r="CP41" s="702" t="str" cm="1">
        <f t="array" ref="CP41">IFERROR(INDEX($B$34:$BO$262,CN41,$CQ$2),"")</f>
        <v/>
      </c>
      <c r="CQ41" s="702" t="str" cm="1">
        <f t="array" ref="CQ41">IF(IFERROR(INDEX($B$34:$BO$262,CN41,$CO$2),"")=0,"",IFERROR(INDEX($B$34:$BO$262,CN41,$CO$2),""))</f>
        <v/>
      </c>
      <c r="CR41" s="702" t="str">
        <f>IFERROR(IF(CN40+1&gt;CS2,CR40+1,0),"")</f>
        <v/>
      </c>
      <c r="CT41" s="705" t="str">
        <f t="shared" si="5"/>
        <v/>
      </c>
      <c r="CU41" s="706" t="str" cm="1">
        <f t="array" ref="CU41">INDEX(CT:CT,SMALL(IF($CT$2:$CT$101&lt;&gt;"",ROW($CT$2:$CT$101),142),ROW(CT40)))&amp;""</f>
        <v/>
      </c>
      <c r="CV41" s="701" t="str">
        <f t="shared" si="3"/>
        <v/>
      </c>
      <c r="CW41" s="702" t="str">
        <f>IF(主要!AX50="","",主要!AX50)</f>
        <v/>
      </c>
      <c r="CX41" s="702" t="str">
        <f t="shared" si="4"/>
        <v/>
      </c>
    </row>
    <row r="42" customHeight="1" spans="1:102">
      <c r="A42" s="586">
        <v>9</v>
      </c>
      <c r="B42" s="610">
        <v>1</v>
      </c>
      <c r="C42" s="587" t="s">
        <v>722</v>
      </c>
      <c r="D42" s="612" t="s">
        <v>723</v>
      </c>
      <c r="F42" s="587" t="s">
        <v>695</v>
      </c>
      <c r="G42" s="612" t="s">
        <v>724</v>
      </c>
      <c r="I42" s="587" t="s">
        <v>702</v>
      </c>
      <c r="J42" s="612" t="s">
        <v>725</v>
      </c>
      <c r="L42" s="587" t="s">
        <v>702</v>
      </c>
      <c r="M42" s="612" t="s">
        <v>726</v>
      </c>
      <c r="N42" s="587">
        <v>1</v>
      </c>
      <c r="O42" s="587" t="s">
        <v>722</v>
      </c>
      <c r="P42" s="612" t="s">
        <v>727</v>
      </c>
      <c r="Q42" s="587">
        <v>2</v>
      </c>
      <c r="R42" s="587" t="s">
        <v>728</v>
      </c>
      <c r="S42" s="612" t="s">
        <v>729</v>
      </c>
      <c r="U42" s="587" t="s">
        <v>702</v>
      </c>
      <c r="V42" s="612" t="s">
        <v>730</v>
      </c>
      <c r="X42" s="587" t="s">
        <v>731</v>
      </c>
      <c r="Y42" s="612" t="s">
        <v>732</v>
      </c>
      <c r="Z42" s="587">
        <v>1</v>
      </c>
      <c r="AA42" s="587" t="s">
        <v>733</v>
      </c>
      <c r="AB42" s="612" t="s">
        <v>734</v>
      </c>
      <c r="AD42" s="587" t="s">
        <v>702</v>
      </c>
      <c r="AE42" s="612" t="s">
        <v>735</v>
      </c>
      <c r="AG42" s="627" t="s">
        <v>736</v>
      </c>
      <c r="AH42" s="628" t="s">
        <v>737</v>
      </c>
      <c r="AJ42" s="587" t="s">
        <v>738</v>
      </c>
      <c r="AK42" s="612" t="s">
        <v>739</v>
      </c>
      <c r="AM42" s="587" t="s">
        <v>740</v>
      </c>
      <c r="AN42" s="612" t="s">
        <v>741</v>
      </c>
      <c r="AP42" s="587" t="s">
        <v>702</v>
      </c>
      <c r="AQ42" s="612" t="s">
        <v>742</v>
      </c>
      <c r="AS42" s="649" t="s">
        <v>743</v>
      </c>
      <c r="AT42" s="677" t="s">
        <v>744</v>
      </c>
      <c r="AV42" s="587" t="s">
        <v>745</v>
      </c>
      <c r="AW42" s="612" t="s">
        <v>746</v>
      </c>
      <c r="AX42" s="578">
        <v>1</v>
      </c>
      <c r="AY42" s="578" t="s">
        <v>747</v>
      </c>
      <c r="AZ42" s="650" t="s">
        <v>748</v>
      </c>
      <c r="BB42" s="578" t="s">
        <v>749</v>
      </c>
      <c r="BC42" s="650" t="s">
        <v>750</v>
      </c>
      <c r="BD42" s="587">
        <v>2</v>
      </c>
      <c r="BE42" s="578" t="s">
        <v>751</v>
      </c>
      <c r="BF42" s="650" t="s">
        <v>752</v>
      </c>
      <c r="BO42" s="612"/>
      <c r="CH42" s="679" t="s">
        <v>753</v>
      </c>
      <c r="CI42" s="587">
        <v>87</v>
      </c>
      <c r="CJ42" s="587" cm="1">
        <f t="array" ref="CJ42">_xlfn.IFS($AZ$2&gt;=14,92,$AZ$2&gt;=10,91,$AZ$2&gt;=6,90,$AZ$2&gt;=3,88,1,0)</f>
        <v>0</v>
      </c>
      <c r="CN42" s="702" t="str">
        <f>IFERROR(IF(CN41+1&gt;CS2,IF(CN41+1&gt;CS2,IF(CR3+CR41&gt;CS3,"",CR3+CR41)),CN41+1),"")</f>
        <v/>
      </c>
      <c r="CO42" s="702" t="str" cm="1">
        <f t="array" ref="CO42">IFERROR(INDEX($B$34:$BO$262,CN42,$CP$2),"")</f>
        <v/>
      </c>
      <c r="CP42" s="702" t="str" cm="1">
        <f t="array" ref="CP42">IFERROR(INDEX($B$34:$BO$262,CN42,$CQ$2),"")</f>
        <v/>
      </c>
      <c r="CQ42" s="702" t="str" cm="1">
        <f t="array" ref="CQ42">IF(IFERROR(INDEX($B$34:$BO$262,CN42,$CO$2),"")=0,"",IFERROR(INDEX($B$34:$BO$262,CN42,$CO$2),""))</f>
        <v/>
      </c>
      <c r="CR42" s="702" t="str">
        <f>IFERROR(IF(CN41+1&gt;CS2,CR41+1,0),"")</f>
        <v/>
      </c>
      <c r="CT42" s="705" t="str">
        <f t="shared" si="5"/>
        <v/>
      </c>
      <c r="CU42" s="706" t="str" cm="1">
        <f t="array" ref="CU42">INDEX(CT:CT,SMALL(IF($CT$2:$CT$101&lt;&gt;"",ROW($CT$2:$CT$101),142),ROW(CT41)))&amp;""</f>
        <v/>
      </c>
      <c r="CV42" s="701" t="str">
        <f t="shared" si="3"/>
        <v/>
      </c>
      <c r="CW42" s="702" t="str">
        <f>IF(主要!AX51="","",主要!AX51)</f>
        <v/>
      </c>
      <c r="CX42" s="702" t="str">
        <f t="shared" si="4"/>
        <v/>
      </c>
    </row>
    <row r="43" customHeight="1" spans="1:102">
      <c r="A43" s="586">
        <v>10</v>
      </c>
      <c r="B43" s="610">
        <v>2</v>
      </c>
      <c r="C43" s="587" t="s">
        <v>754</v>
      </c>
      <c r="D43" s="612" t="s">
        <v>755</v>
      </c>
      <c r="F43" s="587" t="s">
        <v>702</v>
      </c>
      <c r="G43" s="612" t="s">
        <v>756</v>
      </c>
      <c r="I43" s="587" t="s">
        <v>731</v>
      </c>
      <c r="J43" s="612" t="s">
        <v>757</v>
      </c>
      <c r="L43" s="587" t="s">
        <v>731</v>
      </c>
      <c r="M43" s="612" t="s">
        <v>758</v>
      </c>
      <c r="N43" s="587">
        <v>2</v>
      </c>
      <c r="O43" s="587" t="s">
        <v>759</v>
      </c>
      <c r="P43" s="612" t="s">
        <v>760</v>
      </c>
      <c r="Q43" s="587">
        <v>2</v>
      </c>
      <c r="R43" s="587" t="s">
        <v>761</v>
      </c>
      <c r="S43" s="612" t="s">
        <v>762</v>
      </c>
      <c r="U43" s="587" t="s">
        <v>731</v>
      </c>
      <c r="V43" s="612" t="s">
        <v>763</v>
      </c>
      <c r="X43" s="587" t="s">
        <v>764</v>
      </c>
      <c r="Y43" s="611" t="s">
        <v>765</v>
      </c>
      <c r="Z43" s="587">
        <v>1</v>
      </c>
      <c r="AA43" s="587" t="s">
        <v>722</v>
      </c>
      <c r="AB43" s="612" t="s">
        <v>766</v>
      </c>
      <c r="AD43" s="587" t="s">
        <v>731</v>
      </c>
      <c r="AE43" s="612" t="s">
        <v>767</v>
      </c>
      <c r="AG43" s="627" t="s">
        <v>768</v>
      </c>
      <c r="AH43" s="628" t="s">
        <v>769</v>
      </c>
      <c r="AJ43" s="587" t="s">
        <v>702</v>
      </c>
      <c r="AK43" s="612" t="s">
        <v>770</v>
      </c>
      <c r="AM43" s="587" t="s">
        <v>695</v>
      </c>
      <c r="AN43" s="612" t="s">
        <v>771</v>
      </c>
      <c r="AP43" s="587" t="s">
        <v>772</v>
      </c>
      <c r="AQ43" s="612" t="s">
        <v>773</v>
      </c>
      <c r="AS43" s="649" t="s">
        <v>774</v>
      </c>
      <c r="AT43" s="677" t="s">
        <v>775</v>
      </c>
      <c r="AV43" s="587" t="s">
        <v>776</v>
      </c>
      <c r="AW43" s="612" t="s">
        <v>777</v>
      </c>
      <c r="AX43" s="578">
        <v>2</v>
      </c>
      <c r="AY43" s="578" t="s">
        <v>778</v>
      </c>
      <c r="AZ43" s="650" t="s">
        <v>779</v>
      </c>
      <c r="BA43" s="587">
        <v>1</v>
      </c>
      <c r="BB43" s="578" t="s">
        <v>780</v>
      </c>
      <c r="BC43" s="650" t="s">
        <v>781</v>
      </c>
      <c r="BD43" s="587">
        <v>2</v>
      </c>
      <c r="BE43" s="578" t="s">
        <v>782</v>
      </c>
      <c r="BF43" s="650" t="s">
        <v>783</v>
      </c>
      <c r="BO43" s="612"/>
      <c r="CH43" s="679" t="s">
        <v>784</v>
      </c>
      <c r="CI43" s="587">
        <v>93</v>
      </c>
      <c r="CJ43" s="587" cm="1">
        <f t="array" ref="CJ43">_xlfn.IFS($AZ$2&gt;=14,97,$AZ$2&gt;=10,96,$AZ$2&gt;=6,95,$AZ$2&gt;=3,94,1,0)</f>
        <v>0</v>
      </c>
      <c r="CN43" s="702" t="str">
        <f>IFERROR(IF(CN42+1&gt;CS2,IF(CN42+1&gt;CS2,IF(CR3+CR42&gt;CS3,"",CR3+CR42)),CN42+1),"")</f>
        <v/>
      </c>
      <c r="CO43" s="702" t="str" cm="1">
        <f t="array" ref="CO43">IFERROR(INDEX($B$34:$BO$262,CN43,$CP$2),"")</f>
        <v/>
      </c>
      <c r="CP43" s="702" t="str" cm="1">
        <f t="array" ref="CP43">IFERROR(INDEX($B$34:$BO$262,CN43,$CQ$2),"")</f>
        <v/>
      </c>
      <c r="CQ43" s="702" t="str" cm="1">
        <f t="array" ref="CQ43">IF(IFERROR(INDEX($B$34:$BO$262,CN43,$CO$2),"")=0,"",IFERROR(INDEX($B$34:$BO$262,CN43,$CO$2),""))</f>
        <v/>
      </c>
      <c r="CR43" s="702" t="str">
        <f>IFERROR(IF(CN42+1&gt;CS2,CR42+1,0),"")</f>
        <v/>
      </c>
      <c r="CT43" s="705" t="str">
        <f t="shared" si="5"/>
        <v/>
      </c>
      <c r="CU43" s="706" t="str" cm="1">
        <f t="array" ref="CU43">INDEX(CT:CT,SMALL(IF($CT$2:$CT$101&lt;&gt;"",ROW($CT$2:$CT$101),142),ROW(CT42)))&amp;""</f>
        <v/>
      </c>
      <c r="CV43" s="701" t="str">
        <f t="shared" si="3"/>
        <v/>
      </c>
      <c r="CW43" s="702" t="str">
        <f>IF(主要!AX52="","",主要!AX52)</f>
        <v/>
      </c>
      <c r="CX43" s="702" t="str">
        <f t="shared" si="4"/>
        <v/>
      </c>
    </row>
    <row r="44" customHeight="1" spans="1:102">
      <c r="A44" s="586">
        <v>11</v>
      </c>
      <c r="B44" s="610">
        <v>2</v>
      </c>
      <c r="C44" s="587" t="s">
        <v>785</v>
      </c>
      <c r="D44" s="612" t="s">
        <v>786</v>
      </c>
      <c r="F44" s="587" t="s">
        <v>731</v>
      </c>
      <c r="G44" s="612" t="s">
        <v>787</v>
      </c>
      <c r="I44" s="587" t="s">
        <v>764</v>
      </c>
      <c r="J44" s="612" t="s">
        <v>788</v>
      </c>
      <c r="L44" s="587" t="s">
        <v>764</v>
      </c>
      <c r="M44" s="612" t="s">
        <v>789</v>
      </c>
      <c r="N44" s="587">
        <v>2</v>
      </c>
      <c r="O44" s="587" t="s">
        <v>790</v>
      </c>
      <c r="P44" s="612" t="s">
        <v>791</v>
      </c>
      <c r="Q44" s="587">
        <v>2</v>
      </c>
      <c r="R44" s="587" t="s">
        <v>792</v>
      </c>
      <c r="S44" s="612" t="s">
        <v>793</v>
      </c>
      <c r="U44" s="587" t="s">
        <v>764</v>
      </c>
      <c r="V44" s="612" t="s">
        <v>794</v>
      </c>
      <c r="X44" s="587" t="s">
        <v>795</v>
      </c>
      <c r="Y44" s="612" t="s">
        <v>796</v>
      </c>
      <c r="Z44" s="587">
        <v>2</v>
      </c>
      <c r="AA44" s="587" t="s">
        <v>797</v>
      </c>
      <c r="AB44" s="612" t="s">
        <v>798</v>
      </c>
      <c r="AD44" s="587" t="s">
        <v>764</v>
      </c>
      <c r="AE44" s="612" t="s">
        <v>799</v>
      </c>
      <c r="AG44" s="627" t="s">
        <v>800</v>
      </c>
      <c r="AH44" s="651" t="s">
        <v>801</v>
      </c>
      <c r="AJ44" s="587" t="s">
        <v>731</v>
      </c>
      <c r="AK44" s="612" t="s">
        <v>802</v>
      </c>
      <c r="AM44" s="587" t="s">
        <v>702</v>
      </c>
      <c r="AN44" s="612" t="s">
        <v>803</v>
      </c>
      <c r="AP44" s="587" t="s">
        <v>764</v>
      </c>
      <c r="AQ44" s="612" t="s">
        <v>804</v>
      </c>
      <c r="AS44" s="649" t="s">
        <v>805</v>
      </c>
      <c r="AT44" s="677" t="s">
        <v>806</v>
      </c>
      <c r="AV44" s="587" t="s">
        <v>807</v>
      </c>
      <c r="AW44" s="612" t="s">
        <v>808</v>
      </c>
      <c r="AX44" s="578">
        <v>2</v>
      </c>
      <c r="AY44" s="578" t="s">
        <v>809</v>
      </c>
      <c r="AZ44" s="650" t="s">
        <v>810</v>
      </c>
      <c r="BA44" s="587">
        <v>2</v>
      </c>
      <c r="BB44" s="578" t="s">
        <v>811</v>
      </c>
      <c r="BC44" s="650" t="s">
        <v>812</v>
      </c>
      <c r="BD44" s="587">
        <v>2</v>
      </c>
      <c r="BE44" s="578" t="s">
        <v>813</v>
      </c>
      <c r="BF44" s="650" t="s">
        <v>814</v>
      </c>
      <c r="BO44" s="612"/>
      <c r="CH44" s="679" t="s">
        <v>815</v>
      </c>
      <c r="CI44" s="587">
        <v>98</v>
      </c>
      <c r="CJ44" s="587" cm="1">
        <f t="array" ref="CJ44">_xlfn.IFS($AZ$2&gt;=14,102,$AZ$2&gt;=10,101,$AZ$2&gt;=6,100,$AZ$2&gt;=3,99,1,0)</f>
        <v>0</v>
      </c>
      <c r="CN44" s="702" t="str">
        <f>IFERROR(IF(CN43+1&gt;CS2,IF(CN43+1&gt;CS2,IF(CR3+CR43&gt;CS3,"",CR3+CR43)),CN43+1),"")</f>
        <v/>
      </c>
      <c r="CO44" s="702" t="str" cm="1">
        <f t="array" ref="CO44">IFERROR(INDEX($B$34:$BO$262,CN44,$CP$2),"")</f>
        <v/>
      </c>
      <c r="CP44" s="702" t="str" cm="1">
        <f t="array" ref="CP44">IFERROR(INDEX($B$34:$BO$262,CN44,$CQ$2),"")</f>
        <v/>
      </c>
      <c r="CQ44" s="702" t="str" cm="1">
        <f t="array" ref="CQ44">IF(IFERROR(INDEX($B$34:$BO$262,CN44,$CO$2),"")=0,"",IFERROR(INDEX($B$34:$BO$262,CN44,$CO$2),""))</f>
        <v/>
      </c>
      <c r="CR44" s="702" t="str">
        <f>IFERROR(IF(CN43+1&gt;CS2,CR43+1,0),"")</f>
        <v/>
      </c>
      <c r="CT44" s="705" t="str">
        <f t="shared" si="5"/>
        <v/>
      </c>
      <c r="CU44" s="706" t="str" cm="1">
        <f t="array" ref="CU44">INDEX(CT:CT,SMALL(IF($CT$2:$CT$101&lt;&gt;"",ROW($CT$2:$CT$101),142),ROW(CT43)))&amp;""</f>
        <v/>
      </c>
      <c r="CV44" s="701" t="str">
        <f t="shared" si="3"/>
        <v/>
      </c>
      <c r="CW44" s="702" t="str">
        <f>IF(主要!AX53="","",主要!AX53)</f>
        <v/>
      </c>
      <c r="CX44" s="702" t="str">
        <f t="shared" si="4"/>
        <v/>
      </c>
    </row>
    <row r="45" customHeight="1" spans="1:102">
      <c r="A45" s="586">
        <v>12</v>
      </c>
      <c r="B45" s="610">
        <v>3</v>
      </c>
      <c r="C45" s="587" t="s">
        <v>816</v>
      </c>
      <c r="D45" s="612" t="s">
        <v>817</v>
      </c>
      <c r="F45" s="587" t="s">
        <v>764</v>
      </c>
      <c r="G45" s="612" t="s">
        <v>818</v>
      </c>
      <c r="I45" s="587" t="s">
        <v>795</v>
      </c>
      <c r="J45" s="612" t="s">
        <v>819</v>
      </c>
      <c r="L45" s="587" t="s">
        <v>795</v>
      </c>
      <c r="M45" s="612" t="s">
        <v>820</v>
      </c>
      <c r="N45" s="587">
        <v>3</v>
      </c>
      <c r="O45" s="587" t="s">
        <v>821</v>
      </c>
      <c r="P45" s="612" t="s">
        <v>822</v>
      </c>
      <c r="Q45" s="587">
        <v>3</v>
      </c>
      <c r="R45" s="587" t="s">
        <v>823</v>
      </c>
      <c r="S45" s="612" t="s">
        <v>824</v>
      </c>
      <c r="U45" s="587" t="s">
        <v>795</v>
      </c>
      <c r="V45" s="612" t="s">
        <v>825</v>
      </c>
      <c r="X45" s="587" t="s">
        <v>826</v>
      </c>
      <c r="Y45" s="612" t="s">
        <v>827</v>
      </c>
      <c r="Z45" s="587">
        <v>3</v>
      </c>
      <c r="AA45" s="587" t="s">
        <v>828</v>
      </c>
      <c r="AB45" s="612" t="s">
        <v>829</v>
      </c>
      <c r="AD45" s="587" t="s">
        <v>795</v>
      </c>
      <c r="AE45" s="612" t="s">
        <v>830</v>
      </c>
      <c r="AG45" s="627" t="s">
        <v>831</v>
      </c>
      <c r="AH45" s="628" t="s">
        <v>832</v>
      </c>
      <c r="AJ45" s="587" t="s">
        <v>764</v>
      </c>
      <c r="AK45" s="612" t="s">
        <v>833</v>
      </c>
      <c r="AM45" s="587" t="s">
        <v>834</v>
      </c>
      <c r="AN45" s="612" t="s">
        <v>835</v>
      </c>
      <c r="AP45" s="587" t="s">
        <v>795</v>
      </c>
      <c r="AQ45" s="612" t="s">
        <v>836</v>
      </c>
      <c r="AS45" s="649" t="s">
        <v>837</v>
      </c>
      <c r="AT45" s="677" t="s">
        <v>838</v>
      </c>
      <c r="AV45" s="587" t="s">
        <v>795</v>
      </c>
      <c r="AW45" s="612" t="s">
        <v>839</v>
      </c>
      <c r="AX45" s="578"/>
      <c r="AY45" s="689" t="s">
        <v>840</v>
      </c>
      <c r="AZ45" s="690" t="s">
        <v>841</v>
      </c>
      <c r="BA45" s="587">
        <v>2</v>
      </c>
      <c r="BB45" s="578" t="s">
        <v>842</v>
      </c>
      <c r="BC45" s="650" t="s">
        <v>843</v>
      </c>
      <c r="BD45" s="587">
        <v>3</v>
      </c>
      <c r="BE45" s="578" t="s">
        <v>844</v>
      </c>
      <c r="BF45" s="650" t="s">
        <v>845</v>
      </c>
      <c r="BO45" s="612"/>
      <c r="CH45" s="679" t="s">
        <v>846</v>
      </c>
      <c r="CI45" s="587">
        <v>103</v>
      </c>
      <c r="CJ45" s="587" cm="1">
        <f t="array" ref="CJ45">_xlfn.IFS($AZ$2&gt;=14,107,$AZ$2&gt;=10,106,$AZ$2&gt;=6,105,$AZ$2&gt;=3,104,1,0)</f>
        <v>0</v>
      </c>
      <c r="CN45" s="702" t="str">
        <f>IFERROR(IF(CN44+1&gt;CS2,IF(CN44+1&gt;CS2,IF(CR3+CR44&gt;CS3,"",CR3+CR44)),CN44+1),"")</f>
        <v/>
      </c>
      <c r="CO45" s="702" t="str" cm="1">
        <f t="array" ref="CO45">IFERROR(INDEX($B$34:$BO$262,CN45,$CP$2),"")</f>
        <v/>
      </c>
      <c r="CP45" s="702" t="str" cm="1">
        <f t="array" ref="CP45">IFERROR(INDEX($B$34:$BO$262,CN45,$CQ$2),"")</f>
        <v/>
      </c>
      <c r="CQ45" s="702" t="str" cm="1">
        <f t="array" ref="CQ45">IF(IFERROR(INDEX($B$34:$BO$262,CN45,$CO$2),"")=0,"",IFERROR(INDEX($B$34:$BO$262,CN45,$CO$2),""))</f>
        <v/>
      </c>
      <c r="CR45" s="702" t="str">
        <f>IFERROR(IF(CN44+1&gt;CS2,CR44+1,0),"")</f>
        <v/>
      </c>
      <c r="CT45" s="705" t="str">
        <f t="shared" si="5"/>
        <v/>
      </c>
      <c r="CU45" s="706" t="str" cm="1">
        <f t="array" ref="CU45">INDEX(CT:CT,SMALL(IF($CT$2:$CT$101&lt;&gt;"",ROW($CT$2:$CT$101),142),ROW(CT44)))&amp;""</f>
        <v/>
      </c>
      <c r="CV45" s="701" t="str">
        <f t="shared" si="3"/>
        <v/>
      </c>
      <c r="CW45" s="702" t="str">
        <f>IF(主要!AX54="","",主要!AX54)</f>
        <v/>
      </c>
      <c r="CX45" s="702" t="str">
        <f t="shared" si="4"/>
        <v/>
      </c>
    </row>
    <row r="46" customHeight="1" spans="1:102">
      <c r="A46" s="586">
        <v>13</v>
      </c>
      <c r="B46" s="610">
        <v>3</v>
      </c>
      <c r="C46" s="587" t="s">
        <v>847</v>
      </c>
      <c r="D46" s="612" t="s">
        <v>848</v>
      </c>
      <c r="F46" s="587" t="s">
        <v>795</v>
      </c>
      <c r="G46" s="612" t="s">
        <v>849</v>
      </c>
      <c r="I46" s="587" t="s">
        <v>826</v>
      </c>
      <c r="J46" s="612" t="s">
        <v>850</v>
      </c>
      <c r="L46" s="587" t="s">
        <v>826</v>
      </c>
      <c r="M46" s="612" t="s">
        <v>851</v>
      </c>
      <c r="N46" s="587">
        <v>4</v>
      </c>
      <c r="O46" s="587" t="s">
        <v>852</v>
      </c>
      <c r="P46" s="612" t="s">
        <v>853</v>
      </c>
      <c r="Q46" s="587">
        <v>3</v>
      </c>
      <c r="R46" s="587" t="s">
        <v>854</v>
      </c>
      <c r="S46" s="612" t="s">
        <v>855</v>
      </c>
      <c r="U46" s="587" t="s">
        <v>826</v>
      </c>
      <c r="V46" s="612" t="s">
        <v>856</v>
      </c>
      <c r="W46" s="587">
        <v>1</v>
      </c>
      <c r="X46" s="587" t="s">
        <v>857</v>
      </c>
      <c r="Y46" s="612" t="s">
        <v>858</v>
      </c>
      <c r="Z46" s="587">
        <v>3</v>
      </c>
      <c r="AA46" s="587" t="s">
        <v>859</v>
      </c>
      <c r="AB46" s="612" t="s">
        <v>860</v>
      </c>
      <c r="AD46" s="587" t="s">
        <v>826</v>
      </c>
      <c r="AE46" s="612" t="s">
        <v>861</v>
      </c>
      <c r="AG46" s="652" t="str">
        <f>IF(主要!$CD$3="O","月之仪态","")</f>
        <v>月之仪态</v>
      </c>
      <c r="AH46" s="653" t="s">
        <v>862</v>
      </c>
      <c r="AJ46" s="587" t="s">
        <v>795</v>
      </c>
      <c r="AK46" s="612" t="s">
        <v>863</v>
      </c>
      <c r="AM46" s="587" t="s">
        <v>864</v>
      </c>
      <c r="AN46" s="612" t="s">
        <v>865</v>
      </c>
      <c r="AP46" s="587" t="s">
        <v>866</v>
      </c>
      <c r="AQ46" s="612" t="s">
        <v>867</v>
      </c>
      <c r="AS46" s="649" t="s">
        <v>868</v>
      </c>
      <c r="AT46" s="677" t="s">
        <v>869</v>
      </c>
      <c r="AV46" s="587" t="s">
        <v>870</v>
      </c>
      <c r="AW46" s="612" t="s">
        <v>871</v>
      </c>
      <c r="AX46" s="578"/>
      <c r="AY46" s="689" t="s">
        <v>872</v>
      </c>
      <c r="AZ46" s="690" t="s">
        <v>873</v>
      </c>
      <c r="BA46" s="587">
        <v>2</v>
      </c>
      <c r="BB46" s="689" t="s">
        <v>874</v>
      </c>
      <c r="BC46" s="690" t="s">
        <v>875</v>
      </c>
      <c r="BD46" s="587">
        <v>3</v>
      </c>
      <c r="BE46" s="578" t="s">
        <v>876</v>
      </c>
      <c r="BF46" s="650" t="s">
        <v>877</v>
      </c>
      <c r="BO46" s="612"/>
      <c r="CH46" s="679" t="s">
        <v>878</v>
      </c>
      <c r="CI46" s="587">
        <v>108</v>
      </c>
      <c r="CJ46" s="587" cm="1">
        <f t="array" ref="CJ46">_xlfn.IFS($AZ$2&gt;=14,129,$AZ$2&gt;=10,128,$AZ$2&gt;=6,127,$AZ$2&gt;=3,126,1,0)</f>
        <v>0</v>
      </c>
      <c r="CN46" s="702" t="str">
        <f>IFERROR(IF(CN45+1&gt;CS2,IF(CN45+1&gt;CS2,IF(CR3+CR45&gt;CS3,"",CR3+CR45)),CN45+1),"")</f>
        <v/>
      </c>
      <c r="CO46" s="702" t="str" cm="1">
        <f t="array" ref="CO46">IFERROR(INDEX($B$34:$BO$262,CN46,$CP$2),"")</f>
        <v/>
      </c>
      <c r="CP46" s="702" t="str" cm="1">
        <f t="array" ref="CP46">IFERROR(INDEX($B$34:$BO$262,CN46,$CQ$2),"")</f>
        <v/>
      </c>
      <c r="CQ46" s="702" t="str" cm="1">
        <f t="array" ref="CQ46">IF(IFERROR(INDEX($B$34:$BO$262,CN46,$CO$2),"")=0,"",IFERROR(INDEX($B$34:$BO$262,CN46,$CO$2),""))</f>
        <v/>
      </c>
      <c r="CR46" s="702" t="str">
        <f>IFERROR(IF(CN45+1&gt;CS2,CR45+1,0),"")</f>
        <v/>
      </c>
      <c r="CT46" s="705" t="str">
        <f t="shared" si="5"/>
        <v/>
      </c>
      <c r="CU46" s="706" t="str" cm="1">
        <f t="array" ref="CU46">INDEX(CT:CT,SMALL(IF($CT$2:$CT$101&lt;&gt;"",ROW($CT$2:$CT$101),142),ROW(CT45)))&amp;""</f>
        <v/>
      </c>
      <c r="CV46" s="701" t="str">
        <f t="shared" si="3"/>
        <v/>
      </c>
      <c r="CW46" s="702" t="str">
        <f>IF(主要!AX55="","",主要!AX55)</f>
        <v/>
      </c>
      <c r="CX46" s="702" t="str">
        <f t="shared" si="4"/>
        <v/>
      </c>
    </row>
    <row r="47" customHeight="1" spans="1:102">
      <c r="A47" s="586">
        <v>14</v>
      </c>
      <c r="B47" s="610">
        <v>4</v>
      </c>
      <c r="C47" s="587" t="s">
        <v>852</v>
      </c>
      <c r="D47" s="612" t="s">
        <v>879</v>
      </c>
      <c r="F47" s="587" t="s">
        <v>826</v>
      </c>
      <c r="G47" s="612" t="s">
        <v>880</v>
      </c>
      <c r="H47" s="587">
        <v>1</v>
      </c>
      <c r="I47" s="587" t="s">
        <v>881</v>
      </c>
      <c r="J47" s="612" t="s">
        <v>882</v>
      </c>
      <c r="K47" s="587">
        <v>1</v>
      </c>
      <c r="L47" s="587" t="s">
        <v>883</v>
      </c>
      <c r="M47" s="612" t="s">
        <v>884</v>
      </c>
      <c r="N47" s="587">
        <v>5</v>
      </c>
      <c r="O47" s="587" t="s">
        <v>885</v>
      </c>
      <c r="P47" s="612" t="s">
        <v>886</v>
      </c>
      <c r="Q47" s="587">
        <v>4</v>
      </c>
      <c r="R47" s="587" t="s">
        <v>852</v>
      </c>
      <c r="S47" s="612" t="s">
        <v>887</v>
      </c>
      <c r="T47" s="587">
        <v>1</v>
      </c>
      <c r="U47" s="587" t="s">
        <v>722</v>
      </c>
      <c r="V47" s="612" t="s">
        <v>888</v>
      </c>
      <c r="W47" s="587">
        <v>1</v>
      </c>
      <c r="X47" s="587" t="s">
        <v>722</v>
      </c>
      <c r="Y47" s="612" t="s">
        <v>889</v>
      </c>
      <c r="Z47" s="587">
        <v>4</v>
      </c>
      <c r="AA47" s="587" t="s">
        <v>852</v>
      </c>
      <c r="AB47" s="612" t="s">
        <v>890</v>
      </c>
      <c r="AC47" s="587">
        <v>1</v>
      </c>
      <c r="AD47" s="587" t="s">
        <v>891</v>
      </c>
      <c r="AE47" s="612" t="s">
        <v>892</v>
      </c>
      <c r="AG47" s="652" t="str">
        <f>IF(主要!$CD$3="O","永生者赠礼","")</f>
        <v>永生者赠礼</v>
      </c>
      <c r="AH47" s="653" t="s">
        <v>893</v>
      </c>
      <c r="AJ47" s="587" t="s">
        <v>826</v>
      </c>
      <c r="AK47" s="612" t="s">
        <v>894</v>
      </c>
      <c r="AM47" s="587" t="s">
        <v>795</v>
      </c>
      <c r="AN47" s="612" t="s">
        <v>895</v>
      </c>
      <c r="AO47" s="587">
        <v>1</v>
      </c>
      <c r="AP47" s="587" t="s">
        <v>896</v>
      </c>
      <c r="AQ47" s="611" t="s">
        <v>897</v>
      </c>
      <c r="AS47" s="649" t="s">
        <v>898</v>
      </c>
      <c r="AT47" s="677" t="s">
        <v>899</v>
      </c>
      <c r="AU47" s="587">
        <v>2</v>
      </c>
      <c r="AV47" s="587" t="s">
        <v>900</v>
      </c>
      <c r="AW47" s="612" t="s">
        <v>901</v>
      </c>
      <c r="AX47" s="578"/>
      <c r="AY47" s="689" t="s">
        <v>902</v>
      </c>
      <c r="AZ47" s="677" t="s">
        <v>903</v>
      </c>
      <c r="BA47" s="587">
        <v>2</v>
      </c>
      <c r="BB47" s="689" t="s">
        <v>904</v>
      </c>
      <c r="BC47" s="690" t="s">
        <v>905</v>
      </c>
      <c r="BD47" s="587">
        <v>4</v>
      </c>
      <c r="BE47" s="578" t="s">
        <v>906</v>
      </c>
      <c r="BF47" s="650" t="s">
        <v>907</v>
      </c>
      <c r="BO47" s="612"/>
      <c r="CH47" s="679" t="s">
        <v>908</v>
      </c>
      <c r="CI47" s="587">
        <v>130</v>
      </c>
      <c r="CJ47" s="587" cm="1">
        <f t="array" ref="CJ47">_xlfn.IFS($AZ$2&gt;=14,134,$AZ$2&gt;=10,133,$AZ$2&gt;=6,132,$AZ$2&gt;=3,131,1,0)</f>
        <v>0</v>
      </c>
      <c r="CN47" s="702" t="str">
        <f>IFERROR(IF(CN46+1&gt;CS2,IF(CN46+1&gt;CS2,IF(CR3+CR46&gt;CS3,"",CR3+CR46)),CN46+1),"")</f>
        <v/>
      </c>
      <c r="CO47" s="702" t="str" cm="1">
        <f t="array" ref="CO47">IFERROR(INDEX($B$34:$BO$262,CN47,$CP$2),"")</f>
        <v/>
      </c>
      <c r="CP47" s="702" t="str" cm="1">
        <f t="array" ref="CP47">IFERROR(INDEX($B$34:$BO$262,CN47,$CQ$2),"")</f>
        <v/>
      </c>
      <c r="CQ47" s="702" t="str" cm="1">
        <f t="array" ref="CQ47">IF(IFERROR(INDEX($B$34:$BO$262,CN47,$CO$2),"")=0,"",IFERROR(INDEX($B$34:$BO$262,CN47,$CO$2),""))</f>
        <v/>
      </c>
      <c r="CR47" s="702" t="str">
        <f>IFERROR(IF(CN46+1&gt;CS2,CR46+1,0),"")</f>
        <v/>
      </c>
      <c r="CT47" s="705" t="str">
        <f t="shared" si="5"/>
        <v/>
      </c>
      <c r="CU47" s="706" t="str" cm="1">
        <f t="array" ref="CU47">INDEX(CT:CT,SMALL(IF($CT$2:$CT$101&lt;&gt;"",ROW($CT$2:$CT$101),142),ROW(CT46)))&amp;""</f>
        <v/>
      </c>
      <c r="CV47" s="701" t="str">
        <f t="shared" si="3"/>
        <v/>
      </c>
      <c r="CW47" s="702" t="str">
        <f>IF(主要!AX56="","",主要!AX56)</f>
        <v/>
      </c>
      <c r="CX47" s="702" t="str">
        <f t="shared" si="4"/>
        <v/>
      </c>
    </row>
    <row r="48" customHeight="1" spans="1:102">
      <c r="A48" s="586">
        <v>15</v>
      </c>
      <c r="B48" s="610">
        <v>5</v>
      </c>
      <c r="C48" s="587" t="s">
        <v>885</v>
      </c>
      <c r="D48" s="612" t="s">
        <v>909</v>
      </c>
      <c r="E48" s="587">
        <v>2</v>
      </c>
      <c r="F48" s="587" t="s">
        <v>672</v>
      </c>
      <c r="G48" s="612" t="s">
        <v>910</v>
      </c>
      <c r="H48" s="587">
        <v>2</v>
      </c>
      <c r="I48" s="587" t="s">
        <v>911</v>
      </c>
      <c r="J48" s="612" t="s">
        <v>912</v>
      </c>
      <c r="K48" s="587">
        <v>1</v>
      </c>
      <c r="L48" s="587" t="s">
        <v>913</v>
      </c>
      <c r="M48" s="612" t="s">
        <v>914</v>
      </c>
      <c r="N48" s="587">
        <v>5</v>
      </c>
      <c r="O48" s="587" t="s">
        <v>915</v>
      </c>
      <c r="P48" s="612" t="s">
        <v>916</v>
      </c>
      <c r="Q48" s="587">
        <v>4</v>
      </c>
      <c r="R48" s="587" t="s">
        <v>917</v>
      </c>
      <c r="S48" s="612" t="s">
        <v>918</v>
      </c>
      <c r="T48" s="587">
        <v>2</v>
      </c>
      <c r="U48" s="587" t="s">
        <v>665</v>
      </c>
      <c r="V48" s="612" t="s">
        <v>919</v>
      </c>
      <c r="W48" s="587">
        <v>2</v>
      </c>
      <c r="X48" s="587" t="s">
        <v>920</v>
      </c>
      <c r="Y48" s="612" t="s">
        <v>921</v>
      </c>
      <c r="Z48" s="587">
        <v>5</v>
      </c>
      <c r="AA48" s="587" t="s">
        <v>922</v>
      </c>
      <c r="AB48" s="612" t="s">
        <v>923</v>
      </c>
      <c r="AC48" s="587">
        <v>2</v>
      </c>
      <c r="AD48" s="587" t="s">
        <v>924</v>
      </c>
      <c r="AE48" s="612" t="s">
        <v>925</v>
      </c>
      <c r="AG48" s="652" t="str">
        <f>IF(主要!$CD$3="O","进阶契约武器","")</f>
        <v>进阶契约武器</v>
      </c>
      <c r="AH48" s="653" t="s">
        <v>926</v>
      </c>
      <c r="AJ48" s="587" t="s">
        <v>927</v>
      </c>
      <c r="AK48" s="612" t="s">
        <v>928</v>
      </c>
      <c r="AL48" s="587">
        <v>2</v>
      </c>
      <c r="AM48" s="587" t="s">
        <v>929</v>
      </c>
      <c r="AN48" s="612" t="s">
        <v>930</v>
      </c>
      <c r="AO48" s="587">
        <v>1</v>
      </c>
      <c r="AP48" s="587" t="s">
        <v>931</v>
      </c>
      <c r="AQ48" s="650" t="s">
        <v>932</v>
      </c>
      <c r="AS48" s="649" t="s">
        <v>933</v>
      </c>
      <c r="AT48" s="677" t="s">
        <v>934</v>
      </c>
      <c r="AU48" s="587">
        <v>2</v>
      </c>
      <c r="AV48" s="649" t="s">
        <v>935</v>
      </c>
      <c r="AW48" s="677" t="s">
        <v>936</v>
      </c>
      <c r="AX48" s="578"/>
      <c r="AY48" s="689" t="s">
        <v>937</v>
      </c>
      <c r="AZ48" s="690" t="s">
        <v>938</v>
      </c>
      <c r="BA48" s="587">
        <v>2</v>
      </c>
      <c r="BB48" s="689" t="s">
        <v>939</v>
      </c>
      <c r="BC48" s="690" t="s">
        <v>940</v>
      </c>
      <c r="BD48" s="587">
        <v>4</v>
      </c>
      <c r="BE48" s="578" t="s">
        <v>941</v>
      </c>
      <c r="BF48" s="650" t="s">
        <v>942</v>
      </c>
      <c r="BO48" s="612"/>
      <c r="CH48" s="679" t="s">
        <v>943</v>
      </c>
      <c r="CI48" s="587">
        <v>135</v>
      </c>
      <c r="CJ48" s="587" cm="1">
        <f t="array" ref="CJ48">_xlfn.IFS($AZ$2&gt;=14,138,$AZ$2&gt;=10,137,$AZ$2&gt;=6,136,$AZ$2&gt;=3,135,1,0)</f>
        <v>0</v>
      </c>
      <c r="CN48" s="702" t="str">
        <f>IFERROR(IF(CN47+1&gt;CS2,IF(CN47+1&gt;CS2,IF(CR3+CR47&gt;CS3,"",CR3+CR47)),CN47+1),"")</f>
        <v/>
      </c>
      <c r="CO48" s="702" t="str" cm="1">
        <f t="array" ref="CO48">IFERROR(INDEX($B$34:$BO$262,CN48,$CP$2),"")</f>
        <v/>
      </c>
      <c r="CP48" s="702" t="str" cm="1">
        <f t="array" ref="CP48">IFERROR(INDEX($B$34:$BO$262,CN48,$CQ$2),"")</f>
        <v/>
      </c>
      <c r="CQ48" s="702" t="str" cm="1">
        <f t="array" ref="CQ48">IF(IFERROR(INDEX($B$34:$BO$262,CN48,$CO$2),"")=0,"",IFERROR(INDEX($B$34:$BO$262,CN48,$CO$2),""))</f>
        <v/>
      </c>
      <c r="CR48" s="702" t="str">
        <f>IFERROR(IF(CN47+1&gt;CS2,CR47+1,0),"")</f>
        <v/>
      </c>
      <c r="CT48" s="705" t="str">
        <f t="shared" si="5"/>
        <v/>
      </c>
      <c r="CU48" s="706" t="str" cm="1">
        <f t="array" ref="CU48">INDEX(CT:CT,SMALL(IF($CT$2:$CT$101&lt;&gt;"",ROW($CT$2:$CT$101),142),ROW(CT47)))&amp;""</f>
        <v/>
      </c>
      <c r="CV48" s="701" t="str">
        <f t="shared" si="3"/>
        <v/>
      </c>
      <c r="CW48" s="702" t="str">
        <f>IF(主要!AX57="","",主要!AX57)</f>
        <v/>
      </c>
      <c r="CX48" s="702" t="str">
        <f t="shared" si="4"/>
        <v/>
      </c>
    </row>
    <row r="49" customHeight="1" spans="1:102">
      <c r="A49" s="586">
        <v>16</v>
      </c>
      <c r="B49" s="610">
        <v>5</v>
      </c>
      <c r="C49" s="587" t="s">
        <v>944</v>
      </c>
      <c r="D49" s="612" t="s">
        <v>945</v>
      </c>
      <c r="E49" s="587">
        <v>2</v>
      </c>
      <c r="F49" s="587" t="s">
        <v>946</v>
      </c>
      <c r="G49" s="612" t="s">
        <v>947</v>
      </c>
      <c r="I49" s="587" t="s">
        <v>948</v>
      </c>
      <c r="J49" s="612" t="s">
        <v>949</v>
      </c>
      <c r="K49" s="587">
        <v>2</v>
      </c>
      <c r="L49" s="587" t="s">
        <v>950</v>
      </c>
      <c r="M49" s="612" t="s">
        <v>951</v>
      </c>
      <c r="N49" s="587">
        <v>9</v>
      </c>
      <c r="O49" s="587" t="s">
        <v>952</v>
      </c>
      <c r="P49" s="612" t="s">
        <v>953</v>
      </c>
      <c r="Q49" s="587">
        <v>5</v>
      </c>
      <c r="R49" s="587" t="s">
        <v>885</v>
      </c>
      <c r="S49" s="612" t="s">
        <v>909</v>
      </c>
      <c r="T49" s="587">
        <v>2</v>
      </c>
      <c r="U49" s="587" t="s">
        <v>954</v>
      </c>
      <c r="V49" s="612" t="s">
        <v>955</v>
      </c>
      <c r="W49" s="587">
        <v>2</v>
      </c>
      <c r="X49" s="587" t="s">
        <v>665</v>
      </c>
      <c r="Y49" s="612" t="s">
        <v>919</v>
      </c>
      <c r="Z49" s="587">
        <v>5</v>
      </c>
      <c r="AA49" s="587" t="s">
        <v>956</v>
      </c>
      <c r="AB49" s="612" t="s">
        <v>957</v>
      </c>
      <c r="AC49" s="587">
        <v>2</v>
      </c>
      <c r="AD49" s="587" t="s">
        <v>958</v>
      </c>
      <c r="AE49" s="612" t="s">
        <v>959</v>
      </c>
      <c r="AG49" s="654" t="str">
        <f>IF(主要!$CD$4="O","链主赋能","")</f>
        <v>链主赋能</v>
      </c>
      <c r="AH49" s="655" t="s">
        <v>960</v>
      </c>
      <c r="AJ49" s="587" t="s">
        <v>961</v>
      </c>
      <c r="AK49" s="612" t="s">
        <v>962</v>
      </c>
      <c r="AL49" s="587">
        <v>2</v>
      </c>
      <c r="AM49" s="587" t="s">
        <v>963</v>
      </c>
      <c r="AN49" s="611" t="s">
        <v>964</v>
      </c>
      <c r="AO49" s="587">
        <v>2</v>
      </c>
      <c r="AP49" s="587" t="s">
        <v>965</v>
      </c>
      <c r="AQ49" s="611" t="s">
        <v>966</v>
      </c>
      <c r="AS49" s="649" t="s">
        <v>967</v>
      </c>
      <c r="AT49" s="677" t="s">
        <v>968</v>
      </c>
      <c r="AU49" s="587">
        <v>2</v>
      </c>
      <c r="AV49" s="649" t="s">
        <v>969</v>
      </c>
      <c r="AW49" s="677" t="s">
        <v>970</v>
      </c>
      <c r="AX49" s="578"/>
      <c r="AY49" s="689" t="s">
        <v>971</v>
      </c>
      <c r="AZ49" s="690" t="s">
        <v>972</v>
      </c>
      <c r="BA49" s="587">
        <v>2</v>
      </c>
      <c r="BB49" s="689" t="s">
        <v>973</v>
      </c>
      <c r="BC49" s="690" t="s">
        <v>974</v>
      </c>
      <c r="BD49" s="587">
        <v>5</v>
      </c>
      <c r="BE49" s="578" t="s">
        <v>975</v>
      </c>
      <c r="BF49" s="650" t="s">
        <v>976</v>
      </c>
      <c r="BO49" s="612"/>
      <c r="CH49" s="608" t="s">
        <v>977</v>
      </c>
      <c r="CI49" s="608">
        <v>25</v>
      </c>
      <c r="CJ49" s="608" cm="1">
        <f t="array" ref="CJ49">_xlfn.IFS($AZ$3&gt;=14,28,$AZ$3&gt;=6,27,$AZ$3&gt;=3,25,1,0)</f>
        <v>0</v>
      </c>
      <c r="CN49" s="702" t="str">
        <f>IFERROR(IF(CN48+1&gt;CS2,IF(CN48+1&gt;CS2,IF(CR3+CR48&gt;CS3,"",CR3+CR48)),CN48+1),"")</f>
        <v/>
      </c>
      <c r="CO49" s="702" t="str" cm="1">
        <f t="array" ref="CO49">IFERROR(INDEX($B$34:$BO$262,CN49,$CP$2),"")</f>
        <v/>
      </c>
      <c r="CP49" s="702" t="str" cm="1">
        <f t="array" ref="CP49">IFERROR(INDEX($B$34:$BO$262,CN49,$CQ$2),"")</f>
        <v/>
      </c>
      <c r="CQ49" s="702" t="str" cm="1">
        <f t="array" ref="CQ49">IF(IFERROR(INDEX($B$34:$BO$262,CN49,$CO$2),"")=0,"",IFERROR(INDEX($B$34:$BO$262,CN49,$CO$2),""))</f>
        <v/>
      </c>
      <c r="CR49" s="702" t="str">
        <f>IFERROR(IF(CN48+1&gt;CS2,CR48+1,0),"")</f>
        <v/>
      </c>
      <c r="CT49" s="705" t="str">
        <f t="shared" si="5"/>
        <v/>
      </c>
      <c r="CU49" s="706" t="str" cm="1">
        <f t="array" ref="CU49">INDEX(CT:CT,SMALL(IF($CT$2:$CT$101&lt;&gt;"",ROW($CT$2:$CT$101),142),ROW(CT48)))&amp;""</f>
        <v/>
      </c>
      <c r="CV49" s="701" t="str">
        <f t="shared" si="3"/>
        <v/>
      </c>
      <c r="CW49" s="702" t="str">
        <f>IF(主要!AX58="","",主要!AX58)</f>
        <v/>
      </c>
      <c r="CX49" s="702" t="str">
        <f t="shared" si="4"/>
        <v/>
      </c>
    </row>
    <row r="50" customHeight="1" spans="1:102">
      <c r="A50" s="586">
        <v>17</v>
      </c>
      <c r="B50" s="610">
        <v>7</v>
      </c>
      <c r="C50" s="587" t="s">
        <v>978</v>
      </c>
      <c r="D50" s="612" t="s">
        <v>979</v>
      </c>
      <c r="E50" s="587">
        <v>3</v>
      </c>
      <c r="F50" s="587" t="s">
        <v>980</v>
      </c>
      <c r="G50" s="612" t="s">
        <v>981</v>
      </c>
      <c r="I50" s="587" t="s">
        <v>982</v>
      </c>
      <c r="J50" s="612" t="s">
        <v>983</v>
      </c>
      <c r="L50" s="587" t="s">
        <v>984</v>
      </c>
      <c r="M50" s="612" t="s">
        <v>985</v>
      </c>
      <c r="N50" s="587">
        <v>9</v>
      </c>
      <c r="O50" s="587" t="s">
        <v>986</v>
      </c>
      <c r="P50" s="612" t="s">
        <v>987</v>
      </c>
      <c r="Q50" s="587">
        <v>5</v>
      </c>
      <c r="R50" s="587" t="s">
        <v>988</v>
      </c>
      <c r="S50" s="612" t="s">
        <v>989</v>
      </c>
      <c r="T50" s="587">
        <v>3</v>
      </c>
      <c r="U50" s="587" t="s">
        <v>911</v>
      </c>
      <c r="V50" s="612" t="s">
        <v>990</v>
      </c>
      <c r="W50" s="587">
        <v>3</v>
      </c>
      <c r="X50" s="587" t="s">
        <v>991</v>
      </c>
      <c r="Y50" s="612" t="s">
        <v>992</v>
      </c>
      <c r="Z50" s="587">
        <v>7</v>
      </c>
      <c r="AA50" s="587" t="s">
        <v>993</v>
      </c>
      <c r="AB50" s="612" t="s">
        <v>994</v>
      </c>
      <c r="AD50" s="627" t="s">
        <v>995</v>
      </c>
      <c r="AE50" s="628" t="s">
        <v>996</v>
      </c>
      <c r="AG50" s="654" t="str">
        <f>IF(主要!$CD$4="O","符令责斥","")</f>
        <v>符令责斥</v>
      </c>
      <c r="AH50" s="655" t="s">
        <v>997</v>
      </c>
      <c r="AJ50" s="587" t="s">
        <v>998</v>
      </c>
      <c r="AK50" s="612" t="s">
        <v>999</v>
      </c>
      <c r="AL50" s="587">
        <v>3</v>
      </c>
      <c r="AM50" s="587" t="s">
        <v>1000</v>
      </c>
      <c r="AN50" s="611" t="s">
        <v>1001</v>
      </c>
      <c r="AP50" s="578" t="s">
        <v>1002</v>
      </c>
      <c r="AQ50" s="612" t="s">
        <v>1003</v>
      </c>
      <c r="AR50" s="587">
        <v>1</v>
      </c>
      <c r="AS50" s="587" t="s">
        <v>665</v>
      </c>
      <c r="AT50" s="612" t="s">
        <v>1004</v>
      </c>
      <c r="AU50" s="587">
        <v>2</v>
      </c>
      <c r="AV50" s="649" t="s">
        <v>1005</v>
      </c>
      <c r="AW50" s="677" t="s">
        <v>1006</v>
      </c>
      <c r="AX50" s="578"/>
      <c r="AY50" s="689" t="s">
        <v>1007</v>
      </c>
      <c r="AZ50" s="690" t="s">
        <v>1008</v>
      </c>
      <c r="BA50" s="587">
        <v>2</v>
      </c>
      <c r="BB50" s="689" t="s">
        <v>1009</v>
      </c>
      <c r="BC50" s="690" t="s">
        <v>1010</v>
      </c>
      <c r="BD50" s="587">
        <v>5</v>
      </c>
      <c r="BE50" s="578" t="s">
        <v>1011</v>
      </c>
      <c r="BF50" s="650" t="s">
        <v>1012</v>
      </c>
      <c r="BO50" s="612"/>
      <c r="CH50" s="587" t="s">
        <v>1013</v>
      </c>
      <c r="CI50" s="587">
        <v>29</v>
      </c>
      <c r="CJ50" s="587" cm="1">
        <f t="array" ref="CJ50">_xlfn.IFS($AZ$3&gt;=14,32,$AZ$3&gt;=6,31,$AZ$3&gt;=3,30,1,0)</f>
        <v>0</v>
      </c>
      <c r="CN50" s="702" t="str">
        <f>IFERROR(IF(CN49+1&gt;CS2,IF(CN49+1&gt;CS2,IF(CR3+CR49&gt;CS3,"",CR3+CR49)),CN49+1),"")</f>
        <v/>
      </c>
      <c r="CO50" s="702" t="str" cm="1">
        <f t="array" ref="CO50">IFERROR(INDEX($B$34:$BO$262,CN50,$CP$2),"")</f>
        <v/>
      </c>
      <c r="CP50" s="702" t="str" cm="1">
        <f t="array" ref="CP50">IFERROR(INDEX($B$34:$BO$262,CN50,$CQ$2),"")</f>
        <v/>
      </c>
      <c r="CQ50" s="702" t="str" cm="1">
        <f t="array" ref="CQ50">IF(IFERROR(INDEX($B$34:$BO$262,CN50,$CO$2),"")=0,"",IFERROR(INDEX($B$34:$BO$262,CN50,$CO$2),""))</f>
        <v/>
      </c>
      <c r="CR50" s="702" t="str">
        <f>IFERROR(IF(CN49+1&gt;CS2,CR49+1,0),"")</f>
        <v/>
      </c>
      <c r="CT50" s="705" t="str">
        <f t="shared" si="5"/>
        <v/>
      </c>
      <c r="CU50" s="706" t="str" cm="1">
        <f t="array" ref="CU50">INDEX(CT:CT,SMALL(IF($CT$2:$CT$101&lt;&gt;"",ROW($CT$2:$CT$101),142),ROW(CT49)))&amp;""</f>
        <v/>
      </c>
      <c r="CV50" s="701" t="str">
        <f t="shared" si="3"/>
        <v/>
      </c>
      <c r="CW50" s="702" t="str">
        <f>IF(主要!AX59="","",主要!AX59)</f>
        <v/>
      </c>
      <c r="CX50" s="702" t="str">
        <f t="shared" si="4"/>
        <v/>
      </c>
    </row>
    <row r="51" customHeight="1" spans="1:102">
      <c r="A51" s="586">
        <v>18</v>
      </c>
      <c r="B51" s="610">
        <v>7</v>
      </c>
      <c r="C51" s="587" t="s">
        <v>1014</v>
      </c>
      <c r="D51" s="612" t="s">
        <v>1015</v>
      </c>
      <c r="E51" s="587">
        <v>4</v>
      </c>
      <c r="F51" s="587" t="s">
        <v>852</v>
      </c>
      <c r="G51" s="612" t="s">
        <v>1016</v>
      </c>
      <c r="H51" s="587">
        <v>3</v>
      </c>
      <c r="I51" s="587" t="s">
        <v>1017</v>
      </c>
      <c r="J51" s="612" t="s">
        <v>1018</v>
      </c>
      <c r="L51" s="587" t="s">
        <v>1019</v>
      </c>
      <c r="M51" s="612" t="s">
        <v>1020</v>
      </c>
      <c r="N51" s="587">
        <v>11</v>
      </c>
      <c r="O51" s="587" t="s">
        <v>1021</v>
      </c>
      <c r="P51" s="612" t="s">
        <v>1022</v>
      </c>
      <c r="Q51" s="587">
        <v>6</v>
      </c>
      <c r="R51" s="587" t="s">
        <v>1023</v>
      </c>
      <c r="S51" s="612" t="s">
        <v>1024</v>
      </c>
      <c r="U51" s="587" t="s">
        <v>1025</v>
      </c>
      <c r="V51" s="612" t="s">
        <v>1026</v>
      </c>
      <c r="W51" s="587">
        <v>4</v>
      </c>
      <c r="X51" s="587" t="s">
        <v>852</v>
      </c>
      <c r="Y51" s="612" t="s">
        <v>1027</v>
      </c>
      <c r="Z51" s="587">
        <v>7</v>
      </c>
      <c r="AA51" s="587" t="s">
        <v>1028</v>
      </c>
      <c r="AB51" s="612" t="s">
        <v>1029</v>
      </c>
      <c r="AD51" s="627" t="s">
        <v>1030</v>
      </c>
      <c r="AE51" s="628" t="s">
        <v>1031</v>
      </c>
      <c r="AF51" s="587">
        <v>1</v>
      </c>
      <c r="AG51" s="587" t="s">
        <v>1032</v>
      </c>
      <c r="AH51" s="612" t="s">
        <v>1033</v>
      </c>
      <c r="AI51" s="587">
        <v>1</v>
      </c>
      <c r="AJ51" s="587" t="s">
        <v>1034</v>
      </c>
      <c r="AK51" s="612" t="s">
        <v>1035</v>
      </c>
      <c r="AL51" s="587">
        <v>4</v>
      </c>
      <c r="AM51" s="587" t="s">
        <v>852</v>
      </c>
      <c r="AN51" s="612" t="s">
        <v>1036</v>
      </c>
      <c r="AP51" s="578" t="s">
        <v>1037</v>
      </c>
      <c r="AQ51" s="612" t="s">
        <v>1038</v>
      </c>
      <c r="AR51" s="587">
        <v>2</v>
      </c>
      <c r="AS51" s="587" t="s">
        <v>1039</v>
      </c>
      <c r="AT51" s="612" t="s">
        <v>1040</v>
      </c>
      <c r="AU51" s="587">
        <v>2</v>
      </c>
      <c r="AV51" s="649" t="s">
        <v>1041</v>
      </c>
      <c r="AW51" s="677" t="s">
        <v>1042</v>
      </c>
      <c r="AX51" s="578">
        <v>3</v>
      </c>
      <c r="AY51" s="578" t="s">
        <v>1043</v>
      </c>
      <c r="AZ51" s="650" t="s">
        <v>1044</v>
      </c>
      <c r="BA51" s="587">
        <v>3</v>
      </c>
      <c r="BB51" s="578" t="s">
        <v>1045</v>
      </c>
      <c r="BC51" s="650" t="s">
        <v>1046</v>
      </c>
      <c r="BD51" s="587">
        <v>6</v>
      </c>
      <c r="BE51" s="578" t="s">
        <v>1047</v>
      </c>
      <c r="BF51" s="650" t="s">
        <v>1048</v>
      </c>
      <c r="BO51" s="612"/>
      <c r="CH51" s="587" t="s">
        <v>1049</v>
      </c>
      <c r="CI51" s="587">
        <v>33</v>
      </c>
      <c r="CJ51" s="587" cm="1">
        <f t="array" ref="CJ51">_xlfn.IFS($AZ$3&gt;=14,36,$AZ$3&gt;=6,35,$AZ$3&gt;=3,34,1,0)</f>
        <v>0</v>
      </c>
      <c r="CN51" s="702" t="str">
        <f>IFERROR(IF(CN50+1&gt;CS2,IF(CN50+1&gt;CS2,IF(CR3+CR50&gt;CS3,"",CR3+CR50)),CN50+1),"")</f>
        <v/>
      </c>
      <c r="CO51" s="702" t="str" cm="1">
        <f t="array" ref="CO51">IFERROR(INDEX($B$34:$BO$262,CN51,$CP$2),"")</f>
        <v/>
      </c>
      <c r="CP51" s="702" t="str" cm="1">
        <f t="array" ref="CP51">IFERROR(INDEX($B$34:$BO$262,CN51,$CQ$2),"")</f>
        <v/>
      </c>
      <c r="CQ51" s="702" t="str" cm="1">
        <f t="array" ref="CQ51">IF(IFERROR(INDEX($B$34:$BO$262,CN51,$CO$2),"")=0,"",IFERROR(INDEX($B$34:$BO$262,CN51,$CO$2),""))</f>
        <v/>
      </c>
      <c r="CR51" s="702" t="str">
        <f>IFERROR(IF(CN50+1&gt;CS2,CR50+1,0),"")</f>
        <v/>
      </c>
      <c r="CT51" s="705" t="str">
        <f t="shared" si="5"/>
        <v/>
      </c>
      <c r="CU51" s="706" t="str" cm="1">
        <f t="array" ref="CU51">INDEX(CT:CT,SMALL(IF($CT$2:$CT$101&lt;&gt;"",ROW($CT$2:$CT$101),142),ROW(CT50)))&amp;""</f>
        <v/>
      </c>
      <c r="CV51" s="701" t="str">
        <f t="shared" si="3"/>
        <v/>
      </c>
      <c r="CW51" s="702" t="str">
        <f>IF(主要!AX60="","",主要!AX60)</f>
        <v/>
      </c>
      <c r="CX51" s="702" t="str">
        <f t="shared" si="4"/>
        <v/>
      </c>
    </row>
    <row r="52" customHeight="1" spans="1:102">
      <c r="A52" s="586">
        <v>19</v>
      </c>
      <c r="B52" s="610">
        <v>9</v>
      </c>
      <c r="C52" s="587" t="s">
        <v>1050</v>
      </c>
      <c r="D52" s="612" t="s">
        <v>1051</v>
      </c>
      <c r="E52" s="587">
        <v>5</v>
      </c>
      <c r="F52" s="587" t="s">
        <v>1052</v>
      </c>
      <c r="G52" s="612" t="s">
        <v>1053</v>
      </c>
      <c r="H52" s="587">
        <v>4</v>
      </c>
      <c r="I52" s="587" t="s">
        <v>852</v>
      </c>
      <c r="J52" s="612" t="s">
        <v>1054</v>
      </c>
      <c r="L52" s="587" t="s">
        <v>1055</v>
      </c>
      <c r="M52" s="612" t="s">
        <v>1056</v>
      </c>
      <c r="N52" s="587">
        <v>13</v>
      </c>
      <c r="O52" s="587" t="s">
        <v>1057</v>
      </c>
      <c r="P52" s="612" t="s">
        <v>1058</v>
      </c>
      <c r="Q52" s="587">
        <v>7</v>
      </c>
      <c r="R52" s="587" t="s">
        <v>993</v>
      </c>
      <c r="S52" s="612" t="s">
        <v>1059</v>
      </c>
      <c r="T52" s="587">
        <v>3</v>
      </c>
      <c r="U52" s="587" t="s">
        <v>1060</v>
      </c>
      <c r="V52" s="612" t="s">
        <v>1061</v>
      </c>
      <c r="W52" s="587">
        <v>5</v>
      </c>
      <c r="X52" s="587" t="s">
        <v>885</v>
      </c>
      <c r="Y52" s="612" t="s">
        <v>886</v>
      </c>
      <c r="Z52" s="587">
        <v>11</v>
      </c>
      <c r="AA52" s="587" t="s">
        <v>1062</v>
      </c>
      <c r="AB52" s="612" t="s">
        <v>1063</v>
      </c>
      <c r="AD52" s="627" t="s">
        <v>1064</v>
      </c>
      <c r="AE52" s="628" t="s">
        <v>1065</v>
      </c>
      <c r="AG52" s="587" t="s">
        <v>695</v>
      </c>
      <c r="AH52" s="612" t="s">
        <v>1066</v>
      </c>
      <c r="AI52" s="587">
        <v>1</v>
      </c>
      <c r="AJ52" s="587" t="s">
        <v>1067</v>
      </c>
      <c r="AK52" s="612" t="s">
        <v>1068</v>
      </c>
      <c r="AL52" s="587">
        <v>6</v>
      </c>
      <c r="AM52" s="587" t="s">
        <v>1069</v>
      </c>
      <c r="AN52" s="611" t="s">
        <v>1070</v>
      </c>
      <c r="AP52" s="578" t="s">
        <v>1071</v>
      </c>
      <c r="AQ52" s="612" t="s">
        <v>1072</v>
      </c>
      <c r="AR52" s="587">
        <v>2</v>
      </c>
      <c r="AS52" s="587" t="s">
        <v>1073</v>
      </c>
      <c r="AT52" s="612" t="s">
        <v>1074</v>
      </c>
      <c r="AU52" s="587">
        <v>2</v>
      </c>
      <c r="AV52" s="649" t="s">
        <v>1075</v>
      </c>
      <c r="AW52" s="677" t="s">
        <v>1076</v>
      </c>
      <c r="AX52" s="578">
        <v>4</v>
      </c>
      <c r="AY52" s="578" t="s">
        <v>906</v>
      </c>
      <c r="AZ52" s="650" t="s">
        <v>1077</v>
      </c>
      <c r="BA52" s="587">
        <v>3</v>
      </c>
      <c r="BB52" s="578" t="s">
        <v>1078</v>
      </c>
      <c r="BC52" s="650" t="s">
        <v>1079</v>
      </c>
      <c r="BD52" s="587">
        <v>7</v>
      </c>
      <c r="BE52" s="578" t="s">
        <v>1080</v>
      </c>
      <c r="BF52" s="650" t="s">
        <v>1081</v>
      </c>
      <c r="BO52" s="612"/>
      <c r="CH52" s="587" t="s">
        <v>1082</v>
      </c>
      <c r="CI52" s="587">
        <v>37</v>
      </c>
      <c r="CJ52" s="587" cm="1">
        <f t="array" ref="CJ52">_xlfn.IFS($AZ$3&gt;=14,40,$AZ$3&gt;=6,39,$AZ$3&gt;=3,38,1,0)</f>
        <v>0</v>
      </c>
      <c r="CN52" s="702" t="str">
        <f>IFERROR(IF(CN51+1&gt;CS2,IF(CN51+1&gt;CS2,IF(CR3+CR51&gt;CS3,"",CR3+CR51)),CN51+1),"")</f>
        <v/>
      </c>
      <c r="CO52" s="702" t="str" cm="1">
        <f t="array" ref="CO52">IFERROR(INDEX($B$34:$BO$262,CN52,$CP$2),"")</f>
        <v/>
      </c>
      <c r="CP52" s="702" t="str" cm="1">
        <f t="array" ref="CP52">IFERROR(INDEX($B$34:$BO$262,CN52,$CQ$2),"")</f>
        <v/>
      </c>
      <c r="CQ52" s="702" t="str" cm="1">
        <f t="array" ref="CQ52">IF(IFERROR(INDEX($B$34:$BO$262,CN52,$CO$2),"")=0,"",IFERROR(INDEX($B$34:$BO$262,CN52,$CO$2),""))</f>
        <v/>
      </c>
      <c r="CR52" s="702" t="str">
        <f>IFERROR(IF(CN51+1&gt;CS2,CR51+1,0),"")</f>
        <v/>
      </c>
      <c r="CT52" s="705" t="str">
        <f t="shared" si="5"/>
        <v/>
      </c>
      <c r="CU52" s="706" t="str" cm="1">
        <f t="array" ref="CU52">INDEX(CT:CT,SMALL(IF($CT$2:$CT$101&lt;&gt;"",ROW($CT$2:$CT$101),142),ROW(CT51)))&amp;""</f>
        <v/>
      </c>
      <c r="CV52" s="701" t="str">
        <f t="shared" si="3"/>
        <v/>
      </c>
      <c r="CW52" s="702" t="str">
        <f>IF(主要!AX61="","",主要!AX61)</f>
        <v/>
      </c>
      <c r="CX52" s="702" t="str">
        <f t="shared" si="4"/>
        <v/>
      </c>
    </row>
    <row r="53" customHeight="1" spans="1:102">
      <c r="A53" s="586">
        <v>20</v>
      </c>
      <c r="B53" s="610">
        <v>11</v>
      </c>
      <c r="C53" s="587" t="s">
        <v>1083</v>
      </c>
      <c r="D53" s="612" t="s">
        <v>1084</v>
      </c>
      <c r="E53" s="587">
        <v>7</v>
      </c>
      <c r="F53" s="587" t="s">
        <v>1085</v>
      </c>
      <c r="G53" s="612" t="s">
        <v>1086</v>
      </c>
      <c r="H53" s="587">
        <v>5</v>
      </c>
      <c r="I53" s="587" t="s">
        <v>1087</v>
      </c>
      <c r="J53" s="612" t="s">
        <v>1088</v>
      </c>
      <c r="L53" s="587" t="s">
        <v>1089</v>
      </c>
      <c r="M53" s="612" t="s">
        <v>1090</v>
      </c>
      <c r="N53" s="587">
        <v>19</v>
      </c>
      <c r="O53" s="587" t="s">
        <v>1091</v>
      </c>
      <c r="P53" s="612" t="s">
        <v>1092</v>
      </c>
      <c r="Q53" s="587">
        <v>9</v>
      </c>
      <c r="R53" s="587" t="s">
        <v>1093</v>
      </c>
      <c r="S53" s="612" t="s">
        <v>1094</v>
      </c>
      <c r="T53" s="587">
        <v>4</v>
      </c>
      <c r="U53" s="587" t="s">
        <v>852</v>
      </c>
      <c r="V53" s="612" t="s">
        <v>1095</v>
      </c>
      <c r="W53" s="587">
        <v>6</v>
      </c>
      <c r="X53" s="587" t="s">
        <v>1096</v>
      </c>
      <c r="Y53" s="612" t="s">
        <v>1097</v>
      </c>
      <c r="Z53" s="587">
        <v>14</v>
      </c>
      <c r="AA53" s="587" t="s">
        <v>1098</v>
      </c>
      <c r="AB53" s="612" t="s">
        <v>1099</v>
      </c>
      <c r="AD53" s="627" t="s">
        <v>1100</v>
      </c>
      <c r="AE53" s="628" t="s">
        <v>1101</v>
      </c>
      <c r="AG53" s="587" t="s">
        <v>702</v>
      </c>
      <c r="AH53" s="612" t="s">
        <v>1102</v>
      </c>
      <c r="AI53" s="587">
        <v>2</v>
      </c>
      <c r="AJ53" s="587" t="s">
        <v>1103</v>
      </c>
      <c r="AK53" s="612" t="s">
        <v>1104</v>
      </c>
      <c r="AL53" s="587">
        <v>6</v>
      </c>
      <c r="AM53" s="587" t="s">
        <v>1105</v>
      </c>
      <c r="AN53" s="611" t="s">
        <v>1106</v>
      </c>
      <c r="AP53" s="578" t="s">
        <v>1107</v>
      </c>
      <c r="AQ53" s="678" t="s">
        <v>1108</v>
      </c>
      <c r="AR53" s="587">
        <v>2</v>
      </c>
      <c r="AS53" s="587" t="s">
        <v>1109</v>
      </c>
      <c r="AT53" s="612" t="s">
        <v>1110</v>
      </c>
      <c r="AU53" s="587">
        <v>2</v>
      </c>
      <c r="AV53" s="649" t="s">
        <v>1111</v>
      </c>
      <c r="AW53" s="677" t="s">
        <v>1112</v>
      </c>
      <c r="AX53" s="578">
        <v>5</v>
      </c>
      <c r="AY53" s="578" t="s">
        <v>975</v>
      </c>
      <c r="AZ53" s="650" t="s">
        <v>976</v>
      </c>
      <c r="BA53" s="587">
        <v>4</v>
      </c>
      <c r="BB53" s="578" t="s">
        <v>906</v>
      </c>
      <c r="BC53" s="650" t="s">
        <v>1113</v>
      </c>
      <c r="BD53" s="587">
        <v>9</v>
      </c>
      <c r="BE53" s="578" t="s">
        <v>1114</v>
      </c>
      <c r="BF53" s="650" t="s">
        <v>1115</v>
      </c>
      <c r="BO53" s="612"/>
      <c r="CH53" s="587" t="s">
        <v>1116</v>
      </c>
      <c r="CI53" s="587">
        <v>41</v>
      </c>
      <c r="CJ53" s="587" cm="1">
        <f t="array" ref="CJ53">_xlfn.IFS($AZ$3&gt;=14,45,$AZ$3&gt;=6,44,$AZ$3&gt;=3,43,1,0)</f>
        <v>0</v>
      </c>
      <c r="CN53" s="702" t="str">
        <f>IFERROR(IF(CN52+1&gt;CS2,IF(CN52+1&gt;CS2,IF(CR3+CR52&gt;CS3,"",CR3+CR52)),CN52+1),"")</f>
        <v/>
      </c>
      <c r="CO53" s="702" t="str" cm="1">
        <f t="array" ref="CO53">IFERROR(INDEX($B$34:$BO$262,CN53,$CP$2),"")</f>
        <v/>
      </c>
      <c r="CP53" s="702" t="str" cm="1">
        <f t="array" ref="CP53">IFERROR(INDEX($B$34:$BO$262,CN53,$CQ$2),"")</f>
        <v/>
      </c>
      <c r="CQ53" s="702" t="str" cm="1">
        <f t="array" ref="CQ53">IF(IFERROR(INDEX($B$34:$BO$262,CN53,$CO$2),"")=0,"",IFERROR(INDEX($B$34:$BO$262,CN53,$CO$2),""))</f>
        <v/>
      </c>
      <c r="CR53" s="702" t="str">
        <f>IFERROR(IF(CN52+1&gt;CS2,CR52+1,0),"")</f>
        <v/>
      </c>
      <c r="CT53" s="705" t="str">
        <f t="shared" si="5"/>
        <v/>
      </c>
      <c r="CU53" s="706" t="str" cm="1">
        <f t="array" ref="CU53">INDEX(CT:CT,SMALL(IF($CT$2:$CT$101&lt;&gt;"",ROW($CT$2:$CT$101),142),ROW(CT52)))&amp;""</f>
        <v/>
      </c>
      <c r="CV53" s="701" t="str">
        <f t="shared" si="3"/>
        <v/>
      </c>
      <c r="CW53" s="702" t="str">
        <f>IF(主要!AX62="","",主要!AX62)</f>
        <v/>
      </c>
      <c r="CX53" s="702" t="str">
        <f t="shared" si="4"/>
        <v/>
      </c>
    </row>
    <row r="54" customHeight="1" spans="1:102">
      <c r="A54" s="586">
        <v>21</v>
      </c>
      <c r="B54" s="610">
        <v>13</v>
      </c>
      <c r="C54" s="587" t="s">
        <v>1117</v>
      </c>
      <c r="D54" s="612" t="s">
        <v>1118</v>
      </c>
      <c r="E54" s="587">
        <v>10</v>
      </c>
      <c r="F54" s="587" t="s">
        <v>1119</v>
      </c>
      <c r="G54" s="612" t="s">
        <v>1120</v>
      </c>
      <c r="H54" s="587">
        <v>7</v>
      </c>
      <c r="I54" s="587" t="s">
        <v>1121</v>
      </c>
      <c r="J54" s="612" t="s">
        <v>1122</v>
      </c>
      <c r="K54" s="587">
        <v>2</v>
      </c>
      <c r="L54" s="587" t="s">
        <v>1123</v>
      </c>
      <c r="M54" s="612" t="s">
        <v>1124</v>
      </c>
      <c r="N54" s="587">
        <v>20</v>
      </c>
      <c r="O54" s="587" t="s">
        <v>1125</v>
      </c>
      <c r="P54" s="612" t="s">
        <v>1126</v>
      </c>
      <c r="Q54" s="587">
        <v>10</v>
      </c>
      <c r="R54" s="587" t="s">
        <v>1127</v>
      </c>
      <c r="S54" s="612" t="s">
        <v>1128</v>
      </c>
      <c r="T54" s="587">
        <v>5</v>
      </c>
      <c r="U54" s="587" t="s">
        <v>885</v>
      </c>
      <c r="V54" s="612" t="s">
        <v>1129</v>
      </c>
      <c r="W54" s="587">
        <v>9</v>
      </c>
      <c r="X54" s="587" t="s">
        <v>672</v>
      </c>
      <c r="Y54" s="612" t="s">
        <v>1130</v>
      </c>
      <c r="Z54" s="587">
        <v>15</v>
      </c>
      <c r="AA54" s="587" t="s">
        <v>1131</v>
      </c>
      <c r="AB54" s="612" t="s">
        <v>1132</v>
      </c>
      <c r="AD54" s="627" t="s">
        <v>1133</v>
      </c>
      <c r="AE54" s="628" t="s">
        <v>1134</v>
      </c>
      <c r="AG54" s="587" t="s">
        <v>731</v>
      </c>
      <c r="AH54" s="612" t="s">
        <v>1135</v>
      </c>
      <c r="AI54" s="587">
        <v>3</v>
      </c>
      <c r="AJ54" s="587" t="s">
        <v>1136</v>
      </c>
      <c r="AK54" s="612" t="s">
        <v>1137</v>
      </c>
      <c r="AL54" s="587">
        <v>7</v>
      </c>
      <c r="AM54" s="587" t="s">
        <v>1138</v>
      </c>
      <c r="AN54" s="611" t="s">
        <v>1139</v>
      </c>
      <c r="AP54" s="578" t="s">
        <v>1140</v>
      </c>
      <c r="AQ54" s="678" t="s">
        <v>1141</v>
      </c>
      <c r="AR54" s="587">
        <v>2</v>
      </c>
      <c r="AS54" s="587" t="s">
        <v>1142</v>
      </c>
      <c r="AT54" s="612" t="s">
        <v>1143</v>
      </c>
      <c r="AU54" s="587">
        <v>2</v>
      </c>
      <c r="AV54" s="649" t="s">
        <v>1144</v>
      </c>
      <c r="AW54" s="677" t="s">
        <v>1145</v>
      </c>
      <c r="AX54" s="578">
        <v>5</v>
      </c>
      <c r="AY54" s="578" t="s">
        <v>1146</v>
      </c>
      <c r="AZ54" s="650" t="s">
        <v>1147</v>
      </c>
      <c r="BA54" s="587">
        <v>5</v>
      </c>
      <c r="BB54" s="578" t="s">
        <v>975</v>
      </c>
      <c r="BC54" s="650" t="s">
        <v>1148</v>
      </c>
      <c r="BD54" s="587">
        <v>10</v>
      </c>
      <c r="BE54" s="578" t="s">
        <v>1149</v>
      </c>
      <c r="BF54" s="650" t="s">
        <v>1150</v>
      </c>
      <c r="BO54" s="612"/>
      <c r="CH54" s="587" t="s">
        <v>1151</v>
      </c>
      <c r="CI54" s="587">
        <v>46</v>
      </c>
      <c r="CJ54" s="587" cm="1">
        <f t="array" ref="CJ54">_xlfn.IFS($AZ$3&gt;=14,49,$AZ$3&gt;=6,48,$AZ$3&gt;=3,47,1,0)</f>
        <v>0</v>
      </c>
      <c r="CN54" s="702" t="str">
        <f>IFERROR(IF(CN53+1&gt;CS2,IF(CN53+1&gt;CS2,IF(CR3+CR53&gt;CS3,"",CR3+CR53)),CN53+1),"")</f>
        <v/>
      </c>
      <c r="CO54" s="702" t="str" cm="1">
        <f t="array" ref="CO54">IFERROR(INDEX($B$34:$BO$262,CN54,$CP$2),"")</f>
        <v/>
      </c>
      <c r="CP54" s="702" t="str" cm="1">
        <f t="array" ref="CP54">IFERROR(INDEX($B$34:$BO$262,CN54,$CQ$2),"")</f>
        <v/>
      </c>
      <c r="CQ54" s="702" t="str" cm="1">
        <f t="array" ref="CQ54">IF(IFERROR(INDEX($B$34:$BO$262,CN54,$CO$2),"")=0,"",IFERROR(INDEX($B$34:$BO$262,CN54,$CO$2),""))</f>
        <v/>
      </c>
      <c r="CR54" s="702" t="str">
        <f>IFERROR(IF(CN53+1&gt;CS2,CR53+1,0),"")</f>
        <v/>
      </c>
      <c r="CT54" s="705" t="str">
        <f t="shared" si="5"/>
        <v/>
      </c>
      <c r="CU54" s="706" t="str" cm="1">
        <f t="array" ref="CU54">INDEX(CT:CT,SMALL(IF($CT$2:$CT$101&lt;&gt;"",ROW($CT$2:$CT$101),142),ROW(CT53)))&amp;""</f>
        <v/>
      </c>
      <c r="CV54" s="701" t="str">
        <f t="shared" si="3"/>
        <v/>
      </c>
      <c r="CW54" s="702" t="str">
        <f>IF(主要!AX63="","",主要!AX63)</f>
        <v/>
      </c>
      <c r="CX54" s="702" t="str">
        <f t="shared" si="4"/>
        <v/>
      </c>
    </row>
    <row r="55" customHeight="1" spans="1:102">
      <c r="A55" s="586">
        <v>22</v>
      </c>
      <c r="B55" s="610">
        <v>15</v>
      </c>
      <c r="C55" s="587" t="s">
        <v>1152</v>
      </c>
      <c r="D55" s="612" t="s">
        <v>1153</v>
      </c>
      <c r="E55" s="587">
        <v>18</v>
      </c>
      <c r="F55" s="587" t="s">
        <v>1154</v>
      </c>
      <c r="G55" s="612" t="s">
        <v>1155</v>
      </c>
      <c r="H55" s="587">
        <v>10</v>
      </c>
      <c r="I55" s="587" t="s">
        <v>1156</v>
      </c>
      <c r="J55" s="612" t="s">
        <v>1157</v>
      </c>
      <c r="K55" s="587">
        <v>3</v>
      </c>
      <c r="L55" s="587" t="s">
        <v>1158</v>
      </c>
      <c r="M55" s="612" t="s">
        <v>1159</v>
      </c>
      <c r="N55" s="587">
        <v>3</v>
      </c>
      <c r="O55" s="613" t="s">
        <v>1160</v>
      </c>
      <c r="P55" s="614" t="s">
        <v>1161</v>
      </c>
      <c r="Q55" s="587">
        <v>10</v>
      </c>
      <c r="R55" s="587" t="s">
        <v>1162</v>
      </c>
      <c r="S55" s="612" t="s">
        <v>1163</v>
      </c>
      <c r="T55" s="587">
        <v>5</v>
      </c>
      <c r="U55" s="587" t="s">
        <v>1164</v>
      </c>
      <c r="V55" s="612" t="s">
        <v>1165</v>
      </c>
      <c r="W55" s="587">
        <v>10</v>
      </c>
      <c r="X55" s="587" t="s">
        <v>1166</v>
      </c>
      <c r="Y55" s="612" t="s">
        <v>1167</v>
      </c>
      <c r="Z55" s="587">
        <v>18</v>
      </c>
      <c r="AA55" s="587" t="s">
        <v>1168</v>
      </c>
      <c r="AB55" s="612" t="s">
        <v>1169</v>
      </c>
      <c r="AD55" s="627" t="s">
        <v>1170</v>
      </c>
      <c r="AE55" s="628" t="s">
        <v>1171</v>
      </c>
      <c r="AG55" s="587" t="s">
        <v>764</v>
      </c>
      <c r="AH55" s="612" t="s">
        <v>1172</v>
      </c>
      <c r="AI55" s="587">
        <v>4</v>
      </c>
      <c r="AJ55" s="587" t="s">
        <v>852</v>
      </c>
      <c r="AK55" s="612" t="s">
        <v>1173</v>
      </c>
      <c r="AL55" s="587">
        <v>10</v>
      </c>
      <c r="AM55" s="578" t="s">
        <v>1174</v>
      </c>
      <c r="AN55" s="650" t="s">
        <v>1175</v>
      </c>
      <c r="AP55" s="578" t="s">
        <v>1176</v>
      </c>
      <c r="AQ55" s="678" t="s">
        <v>1177</v>
      </c>
      <c r="AR55" s="587">
        <v>3</v>
      </c>
      <c r="AS55" s="587" t="s">
        <v>1178</v>
      </c>
      <c r="AT55" s="612" t="s">
        <v>1179</v>
      </c>
      <c r="AU55" s="587">
        <v>2</v>
      </c>
      <c r="AV55" s="649" t="s">
        <v>1180</v>
      </c>
      <c r="AW55" s="677" t="s">
        <v>1181</v>
      </c>
      <c r="AX55" s="578">
        <v>7</v>
      </c>
      <c r="AY55" s="578" t="s">
        <v>1182</v>
      </c>
      <c r="AZ55" s="650" t="s">
        <v>1183</v>
      </c>
      <c r="BA55" s="587">
        <v>6</v>
      </c>
      <c r="BB55" s="578" t="s">
        <v>1184</v>
      </c>
      <c r="BC55" s="650" t="s">
        <v>1185</v>
      </c>
      <c r="BD55" s="587">
        <v>10</v>
      </c>
      <c r="BE55" s="578" t="s">
        <v>1186</v>
      </c>
      <c r="BF55" s="650" t="s">
        <v>1187</v>
      </c>
      <c r="BO55" s="612"/>
      <c r="CH55" s="587" t="s">
        <v>1188</v>
      </c>
      <c r="CI55" s="587">
        <v>50</v>
      </c>
      <c r="CJ55" s="587" cm="1">
        <f t="array" ref="CJ55">_xlfn.IFS($AZ$3&gt;=14,53,$AZ$3&gt;=6,52,$AZ$3&gt;=3,51,1,0)</f>
        <v>0</v>
      </c>
      <c r="CN55" s="702" t="str">
        <f>IFERROR(IF(CN54+1&gt;CS2,IF(CN54+1&gt;CS2,IF(CR3+CR54&gt;CS3,"",CR3+CR54)),CN54+1),"")</f>
        <v/>
      </c>
      <c r="CO55" s="702" t="str" cm="1">
        <f t="array" ref="CO55">IFERROR(INDEX($B$34:$BO$262,CN55,$CP$2),"")</f>
        <v/>
      </c>
      <c r="CP55" s="702" t="str" cm="1">
        <f t="array" ref="CP55">IFERROR(INDEX($B$34:$BO$262,CN55,$CQ$2),"")</f>
        <v/>
      </c>
      <c r="CQ55" s="702" t="str" cm="1">
        <f t="array" ref="CQ55">IF(IFERROR(INDEX($B$34:$BO$262,CN55,$CO$2),"")=0,"",IFERROR(INDEX($B$34:$BO$262,CN55,$CO$2),""))</f>
        <v/>
      </c>
      <c r="CR55" s="702" t="str">
        <f>IFERROR(IF(CN54+1&gt;CS2,CR54+1,0),"")</f>
        <v/>
      </c>
      <c r="CT55" s="705" t="str">
        <f t="shared" si="5"/>
        <v/>
      </c>
      <c r="CU55" s="706" t="str" cm="1">
        <f t="array" ref="CU55">INDEX(CT:CT,SMALL(IF($CT$2:$CT$101&lt;&gt;"",ROW($CT$2:$CT$101),142),ROW(CT54)))&amp;""</f>
        <v/>
      </c>
      <c r="CV55" s="701" t="str">
        <f t="shared" si="3"/>
        <v/>
      </c>
      <c r="CW55" s="702" t="str">
        <f>IF(主要!AX64="","",主要!AX64)</f>
        <v/>
      </c>
      <c r="CX55" s="702" t="str">
        <f t="shared" si="4"/>
        <v/>
      </c>
    </row>
    <row r="56" customHeight="1" spans="1:102">
      <c r="A56" s="586">
        <v>23</v>
      </c>
      <c r="B56" s="610">
        <v>17</v>
      </c>
      <c r="C56" s="587" t="s">
        <v>1117</v>
      </c>
      <c r="D56" s="612" t="s">
        <v>1189</v>
      </c>
      <c r="E56" s="587">
        <v>19</v>
      </c>
      <c r="F56" s="587" t="s">
        <v>1091</v>
      </c>
      <c r="G56" s="612" t="s">
        <v>1190</v>
      </c>
      <c r="H56" s="587">
        <v>14</v>
      </c>
      <c r="I56" s="587" t="s">
        <v>1191</v>
      </c>
      <c r="J56" s="612" t="s">
        <v>1192</v>
      </c>
      <c r="K56" s="587">
        <v>4</v>
      </c>
      <c r="L56" s="587" t="s">
        <v>852</v>
      </c>
      <c r="M56" s="612" t="s">
        <v>1193</v>
      </c>
      <c r="O56" s="627" t="s">
        <v>1194</v>
      </c>
      <c r="P56" s="628" t="s">
        <v>1195</v>
      </c>
      <c r="Q56" s="587">
        <v>13</v>
      </c>
      <c r="R56" s="587" t="s">
        <v>1196</v>
      </c>
      <c r="S56" s="612" t="s">
        <v>1197</v>
      </c>
      <c r="T56" s="587">
        <v>6</v>
      </c>
      <c r="U56" s="587" t="s">
        <v>1198</v>
      </c>
      <c r="V56" s="612" t="s">
        <v>1199</v>
      </c>
      <c r="W56" s="587">
        <v>13</v>
      </c>
      <c r="X56" s="587" t="s">
        <v>1200</v>
      </c>
      <c r="Y56" s="612" t="s">
        <v>1201</v>
      </c>
      <c r="Z56" s="587">
        <v>19</v>
      </c>
      <c r="AA56" s="587" t="s">
        <v>1091</v>
      </c>
      <c r="AB56" s="612" t="s">
        <v>1202</v>
      </c>
      <c r="AD56" s="627" t="s">
        <v>1203</v>
      </c>
      <c r="AE56" s="628" t="s">
        <v>1204</v>
      </c>
      <c r="AG56" s="587" t="s">
        <v>795</v>
      </c>
      <c r="AH56" s="612" t="s">
        <v>1205</v>
      </c>
      <c r="AI56" s="587">
        <v>5</v>
      </c>
      <c r="AJ56" s="587" t="s">
        <v>1206</v>
      </c>
      <c r="AK56" s="612" t="s">
        <v>1207</v>
      </c>
      <c r="AL56" s="587">
        <v>10</v>
      </c>
      <c r="AM56" s="587" t="s">
        <v>1208</v>
      </c>
      <c r="AN56" s="611" t="s">
        <v>1209</v>
      </c>
      <c r="AP56" s="578" t="s">
        <v>1210</v>
      </c>
      <c r="AQ56" s="678" t="s">
        <v>1211</v>
      </c>
      <c r="AR56" s="587">
        <v>4</v>
      </c>
      <c r="AS56" s="587" t="s">
        <v>852</v>
      </c>
      <c r="AT56" s="612" t="s">
        <v>1212</v>
      </c>
      <c r="AU56" s="587">
        <v>2</v>
      </c>
      <c r="AV56" s="649" t="s">
        <v>1213</v>
      </c>
      <c r="AW56" s="677" t="s">
        <v>1214</v>
      </c>
      <c r="AX56" s="578">
        <v>11</v>
      </c>
      <c r="AY56" s="578" t="s">
        <v>1215</v>
      </c>
      <c r="AZ56" s="650" t="s">
        <v>1216</v>
      </c>
      <c r="BA56" s="587">
        <v>7</v>
      </c>
      <c r="BB56" s="689" t="s">
        <v>1217</v>
      </c>
      <c r="BC56" s="690" t="s">
        <v>1218</v>
      </c>
      <c r="BD56" s="587">
        <v>13</v>
      </c>
      <c r="BE56" s="578" t="s">
        <v>1219</v>
      </c>
      <c r="BF56" s="650" t="s">
        <v>1220</v>
      </c>
      <c r="BO56" s="612"/>
      <c r="CH56" s="587" t="s">
        <v>1221</v>
      </c>
      <c r="CI56" s="587">
        <v>54</v>
      </c>
      <c r="CJ56" s="587" cm="1">
        <f t="array" ref="CJ56">_xlfn.IFS($AZ$3&gt;=14,58,$AZ$3&gt;=6,57,$AZ$3&gt;=3,55,1,0)</f>
        <v>0</v>
      </c>
      <c r="CN56" s="702" t="str">
        <f>IFERROR(IF(CN55+1&gt;CS2,IF(CN55+1&gt;CS2,IF(CR3+CR55&gt;CS3,"",CR3+CR55)),CN55+1),"")</f>
        <v/>
      </c>
      <c r="CO56" s="702" t="str" cm="1">
        <f t="array" ref="CO56">IFERROR(INDEX($B$34:$BO$262,CN56,$CP$2),"")</f>
        <v/>
      </c>
      <c r="CP56" s="702" t="str" cm="1">
        <f t="array" ref="CP56">IFERROR(INDEX($B$34:$BO$262,CN56,$CQ$2),"")</f>
        <v/>
      </c>
      <c r="CQ56" s="702" t="str" cm="1">
        <f t="array" ref="CQ56">IF(IFERROR(INDEX($B$34:$BO$262,CN56,$CO$2),"")=0,"",IFERROR(INDEX($B$34:$BO$262,CN56,$CO$2),""))</f>
        <v/>
      </c>
      <c r="CR56" s="702" t="str">
        <f>IFERROR(IF(CN55+1&gt;CS2,CR55+1,0),"")</f>
        <v/>
      </c>
      <c r="CT56" s="705" t="str">
        <f t="shared" si="5"/>
        <v/>
      </c>
      <c r="CU56" s="706" t="str" cm="1">
        <f t="array" ref="CU56">INDEX(CT:CT,SMALL(IF($CT$2:$CT$101&lt;&gt;"",ROW($CT$2:$CT$101),142),ROW(CT55)))&amp;""</f>
        <v/>
      </c>
      <c r="CV56" s="701" t="str">
        <f t="shared" si="3"/>
        <v/>
      </c>
      <c r="CW56" s="702" t="str">
        <f>IF(主要!AX65="","",主要!AX65)</f>
        <v/>
      </c>
      <c r="CX56" s="702" t="str">
        <f t="shared" si="4"/>
        <v/>
      </c>
    </row>
    <row r="57" customHeight="1" spans="1:102">
      <c r="A57" s="586">
        <v>24</v>
      </c>
      <c r="B57" s="610">
        <v>18</v>
      </c>
      <c r="C57" s="587" t="s">
        <v>1222</v>
      </c>
      <c r="D57" s="612" t="s">
        <v>1223</v>
      </c>
      <c r="E57" s="587">
        <v>20</v>
      </c>
      <c r="F57" s="587" t="s">
        <v>1224</v>
      </c>
      <c r="G57" s="612" t="s">
        <v>1225</v>
      </c>
      <c r="H57" s="587">
        <v>19</v>
      </c>
      <c r="I57" s="587" t="s">
        <v>1091</v>
      </c>
      <c r="J57" s="612" t="s">
        <v>1226</v>
      </c>
      <c r="K57" s="587">
        <v>5</v>
      </c>
      <c r="L57" s="587" t="s">
        <v>1227</v>
      </c>
      <c r="M57" s="612" t="s">
        <v>1228</v>
      </c>
      <c r="O57" s="627" t="s">
        <v>1229</v>
      </c>
      <c r="P57" s="628" t="s">
        <v>1230</v>
      </c>
      <c r="Q57" s="587">
        <v>14</v>
      </c>
      <c r="R57" s="587" t="s">
        <v>1231</v>
      </c>
      <c r="S57" s="612" t="s">
        <v>1232</v>
      </c>
      <c r="T57" s="587">
        <v>9</v>
      </c>
      <c r="U57" s="587" t="s">
        <v>1233</v>
      </c>
      <c r="V57" s="612" t="s">
        <v>1234</v>
      </c>
      <c r="W57" s="587">
        <v>14</v>
      </c>
      <c r="X57" s="587" t="s">
        <v>1235</v>
      </c>
      <c r="Y57" s="612" t="s">
        <v>1236</v>
      </c>
      <c r="Z57" s="587">
        <v>20</v>
      </c>
      <c r="AA57" s="587" t="s">
        <v>1237</v>
      </c>
      <c r="AB57" s="612" t="s">
        <v>1238</v>
      </c>
      <c r="AD57" s="627" t="s">
        <v>1239</v>
      </c>
      <c r="AE57" s="628" t="s">
        <v>1240</v>
      </c>
      <c r="AG57" s="587" t="s">
        <v>826</v>
      </c>
      <c r="AH57" s="612" t="s">
        <v>1241</v>
      </c>
      <c r="AI57" s="587">
        <v>18</v>
      </c>
      <c r="AJ57" s="587" t="s">
        <v>1242</v>
      </c>
      <c r="AK57" s="612" t="s">
        <v>1243</v>
      </c>
      <c r="AL57" s="587">
        <v>11</v>
      </c>
      <c r="AM57" s="587" t="s">
        <v>1244</v>
      </c>
      <c r="AN57" s="611" t="s">
        <v>1245</v>
      </c>
      <c r="AP57" s="578" t="s">
        <v>1246</v>
      </c>
      <c r="AQ57" s="612" t="s">
        <v>1247</v>
      </c>
      <c r="AR57" s="587">
        <v>5</v>
      </c>
      <c r="AS57" s="587" t="s">
        <v>885</v>
      </c>
      <c r="AT57" s="612" t="s">
        <v>886</v>
      </c>
      <c r="AU57" s="587">
        <v>2</v>
      </c>
      <c r="AV57" s="649" t="s">
        <v>1248</v>
      </c>
      <c r="AW57" s="677" t="s">
        <v>1249</v>
      </c>
      <c r="AX57" s="578">
        <v>13</v>
      </c>
      <c r="AY57" s="578" t="s">
        <v>1250</v>
      </c>
      <c r="AZ57" s="650" t="s">
        <v>1251</v>
      </c>
      <c r="BA57" s="587">
        <v>7</v>
      </c>
      <c r="BB57" s="689" t="s">
        <v>1252</v>
      </c>
      <c r="BC57" s="690" t="s">
        <v>1253</v>
      </c>
      <c r="BD57" s="587">
        <v>14</v>
      </c>
      <c r="BE57" s="578" t="s">
        <v>1254</v>
      </c>
      <c r="BF57" s="650" t="s">
        <v>1255</v>
      </c>
      <c r="BO57" s="612"/>
      <c r="CH57" s="587" t="s">
        <v>1256</v>
      </c>
      <c r="CI57" s="587">
        <v>59</v>
      </c>
      <c r="CJ57" s="587" cm="1">
        <f t="array" ref="CJ57">_xlfn.IFS($AZ$3&gt;=14,64,$AZ$3&gt;=6,63,$AZ$3&gt;=3,62,1,0)</f>
        <v>0</v>
      </c>
      <c r="CN57" s="702" t="str">
        <f>IFERROR(IF(CN56+1&gt;CS2,IF(CN56+1&gt;CS2,IF(CR3+CR56&gt;CS3,"",CR3+CR56)),CN56+1),"")</f>
        <v/>
      </c>
      <c r="CO57" s="702" t="str" cm="1">
        <f t="array" ref="CO57">IFERROR(INDEX($B$34:$BO$262,CN57,$CP$2),"")</f>
        <v/>
      </c>
      <c r="CP57" s="702" t="str" cm="1">
        <f t="array" ref="CP57">IFERROR(INDEX($B$34:$BO$262,CN57,$CQ$2),"")</f>
        <v/>
      </c>
      <c r="CQ57" s="702" t="str" cm="1">
        <f t="array" ref="CQ57">IF(IFERROR(INDEX($B$34:$BO$262,CN57,$CO$2),"")=0,"",IFERROR(INDEX($B$34:$BO$262,CN57,$CO$2),""))</f>
        <v/>
      </c>
      <c r="CR57" s="702" t="str">
        <f>IFERROR(IF(CN56+1&gt;CS2,CR56+1,0),"")</f>
        <v/>
      </c>
      <c r="CT57" s="705" t="str">
        <f t="shared" si="5"/>
        <v/>
      </c>
      <c r="CU57" s="706" t="str" cm="1">
        <f t="array" ref="CU57">INDEX(CT:CT,SMALL(IF($CT$2:$CT$101&lt;&gt;"",ROW($CT$2:$CT$101),142),ROW(CT56)))&amp;""</f>
        <v/>
      </c>
      <c r="CV57" s="701" t="str">
        <f t="shared" si="3"/>
        <v/>
      </c>
      <c r="CW57" s="702" t="str">
        <f>IF(主要!AX66="","",主要!AX66)</f>
        <v/>
      </c>
      <c r="CX57" s="702" t="str">
        <f t="shared" si="4"/>
        <v/>
      </c>
    </row>
    <row r="58" customHeight="1" spans="1:102">
      <c r="A58" s="586">
        <v>25</v>
      </c>
      <c r="B58" s="610">
        <v>19</v>
      </c>
      <c r="C58" s="587" t="s">
        <v>1091</v>
      </c>
      <c r="D58" s="612" t="s">
        <v>1257</v>
      </c>
      <c r="E58" s="587">
        <v>3</v>
      </c>
      <c r="F58" s="613" t="s">
        <v>1258</v>
      </c>
      <c r="G58" s="614" t="s">
        <v>1259</v>
      </c>
      <c r="H58" s="587">
        <v>20</v>
      </c>
      <c r="I58" s="587" t="s">
        <v>1260</v>
      </c>
      <c r="J58" s="612" t="s">
        <v>1261</v>
      </c>
      <c r="K58" s="587">
        <v>7</v>
      </c>
      <c r="L58" s="587" t="s">
        <v>1262</v>
      </c>
      <c r="M58" s="612" t="s">
        <v>1263</v>
      </c>
      <c r="O58" s="627" t="s">
        <v>1264</v>
      </c>
      <c r="P58" s="628" t="s">
        <v>1265</v>
      </c>
      <c r="Q58" s="587">
        <v>15</v>
      </c>
      <c r="R58" s="587" t="s">
        <v>1266</v>
      </c>
      <c r="S58" s="612" t="s">
        <v>1267</v>
      </c>
      <c r="T58" s="587">
        <v>10</v>
      </c>
      <c r="U58" s="587" t="s">
        <v>1268</v>
      </c>
      <c r="V58" s="612" t="s">
        <v>1269</v>
      </c>
      <c r="W58" s="587">
        <v>17</v>
      </c>
      <c r="X58" s="587" t="s">
        <v>1270</v>
      </c>
      <c r="Y58" s="612" t="s">
        <v>1271</v>
      </c>
      <c r="Z58" s="587">
        <v>3</v>
      </c>
      <c r="AA58" s="613" t="s">
        <v>662</v>
      </c>
      <c r="AB58" s="614" t="s">
        <v>1272</v>
      </c>
      <c r="AD58" s="627" t="s">
        <v>1273</v>
      </c>
      <c r="AE58" s="628" t="s">
        <v>1274</v>
      </c>
      <c r="AF58" s="587">
        <v>2</v>
      </c>
      <c r="AG58" s="587" t="s">
        <v>1275</v>
      </c>
      <c r="AH58" s="612" t="s">
        <v>1276</v>
      </c>
      <c r="AI58" s="587">
        <v>19</v>
      </c>
      <c r="AJ58" s="587" t="s">
        <v>1091</v>
      </c>
      <c r="AK58" s="612" t="s">
        <v>1277</v>
      </c>
      <c r="AL58" s="587">
        <v>14</v>
      </c>
      <c r="AM58" s="578" t="s">
        <v>1278</v>
      </c>
      <c r="AN58" s="611" t="s">
        <v>1279</v>
      </c>
      <c r="AP58" s="578" t="s">
        <v>1280</v>
      </c>
      <c r="AQ58" s="612" t="s">
        <v>1281</v>
      </c>
      <c r="AR58" s="587">
        <v>6</v>
      </c>
      <c r="AS58" s="587" t="s">
        <v>1282</v>
      </c>
      <c r="AT58" s="612" t="s">
        <v>1283</v>
      </c>
      <c r="AU58" s="587">
        <v>2</v>
      </c>
      <c r="AV58" s="649" t="s">
        <v>1284</v>
      </c>
      <c r="AW58" s="677" t="s">
        <v>1285</v>
      </c>
      <c r="AX58" s="578">
        <v>15</v>
      </c>
      <c r="AY58" s="578" t="s">
        <v>1286</v>
      </c>
      <c r="AZ58" s="650" t="s">
        <v>1287</v>
      </c>
      <c r="BA58" s="587">
        <v>7</v>
      </c>
      <c r="BB58" s="689" t="s">
        <v>1288</v>
      </c>
      <c r="BC58" s="690" t="s">
        <v>1289</v>
      </c>
      <c r="BD58" s="587">
        <v>15</v>
      </c>
      <c r="BE58" s="578" t="s">
        <v>1290</v>
      </c>
      <c r="BF58" s="650" t="s">
        <v>1291</v>
      </c>
      <c r="BO58" s="612"/>
      <c r="CH58" s="587" t="s">
        <v>1292</v>
      </c>
      <c r="CI58" s="587">
        <v>65</v>
      </c>
      <c r="CJ58" s="587" cm="1">
        <f t="array" ref="CJ58">_xlfn.IFS($AZ$3&gt;=14,69,$AZ$3&gt;=6,67,$AZ$3&gt;=3,66,1,0)</f>
        <v>0</v>
      </c>
      <c r="CN58" s="702" t="str">
        <f>IFERROR(IF(CN57+1&gt;CS2,IF(CN57+1&gt;CS2,IF(CR3+CR57&gt;CS3,"",CR3+CR57)),CN57+1),"")</f>
        <v/>
      </c>
      <c r="CO58" s="702" t="str" cm="1">
        <f t="array" ref="CO58">IFERROR(INDEX($B$34:$BO$262,CN58,$CP$2),"")</f>
        <v/>
      </c>
      <c r="CP58" s="702" t="str" cm="1">
        <f t="array" ref="CP58">IFERROR(INDEX($B$34:$BO$262,CN58,$CQ$2),"")</f>
        <v/>
      </c>
      <c r="CQ58" s="702" t="str" cm="1">
        <f t="array" ref="CQ58">IF(IFERROR(INDEX($B$34:$BO$262,CN58,$CO$2),"")=0,"",IFERROR(INDEX($B$34:$BO$262,CN58,$CO$2),""))</f>
        <v/>
      </c>
      <c r="CR58" s="702" t="str">
        <f>IFERROR(IF(CN57+1&gt;CS2,CR57+1,0),"")</f>
        <v/>
      </c>
      <c r="CT58" s="705" t="str">
        <f t="shared" si="5"/>
        <v/>
      </c>
      <c r="CU58" s="706" t="str" cm="1">
        <f t="array" ref="CU58">INDEX(CT:CT,SMALL(IF($CT$2:$CT$101&lt;&gt;"",ROW($CT$2:$CT$101),142),ROW(CT57)))&amp;""</f>
        <v/>
      </c>
      <c r="CV58" s="701" t="str">
        <f t="shared" si="3"/>
        <v/>
      </c>
      <c r="CW58" s="702" t="str">
        <f>IF(主要!AX67="","",主要!AX67)</f>
        <v/>
      </c>
      <c r="CX58" s="702" t="str">
        <f t="shared" si="4"/>
        <v/>
      </c>
    </row>
    <row r="59" customHeight="1" spans="1:102">
      <c r="A59" s="586">
        <v>26</v>
      </c>
      <c r="B59" s="610">
        <v>20</v>
      </c>
      <c r="C59" s="587" t="s">
        <v>1293</v>
      </c>
      <c r="D59" s="612" t="s">
        <v>1294</v>
      </c>
      <c r="E59" s="587">
        <v>6</v>
      </c>
      <c r="F59" s="613" t="s">
        <v>1295</v>
      </c>
      <c r="G59" s="614" t="s">
        <v>1296</v>
      </c>
      <c r="H59" s="587">
        <v>3</v>
      </c>
      <c r="I59" s="613" t="s">
        <v>1297</v>
      </c>
      <c r="J59" s="614" t="s">
        <v>1298</v>
      </c>
      <c r="K59" s="587">
        <v>15</v>
      </c>
      <c r="L59" s="587" t="s">
        <v>1299</v>
      </c>
      <c r="M59" s="612" t="s">
        <v>1300</v>
      </c>
      <c r="O59" s="627" t="s">
        <v>1301</v>
      </c>
      <c r="P59" s="628" t="s">
        <v>1302</v>
      </c>
      <c r="Q59" s="587">
        <v>18</v>
      </c>
      <c r="R59" s="587" t="s">
        <v>1303</v>
      </c>
      <c r="S59" s="612" t="s">
        <v>1304</v>
      </c>
      <c r="T59" s="587">
        <v>11</v>
      </c>
      <c r="U59" s="587" t="s">
        <v>1305</v>
      </c>
      <c r="V59" s="612" t="s">
        <v>1306</v>
      </c>
      <c r="W59" s="587">
        <v>18</v>
      </c>
      <c r="X59" s="587" t="s">
        <v>1307</v>
      </c>
      <c r="Y59" s="612" t="s">
        <v>1308</v>
      </c>
      <c r="AA59" s="613" t="s">
        <v>695</v>
      </c>
      <c r="AB59" s="614" t="s">
        <v>1309</v>
      </c>
      <c r="AD59" s="627" t="s">
        <v>1310</v>
      </c>
      <c r="AE59" s="628" t="s">
        <v>1311</v>
      </c>
      <c r="AF59" s="587" t="s">
        <v>1312</v>
      </c>
      <c r="AG59" s="627" t="s">
        <v>1313</v>
      </c>
      <c r="AH59" s="628" t="s">
        <v>1314</v>
      </c>
      <c r="AI59" s="587">
        <v>20</v>
      </c>
      <c r="AJ59" s="587" t="s">
        <v>1315</v>
      </c>
      <c r="AK59" s="612" t="s">
        <v>1316</v>
      </c>
      <c r="AL59" s="587">
        <v>14</v>
      </c>
      <c r="AM59" s="587" t="s">
        <v>1317</v>
      </c>
      <c r="AN59" s="611" t="s">
        <v>1318</v>
      </c>
      <c r="AP59" s="578" t="s">
        <v>1319</v>
      </c>
      <c r="AQ59" s="612" t="s">
        <v>1320</v>
      </c>
      <c r="AR59" s="587">
        <v>9</v>
      </c>
      <c r="AS59" s="587" t="s">
        <v>1321</v>
      </c>
      <c r="AT59" s="612" t="s">
        <v>1322</v>
      </c>
      <c r="AU59" s="587">
        <v>2</v>
      </c>
      <c r="AV59" s="649" t="s">
        <v>1323</v>
      </c>
      <c r="AW59" s="677" t="s">
        <v>1324</v>
      </c>
      <c r="AX59" s="578">
        <v>18</v>
      </c>
      <c r="AY59" s="578" t="s">
        <v>1325</v>
      </c>
      <c r="AZ59" s="650" t="s">
        <v>1326</v>
      </c>
      <c r="BA59" s="587">
        <v>7</v>
      </c>
      <c r="BB59" s="689" t="s">
        <v>1327</v>
      </c>
      <c r="BC59" s="690" t="s">
        <v>1328</v>
      </c>
      <c r="BD59" s="587">
        <v>18</v>
      </c>
      <c r="BE59" s="578" t="s">
        <v>1329</v>
      </c>
      <c r="BF59" s="650" t="s">
        <v>1330</v>
      </c>
      <c r="BO59" s="612"/>
      <c r="CH59" s="679" t="s">
        <v>1331</v>
      </c>
      <c r="CI59" s="587">
        <v>70</v>
      </c>
      <c r="CJ59" s="587" cm="1">
        <f t="array" ref="CJ59">_xlfn.IFS($AZ$3&gt;=14,74,$AZ$3&gt;=6,73,$AZ$3&gt;=3,71,1,0)</f>
        <v>0</v>
      </c>
      <c r="CN59" s="702" t="str">
        <f>IFERROR(IF(CN58+1&gt;CS2,IF(CN58+1&gt;CS2,IF(CR3+CR58&gt;CS3,"",CR3+CR58)),CN58+1),"")</f>
        <v/>
      </c>
      <c r="CO59" s="702" t="str" cm="1">
        <f t="array" ref="CO59">IFERROR(INDEX($B$34:$BO$262,CN59,$CP$2),"")</f>
        <v/>
      </c>
      <c r="CP59" s="702" t="str" cm="1">
        <f t="array" ref="CP59">IFERROR(INDEX($B$34:$BO$262,CN59,$CQ$2),"")</f>
        <v/>
      </c>
      <c r="CQ59" s="702" t="str" cm="1">
        <f t="array" ref="CQ59">IF(IFERROR(INDEX($B$34:$BO$262,CN59,$CO$2),"")=0,"",IFERROR(INDEX($B$34:$BO$262,CN59,$CO$2),""))</f>
        <v/>
      </c>
      <c r="CR59" s="702" t="str">
        <f>IFERROR(IF(CN58+1&gt;CS2,CR58+1,0),"")</f>
        <v/>
      </c>
      <c r="CT59" s="705" t="str">
        <f t="shared" si="5"/>
        <v/>
      </c>
      <c r="CU59" s="706" t="str" cm="1">
        <f t="array" ref="CU59">INDEX(CT:CT,SMALL(IF($CT$2:$CT$101&lt;&gt;"",ROW($CT$2:$CT$101),142),ROW(CT58)))&amp;""</f>
        <v/>
      </c>
      <c r="CV59" s="701" t="str">
        <f t="shared" si="3"/>
        <v/>
      </c>
      <c r="CW59" s="702" t="str">
        <f>IF(主要!AX68="","",主要!AX68)</f>
        <v/>
      </c>
      <c r="CX59" s="702" t="str">
        <f t="shared" si="4"/>
        <v/>
      </c>
    </row>
    <row r="60" customHeight="1" spans="1:102">
      <c r="A60" s="586">
        <v>27</v>
      </c>
      <c r="B60" s="610">
        <v>3</v>
      </c>
      <c r="C60" s="613" t="s">
        <v>1332</v>
      </c>
      <c r="D60" s="614" t="s">
        <v>1333</v>
      </c>
      <c r="E60" s="587">
        <v>6</v>
      </c>
      <c r="F60" s="613" t="s">
        <v>1334</v>
      </c>
      <c r="G60" s="614" t="s">
        <v>1335</v>
      </c>
      <c r="H60" s="587">
        <v>3</v>
      </c>
      <c r="I60" s="613" t="s">
        <v>1336</v>
      </c>
      <c r="J60" s="614" t="s">
        <v>1337</v>
      </c>
      <c r="K60" s="587">
        <v>18</v>
      </c>
      <c r="L60" s="587" t="s">
        <v>1338</v>
      </c>
      <c r="M60" s="612" t="s">
        <v>1339</v>
      </c>
      <c r="O60" s="627" t="s">
        <v>1340</v>
      </c>
      <c r="P60" s="628" t="s">
        <v>1341</v>
      </c>
      <c r="Q60" s="587">
        <v>19</v>
      </c>
      <c r="R60" s="587" t="s">
        <v>1091</v>
      </c>
      <c r="S60" s="612" t="s">
        <v>1342</v>
      </c>
      <c r="T60" s="587">
        <v>14</v>
      </c>
      <c r="U60" s="587" t="s">
        <v>1343</v>
      </c>
      <c r="V60" s="612" t="s">
        <v>1344</v>
      </c>
      <c r="W60" s="587">
        <v>19</v>
      </c>
      <c r="X60" s="587" t="s">
        <v>1091</v>
      </c>
      <c r="Y60" s="612" t="s">
        <v>1345</v>
      </c>
      <c r="AA60" s="613" t="s">
        <v>702</v>
      </c>
      <c r="AB60" s="614" t="s">
        <v>1346</v>
      </c>
      <c r="AC60" s="587">
        <v>3</v>
      </c>
      <c r="AD60" s="587" t="s">
        <v>1347</v>
      </c>
      <c r="AE60" s="612" t="s">
        <v>1348</v>
      </c>
      <c r="AF60" s="587" t="s">
        <v>1312</v>
      </c>
      <c r="AG60" s="627" t="s">
        <v>1349</v>
      </c>
      <c r="AH60" s="628" t="s">
        <v>1350</v>
      </c>
      <c r="AI60" s="587">
        <v>3</v>
      </c>
      <c r="AJ60" s="613" t="s">
        <v>1351</v>
      </c>
      <c r="AK60" s="614" t="s">
        <v>1352</v>
      </c>
      <c r="AL60" s="587">
        <v>18</v>
      </c>
      <c r="AM60" s="578" t="s">
        <v>1353</v>
      </c>
      <c r="AN60" s="650" t="s">
        <v>1354</v>
      </c>
      <c r="AP60" s="578" t="s">
        <v>1355</v>
      </c>
      <c r="AQ60" s="612" t="s">
        <v>1356</v>
      </c>
      <c r="AR60" s="587">
        <v>10</v>
      </c>
      <c r="AS60" s="587" t="s">
        <v>1357</v>
      </c>
      <c r="AT60" s="612" t="s">
        <v>1358</v>
      </c>
      <c r="AU60" s="587">
        <v>2</v>
      </c>
      <c r="AV60" s="649" t="s">
        <v>1359</v>
      </c>
      <c r="AW60" s="677" t="s">
        <v>1360</v>
      </c>
      <c r="AX60" s="578">
        <v>19</v>
      </c>
      <c r="AY60" s="578" t="s">
        <v>1361</v>
      </c>
      <c r="AZ60" s="650" t="s">
        <v>1362</v>
      </c>
      <c r="BA60" s="587">
        <v>7</v>
      </c>
      <c r="BB60" s="689" t="s">
        <v>1363</v>
      </c>
      <c r="BC60" s="690" t="s">
        <v>1364</v>
      </c>
      <c r="BD60" s="587">
        <v>19</v>
      </c>
      <c r="BE60" s="578" t="s">
        <v>1361</v>
      </c>
      <c r="BF60" s="650" t="s">
        <v>1365</v>
      </c>
      <c r="BO60" s="612"/>
      <c r="CH60" s="679" t="s">
        <v>1366</v>
      </c>
      <c r="CI60" s="587">
        <v>75</v>
      </c>
      <c r="CJ60" s="587" cm="1">
        <f t="array" ref="CJ60">_xlfn.IFS($AZ$3&gt;=14,79,$AZ$3&gt;=6,78,$AZ$3&gt;=3,76,1,0)</f>
        <v>0</v>
      </c>
      <c r="CN60" s="702" t="str">
        <f>IFERROR(IF(CN59+1&gt;CS2,IF(CN59+1&gt;CS2,IF(CR3+CR59&gt;CS3,"",CR3+CR59)),CN59+1),"")</f>
        <v/>
      </c>
      <c r="CO60" s="702" t="str" cm="1">
        <f t="array" ref="CO60">IFERROR(INDEX($B$34:$BO$262,CN60,$CP$2),"")</f>
        <v/>
      </c>
      <c r="CP60" s="702" t="str" cm="1">
        <f t="array" ref="CP60">IFERROR(INDEX($B$34:$BO$262,CN60,$CQ$2),"")</f>
        <v/>
      </c>
      <c r="CQ60" s="702" t="str" cm="1">
        <f t="array" ref="CQ60">IF(IFERROR(INDEX($B$34:$BO$262,CN60,$CO$2),"")=0,"",IFERROR(INDEX($B$34:$BO$262,CN60,$CO$2),""))</f>
        <v/>
      </c>
      <c r="CR60" s="702" t="str">
        <f>IFERROR(IF(CN59+1&gt;CS2,CR59+1,0),"")</f>
        <v/>
      </c>
      <c r="CT60" s="705" t="str">
        <f t="shared" si="5"/>
        <v/>
      </c>
      <c r="CU60" s="706" t="str" cm="1">
        <f t="array" ref="CU60">INDEX(CT:CT,SMALL(IF($CT$2:$CT$101&lt;&gt;"",ROW($CT$2:$CT$101),142),ROW(CT59)))&amp;""</f>
        <v/>
      </c>
      <c r="CV60" s="701" t="str">
        <f t="shared" si="3"/>
        <v/>
      </c>
      <c r="CW60" s="702" t="str">
        <f>IF(数据表!BK67="","",数据表!BK67)</f>
        <v/>
      </c>
      <c r="CX60" s="702" t="str">
        <f t="shared" si="4"/>
        <v/>
      </c>
    </row>
    <row r="61" customHeight="1" spans="1:102">
      <c r="A61" s="586">
        <v>28</v>
      </c>
      <c r="B61" s="610">
        <v>6</v>
      </c>
      <c r="C61" s="613" t="s">
        <v>1367</v>
      </c>
      <c r="D61" s="614" t="s">
        <v>1368</v>
      </c>
      <c r="E61" s="587">
        <v>14</v>
      </c>
      <c r="F61" s="613" t="s">
        <v>1369</v>
      </c>
      <c r="G61" s="614" t="s">
        <v>1370</v>
      </c>
      <c r="H61" s="587">
        <v>3</v>
      </c>
      <c r="I61" s="613" t="s">
        <v>1371</v>
      </c>
      <c r="J61" s="614" t="s">
        <v>1372</v>
      </c>
      <c r="K61" s="587">
        <v>19</v>
      </c>
      <c r="L61" s="587" t="s">
        <v>1091</v>
      </c>
      <c r="M61" s="612" t="s">
        <v>1373</v>
      </c>
      <c r="O61" s="627" t="s">
        <v>1374</v>
      </c>
      <c r="P61" s="628" t="s">
        <v>1375</v>
      </c>
      <c r="Q61" s="587">
        <v>20</v>
      </c>
      <c r="R61" s="587" t="s">
        <v>1376</v>
      </c>
      <c r="S61" s="612" t="s">
        <v>1377</v>
      </c>
      <c r="T61" s="587">
        <v>18</v>
      </c>
      <c r="U61" s="587" t="s">
        <v>1378</v>
      </c>
      <c r="V61" s="612" t="s">
        <v>1379</v>
      </c>
      <c r="W61" s="587">
        <v>20</v>
      </c>
      <c r="X61" s="587" t="s">
        <v>1380</v>
      </c>
      <c r="Y61" s="612" t="s">
        <v>1381</v>
      </c>
      <c r="AA61" s="613" t="s">
        <v>731</v>
      </c>
      <c r="AB61" s="614" t="s">
        <v>1382</v>
      </c>
      <c r="AC61" s="587">
        <v>4</v>
      </c>
      <c r="AD61" s="587" t="s">
        <v>852</v>
      </c>
      <c r="AE61" s="612" t="s">
        <v>1383</v>
      </c>
      <c r="AF61" s="587" t="s">
        <v>1312</v>
      </c>
      <c r="AG61" s="627" t="s">
        <v>1384</v>
      </c>
      <c r="AH61" s="628" t="s">
        <v>1385</v>
      </c>
      <c r="AI61" s="587">
        <v>3</v>
      </c>
      <c r="AJ61" s="613" t="s">
        <v>1386</v>
      </c>
      <c r="AK61" s="614" t="s">
        <v>1387</v>
      </c>
      <c r="AL61" s="587">
        <v>19</v>
      </c>
      <c r="AM61" s="587" t="s">
        <v>1091</v>
      </c>
      <c r="AN61" s="611" t="s">
        <v>1388</v>
      </c>
      <c r="AO61" s="587">
        <v>3</v>
      </c>
      <c r="AP61" s="587" t="s">
        <v>1389</v>
      </c>
      <c r="AQ61" s="611" t="s">
        <v>1390</v>
      </c>
      <c r="AR61" s="587">
        <v>13</v>
      </c>
      <c r="AS61" s="587" t="s">
        <v>1391</v>
      </c>
      <c r="AT61" s="612" t="s">
        <v>1392</v>
      </c>
      <c r="AU61" s="587">
        <v>2</v>
      </c>
      <c r="AV61" s="649" t="s">
        <v>1393</v>
      </c>
      <c r="AW61" s="677" t="s">
        <v>1394</v>
      </c>
      <c r="AX61" s="578">
        <v>20</v>
      </c>
      <c r="AY61" s="578" t="s">
        <v>1395</v>
      </c>
      <c r="AZ61" s="650" t="s">
        <v>1396</v>
      </c>
      <c r="BA61" s="587">
        <v>7</v>
      </c>
      <c r="BB61" s="689" t="s">
        <v>1397</v>
      </c>
      <c r="BC61" s="690" t="s">
        <v>1398</v>
      </c>
      <c r="BD61" s="587">
        <v>20</v>
      </c>
      <c r="BE61" s="578" t="s">
        <v>1399</v>
      </c>
      <c r="BF61" s="650" t="s">
        <v>1400</v>
      </c>
      <c r="BO61" s="612"/>
      <c r="CH61" s="679" t="s">
        <v>1401</v>
      </c>
      <c r="CI61" s="587">
        <v>80</v>
      </c>
      <c r="CJ61" s="587" cm="1">
        <f t="array" ref="CJ61">_xlfn.IFS($AZ$3&gt;=14,93,$AZ$3&gt;=11,92,$AZ$3&gt;=7,91,$AZ$3&gt;=6,88,$AZ$3&gt;=3,87,1,0)</f>
        <v>0</v>
      </c>
      <c r="CN61" s="702" t="str">
        <f>IFERROR(IF(CN60+1&gt;CS2,IF(CN60+1&gt;CS2,IF(CR3+CR60&gt;CS3,"",CR3+CR60)),CN60+1),"")</f>
        <v/>
      </c>
      <c r="CO61" s="702" t="str" cm="1">
        <f t="array" ref="CO61">IFERROR(INDEX($B$34:$BO$262,CN61,$CP$2),"")</f>
        <v/>
      </c>
      <c r="CP61" s="702" t="str" cm="1">
        <f t="array" ref="CP61">IFERROR(INDEX($B$34:$BO$262,CN61,$CQ$2),"")</f>
        <v/>
      </c>
      <c r="CQ61" s="702" t="str" cm="1">
        <f t="array" ref="CQ61">IF(IFERROR(INDEX($B$34:$BO$262,CN61,$CO$2),"")=0,"",IFERROR(INDEX($B$34:$BO$262,CN61,$CO$2),""))</f>
        <v/>
      </c>
      <c r="CR61" s="702" t="str">
        <f>IFERROR(IF(CN60+1&gt;CS2,CR60+1,0),"")</f>
        <v/>
      </c>
      <c r="CT61" s="705" t="str">
        <f t="shared" si="5"/>
        <v/>
      </c>
      <c r="CU61" s="706" t="str" cm="1">
        <f t="array" ref="CU61">INDEX(CT:CT,SMALL(IF($CT$2:$CT$101&lt;&gt;"",ROW($CT$2:$CT$101),142),ROW(CT60)))&amp;""</f>
        <v/>
      </c>
      <c r="CV61" s="701" t="str">
        <f t="shared" si="3"/>
        <v/>
      </c>
      <c r="CW61" s="702" t="str">
        <f>IF(数据表!BK68="","",数据表!BK68)</f>
        <v/>
      </c>
      <c r="CX61" s="702" t="str">
        <f t="shared" si="4"/>
        <v/>
      </c>
    </row>
    <row r="62" customHeight="1" spans="1:102">
      <c r="A62" s="586">
        <v>29</v>
      </c>
      <c r="B62" s="610">
        <v>10</v>
      </c>
      <c r="C62" s="613" t="s">
        <v>1402</v>
      </c>
      <c r="D62" s="614" t="s">
        <v>1403</v>
      </c>
      <c r="E62" s="587">
        <v>3</v>
      </c>
      <c r="F62" s="587" t="s">
        <v>1404</v>
      </c>
      <c r="G62" s="612" t="s">
        <v>1405</v>
      </c>
      <c r="H62" s="587">
        <v>6</v>
      </c>
      <c r="I62" s="613" t="s">
        <v>1406</v>
      </c>
      <c r="J62" s="614" t="s">
        <v>1407</v>
      </c>
      <c r="K62" s="587">
        <v>20</v>
      </c>
      <c r="L62" s="587" t="s">
        <v>1408</v>
      </c>
      <c r="M62" s="612" t="s">
        <v>1409</v>
      </c>
      <c r="O62" s="627" t="s">
        <v>1410</v>
      </c>
      <c r="P62" s="628" t="s">
        <v>1411</v>
      </c>
      <c r="Q62" s="587">
        <v>3</v>
      </c>
      <c r="R62" s="613" t="s">
        <v>1412</v>
      </c>
      <c r="S62" s="614" t="s">
        <v>1413</v>
      </c>
      <c r="T62" s="587">
        <v>19</v>
      </c>
      <c r="U62" s="587" t="s">
        <v>1091</v>
      </c>
      <c r="V62" s="612" t="s">
        <v>1414</v>
      </c>
      <c r="W62" s="587">
        <v>3</v>
      </c>
      <c r="X62" s="613" t="s">
        <v>1415</v>
      </c>
      <c r="Y62" s="614" t="s">
        <v>1416</v>
      </c>
      <c r="AA62" s="613" t="s">
        <v>764</v>
      </c>
      <c r="AB62" s="614" t="s">
        <v>1417</v>
      </c>
      <c r="AC62" s="587">
        <v>5</v>
      </c>
      <c r="AD62" s="587" t="s">
        <v>1418</v>
      </c>
      <c r="AE62" s="612" t="s">
        <v>1419</v>
      </c>
      <c r="AF62" s="587" t="s">
        <v>1312</v>
      </c>
      <c r="AG62" s="627" t="s">
        <v>1420</v>
      </c>
      <c r="AH62" s="628" t="s">
        <v>1421</v>
      </c>
      <c r="AI62" s="587">
        <v>6</v>
      </c>
      <c r="AJ62" s="613" t="s">
        <v>1422</v>
      </c>
      <c r="AK62" s="614" t="s">
        <v>1423</v>
      </c>
      <c r="AL62" s="587">
        <v>20</v>
      </c>
      <c r="AM62" s="587" t="s">
        <v>1424</v>
      </c>
      <c r="AN62" s="611" t="s">
        <v>1425</v>
      </c>
      <c r="AO62" s="587">
        <v>4</v>
      </c>
      <c r="AP62" s="587" t="s">
        <v>852</v>
      </c>
      <c r="AQ62" s="612" t="s">
        <v>1426</v>
      </c>
      <c r="AR62" s="587">
        <v>14</v>
      </c>
      <c r="AS62" s="587" t="s">
        <v>1427</v>
      </c>
      <c r="AT62" s="612" t="s">
        <v>1428</v>
      </c>
      <c r="AU62" s="587">
        <v>2</v>
      </c>
      <c r="AV62" s="649" t="s">
        <v>1429</v>
      </c>
      <c r="AW62" s="677" t="s">
        <v>1430</v>
      </c>
      <c r="AX62" s="578">
        <v>3</v>
      </c>
      <c r="AY62" s="656" t="s">
        <v>1431</v>
      </c>
      <c r="AZ62" s="691" t="s">
        <v>1432</v>
      </c>
      <c r="BA62" s="587">
        <v>10</v>
      </c>
      <c r="BB62" s="578" t="s">
        <v>1433</v>
      </c>
      <c r="BC62" s="650" t="s">
        <v>1434</v>
      </c>
      <c r="BD62" s="587">
        <v>3</v>
      </c>
      <c r="BE62" s="694" t="s">
        <v>1435</v>
      </c>
      <c r="BF62" s="614" t="s">
        <v>1436</v>
      </c>
      <c r="BO62" s="612"/>
      <c r="CH62" s="679" t="s">
        <v>1437</v>
      </c>
      <c r="CI62" s="587">
        <v>94</v>
      </c>
      <c r="CJ62" s="587" cm="1">
        <f t="array" ref="CJ62">_xlfn.IFS($AZ$3&gt;=14,98,$AZ$3&gt;=6,97,$AZ$3&gt;=3,95,1,0)</f>
        <v>0</v>
      </c>
      <c r="CN62" s="702" t="str">
        <f>IFERROR(IF(CN61+1&gt;CS2,IF(CN61+1&gt;CS2,IF(CR3+CR61&gt;CS3,"",CR3+CR61)),CN61+1),"")</f>
        <v/>
      </c>
      <c r="CO62" s="702" t="str" cm="1">
        <f t="array" ref="CO62">IFERROR(INDEX($B$34:$BO$262,CN62,$CP$2),"")</f>
        <v/>
      </c>
      <c r="CP62" s="702" t="str" cm="1">
        <f t="array" ref="CP62">IFERROR(INDEX($B$34:$BO$262,CN62,$CQ$2),"")</f>
        <v/>
      </c>
      <c r="CQ62" s="702" t="str" cm="1">
        <f t="array" ref="CQ62">IF(IFERROR(INDEX($B$34:$BO$262,CN62,$CO$2),"")=0,"",IFERROR(INDEX($B$34:$BO$262,CN62,$CO$2),""))</f>
        <v/>
      </c>
      <c r="CR62" s="702" t="str">
        <f>IFERROR(IF(CN61+1&gt;CS2,CR61+1,0),"")</f>
        <v/>
      </c>
      <c r="CT62" s="705" t="str">
        <f t="shared" si="5"/>
        <v/>
      </c>
      <c r="CU62" s="706" t="str" cm="1">
        <f t="array" ref="CU62">INDEX(CT:CT,SMALL(IF($CT$2:$CT$101&lt;&gt;"",ROW($CT$2:$CT$101),142),ROW(CT61)))&amp;""</f>
        <v/>
      </c>
      <c r="CV62" s="701" t="str">
        <f t="shared" si="3"/>
        <v/>
      </c>
      <c r="CW62" s="702" t="str">
        <f>IF(数据表!BK69="","",数据表!BK69)</f>
        <v/>
      </c>
      <c r="CX62" s="702" t="str">
        <f t="shared" si="4"/>
        <v/>
      </c>
    </row>
    <row r="63" customHeight="1" spans="1:102">
      <c r="A63" s="586">
        <v>30</v>
      </c>
      <c r="B63" s="610">
        <v>14</v>
      </c>
      <c r="C63" s="613" t="s">
        <v>1438</v>
      </c>
      <c r="D63" s="614" t="s">
        <v>1439</v>
      </c>
      <c r="E63" s="587">
        <v>3</v>
      </c>
      <c r="F63" s="587" t="s">
        <v>1440</v>
      </c>
      <c r="G63" s="612" t="s">
        <v>1441</v>
      </c>
      <c r="H63" s="587">
        <v>17</v>
      </c>
      <c r="I63" s="613" t="s">
        <v>1442</v>
      </c>
      <c r="J63" s="614" t="s">
        <v>1443</v>
      </c>
      <c r="K63" s="587">
        <v>3</v>
      </c>
      <c r="L63" s="613" t="s">
        <v>1444</v>
      </c>
      <c r="M63" s="614" t="s">
        <v>1445</v>
      </c>
      <c r="O63" s="627" t="s">
        <v>1446</v>
      </c>
      <c r="P63" s="628" t="s">
        <v>1447</v>
      </c>
      <c r="Q63" s="587">
        <v>3</v>
      </c>
      <c r="R63" s="613" t="s">
        <v>1448</v>
      </c>
      <c r="S63" s="614" t="s">
        <v>1449</v>
      </c>
      <c r="T63" s="587">
        <v>3</v>
      </c>
      <c r="U63" s="613" t="s">
        <v>1450</v>
      </c>
      <c r="V63" s="614" t="s">
        <v>1451</v>
      </c>
      <c r="W63" s="587">
        <v>7</v>
      </c>
      <c r="X63" s="613" t="s">
        <v>1452</v>
      </c>
      <c r="Y63" s="614" t="s">
        <v>1453</v>
      </c>
      <c r="AA63" s="613" t="s">
        <v>795</v>
      </c>
      <c r="AB63" s="614" t="s">
        <v>863</v>
      </c>
      <c r="AC63" s="587">
        <v>7</v>
      </c>
      <c r="AD63" s="587" t="s">
        <v>1454</v>
      </c>
      <c r="AE63" s="612" t="s">
        <v>1455</v>
      </c>
      <c r="AF63" s="587" t="s">
        <v>1312</v>
      </c>
      <c r="AG63" s="627" t="s">
        <v>1456</v>
      </c>
      <c r="AH63" s="628" t="s">
        <v>1457</v>
      </c>
      <c r="AI63" s="587">
        <v>10</v>
      </c>
      <c r="AJ63" s="613" t="s">
        <v>1458</v>
      </c>
      <c r="AK63" s="614" t="s">
        <v>1459</v>
      </c>
      <c r="AL63" s="587">
        <v>3</v>
      </c>
      <c r="AM63" s="656" t="s">
        <v>1460</v>
      </c>
      <c r="AN63" s="657" t="s">
        <v>1461</v>
      </c>
      <c r="AO63" s="587">
        <v>5</v>
      </c>
      <c r="AP63" s="587" t="s">
        <v>1462</v>
      </c>
      <c r="AQ63" s="678" t="s">
        <v>1463</v>
      </c>
      <c r="AR63" s="587">
        <v>14</v>
      </c>
      <c r="AS63" s="587" t="s">
        <v>1464</v>
      </c>
      <c r="AT63" s="612" t="s">
        <v>1465</v>
      </c>
      <c r="AU63" s="587">
        <v>2</v>
      </c>
      <c r="AV63" s="649" t="s">
        <v>1466</v>
      </c>
      <c r="AW63" s="677" t="s">
        <v>1467</v>
      </c>
      <c r="AX63" s="578">
        <v>3</v>
      </c>
      <c r="AY63" s="656" t="s">
        <v>1468</v>
      </c>
      <c r="AZ63" s="691" t="s">
        <v>1469</v>
      </c>
      <c r="BA63" s="587">
        <v>11</v>
      </c>
      <c r="BB63" s="578" t="s">
        <v>1470</v>
      </c>
      <c r="BC63" s="650" t="s">
        <v>1471</v>
      </c>
      <c r="BD63" s="587">
        <v>3</v>
      </c>
      <c r="BE63" s="694" t="s">
        <v>1472</v>
      </c>
      <c r="BF63" s="614" t="s">
        <v>1473</v>
      </c>
      <c r="BO63" s="612"/>
      <c r="CH63" s="679" t="s">
        <v>1474</v>
      </c>
      <c r="CI63" s="587">
        <v>99</v>
      </c>
      <c r="CJ63" s="587" cm="1">
        <f t="array" ref="CJ63">_xlfn.IFS($AZ$3&gt;=14,102,$AZ$3&gt;=6,101,$AZ$3&gt;=3,100,1,0)</f>
        <v>0</v>
      </c>
      <c r="CN63" s="702" t="str">
        <f>IFERROR(IF(CN62+1&gt;CS2,IF(CN62+1&gt;CS2,IF(CR3+CR62&gt;CS3,"",CR3+CR62)),CN62+1),"")</f>
        <v/>
      </c>
      <c r="CO63" s="702" t="str" cm="1">
        <f t="array" ref="CO63">IFERROR(INDEX($B$34:$BO$262,CN63,$CP$2),"")</f>
        <v/>
      </c>
      <c r="CP63" s="702" t="str" cm="1">
        <f t="array" ref="CP63">IFERROR(INDEX($B$34:$BO$262,CN63,$CQ$2),"")</f>
        <v/>
      </c>
      <c r="CQ63" s="702" t="str" cm="1">
        <f t="array" ref="CQ63">IF(IFERROR(INDEX($B$34:$BO$262,CN63,$CO$2),"")=0,"",IFERROR(INDEX($B$34:$BO$262,CN63,$CO$2),""))</f>
        <v/>
      </c>
      <c r="CR63" s="702" t="str">
        <f>IFERROR(IF(CN62+1&gt;CS2,CR62+1,0),"")</f>
        <v/>
      </c>
      <c r="CT63" s="705" t="str">
        <f t="shared" si="5"/>
        <v/>
      </c>
      <c r="CU63" s="706" t="str" cm="1">
        <f t="array" ref="CU63">INDEX(CT:CT,SMALL(IF($CT$2:$CT$101&lt;&gt;"",ROW($CT$2:$CT$101),142),ROW(CT62)))&amp;""</f>
        <v/>
      </c>
      <c r="CV63" s="701" t="str">
        <f t="shared" si="3"/>
        <v/>
      </c>
      <c r="CW63" s="702" t="str">
        <f>IF(数据表!BK70="","",数据表!BK70)</f>
        <v/>
      </c>
      <c r="CX63" s="702" t="str">
        <f t="shared" si="4"/>
        <v/>
      </c>
    </row>
    <row r="64" customHeight="1" spans="1:102">
      <c r="A64" s="586">
        <v>31</v>
      </c>
      <c r="B64" s="610">
        <v>3</v>
      </c>
      <c r="C64" s="587" t="s">
        <v>1475</v>
      </c>
      <c r="D64" s="612" t="s">
        <v>1476</v>
      </c>
      <c r="E64" s="587">
        <v>6</v>
      </c>
      <c r="F64" s="587" t="s">
        <v>1477</v>
      </c>
      <c r="G64" s="612" t="s">
        <v>1478</v>
      </c>
      <c r="H64" s="587">
        <v>3</v>
      </c>
      <c r="I64" s="587" t="s">
        <v>1479</v>
      </c>
      <c r="J64" s="612" t="s">
        <v>1480</v>
      </c>
      <c r="K64" s="587">
        <v>3</v>
      </c>
      <c r="L64" s="613" t="s">
        <v>1481</v>
      </c>
      <c r="M64" s="614" t="s">
        <v>1482</v>
      </c>
      <c r="O64" s="627" t="s">
        <v>1483</v>
      </c>
      <c r="P64" s="628" t="s">
        <v>1484</v>
      </c>
      <c r="Q64" s="587">
        <v>3</v>
      </c>
      <c r="R64" s="613" t="s">
        <v>1485</v>
      </c>
      <c r="S64" s="614" t="s">
        <v>1486</v>
      </c>
      <c r="T64" s="587">
        <v>3</v>
      </c>
      <c r="U64" s="613" t="s">
        <v>1487</v>
      </c>
      <c r="V64" s="614" t="s">
        <v>1488</v>
      </c>
      <c r="W64" s="587">
        <v>11</v>
      </c>
      <c r="X64" s="613" t="s">
        <v>1489</v>
      </c>
      <c r="Y64" s="614" t="s">
        <v>1490</v>
      </c>
      <c r="AA64" s="613" t="s">
        <v>826</v>
      </c>
      <c r="AB64" s="614" t="s">
        <v>1491</v>
      </c>
      <c r="AC64" s="587">
        <v>19</v>
      </c>
      <c r="AD64" s="587" t="s">
        <v>1091</v>
      </c>
      <c r="AE64" s="612" t="s">
        <v>1492</v>
      </c>
      <c r="AF64" s="587" t="s">
        <v>1312</v>
      </c>
      <c r="AG64" s="627" t="s">
        <v>1493</v>
      </c>
      <c r="AH64" s="628" t="s">
        <v>1494</v>
      </c>
      <c r="AI64" s="587">
        <v>14</v>
      </c>
      <c r="AJ64" s="613" t="s">
        <v>1495</v>
      </c>
      <c r="AK64" s="614" t="s">
        <v>1496</v>
      </c>
      <c r="AL64" s="587">
        <v>3</v>
      </c>
      <c r="AM64" s="656" t="s">
        <v>1497</v>
      </c>
      <c r="AN64" s="657" t="s">
        <v>1498</v>
      </c>
      <c r="AO64" s="587">
        <v>7</v>
      </c>
      <c r="AP64" s="587" t="s">
        <v>1499</v>
      </c>
      <c r="AQ64" s="611" t="s">
        <v>1500</v>
      </c>
      <c r="AR64" s="587">
        <v>14</v>
      </c>
      <c r="AS64" s="587" t="s">
        <v>1501</v>
      </c>
      <c r="AT64" s="612" t="s">
        <v>1502</v>
      </c>
      <c r="AU64" s="587">
        <v>2</v>
      </c>
      <c r="AV64" s="649" t="s">
        <v>1503</v>
      </c>
      <c r="AW64" s="677" t="s">
        <v>1504</v>
      </c>
      <c r="AX64" s="578">
        <v>6</v>
      </c>
      <c r="AY64" s="656" t="s">
        <v>1505</v>
      </c>
      <c r="AZ64" s="691" t="s">
        <v>1506</v>
      </c>
      <c r="BA64" s="587">
        <v>13</v>
      </c>
      <c r="BB64" s="689" t="s">
        <v>1507</v>
      </c>
      <c r="BC64" s="690" t="s">
        <v>1508</v>
      </c>
      <c r="BD64" s="587">
        <v>6</v>
      </c>
      <c r="BE64" s="694" t="s">
        <v>1509</v>
      </c>
      <c r="BF64" s="614" t="s">
        <v>1510</v>
      </c>
      <c r="BO64" s="612"/>
      <c r="CH64" s="679" t="s">
        <v>1511</v>
      </c>
      <c r="CI64" s="587">
        <v>103</v>
      </c>
      <c r="CJ64" s="587" cm="1">
        <f t="array" ref="CJ64">_xlfn.IFS($AZ$3&gt;=6,117,$AZ$3&gt;=3,115,1,0)</f>
        <v>0</v>
      </c>
      <c r="CN64" s="702" t="str">
        <f>IFERROR(IF(CN63+1&gt;CS2,IF(CN63+1&gt;CS2,IF(CR3+CR63&gt;CS3,"",CR3+CR63)),CN63+1),"")</f>
        <v/>
      </c>
      <c r="CO64" s="702" t="str" cm="1">
        <f t="array" ref="CO64">IFERROR(INDEX($B$34:$BO$262,CN64,$CP$2),"")</f>
        <v/>
      </c>
      <c r="CP64" s="702" t="str" cm="1">
        <f t="array" ref="CP64">IFERROR(INDEX($B$34:$BO$262,CN64,$CQ$2),"")</f>
        <v/>
      </c>
      <c r="CQ64" s="702" t="str" cm="1">
        <f t="array" ref="CQ64">IF(IFERROR(INDEX($B$34:$BO$262,CN64,$CO$2),"")=0,"",IFERROR(INDEX($B$34:$BO$262,CN64,$CO$2),""))</f>
        <v/>
      </c>
      <c r="CR64" s="702" t="str">
        <f>IFERROR(IF(CN63+1&gt;CS2,CR63+1,0),"")</f>
        <v/>
      </c>
      <c r="CT64" s="705" t="str">
        <f t="shared" si="5"/>
        <v/>
      </c>
      <c r="CU64" s="706" t="str" cm="1">
        <f t="array" ref="CU64">INDEX(CT:CT,SMALL(IF($CT$2:$CT$101&lt;&gt;"",ROW($CT$2:$CT$101),142),ROW(CT63)))&amp;""</f>
        <v/>
      </c>
      <c r="CV64" s="701" t="str">
        <f t="shared" si="3"/>
        <v/>
      </c>
      <c r="CW64" s="702" t="str">
        <f>IF(数据表!BK71="","",数据表!BK71)</f>
        <v/>
      </c>
      <c r="CX64" s="702" t="str">
        <f t="shared" si="4"/>
        <v/>
      </c>
    </row>
    <row r="65" customHeight="1" spans="1:102">
      <c r="A65" s="586">
        <v>32</v>
      </c>
      <c r="B65" s="610">
        <v>3</v>
      </c>
      <c r="C65" s="587" t="s">
        <v>1512</v>
      </c>
      <c r="D65" s="612" t="s">
        <v>1513</v>
      </c>
      <c r="E65" s="587">
        <v>14</v>
      </c>
      <c r="F65" s="587" t="s">
        <v>1514</v>
      </c>
      <c r="G65" s="612" t="s">
        <v>1515</v>
      </c>
      <c r="H65" s="587">
        <v>3</v>
      </c>
      <c r="I65" s="587" t="s">
        <v>1516</v>
      </c>
      <c r="J65" s="612" t="s">
        <v>1517</v>
      </c>
      <c r="K65" s="587">
        <v>6</v>
      </c>
      <c r="L65" s="613" t="s">
        <v>1518</v>
      </c>
      <c r="M65" s="614" t="s">
        <v>1519</v>
      </c>
      <c r="O65" s="627" t="s">
        <v>1520</v>
      </c>
      <c r="P65" s="628" t="s">
        <v>1521</v>
      </c>
      <c r="Q65" s="587">
        <v>6</v>
      </c>
      <c r="R65" s="613" t="s">
        <v>1522</v>
      </c>
      <c r="S65" s="614" t="s">
        <v>1523</v>
      </c>
      <c r="T65" s="587">
        <v>7</v>
      </c>
      <c r="U65" s="613" t="s">
        <v>1524</v>
      </c>
      <c r="V65" s="614" t="s">
        <v>1525</v>
      </c>
      <c r="W65" s="587">
        <v>15</v>
      </c>
      <c r="X65" s="613" t="s">
        <v>1526</v>
      </c>
      <c r="Y65" s="614" t="s">
        <v>1527</v>
      </c>
      <c r="Z65" s="587">
        <v>3</v>
      </c>
      <c r="AA65" s="613" t="s">
        <v>1528</v>
      </c>
      <c r="AB65" s="614" t="s">
        <v>1529</v>
      </c>
      <c r="AC65" s="587">
        <v>20</v>
      </c>
      <c r="AD65" s="587" t="s">
        <v>1530</v>
      </c>
      <c r="AE65" s="612" t="s">
        <v>1531</v>
      </c>
      <c r="AF65" s="587" t="s">
        <v>1312</v>
      </c>
      <c r="AG65" s="627" t="s">
        <v>1532</v>
      </c>
      <c r="AH65" s="628" t="s">
        <v>1533</v>
      </c>
      <c r="AI65" s="587">
        <v>3</v>
      </c>
      <c r="AJ65" s="587" t="s">
        <v>1534</v>
      </c>
      <c r="AK65" s="612" t="s">
        <v>1535</v>
      </c>
      <c r="AL65" s="587">
        <v>3</v>
      </c>
      <c r="AM65" s="613" t="s">
        <v>1536</v>
      </c>
      <c r="AN65" s="657" t="s">
        <v>1537</v>
      </c>
      <c r="AO65" s="587">
        <v>18</v>
      </c>
      <c r="AP65" s="679" t="s">
        <v>1538</v>
      </c>
      <c r="AQ65" s="612" t="s">
        <v>1539</v>
      </c>
      <c r="AR65" s="587">
        <v>14</v>
      </c>
      <c r="AS65" s="587" t="s">
        <v>1540</v>
      </c>
      <c r="AT65" s="612" t="s">
        <v>1541</v>
      </c>
      <c r="AU65" s="587">
        <v>2</v>
      </c>
      <c r="AV65" s="649" t="s">
        <v>1542</v>
      </c>
      <c r="AW65" s="677" t="s">
        <v>1543</v>
      </c>
      <c r="AX65" s="578">
        <v>10</v>
      </c>
      <c r="AY65" s="656" t="s">
        <v>1544</v>
      </c>
      <c r="AZ65" s="691" t="s">
        <v>1545</v>
      </c>
      <c r="BA65" s="587">
        <v>13</v>
      </c>
      <c r="BB65" s="689" t="s">
        <v>1546</v>
      </c>
      <c r="BC65" s="690" t="s">
        <v>1547</v>
      </c>
      <c r="BD65" s="587">
        <v>11</v>
      </c>
      <c r="BE65" s="694" t="s">
        <v>1548</v>
      </c>
      <c r="BF65" s="718" t="s">
        <v>1549</v>
      </c>
      <c r="BO65" s="612"/>
      <c r="CH65" s="679" t="s">
        <v>1550</v>
      </c>
      <c r="CI65" s="587">
        <v>118</v>
      </c>
      <c r="CJ65" s="587" cm="1">
        <f t="array" ref="CJ65">_xlfn.IFS($AZ$3&gt;=14,121,$AZ$3&gt;=6,120,$AZ$3&gt;=3,119,1,0)</f>
        <v>0</v>
      </c>
      <c r="CN65" s="702" t="str">
        <f>IFERROR(IF(CN64+1&gt;CS2,IF(CN64+1&gt;CS2,IF(CR3+CR64&gt;CS3,"",CR3+CR64)),CN64+1),"")</f>
        <v/>
      </c>
      <c r="CO65" s="702" t="str" cm="1">
        <f t="array" ref="CO65">IFERROR(INDEX($B$34:$BO$262,CN65,$CP$2),"")</f>
        <v/>
      </c>
      <c r="CP65" s="702" t="str" cm="1">
        <f t="array" ref="CP65">IFERROR(INDEX($B$34:$BO$262,CN65,$CQ$2),"")</f>
        <v/>
      </c>
      <c r="CQ65" s="702" t="str" cm="1">
        <f t="array" ref="CQ65">IF(IFERROR(INDEX($B$34:$BO$262,CN65,$CO$2),"")=0,"",IFERROR(INDEX($B$34:$BO$262,CN65,$CO$2),""))</f>
        <v/>
      </c>
      <c r="CR65" s="702" t="str">
        <f>IFERROR(IF(CN64+1&gt;CS2,CR64+1,0),"")</f>
        <v/>
      </c>
      <c r="CT65" s="705" t="str">
        <f t="shared" si="5"/>
        <v/>
      </c>
      <c r="CU65" s="706" t="str" cm="1">
        <f t="array" ref="CU65">INDEX(CT:CT,SMALL(IF($CT$2:$CT$101&lt;&gt;"",ROW($CT$2:$CT$101),142),ROW(CT64)))&amp;""</f>
        <v/>
      </c>
      <c r="CV65" s="701" t="str">
        <f t="shared" si="3"/>
        <v/>
      </c>
      <c r="CW65" s="702" t="str">
        <f>IF(数据表!BK72="","",数据表!BK72)</f>
        <v/>
      </c>
      <c r="CX65" s="702" t="str">
        <f t="shared" si="4"/>
        <v/>
      </c>
    </row>
    <row r="66" customHeight="1" spans="1:102">
      <c r="A66" s="586">
        <v>33</v>
      </c>
      <c r="B66" s="610">
        <v>6</v>
      </c>
      <c r="C66" s="587" t="s">
        <v>1551</v>
      </c>
      <c r="D66" s="612" t="s">
        <v>1552</v>
      </c>
      <c r="E66" s="587">
        <v>3</v>
      </c>
      <c r="F66" s="613" t="s">
        <v>1553</v>
      </c>
      <c r="G66" s="614" t="s">
        <v>1554</v>
      </c>
      <c r="H66" s="587">
        <v>3</v>
      </c>
      <c r="I66" s="587" t="s">
        <v>1555</v>
      </c>
      <c r="J66" s="612" t="s">
        <v>1556</v>
      </c>
      <c r="K66" s="587">
        <v>10</v>
      </c>
      <c r="L66" s="613" t="s">
        <v>1557</v>
      </c>
      <c r="M66" s="614" t="s">
        <v>1558</v>
      </c>
      <c r="O66" s="627" t="s">
        <v>1559</v>
      </c>
      <c r="P66" s="628" t="s">
        <v>1560</v>
      </c>
      <c r="Q66" s="587">
        <v>11</v>
      </c>
      <c r="R66" s="613" t="s">
        <v>1561</v>
      </c>
      <c r="S66" s="614" t="s">
        <v>1562</v>
      </c>
      <c r="T66" s="587">
        <v>15</v>
      </c>
      <c r="U66" s="613" t="s">
        <v>1563</v>
      </c>
      <c r="V66" s="614" t="s">
        <v>1564</v>
      </c>
      <c r="W66" s="587">
        <v>3</v>
      </c>
      <c r="X66" s="587" t="s">
        <v>1565</v>
      </c>
      <c r="Y66" s="612" t="s">
        <v>1566</v>
      </c>
      <c r="Z66" s="587">
        <v>9</v>
      </c>
      <c r="AA66" s="613" t="s">
        <v>1567</v>
      </c>
      <c r="AB66" s="614" t="s">
        <v>1568</v>
      </c>
      <c r="AC66" s="587">
        <v>3</v>
      </c>
      <c r="AD66" s="613" t="s">
        <v>1569</v>
      </c>
      <c r="AE66" s="614" t="s">
        <v>1570</v>
      </c>
      <c r="AF66" s="587" t="s">
        <v>1312</v>
      </c>
      <c r="AG66" s="627" t="s">
        <v>1571</v>
      </c>
      <c r="AH66" s="628" t="s">
        <v>1572</v>
      </c>
      <c r="AI66" s="587">
        <v>3</v>
      </c>
      <c r="AJ66" s="587" t="s">
        <v>1573</v>
      </c>
      <c r="AK66" s="612" t="s">
        <v>1574</v>
      </c>
      <c r="AL66" s="587">
        <v>5</v>
      </c>
      <c r="AM66" s="613" t="s">
        <v>1575</v>
      </c>
      <c r="AN66" s="657" t="s">
        <v>1576</v>
      </c>
      <c r="AO66" s="587">
        <v>19</v>
      </c>
      <c r="AP66" s="587" t="s">
        <v>1091</v>
      </c>
      <c r="AQ66" s="612" t="s">
        <v>1577</v>
      </c>
      <c r="AR66" s="587" t="s">
        <v>1578</v>
      </c>
      <c r="AS66" s="649" t="s">
        <v>1579</v>
      </c>
      <c r="AT66" s="677" t="s">
        <v>1580</v>
      </c>
      <c r="AU66" s="587">
        <v>2</v>
      </c>
      <c r="AV66" s="649" t="s">
        <v>1581</v>
      </c>
      <c r="AW66" s="677" t="s">
        <v>1582</v>
      </c>
      <c r="AX66" s="578">
        <v>14</v>
      </c>
      <c r="AY66" s="656" t="s">
        <v>1583</v>
      </c>
      <c r="AZ66" s="691" t="s">
        <v>1584</v>
      </c>
      <c r="BA66" s="587">
        <v>13</v>
      </c>
      <c r="BB66" s="689" t="s">
        <v>1585</v>
      </c>
      <c r="BC66" s="690" t="s">
        <v>1586</v>
      </c>
      <c r="BD66" s="587">
        <v>17</v>
      </c>
      <c r="BE66" s="694" t="s">
        <v>1587</v>
      </c>
      <c r="BF66" s="614" t="s">
        <v>1588</v>
      </c>
      <c r="BO66" s="612"/>
      <c r="CH66" s="679" t="s">
        <v>1589</v>
      </c>
      <c r="CI66" s="587">
        <v>122</v>
      </c>
      <c r="CJ66" s="587" cm="1">
        <f t="array" ref="CJ66">_xlfn.IFS($AZ$3&gt;=14,125,$AZ$3&gt;=6,124,$AZ$3&gt;=3,123,1,0)</f>
        <v>0</v>
      </c>
      <c r="CN66" s="702" t="str">
        <f>IFERROR(IF(CN65+1&gt;CS2,IF(CN65+1&gt;CS2,IF(CR3+CR65&gt;CS3,"",CR3+CR65)),CN65+1),"")</f>
        <v/>
      </c>
      <c r="CO66" s="702" t="str" cm="1">
        <f t="array" ref="CO66">IFERROR(INDEX($B$34:$BO$262,CN66,$CP$2),"")</f>
        <v/>
      </c>
      <c r="CP66" s="702" t="str" cm="1">
        <f t="array" ref="CP66">IFERROR(INDEX($B$34:$BO$262,CN66,$CQ$2),"")</f>
        <v/>
      </c>
      <c r="CQ66" s="702" t="str" cm="1">
        <f t="array" ref="CQ66">IF(IFERROR(INDEX($B$34:$BO$262,CN66,$CO$2),"")=0,"",IFERROR(INDEX($B$34:$BO$262,CN66,$CO$2),""))</f>
        <v/>
      </c>
      <c r="CR66" s="702" t="str">
        <f>IFERROR(IF(CN65+1&gt;CS2,CR65+1,0),"")</f>
        <v/>
      </c>
      <c r="CT66" s="705" t="str">
        <f t="shared" ref="CT66:CT97" si="6">IFERROR(IF(OR(CO70="",COUNTIF($CW$2:$CW$81,CO70)),"",CO70),"")</f>
        <v/>
      </c>
      <c r="CU66" s="706" t="str" cm="1">
        <f t="array" ref="CU66">INDEX(CT:CT,SMALL(IF($CT$2:$CT$101&lt;&gt;"",ROW($CT$2:$CT$101),142),ROW(CT65)))&amp;""</f>
        <v/>
      </c>
      <c r="CV66" s="701" t="str">
        <f t="shared" si="3"/>
        <v/>
      </c>
      <c r="CW66" s="702" t="str">
        <f>IF(数据表!BK73="","",数据表!BK73)</f>
        <v/>
      </c>
      <c r="CX66" s="702" t="str">
        <f t="shared" si="4"/>
        <v/>
      </c>
    </row>
    <row r="67" customHeight="1" spans="1:102">
      <c r="A67" s="586">
        <v>34</v>
      </c>
      <c r="B67" s="610">
        <v>10</v>
      </c>
      <c r="C67" s="587" t="s">
        <v>1590</v>
      </c>
      <c r="D67" s="612" t="s">
        <v>1591</v>
      </c>
      <c r="E67" s="587">
        <v>3</v>
      </c>
      <c r="F67" s="613" t="s">
        <v>1592</v>
      </c>
      <c r="G67" s="614" t="s">
        <v>1593</v>
      </c>
      <c r="H67" s="587">
        <v>6</v>
      </c>
      <c r="I67" s="587" t="s">
        <v>1594</v>
      </c>
      <c r="J67" s="612" t="s">
        <v>1595</v>
      </c>
      <c r="K67" s="587">
        <v>14</v>
      </c>
      <c r="L67" s="613" t="s">
        <v>1596</v>
      </c>
      <c r="M67" s="614" t="s">
        <v>1597</v>
      </c>
      <c r="O67" s="627" t="s">
        <v>1598</v>
      </c>
      <c r="P67" s="628" t="s">
        <v>1599</v>
      </c>
      <c r="Q67" s="587">
        <v>17</v>
      </c>
      <c r="R67" s="613" t="s">
        <v>1600</v>
      </c>
      <c r="S67" s="614" t="s">
        <v>1601</v>
      </c>
      <c r="T67" s="587">
        <v>20</v>
      </c>
      <c r="U67" s="613" t="s">
        <v>1602</v>
      </c>
      <c r="V67" s="614" t="s">
        <v>1603</v>
      </c>
      <c r="W67" s="587">
        <v>3</v>
      </c>
      <c r="X67" s="587" t="s">
        <v>1604</v>
      </c>
      <c r="Y67" s="612" t="s">
        <v>1605</v>
      </c>
      <c r="Z67" s="587">
        <v>13</v>
      </c>
      <c r="AA67" s="613" t="s">
        <v>1606</v>
      </c>
      <c r="AB67" s="614" t="s">
        <v>1607</v>
      </c>
      <c r="AC67" s="587">
        <v>3</v>
      </c>
      <c r="AD67" s="613" t="s">
        <v>1608</v>
      </c>
      <c r="AE67" s="614" t="s">
        <v>1609</v>
      </c>
      <c r="AF67" s="587" t="s">
        <v>1312</v>
      </c>
      <c r="AG67" s="627" t="s">
        <v>1610</v>
      </c>
      <c r="AH67" s="628" t="s">
        <v>1611</v>
      </c>
      <c r="AI67" s="587">
        <v>6</v>
      </c>
      <c r="AJ67" s="587" t="s">
        <v>1612</v>
      </c>
      <c r="AK67" s="612" t="s">
        <v>1613</v>
      </c>
      <c r="AL67" s="587">
        <v>9</v>
      </c>
      <c r="AM67" s="613" t="s">
        <v>1614</v>
      </c>
      <c r="AN67" s="657" t="s">
        <v>1615</v>
      </c>
      <c r="AO67" s="587">
        <v>20</v>
      </c>
      <c r="AP67" s="587" t="s">
        <v>1616</v>
      </c>
      <c r="AQ67" s="650" t="s">
        <v>1617</v>
      </c>
      <c r="AR67" s="587" t="s">
        <v>1578</v>
      </c>
      <c r="AS67" s="649" t="s">
        <v>1618</v>
      </c>
      <c r="AT67" s="677" t="s">
        <v>1619</v>
      </c>
      <c r="AU67" s="587">
        <v>3</v>
      </c>
      <c r="AV67" s="587" t="s">
        <v>1620</v>
      </c>
      <c r="AW67" s="612" t="s">
        <v>1621</v>
      </c>
      <c r="AX67" s="578">
        <v>3</v>
      </c>
      <c r="AY67" s="578" t="s">
        <v>1622</v>
      </c>
      <c r="AZ67" s="650" t="s">
        <v>1623</v>
      </c>
      <c r="BA67" s="587">
        <v>13</v>
      </c>
      <c r="BB67" s="689" t="s">
        <v>1624</v>
      </c>
      <c r="BC67" s="690" t="s">
        <v>1625</v>
      </c>
      <c r="BD67" s="587">
        <v>3</v>
      </c>
      <c r="BE67" s="578" t="s">
        <v>1626</v>
      </c>
      <c r="BF67" s="650" t="s">
        <v>1627</v>
      </c>
      <c r="BO67" s="612"/>
      <c r="CH67" s="679" t="s">
        <v>1628</v>
      </c>
      <c r="CI67" s="587">
        <v>126</v>
      </c>
      <c r="CJ67" s="587" cm="1">
        <f t="array" ref="CJ67">_xlfn.IFS($AZ$3&gt;=14,129,$AZ$3&gt;=6,128,$AZ$3&gt;=3,127,1,0)</f>
        <v>0</v>
      </c>
      <c r="CN67" s="702" t="str">
        <f>IFERROR(IF(CN66+1&gt;CS2,IF(CN66+1&gt;CS2,IF(CR3+CR66&gt;CS3,"",CR3+CR66)),CN66+1),"")</f>
        <v/>
      </c>
      <c r="CO67" s="702" t="str" cm="1">
        <f t="array" ref="CO67">IFERROR(INDEX($B$34:$BO$262,CN67,$CP$2),"")</f>
        <v/>
      </c>
      <c r="CP67" s="702" t="str" cm="1">
        <f t="array" ref="CP67">IFERROR(INDEX($B$34:$BO$262,CN67,$CQ$2),"")</f>
        <v/>
      </c>
      <c r="CQ67" s="702" t="str" cm="1">
        <f t="array" ref="CQ67">IF(IFERROR(INDEX($B$34:$BO$262,CN67,$CO$2),"")=0,"",IFERROR(INDEX($B$34:$BO$262,CN67,$CO$2),""))</f>
        <v/>
      </c>
      <c r="CR67" s="702" t="str">
        <f>IFERROR(IF(CN66+1&gt;CS2,CR66+1,0),"")</f>
        <v/>
      </c>
      <c r="CT67" s="705" t="str">
        <f t="shared" si="6"/>
        <v/>
      </c>
      <c r="CU67" s="706" t="str" cm="1">
        <f t="array" ref="CU67">INDEX(CT:CT,SMALL(IF($CT$2:$CT$101&lt;&gt;"",ROW($CT$2:$CT$101),142),ROW(CT66)))&amp;""</f>
        <v/>
      </c>
      <c r="CV67" s="701" t="str">
        <f t="shared" ref="CV67:CV81" si="7">IFERROR(VLOOKUP(CW67,$CO$6:$CQ$105,3,FALSE),"")</f>
        <v/>
      </c>
      <c r="CW67" s="702" t="str">
        <f>IF(数据表!BK74="","",数据表!BK74)</f>
        <v/>
      </c>
      <c r="CX67" s="702" t="str">
        <f t="shared" ref="CX67:CX81" si="8">IFERROR(VLOOKUP(CW67,$CO$6:$CQ$105,2,FALSE),"")</f>
        <v/>
      </c>
    </row>
    <row r="68" customHeight="1" spans="1:102">
      <c r="A68" s="586">
        <v>35</v>
      </c>
      <c r="B68" s="610">
        <v>14</v>
      </c>
      <c r="C68" s="587" t="s">
        <v>1629</v>
      </c>
      <c r="D68" s="612" t="s">
        <v>1630</v>
      </c>
      <c r="E68" s="587">
        <v>6</v>
      </c>
      <c r="F68" s="613" t="s">
        <v>1631</v>
      </c>
      <c r="G68" s="614" t="s">
        <v>1632</v>
      </c>
      <c r="H68" s="587">
        <v>17</v>
      </c>
      <c r="I68" s="587" t="s">
        <v>1633</v>
      </c>
      <c r="J68" s="612" t="s">
        <v>1634</v>
      </c>
      <c r="K68" s="587">
        <v>3</v>
      </c>
      <c r="L68" s="587" t="s">
        <v>1635</v>
      </c>
      <c r="M68" s="612" t="s">
        <v>1636</v>
      </c>
      <c r="O68" s="627" t="s">
        <v>1637</v>
      </c>
      <c r="P68" s="628" t="s">
        <v>1638</v>
      </c>
      <c r="Q68" s="587">
        <v>3</v>
      </c>
      <c r="R68" s="587" t="s">
        <v>1639</v>
      </c>
      <c r="S68" s="612" t="s">
        <v>1640</v>
      </c>
      <c r="T68" s="587">
        <v>3</v>
      </c>
      <c r="U68" s="587" t="s">
        <v>1641</v>
      </c>
      <c r="V68" s="612" t="s">
        <v>1642</v>
      </c>
      <c r="W68" s="587">
        <v>3</v>
      </c>
      <c r="X68" s="587" t="s">
        <v>1643</v>
      </c>
      <c r="Y68" s="612" t="s">
        <v>1644</v>
      </c>
      <c r="Z68" s="587">
        <v>17</v>
      </c>
      <c r="AA68" s="613" t="s">
        <v>1645</v>
      </c>
      <c r="AB68" s="614" t="s">
        <v>1646</v>
      </c>
      <c r="AC68" s="587">
        <v>6</v>
      </c>
      <c r="AD68" s="613" t="s">
        <v>1647</v>
      </c>
      <c r="AE68" s="614" t="s">
        <v>1648</v>
      </c>
      <c r="AF68" s="587" t="s">
        <v>1312</v>
      </c>
      <c r="AG68" s="652" t="str">
        <f>IF(主要!$CD$3="O","哈达之攫","")</f>
        <v>哈达之攫</v>
      </c>
      <c r="AH68" s="653" t="s">
        <v>1649</v>
      </c>
      <c r="AI68" s="587">
        <v>10</v>
      </c>
      <c r="AJ68" s="587" t="s">
        <v>1650</v>
      </c>
      <c r="AK68" s="612" t="s">
        <v>1651</v>
      </c>
      <c r="AL68" s="587">
        <v>15</v>
      </c>
      <c r="AM68" s="613" t="s">
        <v>1652</v>
      </c>
      <c r="AN68" s="657" t="s">
        <v>1653</v>
      </c>
      <c r="AO68" s="587">
        <v>3</v>
      </c>
      <c r="AP68" s="613" t="s">
        <v>1654</v>
      </c>
      <c r="AQ68" s="657" t="s">
        <v>1655</v>
      </c>
      <c r="AR68" s="587" t="s">
        <v>1656</v>
      </c>
      <c r="AS68" s="649" t="s">
        <v>1657</v>
      </c>
      <c r="AT68" s="677" t="s">
        <v>1658</v>
      </c>
      <c r="AU68" s="587">
        <v>4</v>
      </c>
      <c r="AV68" s="587" t="s">
        <v>852</v>
      </c>
      <c r="AW68" s="612" t="s">
        <v>1659</v>
      </c>
      <c r="AX68" s="578">
        <v>3</v>
      </c>
      <c r="AY68" s="578" t="s">
        <v>1660</v>
      </c>
      <c r="AZ68" s="650" t="s">
        <v>1661</v>
      </c>
      <c r="BA68" s="587">
        <v>13</v>
      </c>
      <c r="BB68" s="689" t="s">
        <v>1662</v>
      </c>
      <c r="BC68" s="690" t="s">
        <v>1663</v>
      </c>
      <c r="BD68" s="587">
        <v>3</v>
      </c>
      <c r="BE68" s="578" t="s">
        <v>561</v>
      </c>
      <c r="BF68" s="650" t="s">
        <v>1664</v>
      </c>
      <c r="BO68" s="612"/>
      <c r="CH68" s="608" t="s">
        <v>1665</v>
      </c>
      <c r="CI68" s="608">
        <v>26</v>
      </c>
      <c r="CJ68" s="608" cm="1">
        <f t="array" ref="CJ68">_xlfn.IFS($AZ$4&gt;=17,30,$AZ$4&gt;=6,29,$AZ$4&gt;=3,28,1,0)</f>
        <v>0</v>
      </c>
      <c r="CN68" s="702" t="str">
        <f>IFERROR(IF(CN67+1&gt;CS2,IF(CN67+1&gt;CS2,IF(CR3+CR67&gt;CS3,"",CR3+CR67)),CN67+1),"")</f>
        <v/>
      </c>
      <c r="CO68" s="702" t="str" cm="1">
        <f t="array" ref="CO68">IFERROR(INDEX($B$34:$BO$262,CN68,$CP$2),"")</f>
        <v/>
      </c>
      <c r="CP68" s="702" t="str" cm="1">
        <f t="array" ref="CP68">IFERROR(INDEX($B$34:$BO$262,CN68,$CQ$2),"")</f>
        <v/>
      </c>
      <c r="CQ68" s="702" t="str" cm="1">
        <f t="array" ref="CQ68">IF(IFERROR(INDEX($B$34:$BO$262,CN68,$CO$2),"")=0,"",IFERROR(INDEX($B$34:$BO$262,CN68,$CO$2),""))</f>
        <v/>
      </c>
      <c r="CR68" s="702" t="str">
        <f>IFERROR(IF(CN67+1&gt;CS2,CR67+1,0),"")</f>
        <v/>
      </c>
      <c r="CT68" s="705" t="str">
        <f t="shared" si="6"/>
        <v/>
      </c>
      <c r="CU68" s="706" t="str" cm="1">
        <f t="array" ref="CU68">INDEX(CT:CT,SMALL(IF($CT$2:$CT$101&lt;&gt;"",ROW($CT$2:$CT$101),142),ROW(CT67)))&amp;""</f>
        <v/>
      </c>
      <c r="CV68" s="701" t="str">
        <f t="shared" si="7"/>
        <v/>
      </c>
      <c r="CW68" s="702" t="str">
        <f>IF(数据表!BK75="","",数据表!BK75)</f>
        <v/>
      </c>
      <c r="CX68" s="702" t="str">
        <f t="shared" si="8"/>
        <v/>
      </c>
    </row>
    <row r="69" customHeight="1" spans="1:102">
      <c r="A69" s="586">
        <v>36</v>
      </c>
      <c r="B69" s="610">
        <v>3</v>
      </c>
      <c r="C69" s="613" t="s">
        <v>1666</v>
      </c>
      <c r="D69" s="614" t="s">
        <v>1667</v>
      </c>
      <c r="E69" s="587">
        <v>14</v>
      </c>
      <c r="F69" s="613" t="s">
        <v>1668</v>
      </c>
      <c r="G69" s="614" t="s">
        <v>1669</v>
      </c>
      <c r="H69" s="587">
        <v>3</v>
      </c>
      <c r="I69" s="613" t="s">
        <v>1670</v>
      </c>
      <c r="J69" s="614" t="s">
        <v>1671</v>
      </c>
      <c r="K69" s="587">
        <v>3</v>
      </c>
      <c r="L69" s="587" t="s">
        <v>1672</v>
      </c>
      <c r="M69" s="612" t="s">
        <v>1673</v>
      </c>
      <c r="O69" s="627" t="s">
        <v>1674</v>
      </c>
      <c r="P69" s="628" t="s">
        <v>1675</v>
      </c>
      <c r="Q69" s="587">
        <v>6</v>
      </c>
      <c r="R69" s="587" t="s">
        <v>1676</v>
      </c>
      <c r="S69" s="612" t="s">
        <v>1677</v>
      </c>
      <c r="T69" s="587">
        <v>3</v>
      </c>
      <c r="U69" s="587" t="s">
        <v>1678</v>
      </c>
      <c r="V69" s="612" t="s">
        <v>1679</v>
      </c>
      <c r="W69" s="587">
        <v>7</v>
      </c>
      <c r="X69" s="587" t="s">
        <v>1680</v>
      </c>
      <c r="Y69" s="612" t="s">
        <v>1681</v>
      </c>
      <c r="Z69" s="587">
        <v>3</v>
      </c>
      <c r="AA69" s="587" t="s">
        <v>1682</v>
      </c>
      <c r="AB69" s="612" t="s">
        <v>1683</v>
      </c>
      <c r="AC69" s="587">
        <v>6</v>
      </c>
      <c r="AD69" s="613" t="s">
        <v>1684</v>
      </c>
      <c r="AE69" s="614" t="s">
        <v>1685</v>
      </c>
      <c r="AF69" s="587" t="s">
        <v>1312</v>
      </c>
      <c r="AG69" s="652" t="str">
        <f>IF(主要!$CD$3="O","怠惰之枪","")</f>
        <v>怠惰之枪</v>
      </c>
      <c r="AH69" s="653" t="s">
        <v>1686</v>
      </c>
      <c r="AI69" s="587">
        <v>14</v>
      </c>
      <c r="AJ69" s="587" t="s">
        <v>1687</v>
      </c>
      <c r="AK69" s="612" t="s">
        <v>1688</v>
      </c>
      <c r="AL69" s="587">
        <v>3</v>
      </c>
      <c r="AM69" s="578" t="s">
        <v>1689</v>
      </c>
      <c r="AN69" s="611" t="s">
        <v>1690</v>
      </c>
      <c r="AO69" s="587">
        <v>3</v>
      </c>
      <c r="AP69" s="656" t="s">
        <v>1691</v>
      </c>
      <c r="AQ69" s="657" t="s">
        <v>1692</v>
      </c>
      <c r="AR69" s="587" t="s">
        <v>1656</v>
      </c>
      <c r="AS69" s="649" t="s">
        <v>1693</v>
      </c>
      <c r="AT69" s="677" t="s">
        <v>1694</v>
      </c>
      <c r="AU69" s="587">
        <v>6</v>
      </c>
      <c r="AV69" s="649" t="s">
        <v>1695</v>
      </c>
      <c r="AW69" s="677" t="s">
        <v>1696</v>
      </c>
      <c r="AX69" s="578">
        <v>6</v>
      </c>
      <c r="AY69" s="578" t="s">
        <v>1697</v>
      </c>
      <c r="AZ69" s="650" t="s">
        <v>1698</v>
      </c>
      <c r="BA69" s="587">
        <v>13</v>
      </c>
      <c r="BB69" s="689" t="s">
        <v>1699</v>
      </c>
      <c r="BC69" s="690" t="s">
        <v>1700</v>
      </c>
      <c r="BD69" s="587">
        <v>6</v>
      </c>
      <c r="BE69" s="578" t="s">
        <v>1701</v>
      </c>
      <c r="BF69" s="650" t="s">
        <v>1702</v>
      </c>
      <c r="BO69" s="612"/>
      <c r="CH69" s="587" t="s">
        <v>1703</v>
      </c>
      <c r="CI69" s="587">
        <v>31</v>
      </c>
      <c r="CJ69" s="587" cm="1">
        <f t="array" ref="CJ69">_xlfn.IFS($AZ$4&gt;=17,35,$AZ$4&gt;=6,34,$AZ$4&gt;=3,33,1,0)</f>
        <v>0</v>
      </c>
      <c r="CN69" s="702" t="str">
        <f>IFERROR(IF(CN68+1&gt;CS2,IF(CN68+1&gt;CS2,IF(CR3+CR68&gt;CS3,"",CR3+CR68)),CN68+1),"")</f>
        <v/>
      </c>
      <c r="CO69" s="702" t="str" cm="1">
        <f t="array" ref="CO69">IFERROR(INDEX($B$34:$BO$262,CN69,$CP$2),"")</f>
        <v/>
      </c>
      <c r="CP69" s="702" t="str" cm="1">
        <f t="array" ref="CP69">IFERROR(INDEX($B$34:$BO$262,CN69,$CQ$2),"")</f>
        <v/>
      </c>
      <c r="CQ69" s="702" t="str" cm="1">
        <f t="array" ref="CQ69">IF(IFERROR(INDEX($B$34:$BO$262,CN69,$CO$2),"")=0,"",IFERROR(INDEX($B$34:$BO$262,CN69,$CO$2),""))</f>
        <v/>
      </c>
      <c r="CR69" s="702" t="str">
        <f>IFERROR(IF(CN68+1&gt;CS2,CR68+1,0),"")</f>
        <v/>
      </c>
      <c r="CT69" s="705" t="str">
        <f t="shared" si="6"/>
        <v/>
      </c>
      <c r="CU69" s="706" t="str" cm="1">
        <f t="array" ref="CU69">INDEX(CT:CT,SMALL(IF($CT$2:$CT$101&lt;&gt;"",ROW($CT$2:$CT$101),142),ROW(CT68)))&amp;""</f>
        <v/>
      </c>
      <c r="CV69" s="701" t="str">
        <f t="shared" si="7"/>
        <v/>
      </c>
      <c r="CW69" s="702" t="str">
        <f>IF(数据表!BK76="","",数据表!BK76)</f>
        <v/>
      </c>
      <c r="CX69" s="702" t="str">
        <f t="shared" si="8"/>
        <v/>
      </c>
    </row>
    <row r="70" customHeight="1" spans="1:102">
      <c r="A70" s="586">
        <v>37</v>
      </c>
      <c r="B70" s="610">
        <v>6</v>
      </c>
      <c r="C70" s="613" t="s">
        <v>1704</v>
      </c>
      <c r="D70" s="614" t="s">
        <v>1705</v>
      </c>
      <c r="E70" s="587">
        <v>3</v>
      </c>
      <c r="F70" s="587" t="s">
        <v>1706</v>
      </c>
      <c r="G70" s="612" t="s">
        <v>1707</v>
      </c>
      <c r="H70" s="587">
        <v>3</v>
      </c>
      <c r="I70" s="613" t="s">
        <v>1708</v>
      </c>
      <c r="J70" s="614" t="s">
        <v>1709</v>
      </c>
      <c r="K70" s="587">
        <v>6</v>
      </c>
      <c r="L70" s="587" t="s">
        <v>1710</v>
      </c>
      <c r="M70" s="612" t="s">
        <v>1711</v>
      </c>
      <c r="O70" s="627" t="s">
        <v>1712</v>
      </c>
      <c r="P70" s="628" t="s">
        <v>1713</v>
      </c>
      <c r="Q70" s="587">
        <v>11</v>
      </c>
      <c r="R70" s="587" t="s">
        <v>1714</v>
      </c>
      <c r="S70" s="612" t="s">
        <v>1715</v>
      </c>
      <c r="T70" s="587">
        <v>3</v>
      </c>
      <c r="U70" s="587" t="s">
        <v>1716</v>
      </c>
      <c r="V70" s="612" t="s">
        <v>1717</v>
      </c>
      <c r="W70" s="587">
        <v>11</v>
      </c>
      <c r="X70" s="587" t="s">
        <v>1718</v>
      </c>
      <c r="Y70" s="612" t="s">
        <v>1719</v>
      </c>
      <c r="Z70" s="587">
        <v>3</v>
      </c>
      <c r="AA70" s="587" t="s">
        <v>1720</v>
      </c>
      <c r="AB70" s="612" t="s">
        <v>1721</v>
      </c>
      <c r="AC70" s="587">
        <v>14</v>
      </c>
      <c r="AD70" s="613" t="s">
        <v>1722</v>
      </c>
      <c r="AE70" s="614" t="s">
        <v>1723</v>
      </c>
      <c r="AF70" s="587" t="s">
        <v>1312</v>
      </c>
      <c r="AG70" s="712" t="str">
        <f>IF(主要!$CO$7="O","巫咒撕裂者","")</f>
        <v>巫咒撕裂者</v>
      </c>
      <c r="AH70" s="713" t="s">
        <v>1724</v>
      </c>
      <c r="AI70" s="587">
        <v>3</v>
      </c>
      <c r="AJ70" s="613" t="s">
        <v>1725</v>
      </c>
      <c r="AK70" s="614" t="s">
        <v>1726</v>
      </c>
      <c r="AL70" s="587">
        <v>3</v>
      </c>
      <c r="AM70" s="578" t="s">
        <v>1727</v>
      </c>
      <c r="AN70" s="611" t="s">
        <v>1728</v>
      </c>
      <c r="AO70" s="587">
        <v>3</v>
      </c>
      <c r="AP70" s="656" t="s">
        <v>1729</v>
      </c>
      <c r="AQ70" s="657" t="s">
        <v>1730</v>
      </c>
      <c r="AR70" s="587">
        <v>19</v>
      </c>
      <c r="AS70" s="587" t="s">
        <v>1091</v>
      </c>
      <c r="AT70" s="612" t="s">
        <v>1731</v>
      </c>
      <c r="AU70" s="587">
        <v>6</v>
      </c>
      <c r="AV70" s="649" t="s">
        <v>1732</v>
      </c>
      <c r="AW70" s="677" t="s">
        <v>1733</v>
      </c>
      <c r="AX70" s="578">
        <v>10</v>
      </c>
      <c r="AY70" s="578" t="s">
        <v>1734</v>
      </c>
      <c r="AZ70" s="650" t="s">
        <v>1735</v>
      </c>
      <c r="BA70" s="587">
        <v>13</v>
      </c>
      <c r="BB70" s="689" t="s">
        <v>1736</v>
      </c>
      <c r="BC70" s="690" t="s">
        <v>1737</v>
      </c>
      <c r="BD70" s="587">
        <v>11</v>
      </c>
      <c r="BE70" s="578" t="s">
        <v>1738</v>
      </c>
      <c r="BF70" s="650" t="s">
        <v>1739</v>
      </c>
      <c r="BO70" s="612"/>
      <c r="CH70" s="587" t="s">
        <v>1740</v>
      </c>
      <c r="CI70" s="587">
        <v>36</v>
      </c>
      <c r="CJ70" s="587" cm="1">
        <f t="array" ref="CJ70">_xlfn.IFS($AZ$4&gt;=17,40,$AZ$4&gt;=6,39,$AZ$4&gt;=3,38,1,0)</f>
        <v>0</v>
      </c>
      <c r="CN70" s="702" t="str">
        <f>IFERROR(IF(CN69+1&gt;CS2,IF(CN69+1&gt;CS2,IF(CR3+CR69&gt;CS3,"",CR3+CR69)),CN69+1),"")</f>
        <v/>
      </c>
      <c r="CO70" s="702" t="str" cm="1">
        <f t="array" ref="CO70">IFERROR(INDEX($B$34:$BO$262,CN70,$CP$2),"")</f>
        <v/>
      </c>
      <c r="CP70" s="702" t="str" cm="1">
        <f t="array" ref="CP70">IFERROR(INDEX($B$34:$BO$262,CN70,$CQ$2),"")</f>
        <v/>
      </c>
      <c r="CQ70" s="702" t="str" cm="1">
        <f t="array" ref="CQ70">IF(IFERROR(INDEX($B$34:$BO$262,CN70,$CO$2),"")=0,"",IFERROR(INDEX($B$34:$BO$262,CN70,$CO$2),""))</f>
        <v/>
      </c>
      <c r="CR70" s="702" t="str">
        <f>IFERROR(IF(CN69+1&gt;CS2,CR69+1,0),"")</f>
        <v/>
      </c>
      <c r="CT70" s="705" t="str">
        <f t="shared" si="6"/>
        <v/>
      </c>
      <c r="CU70" s="706" t="str" cm="1">
        <f t="array" ref="CU70">INDEX(CT:CT,SMALL(IF($CT$2:$CT$101&lt;&gt;"",ROW($CT$2:$CT$101),142),ROW(CT69)))&amp;""</f>
        <v/>
      </c>
      <c r="CV70" s="701" t="str">
        <f t="shared" si="7"/>
        <v/>
      </c>
      <c r="CW70" s="702" t="str">
        <f>IF(数据表!BK77="","",数据表!BK77)</f>
        <v/>
      </c>
      <c r="CX70" s="702" t="str">
        <f t="shared" si="8"/>
        <v/>
      </c>
    </row>
    <row r="71" customHeight="1" spans="1:102">
      <c r="A71" s="586">
        <v>38</v>
      </c>
      <c r="B71" s="610">
        <v>10</v>
      </c>
      <c r="C71" s="613" t="s">
        <v>1741</v>
      </c>
      <c r="D71" s="614" t="s">
        <v>1742</v>
      </c>
      <c r="E71" s="587">
        <v>3</v>
      </c>
      <c r="F71" s="587" t="s">
        <v>1743</v>
      </c>
      <c r="G71" s="612" t="s">
        <v>1744</v>
      </c>
      <c r="H71" s="587">
        <v>3</v>
      </c>
      <c r="I71" s="613" t="s">
        <v>1745</v>
      </c>
      <c r="J71" s="614" t="s">
        <v>1746</v>
      </c>
      <c r="K71" s="587">
        <v>10</v>
      </c>
      <c r="L71" s="587" t="s">
        <v>1747</v>
      </c>
      <c r="M71" s="612" t="s">
        <v>1748</v>
      </c>
      <c r="O71" s="627" t="s">
        <v>1749</v>
      </c>
      <c r="P71" s="628" t="s">
        <v>1750</v>
      </c>
      <c r="Q71" s="587">
        <v>17</v>
      </c>
      <c r="R71" s="587" t="s">
        <v>1751</v>
      </c>
      <c r="S71" s="612" t="s">
        <v>1752</v>
      </c>
      <c r="T71" s="587">
        <v>7</v>
      </c>
      <c r="U71" s="587" t="s">
        <v>1753</v>
      </c>
      <c r="V71" s="612" t="s">
        <v>1754</v>
      </c>
      <c r="W71" s="587">
        <v>15</v>
      </c>
      <c r="X71" s="587" t="s">
        <v>1755</v>
      </c>
      <c r="Y71" s="612" t="s">
        <v>1756</v>
      </c>
      <c r="Z71" s="587">
        <v>9</v>
      </c>
      <c r="AA71" s="587" t="s">
        <v>1757</v>
      </c>
      <c r="AB71" s="612" t="s">
        <v>1758</v>
      </c>
      <c r="AC71" s="587">
        <v>18</v>
      </c>
      <c r="AD71" s="613" t="s">
        <v>1759</v>
      </c>
      <c r="AE71" s="614" t="s">
        <v>1760</v>
      </c>
      <c r="AF71" s="587" t="s">
        <v>1312</v>
      </c>
      <c r="AG71" s="712" t="str">
        <f>IF(主要!$CO$7="O","原初唤者","")</f>
        <v>原初唤者</v>
      </c>
      <c r="AH71" s="713" t="s">
        <v>1761</v>
      </c>
      <c r="AI71" s="587">
        <v>3</v>
      </c>
      <c r="AJ71" s="613" t="s">
        <v>1762</v>
      </c>
      <c r="AK71" s="614" t="s">
        <v>1763</v>
      </c>
      <c r="AL71" s="587">
        <v>3</v>
      </c>
      <c r="AM71" s="587" t="s">
        <v>1764</v>
      </c>
      <c r="AN71" s="611" t="s">
        <v>1765</v>
      </c>
      <c r="AO71" s="587">
        <v>6</v>
      </c>
      <c r="AP71" s="613" t="s">
        <v>885</v>
      </c>
      <c r="AQ71" s="657" t="s">
        <v>1766</v>
      </c>
      <c r="AR71" s="587">
        <v>20</v>
      </c>
      <c r="AS71" s="587" t="s">
        <v>1767</v>
      </c>
      <c r="AT71" s="612" t="s">
        <v>1768</v>
      </c>
      <c r="AU71" s="587">
        <v>6</v>
      </c>
      <c r="AV71" s="649" t="s">
        <v>1769</v>
      </c>
      <c r="AW71" s="677" t="s">
        <v>1770</v>
      </c>
      <c r="AX71" s="578">
        <v>14</v>
      </c>
      <c r="AY71" s="578" t="s">
        <v>1771</v>
      </c>
      <c r="AZ71" s="650" t="s">
        <v>1772</v>
      </c>
      <c r="BA71" s="587">
        <v>13</v>
      </c>
      <c r="BB71" s="689" t="s">
        <v>1773</v>
      </c>
      <c r="BC71" s="690" t="s">
        <v>1774</v>
      </c>
      <c r="BD71" s="587">
        <v>17</v>
      </c>
      <c r="BE71" s="578" t="s">
        <v>1775</v>
      </c>
      <c r="BF71" s="650" t="s">
        <v>1776</v>
      </c>
      <c r="BO71" s="612"/>
      <c r="CH71" s="587" t="s">
        <v>1777</v>
      </c>
      <c r="CI71" s="587">
        <v>41</v>
      </c>
      <c r="CJ71" s="587" cm="1">
        <f t="array" ref="CJ71">_xlfn.IFS($AZ$4&gt;=17,45,$AZ$4&gt;=6,44,$AZ$4&gt;=3,43,1,0)</f>
        <v>0</v>
      </c>
      <c r="CN71" s="702" t="str">
        <f>IFERROR(IF(CN70+1&gt;CS2,IF(CN70+1&gt;CS2,IF(CR3+CR70&gt;CS3,"",CR3+CR70)),CN70+1),"")</f>
        <v/>
      </c>
      <c r="CO71" s="702" t="str" cm="1">
        <f t="array" ref="CO71">IFERROR(INDEX($B$34:$BO$262,CN71,$CP$2),"")</f>
        <v/>
      </c>
      <c r="CP71" s="702" t="str" cm="1">
        <f t="array" ref="CP71">IFERROR(INDEX($B$34:$BO$262,CN71,$CQ$2),"")</f>
        <v/>
      </c>
      <c r="CQ71" s="702" t="str" cm="1">
        <f t="array" ref="CQ71">IF(IFERROR(INDEX($B$34:$BO$262,CN71,$CO$2),"")=0,"",IFERROR(INDEX($B$34:$BO$262,CN71,$CO$2),""))</f>
        <v/>
      </c>
      <c r="CR71" s="702" t="str">
        <f>IFERROR(IF(CN70+1&gt;CS2,CR70+1,0),"")</f>
        <v/>
      </c>
      <c r="CT71" s="705" t="str">
        <f t="shared" si="6"/>
        <v/>
      </c>
      <c r="CU71" s="706" t="str" cm="1">
        <f t="array" ref="CU71">INDEX(CT:CT,SMALL(IF($CT$2:$CT$101&lt;&gt;"",ROW($CT$2:$CT$101),142),ROW(CT70)))&amp;""</f>
        <v/>
      </c>
      <c r="CV71" s="701" t="str">
        <f t="shared" si="7"/>
        <v/>
      </c>
      <c r="CW71" s="702" t="str">
        <f>IF(数据表!BK78="","",数据表!BK78)</f>
        <v/>
      </c>
      <c r="CX71" s="702" t="str">
        <f t="shared" si="8"/>
        <v/>
      </c>
    </row>
    <row r="72" customHeight="1" spans="1:102">
      <c r="A72" s="586">
        <v>39</v>
      </c>
      <c r="B72" s="610">
        <v>14</v>
      </c>
      <c r="C72" s="613" t="s">
        <v>1778</v>
      </c>
      <c r="D72" s="614" t="s">
        <v>1779</v>
      </c>
      <c r="E72" s="587">
        <v>6</v>
      </c>
      <c r="F72" s="587" t="s">
        <v>885</v>
      </c>
      <c r="G72" s="612" t="s">
        <v>1780</v>
      </c>
      <c r="H72" s="587">
        <v>6</v>
      </c>
      <c r="I72" s="613" t="s">
        <v>1781</v>
      </c>
      <c r="J72" s="614" t="s">
        <v>1782</v>
      </c>
      <c r="K72" s="587">
        <v>14</v>
      </c>
      <c r="L72" s="587" t="s">
        <v>1783</v>
      </c>
      <c r="M72" s="612" t="s">
        <v>1784</v>
      </c>
      <c r="O72" s="627" t="s">
        <v>1785</v>
      </c>
      <c r="P72" s="628" t="s">
        <v>1786</v>
      </c>
      <c r="Q72" s="587">
        <v>3</v>
      </c>
      <c r="R72" s="613" t="s">
        <v>1787</v>
      </c>
      <c r="S72" s="614" t="s">
        <v>1788</v>
      </c>
      <c r="T72" s="587">
        <v>15</v>
      </c>
      <c r="U72" s="587" t="s">
        <v>1789</v>
      </c>
      <c r="V72" s="612" t="s">
        <v>1790</v>
      </c>
      <c r="W72" s="587">
        <v>3</v>
      </c>
      <c r="X72" s="613" t="s">
        <v>1791</v>
      </c>
      <c r="Y72" s="614" t="s">
        <v>1792</v>
      </c>
      <c r="Z72" s="587">
        <v>13</v>
      </c>
      <c r="AA72" s="587" t="s">
        <v>1793</v>
      </c>
      <c r="AB72" s="612" t="s">
        <v>1794</v>
      </c>
      <c r="AC72" s="587">
        <v>3</v>
      </c>
      <c r="AD72" s="587" t="s">
        <v>1795</v>
      </c>
      <c r="AE72" s="612" t="s">
        <v>1796</v>
      </c>
      <c r="AF72" s="587" t="s">
        <v>1312</v>
      </c>
      <c r="AG72" s="712" t="str">
        <f>IF(主要!$CO$7="O","猎人秘典","")</f>
        <v>猎人秘典</v>
      </c>
      <c r="AH72" s="713" t="s">
        <v>1797</v>
      </c>
      <c r="AI72" s="587">
        <v>6</v>
      </c>
      <c r="AJ72" s="613" t="s">
        <v>1798</v>
      </c>
      <c r="AK72" s="614" t="s">
        <v>1799</v>
      </c>
      <c r="AL72" s="587">
        <v>3</v>
      </c>
      <c r="AM72" s="587" t="s">
        <v>1800</v>
      </c>
      <c r="AN72" s="611" t="s">
        <v>1801</v>
      </c>
      <c r="AO72" s="587">
        <v>6</v>
      </c>
      <c r="AP72" s="656" t="s">
        <v>1802</v>
      </c>
      <c r="AQ72" s="657" t="s">
        <v>1803</v>
      </c>
      <c r="AR72" s="587">
        <v>3</v>
      </c>
      <c r="AS72" s="613" t="s">
        <v>1804</v>
      </c>
      <c r="AT72" s="614" t="s">
        <v>1805</v>
      </c>
      <c r="AU72" s="587">
        <v>6</v>
      </c>
      <c r="AV72" s="649" t="s">
        <v>1806</v>
      </c>
      <c r="AW72" s="677" t="s">
        <v>1807</v>
      </c>
      <c r="AX72" s="578">
        <v>3</v>
      </c>
      <c r="AY72" s="656" t="s">
        <v>1808</v>
      </c>
      <c r="AZ72" s="691" t="s">
        <v>1809</v>
      </c>
      <c r="BA72" s="587">
        <v>14</v>
      </c>
      <c r="BB72" s="578" t="s">
        <v>1810</v>
      </c>
      <c r="BC72" s="650" t="s">
        <v>1811</v>
      </c>
      <c r="BD72" s="587">
        <v>3</v>
      </c>
      <c r="BE72" s="656" t="s">
        <v>1812</v>
      </c>
      <c r="BF72" s="691" t="s">
        <v>1813</v>
      </c>
      <c r="BO72" s="612"/>
      <c r="CH72" s="587" t="s">
        <v>1814</v>
      </c>
      <c r="CI72" s="587">
        <v>46</v>
      </c>
      <c r="CJ72" s="587" cm="1">
        <f t="array" ref="CJ72">_xlfn.IFS($AZ$4&gt;=17,51,$AZ$4&gt;=6,50,$AZ$4&gt;=3,49,1,0)</f>
        <v>0</v>
      </c>
      <c r="CN72" s="702" t="str">
        <f>IFERROR(IF(CN71+1&gt;CS2,IF(CN71+1&gt;CS2,IF(CR3+CR71&gt;CS3,"",CR3+CR71)),CN71+1),"")</f>
        <v/>
      </c>
      <c r="CO72" s="702" t="str" cm="1">
        <f t="array" ref="CO72">IFERROR(INDEX($B$34:$BO$262,CN72,$CP$2),"")</f>
        <v/>
      </c>
      <c r="CP72" s="702" t="str" cm="1">
        <f t="array" ref="CP72">IFERROR(INDEX($B$34:$BO$262,CN72,$CQ$2),"")</f>
        <v/>
      </c>
      <c r="CQ72" s="702" t="str" cm="1">
        <f t="array" ref="CQ72">IF(IFERROR(INDEX($B$34:$BO$262,CN72,$CO$2),"")=0,"",IFERROR(INDEX($B$34:$BO$262,CN72,$CO$2),""))</f>
        <v/>
      </c>
      <c r="CR72" s="702" t="str">
        <f>IFERROR(IF(CN71+1&gt;CS2,CR71+1,0),"")</f>
        <v/>
      </c>
      <c r="CT72" s="705" t="str">
        <f t="shared" si="6"/>
        <v/>
      </c>
      <c r="CU72" s="706" t="str" cm="1">
        <f t="array" ref="CU72">INDEX(CT:CT,SMALL(IF($CT$2:$CT$101&lt;&gt;"",ROW($CT$2:$CT$101),142),ROW(CT71)))&amp;""</f>
        <v/>
      </c>
      <c r="CV72" s="701" t="str">
        <f t="shared" si="7"/>
        <v/>
      </c>
      <c r="CW72" s="702" t="str">
        <f>IF(数据表!BK79="","",数据表!BK79)</f>
        <v/>
      </c>
      <c r="CX72" s="702" t="str">
        <f t="shared" si="8"/>
        <v/>
      </c>
    </row>
    <row r="73" customHeight="1" spans="1:102">
      <c r="A73" s="586">
        <v>40</v>
      </c>
      <c r="B73" s="610">
        <v>3</v>
      </c>
      <c r="C73" s="587" t="s">
        <v>1815</v>
      </c>
      <c r="D73" s="612" t="s">
        <v>1816</v>
      </c>
      <c r="E73" s="587">
        <v>14</v>
      </c>
      <c r="F73" s="587" t="s">
        <v>1817</v>
      </c>
      <c r="G73" s="612" t="s">
        <v>1818</v>
      </c>
      <c r="H73" s="587">
        <v>17</v>
      </c>
      <c r="I73" s="613" t="s">
        <v>1819</v>
      </c>
      <c r="J73" s="614" t="s">
        <v>1820</v>
      </c>
      <c r="K73" s="587">
        <v>3</v>
      </c>
      <c r="L73" s="613" t="s">
        <v>1821</v>
      </c>
      <c r="M73" s="614" t="s">
        <v>1822</v>
      </c>
      <c r="O73" s="627" t="s">
        <v>1823</v>
      </c>
      <c r="P73" s="628" t="s">
        <v>1824</v>
      </c>
      <c r="Q73" s="587">
        <v>3</v>
      </c>
      <c r="R73" s="613" t="s">
        <v>1825</v>
      </c>
      <c r="S73" s="614" t="s">
        <v>1826</v>
      </c>
      <c r="T73" s="587">
        <v>20</v>
      </c>
      <c r="U73" s="587" t="s">
        <v>1827</v>
      </c>
      <c r="V73" s="612" t="s">
        <v>1828</v>
      </c>
      <c r="W73" s="587">
        <v>3</v>
      </c>
      <c r="X73" s="613" t="s">
        <v>1829</v>
      </c>
      <c r="Y73" s="614" t="s">
        <v>1830</v>
      </c>
      <c r="Z73" s="587">
        <v>17</v>
      </c>
      <c r="AA73" s="587" t="s">
        <v>1831</v>
      </c>
      <c r="AB73" s="612" t="s">
        <v>1832</v>
      </c>
      <c r="AC73" s="587">
        <v>3</v>
      </c>
      <c r="AD73" s="587" t="s">
        <v>1833</v>
      </c>
      <c r="AE73" s="612" t="s">
        <v>1834</v>
      </c>
      <c r="AF73" s="587">
        <v>3</v>
      </c>
      <c r="AG73" s="587" t="s">
        <v>1835</v>
      </c>
      <c r="AH73" s="612" t="s">
        <v>1836</v>
      </c>
      <c r="AI73" s="587">
        <v>10</v>
      </c>
      <c r="AJ73" s="613" t="s">
        <v>1837</v>
      </c>
      <c r="AK73" s="614" t="s">
        <v>1838</v>
      </c>
      <c r="AM73" s="578" t="s">
        <v>1839</v>
      </c>
      <c r="AN73" s="611" t="s">
        <v>1840</v>
      </c>
      <c r="AO73" s="587">
        <v>10</v>
      </c>
      <c r="AP73" s="656" t="s">
        <v>1841</v>
      </c>
      <c r="AQ73" s="657" t="s">
        <v>1842</v>
      </c>
      <c r="AR73" s="587">
        <v>3</v>
      </c>
      <c r="AS73" s="613" t="s">
        <v>1843</v>
      </c>
      <c r="AT73" s="614" t="s">
        <v>1844</v>
      </c>
      <c r="AU73" s="587">
        <v>6</v>
      </c>
      <c r="AV73" s="649" t="s">
        <v>1845</v>
      </c>
      <c r="AW73" s="677" t="s">
        <v>1846</v>
      </c>
      <c r="AX73" s="578">
        <v>3</v>
      </c>
      <c r="AY73" s="656" t="s">
        <v>1847</v>
      </c>
      <c r="AZ73" s="691" t="s">
        <v>1848</v>
      </c>
      <c r="BA73" s="587">
        <v>17</v>
      </c>
      <c r="BB73" s="578" t="s">
        <v>1849</v>
      </c>
      <c r="BC73" s="650" t="s">
        <v>1850</v>
      </c>
      <c r="BD73" s="587">
        <v>3</v>
      </c>
      <c r="BE73" s="656" t="s">
        <v>1851</v>
      </c>
      <c r="BF73" s="691" t="s">
        <v>1852</v>
      </c>
      <c r="BO73" s="612"/>
      <c r="CH73" s="587" t="s">
        <v>1853</v>
      </c>
      <c r="CI73" s="587">
        <v>52</v>
      </c>
      <c r="CJ73" s="587" cm="1">
        <f t="array" ref="CJ73">_xlfn.IFS($AZ$4&gt;=17,57,$AZ$4&gt;=6,56,$AZ$4&gt;=3,55,1,0)</f>
        <v>0</v>
      </c>
      <c r="CN73" s="702" t="str">
        <f>IFERROR(IF(CN72+1&gt;CS2,IF(CN72+1&gt;CS2,IF(CR3+CR72&gt;CS3,"",CR3+CR72)),CN72+1),"")</f>
        <v/>
      </c>
      <c r="CO73" s="702" t="str" cm="1">
        <f t="array" ref="CO73">IFERROR(INDEX($B$34:$BO$262,CN73,$CP$2),"")</f>
        <v/>
      </c>
      <c r="CP73" s="702" t="str" cm="1">
        <f t="array" ref="CP73">IFERROR(INDEX($B$34:$BO$262,CN73,$CQ$2),"")</f>
        <v/>
      </c>
      <c r="CQ73" s="702" t="str" cm="1">
        <f t="array" ref="CQ73">IF(IFERROR(INDEX($B$34:$BO$262,CN73,$CO$2),"")=0,"",IFERROR(INDEX($B$34:$BO$262,CN73,$CO$2),""))</f>
        <v/>
      </c>
      <c r="CR73" s="702" t="str">
        <f>IFERROR(IF(CN72+1&gt;CS2,CR72+1,0),"")</f>
        <v/>
      </c>
      <c r="CT73" s="705" t="str">
        <f t="shared" si="6"/>
        <v/>
      </c>
      <c r="CU73" s="706" t="str" cm="1">
        <f t="array" ref="CU73">INDEX(CT:CT,SMALL(IF($CT$2:$CT$101&lt;&gt;"",ROW($CT$2:$CT$101),142),ROW(CT72)))&amp;""</f>
        <v/>
      </c>
      <c r="CV73" s="701" t="str">
        <f t="shared" si="7"/>
        <v/>
      </c>
      <c r="CW73" s="702" t="str">
        <f>IF(数据表!BK80="","",数据表!BK80)</f>
        <v/>
      </c>
      <c r="CX73" s="702" t="str">
        <f t="shared" si="8"/>
        <v/>
      </c>
    </row>
    <row r="74" customHeight="1" spans="1:102">
      <c r="A74" s="586">
        <v>41</v>
      </c>
      <c r="B74" s="610">
        <v>3</v>
      </c>
      <c r="C74" s="587" t="s">
        <v>1854</v>
      </c>
      <c r="D74" s="612" t="s">
        <v>1855</v>
      </c>
      <c r="E74" s="587">
        <v>3</v>
      </c>
      <c r="F74" s="613" t="s">
        <v>1856</v>
      </c>
      <c r="G74" s="614" t="s">
        <v>1857</v>
      </c>
      <c r="H74" s="587">
        <v>3</v>
      </c>
      <c r="I74" s="587" t="s">
        <v>1858</v>
      </c>
      <c r="J74" s="612" t="s">
        <v>1859</v>
      </c>
      <c r="K74" s="587">
        <v>3</v>
      </c>
      <c r="L74" s="613" t="s">
        <v>1860</v>
      </c>
      <c r="M74" s="614" t="s">
        <v>1861</v>
      </c>
      <c r="O74" s="627" t="s">
        <v>1862</v>
      </c>
      <c r="P74" s="628" t="s">
        <v>1863</v>
      </c>
      <c r="Q74" s="587">
        <v>6</v>
      </c>
      <c r="R74" s="613" t="s">
        <v>1864</v>
      </c>
      <c r="S74" s="614" t="s">
        <v>1865</v>
      </c>
      <c r="T74" s="587">
        <v>3</v>
      </c>
      <c r="U74" s="613" t="s">
        <v>1866</v>
      </c>
      <c r="V74" s="614" t="s">
        <v>1867</v>
      </c>
      <c r="W74" s="587">
        <v>3</v>
      </c>
      <c r="X74" s="613" t="s">
        <v>1868</v>
      </c>
      <c r="Y74" s="614" t="s">
        <v>1869</v>
      </c>
      <c r="Z74" s="587">
        <v>3</v>
      </c>
      <c r="AA74" s="613" t="s">
        <v>896</v>
      </c>
      <c r="AB74" s="614" t="s">
        <v>1870</v>
      </c>
      <c r="AC74" s="587">
        <v>6</v>
      </c>
      <c r="AD74" s="587" t="s">
        <v>1871</v>
      </c>
      <c r="AE74" s="612" t="s">
        <v>1872</v>
      </c>
      <c r="AF74" s="587">
        <v>4</v>
      </c>
      <c r="AG74" s="587" t="s">
        <v>852</v>
      </c>
      <c r="AH74" s="612" t="s">
        <v>1873</v>
      </c>
      <c r="AI74" s="587">
        <v>14</v>
      </c>
      <c r="AJ74" s="613" t="s">
        <v>1874</v>
      </c>
      <c r="AK74" s="614" t="s">
        <v>1875</v>
      </c>
      <c r="AM74" s="578" t="s">
        <v>1876</v>
      </c>
      <c r="AN74" s="611" t="s">
        <v>1877</v>
      </c>
      <c r="AO74" s="587">
        <v>14</v>
      </c>
      <c r="AP74" s="613" t="s">
        <v>1878</v>
      </c>
      <c r="AQ74" s="657" t="s">
        <v>1879</v>
      </c>
      <c r="AR74" s="587">
        <v>7</v>
      </c>
      <c r="AS74" s="613" t="s">
        <v>1880</v>
      </c>
      <c r="AT74" s="614" t="s">
        <v>1881</v>
      </c>
      <c r="AU74" s="587">
        <v>6</v>
      </c>
      <c r="AV74" s="649" t="s">
        <v>1882</v>
      </c>
      <c r="AW74" s="677" t="s">
        <v>1883</v>
      </c>
      <c r="AX74" s="578">
        <v>6</v>
      </c>
      <c r="AY74" s="656" t="s">
        <v>1884</v>
      </c>
      <c r="AZ74" s="691" t="s">
        <v>1885</v>
      </c>
      <c r="BA74" s="587">
        <v>20</v>
      </c>
      <c r="BB74" s="578" t="s">
        <v>1886</v>
      </c>
      <c r="BC74" s="650" t="s">
        <v>1887</v>
      </c>
      <c r="BD74" s="587">
        <v>6</v>
      </c>
      <c r="BE74" s="656" t="s">
        <v>1888</v>
      </c>
      <c r="BF74" s="691" t="s">
        <v>1889</v>
      </c>
      <c r="BO74" s="612"/>
      <c r="CH74" s="587" t="s">
        <v>1890</v>
      </c>
      <c r="CI74" s="587">
        <v>58</v>
      </c>
      <c r="CJ74" s="587" cm="1">
        <f t="array" ref="CJ74">_xlfn.IFS($AZ$4&gt;=17,63,$AZ$4&gt;=6,62,$AZ$4&gt;=3,61,1,0)</f>
        <v>0</v>
      </c>
      <c r="CN74" s="702" t="str">
        <f>IFERROR(IF(CN73+1&gt;CS2,IF(CN73+1&gt;CS2,IF(CR3+CR73&gt;CS3,"",CR3+CR73)),CN73+1),"")</f>
        <v/>
      </c>
      <c r="CO74" s="702" t="str" cm="1">
        <f t="array" ref="CO74">IFERROR(INDEX($B$34:$BO$262,CN74,$CP$2),"")</f>
        <v/>
      </c>
      <c r="CP74" s="702" t="str" cm="1">
        <f t="array" ref="CP74">IFERROR(INDEX($B$34:$BO$262,CN74,$CQ$2),"")</f>
        <v/>
      </c>
      <c r="CQ74" s="702" t="str" cm="1">
        <f t="array" ref="CQ74">IF(IFERROR(INDEX($B$34:$BO$262,CN74,$CO$2),"")=0,"",IFERROR(INDEX($B$34:$BO$262,CN74,$CO$2),""))</f>
        <v/>
      </c>
      <c r="CR74" s="702" t="str">
        <f>IFERROR(IF(CN73+1&gt;CS2,CR73+1,0),"")</f>
        <v/>
      </c>
      <c r="CT74" s="705" t="str">
        <f t="shared" si="6"/>
        <v/>
      </c>
      <c r="CU74" s="706" t="str" cm="1">
        <f t="array" ref="CU74">INDEX(CT:CT,SMALL(IF($CT$2:$CT$101&lt;&gt;"",ROW($CT$2:$CT$101),142),ROW(CT73)))&amp;""</f>
        <v/>
      </c>
      <c r="CV74" s="701" t="str">
        <f t="shared" si="7"/>
        <v/>
      </c>
      <c r="CW74" s="702" t="str">
        <f>IF(数据表!BK81="","",数据表!BK81)</f>
        <v/>
      </c>
      <c r="CX74" s="702" t="str">
        <f t="shared" si="8"/>
        <v/>
      </c>
    </row>
    <row r="75" customHeight="1" spans="1:102">
      <c r="A75" s="586">
        <v>42</v>
      </c>
      <c r="B75" s="610">
        <v>6</v>
      </c>
      <c r="C75" s="587" t="s">
        <v>1891</v>
      </c>
      <c r="D75" s="612" t="s">
        <v>1892</v>
      </c>
      <c r="E75" s="587">
        <v>3</v>
      </c>
      <c r="F75" s="613" t="s">
        <v>665</v>
      </c>
      <c r="G75" s="614" t="s">
        <v>1893</v>
      </c>
      <c r="H75" s="587">
        <v>3</v>
      </c>
      <c r="I75" s="587" t="s">
        <v>1894</v>
      </c>
      <c r="J75" s="612" t="s">
        <v>1895</v>
      </c>
      <c r="K75" s="587">
        <v>6</v>
      </c>
      <c r="L75" s="613" t="s">
        <v>1896</v>
      </c>
      <c r="M75" s="614" t="s">
        <v>1897</v>
      </c>
      <c r="O75" s="627" t="s">
        <v>1898</v>
      </c>
      <c r="P75" s="628" t="s">
        <v>1899</v>
      </c>
      <c r="Q75" s="587">
        <v>11</v>
      </c>
      <c r="R75" s="613" t="s">
        <v>1900</v>
      </c>
      <c r="S75" s="614" t="s">
        <v>1901</v>
      </c>
      <c r="T75" s="587">
        <v>3</v>
      </c>
      <c r="U75" s="613" t="s">
        <v>1902</v>
      </c>
      <c r="V75" s="614" t="s">
        <v>1903</v>
      </c>
      <c r="W75" s="587">
        <v>7</v>
      </c>
      <c r="X75" s="613" t="s">
        <v>1904</v>
      </c>
      <c r="Y75" s="614" t="s">
        <v>1905</v>
      </c>
      <c r="Z75" s="587">
        <v>3</v>
      </c>
      <c r="AA75" s="613" t="s">
        <v>1906</v>
      </c>
      <c r="AB75" s="614" t="s">
        <v>1907</v>
      </c>
      <c r="AC75" s="587">
        <v>14</v>
      </c>
      <c r="AD75" s="587" t="s">
        <v>1908</v>
      </c>
      <c r="AE75" s="612" t="s">
        <v>1909</v>
      </c>
      <c r="AF75" s="587" t="s">
        <v>1910</v>
      </c>
      <c r="AG75" s="627" t="s">
        <v>1911</v>
      </c>
      <c r="AH75" s="628" t="s">
        <v>1912</v>
      </c>
      <c r="AI75" s="587">
        <v>3</v>
      </c>
      <c r="AJ75" s="587" t="s">
        <v>1913</v>
      </c>
      <c r="AK75" s="612" t="s">
        <v>1914</v>
      </c>
      <c r="AM75" s="578" t="s">
        <v>1915</v>
      </c>
      <c r="AN75" s="611" t="s">
        <v>1916</v>
      </c>
      <c r="AO75" s="587">
        <v>3</v>
      </c>
      <c r="AP75" s="715" t="s">
        <v>1917</v>
      </c>
      <c r="AQ75" s="716" t="s">
        <v>1918</v>
      </c>
      <c r="AR75" s="587">
        <v>11</v>
      </c>
      <c r="AS75" s="613" t="s">
        <v>1919</v>
      </c>
      <c r="AT75" s="614" t="s">
        <v>1920</v>
      </c>
      <c r="AU75" s="587">
        <v>6</v>
      </c>
      <c r="AV75" s="649" t="s">
        <v>1921</v>
      </c>
      <c r="AW75" s="677" t="s">
        <v>1922</v>
      </c>
      <c r="AX75" s="578">
        <v>10</v>
      </c>
      <c r="AY75" s="656" t="s">
        <v>1923</v>
      </c>
      <c r="AZ75" s="691" t="s">
        <v>1924</v>
      </c>
      <c r="BA75" s="587">
        <v>3</v>
      </c>
      <c r="BB75" s="578" t="s">
        <v>1925</v>
      </c>
      <c r="BC75" s="650" t="s">
        <v>1926</v>
      </c>
      <c r="BD75" s="587">
        <v>11</v>
      </c>
      <c r="BE75" s="656" t="s">
        <v>1927</v>
      </c>
      <c r="BF75" s="691" t="s">
        <v>1928</v>
      </c>
      <c r="BO75" s="612"/>
      <c r="CH75" s="587" t="s">
        <v>1929</v>
      </c>
      <c r="CI75" s="587">
        <v>64</v>
      </c>
      <c r="CJ75" s="587" cm="1">
        <f t="array" ref="CJ75">_xlfn.IFS($AZ$4&gt;=17,69,$AZ$4&gt;=6,8,$AZ$4&gt;=3,67,1,0)</f>
        <v>0</v>
      </c>
      <c r="CN75" s="702" t="str">
        <f>IFERROR(IF(CN74+1&gt;CS2,IF(CN74+1&gt;CS2,IF(CR3+CR74&gt;CS3,"",CR3+CR74)),CN74+1),"")</f>
        <v/>
      </c>
      <c r="CO75" s="702" t="str" cm="1">
        <f t="array" ref="CO75">IFERROR(INDEX($B$34:$BO$262,CN75,$CP$2),"")</f>
        <v/>
      </c>
      <c r="CP75" s="702" t="str" cm="1">
        <f t="array" ref="CP75">IFERROR(INDEX($B$34:$BO$262,CN75,$CQ$2),"")</f>
        <v/>
      </c>
      <c r="CQ75" s="702" t="str" cm="1">
        <f t="array" ref="CQ75">IF(IFERROR(INDEX($B$34:$BO$262,CN75,$CO$2),"")=0,"",IFERROR(INDEX($B$34:$BO$262,CN75,$CO$2),""))</f>
        <v/>
      </c>
      <c r="CR75" s="702" t="str">
        <f>IFERROR(IF(CN74+1&gt;CS2,CR74+1,0),"")</f>
        <v/>
      </c>
      <c r="CT75" s="705" t="str">
        <f t="shared" si="6"/>
        <v/>
      </c>
      <c r="CU75" s="706" t="str" cm="1">
        <f t="array" ref="CU75">INDEX(CT:CT,SMALL(IF($CT$2:$CT$101&lt;&gt;"",ROW($CT$2:$CT$101),142),ROW(CT74)))&amp;""</f>
        <v/>
      </c>
      <c r="CV75" s="701" t="str">
        <f t="shared" si="7"/>
        <v/>
      </c>
      <c r="CW75" s="702" t="str">
        <f>IF(数据表!BK82="","",数据表!BK82)</f>
        <v/>
      </c>
      <c r="CX75" s="702" t="str">
        <f t="shared" si="8"/>
        <v/>
      </c>
    </row>
    <row r="76" customHeight="1" spans="1:102">
      <c r="A76" s="586">
        <v>43</v>
      </c>
      <c r="B76" s="610">
        <v>10</v>
      </c>
      <c r="C76" s="587" t="s">
        <v>1930</v>
      </c>
      <c r="D76" s="612" t="s">
        <v>1931</v>
      </c>
      <c r="E76" s="587">
        <v>3</v>
      </c>
      <c r="F76" s="613" t="s">
        <v>1932</v>
      </c>
      <c r="G76" s="614" t="s">
        <v>1933</v>
      </c>
      <c r="H76" s="587">
        <v>3</v>
      </c>
      <c r="I76" s="587" t="s">
        <v>1934</v>
      </c>
      <c r="J76" s="612" t="s">
        <v>1935</v>
      </c>
      <c r="K76" s="587">
        <v>10</v>
      </c>
      <c r="L76" s="613" t="s">
        <v>1936</v>
      </c>
      <c r="M76" s="614" t="s">
        <v>1937</v>
      </c>
      <c r="N76" s="587">
        <v>3</v>
      </c>
      <c r="O76" s="613" t="s">
        <v>1938</v>
      </c>
      <c r="P76" s="614" t="s">
        <v>1939</v>
      </c>
      <c r="Q76" s="587">
        <v>17</v>
      </c>
      <c r="R76" s="613" t="s">
        <v>1940</v>
      </c>
      <c r="S76" s="614" t="s">
        <v>1941</v>
      </c>
      <c r="T76" s="587">
        <v>7</v>
      </c>
      <c r="U76" s="613" t="s">
        <v>1942</v>
      </c>
      <c r="V76" s="614" t="s">
        <v>1943</v>
      </c>
      <c r="W76" s="587">
        <v>11</v>
      </c>
      <c r="X76" s="613" t="s">
        <v>1944</v>
      </c>
      <c r="Y76" s="614" t="s">
        <v>1945</v>
      </c>
      <c r="Z76" s="587">
        <v>9</v>
      </c>
      <c r="AA76" s="613" t="s">
        <v>1946</v>
      </c>
      <c r="AB76" s="614" t="s">
        <v>1947</v>
      </c>
      <c r="AC76" s="587">
        <v>18</v>
      </c>
      <c r="AD76" s="587" t="s">
        <v>1948</v>
      </c>
      <c r="AE76" s="612" t="s">
        <v>1949</v>
      </c>
      <c r="AF76" s="587" t="s">
        <v>1910</v>
      </c>
      <c r="AG76" s="627" t="s">
        <v>1950</v>
      </c>
      <c r="AH76" s="628" t="s">
        <v>1951</v>
      </c>
      <c r="AI76" s="587">
        <v>3</v>
      </c>
      <c r="AJ76" s="587" t="s">
        <v>1952</v>
      </c>
      <c r="AK76" s="612" t="s">
        <v>1953</v>
      </c>
      <c r="AL76" s="587">
        <v>5</v>
      </c>
      <c r="AM76" s="587" t="s">
        <v>885</v>
      </c>
      <c r="AN76" s="650" t="s">
        <v>1954</v>
      </c>
      <c r="AO76" s="587">
        <v>3</v>
      </c>
      <c r="AP76" s="717" t="s">
        <v>1955</v>
      </c>
      <c r="AQ76" s="716" t="s">
        <v>1956</v>
      </c>
      <c r="AR76" s="587">
        <v>15</v>
      </c>
      <c r="AS76" s="613" t="s">
        <v>1618</v>
      </c>
      <c r="AT76" s="614" t="s">
        <v>1957</v>
      </c>
      <c r="AU76" s="587">
        <v>6</v>
      </c>
      <c r="AV76" s="649" t="s">
        <v>1958</v>
      </c>
      <c r="AW76" s="677" t="s">
        <v>1959</v>
      </c>
      <c r="AX76" s="578">
        <v>14</v>
      </c>
      <c r="AY76" s="656" t="s">
        <v>1960</v>
      </c>
      <c r="AZ76" s="691" t="s">
        <v>1961</v>
      </c>
      <c r="BA76" s="587">
        <v>3</v>
      </c>
      <c r="BB76" s="656" t="s">
        <v>1962</v>
      </c>
      <c r="BC76" s="691" t="s">
        <v>1963</v>
      </c>
      <c r="BD76" s="587">
        <v>17</v>
      </c>
      <c r="BE76" s="656" t="s">
        <v>1964</v>
      </c>
      <c r="BF76" s="691" t="s">
        <v>1965</v>
      </c>
      <c r="BO76" s="612"/>
      <c r="CH76" s="587" t="s">
        <v>1966</v>
      </c>
      <c r="CI76" s="587">
        <v>70</v>
      </c>
      <c r="CJ76" s="587" cm="1">
        <f t="array" ref="CJ76">_xlfn.IFS($AZ$4&gt;=17,76,$AZ$4&gt;=6,75,$AZ$4&gt;=3,74,1,0)</f>
        <v>0</v>
      </c>
      <c r="CN76" s="702" t="str">
        <f>IFERROR(IF(CN75+1&gt;CS2,IF(CN75+1&gt;CS2,IF(CR3+CR75&gt;CS3,"",CR3+CR75)),CN75+1),"")</f>
        <v/>
      </c>
      <c r="CO76" s="702" t="str" cm="1">
        <f t="array" ref="CO76">IFERROR(INDEX($B$34:$BO$262,CN76,$CP$2),"")</f>
        <v/>
      </c>
      <c r="CP76" s="702" t="str" cm="1">
        <f t="array" ref="CP76">IFERROR(INDEX($B$34:$BO$262,CN76,$CQ$2),"")</f>
        <v/>
      </c>
      <c r="CQ76" s="702" t="str" cm="1">
        <f t="array" ref="CQ76">IF(IFERROR(INDEX($B$34:$BO$262,CN76,$CO$2),"")=0,"",IFERROR(INDEX($B$34:$BO$262,CN76,$CO$2),""))</f>
        <v/>
      </c>
      <c r="CR76" s="702" t="str">
        <f>IFERROR(IF(CN75+1&gt;CS2,CR75+1,0),"")</f>
        <v/>
      </c>
      <c r="CT76" s="705" t="str">
        <f t="shared" si="6"/>
        <v/>
      </c>
      <c r="CU76" s="706" t="str" cm="1">
        <f t="array" ref="CU76">INDEX(CT:CT,SMALL(IF($CT$2:$CT$101&lt;&gt;"",ROW($CT$2:$CT$101),142),ROW(CT75)))&amp;""</f>
        <v/>
      </c>
      <c r="CV76" s="701" t="str">
        <f t="shared" si="7"/>
        <v/>
      </c>
      <c r="CW76" s="702" t="str">
        <f>IF(数据表!BK83="","",数据表!BK83)</f>
        <v/>
      </c>
      <c r="CX76" s="702" t="str">
        <f t="shared" si="8"/>
        <v/>
      </c>
    </row>
    <row r="77" customHeight="1" spans="1:102">
      <c r="A77" s="586">
        <v>44</v>
      </c>
      <c r="B77" s="610">
        <v>14</v>
      </c>
      <c r="C77" s="587" t="s">
        <v>1967</v>
      </c>
      <c r="D77" s="612" t="s">
        <v>1968</v>
      </c>
      <c r="E77" s="587">
        <v>6</v>
      </c>
      <c r="F77" s="613" t="s">
        <v>885</v>
      </c>
      <c r="G77" s="614" t="s">
        <v>1969</v>
      </c>
      <c r="H77" s="587">
        <v>6</v>
      </c>
      <c r="I77" s="587" t="s">
        <v>1970</v>
      </c>
      <c r="J77" s="612" t="s">
        <v>1971</v>
      </c>
      <c r="K77" s="587">
        <v>14</v>
      </c>
      <c r="L77" s="613" t="s">
        <v>1972</v>
      </c>
      <c r="M77" s="614" t="s">
        <v>1973</v>
      </c>
      <c r="N77" s="587">
        <v>7</v>
      </c>
      <c r="O77" s="613" t="s">
        <v>1974</v>
      </c>
      <c r="P77" s="614" t="s">
        <v>1975</v>
      </c>
      <c r="Q77" s="587">
        <v>3</v>
      </c>
      <c r="R77" s="587" t="s">
        <v>1976</v>
      </c>
      <c r="S77" s="612" t="s">
        <v>1977</v>
      </c>
      <c r="T77" s="587">
        <v>15</v>
      </c>
      <c r="U77" s="613" t="s">
        <v>1978</v>
      </c>
      <c r="V77" s="614" t="s">
        <v>1979</v>
      </c>
      <c r="W77" s="587">
        <v>15</v>
      </c>
      <c r="X77" s="613" t="s">
        <v>1980</v>
      </c>
      <c r="Y77" s="614" t="s">
        <v>1981</v>
      </c>
      <c r="Z77" s="587">
        <v>13</v>
      </c>
      <c r="AA77" s="613" t="s">
        <v>1982</v>
      </c>
      <c r="AB77" s="614" t="s">
        <v>1983</v>
      </c>
      <c r="AC77" s="587">
        <v>3</v>
      </c>
      <c r="AD77" s="613" t="s">
        <v>1984</v>
      </c>
      <c r="AE77" s="614" t="s">
        <v>1985</v>
      </c>
      <c r="AF77" s="587" t="s">
        <v>1910</v>
      </c>
      <c r="AG77" s="627" t="s">
        <v>1986</v>
      </c>
      <c r="AH77" s="628" t="s">
        <v>1987</v>
      </c>
      <c r="AI77" s="587">
        <v>6</v>
      </c>
      <c r="AJ77" s="587" t="s">
        <v>1988</v>
      </c>
      <c r="AK77" s="612" t="s">
        <v>1989</v>
      </c>
      <c r="AL77" s="587">
        <v>9</v>
      </c>
      <c r="AM77" s="578" t="s">
        <v>1990</v>
      </c>
      <c r="AN77" s="611" t="s">
        <v>1991</v>
      </c>
      <c r="AO77" s="587">
        <v>3</v>
      </c>
      <c r="AP77" s="715" t="s">
        <v>1992</v>
      </c>
      <c r="AQ77" s="716" t="s">
        <v>1993</v>
      </c>
      <c r="AR77" s="587">
        <v>18</v>
      </c>
      <c r="AS77" s="613" t="s">
        <v>1994</v>
      </c>
      <c r="AT77" s="614" t="s">
        <v>1995</v>
      </c>
      <c r="AU77" s="587">
        <v>6</v>
      </c>
      <c r="AV77" s="649" t="s">
        <v>1996</v>
      </c>
      <c r="AW77" s="677" t="s">
        <v>1997</v>
      </c>
      <c r="AX77" s="578">
        <v>3</v>
      </c>
      <c r="AY77" s="578" t="s">
        <v>1998</v>
      </c>
      <c r="AZ77" s="650" t="s">
        <v>1999</v>
      </c>
      <c r="BA77" s="587">
        <v>3</v>
      </c>
      <c r="BB77" s="656" t="s">
        <v>1998</v>
      </c>
      <c r="BC77" s="691" t="s">
        <v>2000</v>
      </c>
      <c r="BD77" s="587">
        <v>3</v>
      </c>
      <c r="BE77" s="578" t="s">
        <v>2001</v>
      </c>
      <c r="BF77" s="650" t="s">
        <v>2002</v>
      </c>
      <c r="BO77" s="612"/>
      <c r="CH77" s="587" t="s">
        <v>2003</v>
      </c>
      <c r="CI77" s="587">
        <v>77</v>
      </c>
      <c r="CJ77" s="587" cm="1">
        <f t="array" ref="CJ77">_xlfn.IFS($AZ$4&gt;=17,81,$AZ$4&gt;=6,80,$AZ$4&gt;=3,79,1,0)</f>
        <v>0</v>
      </c>
      <c r="CN77" s="702" t="str">
        <f>IFERROR(IF(CN76+1&gt;CS2,IF(CN76+1&gt;CS2,IF(CR3+CR76&gt;CS3,"",CR3+CR76)),CN76+1),"")</f>
        <v/>
      </c>
      <c r="CO77" s="702" t="str" cm="1">
        <f t="array" ref="CO77">IFERROR(INDEX($B$34:$BO$262,CN77,$CP$2),"")</f>
        <v/>
      </c>
      <c r="CP77" s="702" t="str" cm="1">
        <f t="array" ref="CP77">IFERROR(INDEX($B$34:$BO$262,CN77,$CQ$2),"")</f>
        <v/>
      </c>
      <c r="CQ77" s="702" t="str" cm="1">
        <f t="array" ref="CQ77">IF(IFERROR(INDEX($B$34:$BO$262,CN77,$CO$2),"")=0,"",IFERROR(INDEX($B$34:$BO$262,CN77,$CO$2),""))</f>
        <v/>
      </c>
      <c r="CR77" s="702" t="str">
        <f>IFERROR(IF(CN76+1&gt;CS2,CR76+1,0),"")</f>
        <v/>
      </c>
      <c r="CT77" s="705" t="str">
        <f t="shared" si="6"/>
        <v/>
      </c>
      <c r="CU77" s="706" t="str" cm="1">
        <f t="array" ref="CU77">INDEX(CT:CT,SMALL(IF($CT$2:$CT$101&lt;&gt;"",ROW($CT$2:$CT$101),142),ROW(CT76)))&amp;""</f>
        <v/>
      </c>
      <c r="CV77" s="701" t="str">
        <f t="shared" si="7"/>
        <v/>
      </c>
      <c r="CW77" s="702" t="str">
        <f>IF(数据表!BK84="","",数据表!BK84)</f>
        <v/>
      </c>
      <c r="CX77" s="702" t="str">
        <f t="shared" si="8"/>
        <v/>
      </c>
    </row>
    <row r="78" customHeight="1" spans="1:102">
      <c r="A78" s="586">
        <v>45</v>
      </c>
      <c r="B78" s="610">
        <v>3</v>
      </c>
      <c r="C78" s="613" t="s">
        <v>2004</v>
      </c>
      <c r="D78" s="614" t="s">
        <v>2005</v>
      </c>
      <c r="E78" s="587">
        <v>14</v>
      </c>
      <c r="F78" s="613" t="s">
        <v>2006</v>
      </c>
      <c r="G78" s="614" t="s">
        <v>2007</v>
      </c>
      <c r="H78" s="587">
        <v>17</v>
      </c>
      <c r="I78" s="587" t="s">
        <v>2008</v>
      </c>
      <c r="J78" s="612" t="s">
        <v>2009</v>
      </c>
      <c r="K78" s="587">
        <v>3</v>
      </c>
      <c r="L78" s="587" t="s">
        <v>2010</v>
      </c>
      <c r="M78" s="612" t="s">
        <v>2011</v>
      </c>
      <c r="N78" s="587">
        <v>10</v>
      </c>
      <c r="O78" s="613" t="s">
        <v>2012</v>
      </c>
      <c r="P78" s="614" t="s">
        <v>2013</v>
      </c>
      <c r="Q78" s="587">
        <v>6</v>
      </c>
      <c r="R78" s="587" t="s">
        <v>2014</v>
      </c>
      <c r="S78" s="612" t="s">
        <v>2015</v>
      </c>
      <c r="T78" s="587">
        <v>20</v>
      </c>
      <c r="U78" s="613" t="s">
        <v>2016</v>
      </c>
      <c r="V78" s="614" t="s">
        <v>2017</v>
      </c>
      <c r="W78" s="587">
        <v>3</v>
      </c>
      <c r="X78" s="587" t="s">
        <v>2018</v>
      </c>
      <c r="Y78" s="612" t="s">
        <v>2019</v>
      </c>
      <c r="Z78" s="587">
        <v>17</v>
      </c>
      <c r="AA78" s="613" t="s">
        <v>2020</v>
      </c>
      <c r="AB78" s="614" t="s">
        <v>2021</v>
      </c>
      <c r="AC78" s="587">
        <v>3</v>
      </c>
      <c r="AD78" s="613" t="s">
        <v>2022</v>
      </c>
      <c r="AE78" s="614" t="s">
        <v>2023</v>
      </c>
      <c r="AF78" s="587" t="s">
        <v>1910</v>
      </c>
      <c r="AG78" s="627" t="s">
        <v>2024</v>
      </c>
      <c r="AH78" s="628" t="s">
        <v>2025</v>
      </c>
      <c r="AI78" s="587">
        <v>10</v>
      </c>
      <c r="AJ78" s="587" t="s">
        <v>2026</v>
      </c>
      <c r="AK78" s="612" t="s">
        <v>2027</v>
      </c>
      <c r="AL78" s="587">
        <v>15</v>
      </c>
      <c r="AM78" s="587" t="s">
        <v>2028</v>
      </c>
      <c r="AN78" s="611" t="s">
        <v>2029</v>
      </c>
      <c r="AO78" s="587">
        <v>6</v>
      </c>
      <c r="AP78" s="717" t="s">
        <v>2030</v>
      </c>
      <c r="AQ78" s="716" t="s">
        <v>2031</v>
      </c>
      <c r="AR78" s="587">
        <v>3</v>
      </c>
      <c r="AS78" s="587" t="s">
        <v>2032</v>
      </c>
      <c r="AT78" s="612" t="s">
        <v>2033</v>
      </c>
      <c r="AU78" s="587">
        <v>6</v>
      </c>
      <c r="AV78" s="649" t="s">
        <v>2034</v>
      </c>
      <c r="AW78" s="677" t="s">
        <v>2035</v>
      </c>
      <c r="AY78" s="679" t="s">
        <v>258</v>
      </c>
      <c r="AZ78" s="612" t="s">
        <v>2036</v>
      </c>
      <c r="BB78" s="656" t="s">
        <v>258</v>
      </c>
      <c r="BC78" s="614" t="s">
        <v>2037</v>
      </c>
      <c r="BD78" s="587">
        <v>3</v>
      </c>
      <c r="BE78" s="578" t="s">
        <v>2038</v>
      </c>
      <c r="BF78" s="650" t="s">
        <v>2039</v>
      </c>
      <c r="BO78" s="612"/>
      <c r="CH78" s="679" t="s">
        <v>2040</v>
      </c>
      <c r="CI78" s="587">
        <v>82</v>
      </c>
      <c r="CJ78" s="587" cm="1">
        <f t="array" ref="CJ78">_xlfn.IFS($AZ$4&gt;=17,87,$AZ$4&gt;=6,86,$AZ$4&gt;=3,85,1,0)</f>
        <v>0</v>
      </c>
      <c r="CN78" s="702" t="str">
        <f>IFERROR(IF(CN77+1&gt;CS2,IF(CN77+1&gt;CS2,IF(CR3+CR77&gt;CS3,"",CR3+CR77)),CN77+1),"")</f>
        <v/>
      </c>
      <c r="CO78" s="702" t="str" cm="1">
        <f t="array" ref="CO78">IFERROR(INDEX($B$34:$BO$262,CN78,$CP$2),"")</f>
        <v/>
      </c>
      <c r="CP78" s="702" t="str" cm="1">
        <f t="array" ref="CP78">IFERROR(INDEX($B$34:$BO$262,CN78,$CQ$2),"")</f>
        <v/>
      </c>
      <c r="CQ78" s="702" t="str" cm="1">
        <f t="array" ref="CQ78">IF(IFERROR(INDEX($B$34:$BO$262,CN78,$CO$2),"")=0,"",IFERROR(INDEX($B$34:$BO$262,CN78,$CO$2),""))</f>
        <v/>
      </c>
      <c r="CR78" s="702" t="str">
        <f>IFERROR(IF(CN77+1&gt;CS2,CR77+1,0),"")</f>
        <v/>
      </c>
      <c r="CT78" s="705" t="str">
        <f t="shared" si="6"/>
        <v/>
      </c>
      <c r="CU78" s="706" t="str" cm="1">
        <f t="array" ref="CU78">INDEX(CT:CT,SMALL(IF($CT$2:$CT$101&lt;&gt;"",ROW($CT$2:$CT$101),142),ROW(CT77)))&amp;""</f>
        <v/>
      </c>
      <c r="CV78" s="701" t="str">
        <f t="shared" si="7"/>
        <v/>
      </c>
      <c r="CW78" s="702" t="str">
        <f>IF(数据表!BK85="","",数据表!BK85)</f>
        <v/>
      </c>
      <c r="CX78" s="702" t="str">
        <f t="shared" si="8"/>
        <v/>
      </c>
    </row>
    <row r="79" customHeight="1" spans="1:102">
      <c r="A79" s="586">
        <v>46</v>
      </c>
      <c r="B79" s="610">
        <v>6</v>
      </c>
      <c r="C79" s="613" t="s">
        <v>2041</v>
      </c>
      <c r="D79" s="614" t="s">
        <v>2042</v>
      </c>
      <c r="E79" s="587">
        <v>3</v>
      </c>
      <c r="F79" s="587" t="s">
        <v>2043</v>
      </c>
      <c r="G79" s="612" t="s">
        <v>2044</v>
      </c>
      <c r="H79" s="587">
        <v>3</v>
      </c>
      <c r="I79" s="613" t="s">
        <v>2045</v>
      </c>
      <c r="J79" s="614" t="s">
        <v>2046</v>
      </c>
      <c r="K79" s="587">
        <v>3</v>
      </c>
      <c r="L79" s="587" t="s">
        <v>2047</v>
      </c>
      <c r="M79" s="612" t="s">
        <v>2048</v>
      </c>
      <c r="N79" s="587">
        <v>15</v>
      </c>
      <c r="O79" s="613" t="s">
        <v>2049</v>
      </c>
      <c r="P79" s="614" t="s">
        <v>2050</v>
      </c>
      <c r="Q79" s="587">
        <v>11</v>
      </c>
      <c r="R79" s="587" t="s">
        <v>2051</v>
      </c>
      <c r="S79" s="612" t="s">
        <v>2052</v>
      </c>
      <c r="T79" s="587">
        <v>3</v>
      </c>
      <c r="U79" s="587" t="s">
        <v>2053</v>
      </c>
      <c r="V79" s="612" t="s">
        <v>2054</v>
      </c>
      <c r="W79" s="587">
        <v>3</v>
      </c>
      <c r="X79" s="587" t="s">
        <v>2055</v>
      </c>
      <c r="Y79" s="612" t="s">
        <v>2056</v>
      </c>
      <c r="Z79" s="587">
        <v>3</v>
      </c>
      <c r="AA79" s="587" t="s">
        <v>2057</v>
      </c>
      <c r="AB79" s="612" t="s">
        <v>2058</v>
      </c>
      <c r="AC79" s="587">
        <v>6</v>
      </c>
      <c r="AD79" s="613" t="s">
        <v>2059</v>
      </c>
      <c r="AE79" s="614" t="s">
        <v>2060</v>
      </c>
      <c r="AF79" s="587" t="s">
        <v>1910</v>
      </c>
      <c r="AG79" s="627" t="s">
        <v>2061</v>
      </c>
      <c r="AH79" s="628" t="s">
        <v>2062</v>
      </c>
      <c r="AI79" s="587">
        <v>14</v>
      </c>
      <c r="AJ79" s="587" t="s">
        <v>2063</v>
      </c>
      <c r="AK79" s="612" t="s">
        <v>2064</v>
      </c>
      <c r="AL79" s="587">
        <v>3</v>
      </c>
      <c r="AM79" s="656" t="s">
        <v>2065</v>
      </c>
      <c r="AN79" s="657" t="s">
        <v>2066</v>
      </c>
      <c r="AO79" s="587">
        <v>6</v>
      </c>
      <c r="AP79" s="715" t="s">
        <v>2067</v>
      </c>
      <c r="AQ79" s="716" t="s">
        <v>2068</v>
      </c>
      <c r="AR79" s="587">
        <v>3</v>
      </c>
      <c r="AS79" s="587" t="s">
        <v>2069</v>
      </c>
      <c r="AT79" s="612" t="s">
        <v>2070</v>
      </c>
      <c r="AU79" s="587">
        <v>6</v>
      </c>
      <c r="AV79" s="649" t="s">
        <v>2071</v>
      </c>
      <c r="AW79" s="677" t="s">
        <v>2072</v>
      </c>
      <c r="AY79" s="679" t="s">
        <v>231</v>
      </c>
      <c r="AZ79" s="678" t="s">
        <v>2073</v>
      </c>
      <c r="BB79" s="656" t="s">
        <v>2074</v>
      </c>
      <c r="BC79" s="614" t="s">
        <v>2075</v>
      </c>
      <c r="BD79" s="587">
        <v>6</v>
      </c>
      <c r="BE79" s="578" t="s">
        <v>2076</v>
      </c>
      <c r="BF79" s="650" t="s">
        <v>2077</v>
      </c>
      <c r="BO79" s="612"/>
      <c r="CH79" s="679" t="s">
        <v>2078</v>
      </c>
      <c r="CI79" s="587">
        <v>88</v>
      </c>
      <c r="CJ79" s="587" cm="1">
        <f t="array" ref="CJ79">_xlfn.IFS($AZ$4&gt;=17,92,$AZ$4&gt;=6,91,$AZ$4&gt;=3,90,1,0)</f>
        <v>0</v>
      </c>
      <c r="CN79" s="702" t="str">
        <f>IFERROR(IF(CN78+1&gt;CS2,IF(CN78+1&gt;CS2,IF(CR3+CR78&gt;CS3,"",CR3+CR78)),CN78+1),"")</f>
        <v/>
      </c>
      <c r="CO79" s="702" t="str" cm="1">
        <f t="array" ref="CO79">IFERROR(INDEX($B$34:$BO$262,CN79,$CP$2),"")</f>
        <v/>
      </c>
      <c r="CP79" s="702" t="str" cm="1">
        <f t="array" ref="CP79">IFERROR(INDEX($B$34:$BO$262,CN79,$CQ$2),"")</f>
        <v/>
      </c>
      <c r="CQ79" s="702" t="str" cm="1">
        <f t="array" ref="CQ79">IF(IFERROR(INDEX($B$34:$BO$262,CN79,$CO$2),"")=0,"",IFERROR(INDEX($B$34:$BO$262,CN79,$CO$2),""))</f>
        <v/>
      </c>
      <c r="CR79" s="702" t="str">
        <f>IFERROR(IF(CN78+1&gt;CS2,CR78+1,0),"")</f>
        <v/>
      </c>
      <c r="CT79" s="705" t="str">
        <f t="shared" si="6"/>
        <v/>
      </c>
      <c r="CU79" s="706" t="str" cm="1">
        <f t="array" ref="CU79">INDEX(CT:CT,SMALL(IF($CT$2:$CT$101&lt;&gt;"",ROW($CT$2:$CT$101),142),ROW(CT78)))&amp;""</f>
        <v/>
      </c>
      <c r="CV79" s="701" t="str">
        <f t="shared" si="7"/>
        <v/>
      </c>
      <c r="CW79" s="702" t="str">
        <f>IF(数据表!BK86="","",数据表!BK86)</f>
        <v/>
      </c>
      <c r="CX79" s="702" t="str">
        <f t="shared" si="8"/>
        <v/>
      </c>
    </row>
    <row r="80" customHeight="1" spans="1:102">
      <c r="A80" s="586">
        <v>47</v>
      </c>
      <c r="B80" s="610">
        <v>10</v>
      </c>
      <c r="C80" s="613" t="s">
        <v>2079</v>
      </c>
      <c r="D80" s="614" t="s">
        <v>2080</v>
      </c>
      <c r="E80" s="587">
        <v>3</v>
      </c>
      <c r="F80" s="587" t="s">
        <v>2081</v>
      </c>
      <c r="G80" s="612" t="s">
        <v>2082</v>
      </c>
      <c r="H80" s="587">
        <v>3</v>
      </c>
      <c r="I80" s="613" t="s">
        <v>1856</v>
      </c>
      <c r="J80" s="614" t="s">
        <v>2083</v>
      </c>
      <c r="K80" s="587">
        <v>6</v>
      </c>
      <c r="L80" s="587" t="s">
        <v>2084</v>
      </c>
      <c r="M80" s="612" t="s">
        <v>2085</v>
      </c>
      <c r="N80" s="587">
        <v>18</v>
      </c>
      <c r="O80" s="613" t="s">
        <v>2086</v>
      </c>
      <c r="P80" s="614" t="s">
        <v>2087</v>
      </c>
      <c r="Q80" s="587">
        <v>17</v>
      </c>
      <c r="R80" s="587" t="s">
        <v>2088</v>
      </c>
      <c r="S80" s="612" t="s">
        <v>2089</v>
      </c>
      <c r="T80" s="587">
        <v>3</v>
      </c>
      <c r="U80" s="587" t="s">
        <v>2090</v>
      </c>
      <c r="V80" s="612" t="s">
        <v>2091</v>
      </c>
      <c r="W80" s="587">
        <v>7</v>
      </c>
      <c r="X80" s="587" t="s">
        <v>2092</v>
      </c>
      <c r="Y80" s="612" t="s">
        <v>2093</v>
      </c>
      <c r="Z80" s="587">
        <v>3</v>
      </c>
      <c r="AA80" s="587" t="s">
        <v>2094</v>
      </c>
      <c r="AB80" s="612" t="s">
        <v>2095</v>
      </c>
      <c r="AC80" s="587">
        <v>14</v>
      </c>
      <c r="AD80" s="613" t="s">
        <v>2096</v>
      </c>
      <c r="AE80" s="614" t="s">
        <v>2097</v>
      </c>
      <c r="AF80" s="587" t="s">
        <v>1910</v>
      </c>
      <c r="AG80" s="627" t="s">
        <v>2098</v>
      </c>
      <c r="AH80" s="628" t="s">
        <v>2099</v>
      </c>
      <c r="AI80" s="587">
        <v>3</v>
      </c>
      <c r="AJ80" s="613" t="s">
        <v>2100</v>
      </c>
      <c r="AK80" s="614" t="s">
        <v>2101</v>
      </c>
      <c r="AL80" s="587">
        <v>3</v>
      </c>
      <c r="AM80" s="656" t="s">
        <v>2102</v>
      </c>
      <c r="AN80" s="657" t="s">
        <v>2103</v>
      </c>
      <c r="AO80" s="587">
        <v>10</v>
      </c>
      <c r="AP80" s="715" t="s">
        <v>2104</v>
      </c>
      <c r="AQ80" s="716" t="s">
        <v>2105</v>
      </c>
      <c r="AR80" s="587">
        <v>3</v>
      </c>
      <c r="AS80" s="587" t="s">
        <v>2106</v>
      </c>
      <c r="AT80" s="612" t="s">
        <v>2107</v>
      </c>
      <c r="AU80" s="587">
        <v>10</v>
      </c>
      <c r="AV80" s="649" t="s">
        <v>2108</v>
      </c>
      <c r="AW80" s="677" t="s">
        <v>2109</v>
      </c>
      <c r="AY80" s="679" t="s">
        <v>2110</v>
      </c>
      <c r="AZ80" s="612" t="s">
        <v>2111</v>
      </c>
      <c r="BB80" s="656" t="s">
        <v>2112</v>
      </c>
      <c r="BC80" s="691" t="s">
        <v>2113</v>
      </c>
      <c r="BD80" s="587">
        <v>11</v>
      </c>
      <c r="BE80" s="578" t="s">
        <v>2114</v>
      </c>
      <c r="BF80" s="650" t="s">
        <v>2115</v>
      </c>
      <c r="BO80" s="612"/>
      <c r="CH80" s="679" t="s">
        <v>2116</v>
      </c>
      <c r="CI80" s="587">
        <v>93</v>
      </c>
      <c r="CJ80" s="587" cm="1">
        <f t="array" ref="CJ80">_xlfn.IFS($AZ$4&gt;=17,99,$AZ$4&gt;=6,98,$AZ$4&gt;=3,96,1,0)</f>
        <v>0</v>
      </c>
      <c r="CN80" s="702" t="str">
        <f>IFERROR(IF(CN79+1&gt;CS2,IF(CN79+1&gt;CS2,IF(CR3+CR79&gt;CS3,"",CR3+CR79)),CN79+1),"")</f>
        <v/>
      </c>
      <c r="CO80" s="702" t="str" cm="1">
        <f t="array" ref="CO80">IFERROR(INDEX($B$34:$BO$262,CN80,$CP$2),"")</f>
        <v/>
      </c>
      <c r="CP80" s="702" t="str" cm="1">
        <f t="array" ref="CP80">IFERROR(INDEX($B$34:$BO$262,CN80,$CQ$2),"")</f>
        <v/>
      </c>
      <c r="CQ80" s="702" t="str" cm="1">
        <f t="array" ref="CQ80">IF(IFERROR(INDEX($B$34:$BO$262,CN80,$CO$2),"")=0,"",IFERROR(INDEX($B$34:$BO$262,CN80,$CO$2),""))</f>
        <v/>
      </c>
      <c r="CR80" s="702" t="str">
        <f>IFERROR(IF(CN79+1&gt;CS2,CR79+1,0),"")</f>
        <v/>
      </c>
      <c r="CT80" s="705" t="str">
        <f t="shared" si="6"/>
        <v/>
      </c>
      <c r="CU80" s="706" t="str" cm="1">
        <f t="array" ref="CU80">INDEX(CT:CT,SMALL(IF($CT$2:$CT$101&lt;&gt;"",ROW($CT$2:$CT$101),142),ROW(CT79)))&amp;""</f>
        <v/>
      </c>
      <c r="CV80" s="701" t="str">
        <f t="shared" si="7"/>
        <v/>
      </c>
      <c r="CW80" s="702" t="str">
        <f>IF(数据表!BK87="","",数据表!BK87)</f>
        <v/>
      </c>
      <c r="CX80" s="702" t="str">
        <f t="shared" si="8"/>
        <v/>
      </c>
    </row>
    <row r="81" customHeight="1" spans="1:102">
      <c r="A81" s="586">
        <v>48</v>
      </c>
      <c r="B81" s="610">
        <v>14</v>
      </c>
      <c r="C81" s="613" t="s">
        <v>2117</v>
      </c>
      <c r="D81" s="614" t="s">
        <v>2118</v>
      </c>
      <c r="E81" s="587">
        <v>6</v>
      </c>
      <c r="F81" s="587" t="s">
        <v>2119</v>
      </c>
      <c r="G81" s="612" t="s">
        <v>2120</v>
      </c>
      <c r="H81" s="587">
        <v>3</v>
      </c>
      <c r="I81" s="613" t="s">
        <v>2121</v>
      </c>
      <c r="J81" s="614" t="s">
        <v>2122</v>
      </c>
      <c r="K81" s="587">
        <v>10</v>
      </c>
      <c r="L81" s="587" t="s">
        <v>2123</v>
      </c>
      <c r="M81" s="612" t="s">
        <v>2124</v>
      </c>
      <c r="N81" s="587">
        <v>3</v>
      </c>
      <c r="O81" s="587" t="s">
        <v>2125</v>
      </c>
      <c r="P81" s="612" t="s">
        <v>2126</v>
      </c>
      <c r="Q81" s="587">
        <v>3</v>
      </c>
      <c r="R81" s="613" t="s">
        <v>2127</v>
      </c>
      <c r="S81" s="614" t="s">
        <v>2128</v>
      </c>
      <c r="T81" s="587">
        <v>7</v>
      </c>
      <c r="U81" s="587" t="s">
        <v>2129</v>
      </c>
      <c r="V81" s="612" t="s">
        <v>2130</v>
      </c>
      <c r="W81" s="587">
        <v>11</v>
      </c>
      <c r="X81" s="587" t="s">
        <v>2131</v>
      </c>
      <c r="Y81" s="612" t="s">
        <v>2132</v>
      </c>
      <c r="Z81" s="587">
        <v>9</v>
      </c>
      <c r="AA81" s="587" t="s">
        <v>2133</v>
      </c>
      <c r="AB81" s="612" t="s">
        <v>2134</v>
      </c>
      <c r="AC81" s="587">
        <v>18</v>
      </c>
      <c r="AD81" s="613" t="s">
        <v>2135</v>
      </c>
      <c r="AE81" s="614" t="s">
        <v>2136</v>
      </c>
      <c r="AF81" s="587" t="s">
        <v>1910</v>
      </c>
      <c r="AG81" s="627" t="s">
        <v>2137</v>
      </c>
      <c r="AH81" s="628" t="s">
        <v>2138</v>
      </c>
      <c r="AI81" s="587">
        <v>3</v>
      </c>
      <c r="AJ81" s="613" t="s">
        <v>790</v>
      </c>
      <c r="AK81" s="614" t="s">
        <v>2139</v>
      </c>
      <c r="AL81" s="587">
        <v>3</v>
      </c>
      <c r="AM81" s="613" t="s">
        <v>2140</v>
      </c>
      <c r="AN81" s="657" t="s">
        <v>2141</v>
      </c>
      <c r="AO81" s="587">
        <v>14</v>
      </c>
      <c r="AP81" s="715" t="s">
        <v>2142</v>
      </c>
      <c r="AQ81" s="716" t="s">
        <v>2143</v>
      </c>
      <c r="AR81" s="587">
        <v>3</v>
      </c>
      <c r="AS81" s="587" t="s">
        <v>2144</v>
      </c>
      <c r="AT81" s="612" t="s">
        <v>2145</v>
      </c>
      <c r="AU81" s="587">
        <v>10</v>
      </c>
      <c r="AV81" s="649" t="s">
        <v>2146</v>
      </c>
      <c r="AW81" s="677" t="s">
        <v>2147</v>
      </c>
      <c r="AY81" s="679" t="s">
        <v>2148</v>
      </c>
      <c r="AZ81" s="678" t="s">
        <v>2149</v>
      </c>
      <c r="BB81" s="656" t="s">
        <v>2150</v>
      </c>
      <c r="BC81" s="691" t="s">
        <v>2151</v>
      </c>
      <c r="BD81" s="587">
        <v>17</v>
      </c>
      <c r="BE81" s="578" t="s">
        <v>2152</v>
      </c>
      <c r="BF81" s="650" t="s">
        <v>2153</v>
      </c>
      <c r="BO81" s="612"/>
      <c r="CH81" s="679" t="s">
        <v>2154</v>
      </c>
      <c r="CI81" s="587">
        <v>100</v>
      </c>
      <c r="CJ81" s="587" cm="1">
        <f t="array" ref="CJ81">_xlfn.IFS($AZ$4&gt;=17,105,$AZ$4&gt;=6,104,$AZ$4&gt;=3,103,1,0)</f>
        <v>0</v>
      </c>
      <c r="CN81" s="702" t="str">
        <f>IFERROR(IF(CN80+1&gt;CS2,IF(CN80+1&gt;CS2,IF(CR3+CR80&gt;CS3,"",CR3+CR80)),CN80+1),"")</f>
        <v/>
      </c>
      <c r="CO81" s="702" t="str" cm="1">
        <f t="array" ref="CO81">IFERROR(INDEX($B$34:$BO$262,CN81,$CP$2),"")</f>
        <v/>
      </c>
      <c r="CP81" s="702" t="str" cm="1">
        <f t="array" ref="CP81">IFERROR(INDEX($B$34:$BO$262,CN81,$CQ$2),"")</f>
        <v/>
      </c>
      <c r="CQ81" s="702" t="str" cm="1">
        <f t="array" ref="CQ81">IF(IFERROR(INDEX($B$34:$BO$262,CN81,$CO$2),"")=0,"",IFERROR(INDEX($B$34:$BO$262,CN81,$CO$2),""))</f>
        <v/>
      </c>
      <c r="CR81" s="702" t="str">
        <f>IFERROR(IF(CN80+1&gt;CS2,CR80+1,0),"")</f>
        <v/>
      </c>
      <c r="CT81" s="705" t="str">
        <f t="shared" si="6"/>
        <v/>
      </c>
      <c r="CU81" s="706" t="str" cm="1">
        <f t="array" ref="CU81">INDEX(CT:CT,SMALL(IF($CT$2:$CT$101&lt;&gt;"",ROW($CT$2:$CT$101),142),ROW(CT80)))&amp;""</f>
        <v/>
      </c>
      <c r="CV81" s="701" t="str">
        <f t="shared" si="7"/>
        <v/>
      </c>
      <c r="CW81" s="702" t="str">
        <f>IF(数据表!BK88="","",数据表!BK88)</f>
        <v/>
      </c>
      <c r="CX81" s="702" t="str">
        <f t="shared" si="8"/>
        <v/>
      </c>
    </row>
    <row r="82" customHeight="1" spans="1:99">
      <c r="A82" s="586">
        <v>49</v>
      </c>
      <c r="B82" s="610">
        <v>3</v>
      </c>
      <c r="C82" s="587" t="s">
        <v>2155</v>
      </c>
      <c r="D82" s="612" t="s">
        <v>2156</v>
      </c>
      <c r="E82" s="587">
        <v>14</v>
      </c>
      <c r="F82" s="587" t="s">
        <v>2157</v>
      </c>
      <c r="G82" s="612" t="s">
        <v>2158</v>
      </c>
      <c r="H82" s="587">
        <v>3</v>
      </c>
      <c r="I82" s="613" t="s">
        <v>2159</v>
      </c>
      <c r="J82" s="614" t="s">
        <v>2160</v>
      </c>
      <c r="K82" s="587">
        <v>14</v>
      </c>
      <c r="L82" s="587" t="s">
        <v>2161</v>
      </c>
      <c r="M82" s="612" t="s">
        <v>2162</v>
      </c>
      <c r="N82" s="587">
        <v>3</v>
      </c>
      <c r="O82" s="587" t="s">
        <v>2163</v>
      </c>
      <c r="P82" s="612" t="s">
        <v>2164</v>
      </c>
      <c r="Q82" s="587">
        <v>3</v>
      </c>
      <c r="R82" s="613" t="s">
        <v>2165</v>
      </c>
      <c r="S82" s="614" t="s">
        <v>2166</v>
      </c>
      <c r="T82" s="587">
        <v>15</v>
      </c>
      <c r="U82" s="587" t="s">
        <v>2167</v>
      </c>
      <c r="V82" s="612" t="s">
        <v>2168</v>
      </c>
      <c r="W82" s="587">
        <v>15</v>
      </c>
      <c r="X82" s="587" t="s">
        <v>2169</v>
      </c>
      <c r="Y82" s="612" t="s">
        <v>2170</v>
      </c>
      <c r="Z82" s="587">
        <v>13</v>
      </c>
      <c r="AA82" s="587" t="s">
        <v>2171</v>
      </c>
      <c r="AB82" s="612" t="s">
        <v>2172</v>
      </c>
      <c r="AC82" s="587">
        <v>3</v>
      </c>
      <c r="AD82" s="587" t="s">
        <v>2173</v>
      </c>
      <c r="AE82" s="612" t="s">
        <v>2174</v>
      </c>
      <c r="AF82" s="587" t="s">
        <v>1910</v>
      </c>
      <c r="AG82" s="627" t="s">
        <v>2175</v>
      </c>
      <c r="AH82" s="628" t="s">
        <v>2176</v>
      </c>
      <c r="AI82" s="587">
        <v>6</v>
      </c>
      <c r="AJ82" s="613" t="s">
        <v>2177</v>
      </c>
      <c r="AK82" s="614" t="s">
        <v>2178</v>
      </c>
      <c r="AL82" s="587">
        <v>5</v>
      </c>
      <c r="AM82" s="613" t="s">
        <v>2179</v>
      </c>
      <c r="AN82" s="657" t="s">
        <v>2180</v>
      </c>
      <c r="AO82" s="587">
        <v>3</v>
      </c>
      <c r="AP82" s="613" t="s">
        <v>2181</v>
      </c>
      <c r="AQ82" s="657" t="s">
        <v>2182</v>
      </c>
      <c r="AR82" s="587">
        <v>7</v>
      </c>
      <c r="AS82" s="587" t="s">
        <v>2183</v>
      </c>
      <c r="AT82" s="612" t="s">
        <v>2184</v>
      </c>
      <c r="AU82" s="587">
        <v>10</v>
      </c>
      <c r="AV82" s="649" t="s">
        <v>2185</v>
      </c>
      <c r="AW82" s="677" t="s">
        <v>2186</v>
      </c>
      <c r="AY82" s="679" t="s">
        <v>2112</v>
      </c>
      <c r="AZ82" s="678" t="s">
        <v>2187</v>
      </c>
      <c r="BA82" s="587">
        <v>3</v>
      </c>
      <c r="BB82" s="656" t="s">
        <v>1078</v>
      </c>
      <c r="BC82" s="691" t="s">
        <v>2188</v>
      </c>
      <c r="BD82" s="587">
        <v>3</v>
      </c>
      <c r="BE82" s="656" t="s">
        <v>2189</v>
      </c>
      <c r="BF82" s="691" t="s">
        <v>2190</v>
      </c>
      <c r="BO82" s="612"/>
      <c r="CH82" s="679" t="s">
        <v>2191</v>
      </c>
      <c r="CI82" s="587">
        <v>106</v>
      </c>
      <c r="CJ82" s="587" cm="1">
        <f t="array" ref="CJ82">_xlfn.IFS($AZ$4&gt;=17,111,$AZ$4&gt;=6,110,$AZ$4&gt;=3,109,1,0)</f>
        <v>0</v>
      </c>
      <c r="CN82" s="702" t="str">
        <f>IFERROR(IF(CN81+1&gt;CS2,IF(CN81+1&gt;CS2,IF(CR3+CR81&gt;CS3,"",CR3+CR81)),CN81+1),"")</f>
        <v/>
      </c>
      <c r="CO82" s="702" t="str" cm="1">
        <f t="array" ref="CO82">IFERROR(INDEX($B$34:$BO$262,CN82,$CP$2),"")</f>
        <v/>
      </c>
      <c r="CP82" s="702" t="str" cm="1">
        <f t="array" ref="CP82">IFERROR(INDEX($B$34:$BO$262,CN82,$CQ$2),"")</f>
        <v/>
      </c>
      <c r="CQ82" s="702" t="str" cm="1">
        <f t="array" ref="CQ82">IF(IFERROR(INDEX($B$34:$BO$262,CN82,$CO$2),"")=0,"",IFERROR(INDEX($B$34:$BO$262,CN82,$CO$2),""))</f>
        <v/>
      </c>
      <c r="CR82" s="702" t="str">
        <f>IFERROR(IF(CN81+1&gt;CS2,CR81+1,0),"")</f>
        <v/>
      </c>
      <c r="CT82" s="705" t="str">
        <f t="shared" si="6"/>
        <v/>
      </c>
      <c r="CU82" s="706" t="str" cm="1">
        <f t="array" ref="CU82">INDEX(CT:CT,SMALL(IF($CT$2:$CT$101&lt;&gt;"",ROW($CT$2:$CT$101),142),ROW(CT81)))&amp;""</f>
        <v/>
      </c>
    </row>
    <row r="83" customHeight="1" spans="1:99">
      <c r="A83" s="586">
        <v>50</v>
      </c>
      <c r="B83" s="610">
        <v>6</v>
      </c>
      <c r="C83" s="587" t="s">
        <v>2192</v>
      </c>
      <c r="D83" s="612" t="s">
        <v>2193</v>
      </c>
      <c r="E83" s="587">
        <v>3</v>
      </c>
      <c r="F83" s="613" t="s">
        <v>2194</v>
      </c>
      <c r="G83" s="614" t="s">
        <v>2195</v>
      </c>
      <c r="H83" s="587">
        <v>6</v>
      </c>
      <c r="I83" s="613" t="s">
        <v>2196</v>
      </c>
      <c r="J83" s="614" t="s">
        <v>2197</v>
      </c>
      <c r="K83" s="587">
        <v>3</v>
      </c>
      <c r="L83" s="613" t="s">
        <v>2198</v>
      </c>
      <c r="M83" s="614" t="s">
        <v>2199</v>
      </c>
      <c r="N83" s="587">
        <v>7</v>
      </c>
      <c r="O83" s="587" t="s">
        <v>2200</v>
      </c>
      <c r="P83" s="612" t="s">
        <v>2201</v>
      </c>
      <c r="Q83" s="587">
        <v>6</v>
      </c>
      <c r="R83" s="613" t="s">
        <v>2202</v>
      </c>
      <c r="S83" s="614" t="s">
        <v>2203</v>
      </c>
      <c r="T83" s="587">
        <v>20</v>
      </c>
      <c r="U83" s="587" t="s">
        <v>2204</v>
      </c>
      <c r="V83" s="612" t="s">
        <v>2205</v>
      </c>
      <c r="W83" s="587">
        <v>3</v>
      </c>
      <c r="X83" s="613" t="s">
        <v>2206</v>
      </c>
      <c r="Y83" s="614" t="s">
        <v>2207</v>
      </c>
      <c r="Z83" s="587">
        <v>17</v>
      </c>
      <c r="AA83" s="587" t="s">
        <v>2208</v>
      </c>
      <c r="AB83" s="612" t="s">
        <v>2209</v>
      </c>
      <c r="AC83" s="587">
        <v>3</v>
      </c>
      <c r="AD83" s="587" t="s">
        <v>2210</v>
      </c>
      <c r="AE83" s="612" t="s">
        <v>2211</v>
      </c>
      <c r="AF83" s="587" t="s">
        <v>1910</v>
      </c>
      <c r="AG83" s="652" t="str">
        <f>IF(主要!$CD$3="O","飞蝇斗篷","")</f>
        <v>飞蝇斗篷</v>
      </c>
      <c r="AH83" s="653" t="s">
        <v>2212</v>
      </c>
      <c r="AI83" s="587">
        <v>10</v>
      </c>
      <c r="AJ83" s="613" t="s">
        <v>2213</v>
      </c>
      <c r="AK83" s="614" t="s">
        <v>2214</v>
      </c>
      <c r="AL83" s="587">
        <v>9</v>
      </c>
      <c r="AM83" s="613" t="s">
        <v>2215</v>
      </c>
      <c r="AN83" s="657" t="s">
        <v>2216</v>
      </c>
      <c r="AO83" s="587">
        <v>3</v>
      </c>
      <c r="AP83" s="613" t="s">
        <v>2217</v>
      </c>
      <c r="AQ83" s="657" t="s">
        <v>2218</v>
      </c>
      <c r="AR83" s="587">
        <v>11</v>
      </c>
      <c r="AS83" s="587" t="s">
        <v>2219</v>
      </c>
      <c r="AT83" s="612" t="s">
        <v>2220</v>
      </c>
      <c r="AU83" s="587">
        <v>10</v>
      </c>
      <c r="AV83" s="649" t="s">
        <v>2221</v>
      </c>
      <c r="AW83" s="677" t="s">
        <v>2222</v>
      </c>
      <c r="AY83" s="679" t="s">
        <v>2150</v>
      </c>
      <c r="AZ83" s="678" t="s">
        <v>2223</v>
      </c>
      <c r="BA83" s="587">
        <v>7</v>
      </c>
      <c r="BB83" s="656" t="s">
        <v>2224</v>
      </c>
      <c r="BC83" s="691" t="s">
        <v>2225</v>
      </c>
      <c r="BD83" s="587">
        <v>3</v>
      </c>
      <c r="BE83" s="656" t="s">
        <v>2226</v>
      </c>
      <c r="BF83" s="691" t="s">
        <v>2227</v>
      </c>
      <c r="BO83" s="612"/>
      <c r="CH83" s="679" t="s">
        <v>2228</v>
      </c>
      <c r="CI83" s="587">
        <v>112</v>
      </c>
      <c r="CJ83" s="587" cm="1">
        <f t="array" ref="CJ83">_xlfn.IFS($AZ$4&gt;=17,116,$AZ$4&gt;=6,115,$AZ$4&gt;=3,114,1,0)</f>
        <v>0</v>
      </c>
      <c r="CN83" s="702" t="str">
        <f>IFERROR(IF(CN82+1&gt;CS2,IF(CN82+1&gt;CS2,IF(CR3+CR82&gt;CS3,"",CR3+CR82)),CN82+1),"")</f>
        <v/>
      </c>
      <c r="CO83" s="702" t="str" cm="1">
        <f t="array" ref="CO83">IFERROR(INDEX($B$34:$BO$262,CN83,$CP$2),"")</f>
        <v/>
      </c>
      <c r="CP83" s="702" t="str" cm="1">
        <f t="array" ref="CP83">IFERROR(INDEX($B$34:$BO$262,CN83,$CQ$2),"")</f>
        <v/>
      </c>
      <c r="CQ83" s="702" t="str" cm="1">
        <f t="array" ref="CQ83">IF(IFERROR(INDEX($B$34:$BO$262,CN83,$CO$2),"")=0,"",IFERROR(INDEX($B$34:$BO$262,CN83,$CO$2),""))</f>
        <v/>
      </c>
      <c r="CR83" s="702" t="str">
        <f>IFERROR(IF(CN82+1&gt;CS2,CR82+1,0),"")</f>
        <v/>
      </c>
      <c r="CT83" s="705" t="str">
        <f t="shared" si="6"/>
        <v/>
      </c>
      <c r="CU83" s="706" t="str" cm="1">
        <f t="array" ref="CU83">INDEX(CT:CT,SMALL(IF($CT$2:$CT$101&lt;&gt;"",ROW($CT$2:$CT$101),142),ROW(CT82)))&amp;""</f>
        <v/>
      </c>
    </row>
    <row r="84" customHeight="1" spans="1:99">
      <c r="A84" s="586">
        <v>51</v>
      </c>
      <c r="B84" s="610">
        <v>10</v>
      </c>
      <c r="C84" s="587" t="s">
        <v>2229</v>
      </c>
      <c r="D84" s="612" t="s">
        <v>2230</v>
      </c>
      <c r="E84" s="587">
        <v>3</v>
      </c>
      <c r="F84" s="613" t="s">
        <v>2231</v>
      </c>
      <c r="G84" s="614" t="s">
        <v>2232</v>
      </c>
      <c r="H84" s="587">
        <v>17</v>
      </c>
      <c r="I84" s="613" t="s">
        <v>2233</v>
      </c>
      <c r="J84" s="614" t="s">
        <v>2234</v>
      </c>
      <c r="K84" s="587">
        <v>6</v>
      </c>
      <c r="L84" s="613" t="s">
        <v>2235</v>
      </c>
      <c r="M84" s="614" t="s">
        <v>2236</v>
      </c>
      <c r="N84" s="587">
        <v>10</v>
      </c>
      <c r="O84" s="587" t="s">
        <v>2237</v>
      </c>
      <c r="P84" s="612" t="s">
        <v>2238</v>
      </c>
      <c r="Q84" s="587">
        <v>11</v>
      </c>
      <c r="R84" s="613" t="s">
        <v>2239</v>
      </c>
      <c r="S84" s="614" t="s">
        <v>2240</v>
      </c>
      <c r="T84" s="587">
        <v>3</v>
      </c>
      <c r="U84" s="613" t="s">
        <v>2241</v>
      </c>
      <c r="V84" s="614" t="s">
        <v>2242</v>
      </c>
      <c r="W84" s="587">
        <v>3</v>
      </c>
      <c r="X84" s="613" t="s">
        <v>2243</v>
      </c>
      <c r="Y84" s="614" t="s">
        <v>2244</v>
      </c>
      <c r="Z84" s="587">
        <v>3</v>
      </c>
      <c r="AA84" s="613" t="s">
        <v>2245</v>
      </c>
      <c r="AB84" s="614" t="s">
        <v>2246</v>
      </c>
      <c r="AC84" s="587">
        <v>6</v>
      </c>
      <c r="AD84" s="587" t="s">
        <v>2247</v>
      </c>
      <c r="AE84" s="612" t="s">
        <v>2248</v>
      </c>
      <c r="AF84" s="587" t="s">
        <v>1910</v>
      </c>
      <c r="AG84" s="652" t="str">
        <f>IF(主要!$CD$3="O","癫狂巫咒","")</f>
        <v>癫狂巫咒</v>
      </c>
      <c r="AH84" s="653" t="s">
        <v>2249</v>
      </c>
      <c r="AI84" s="587">
        <v>14</v>
      </c>
      <c r="AJ84" s="613" t="s">
        <v>2250</v>
      </c>
      <c r="AK84" s="614" t="s">
        <v>2251</v>
      </c>
      <c r="AL84" s="587">
        <v>15</v>
      </c>
      <c r="AM84" s="613" t="s">
        <v>2252</v>
      </c>
      <c r="AN84" s="657" t="s">
        <v>2253</v>
      </c>
      <c r="AO84" s="587">
        <v>3</v>
      </c>
      <c r="AP84" s="656" t="s">
        <v>2254</v>
      </c>
      <c r="AQ84" s="691" t="s">
        <v>2255</v>
      </c>
      <c r="AR84" s="587">
        <v>15</v>
      </c>
      <c r="AS84" s="587" t="s">
        <v>2256</v>
      </c>
      <c r="AT84" s="612" t="s">
        <v>2257</v>
      </c>
      <c r="AU84" s="587">
        <v>10</v>
      </c>
      <c r="AV84" s="649" t="s">
        <v>2258</v>
      </c>
      <c r="AW84" s="677" t="s">
        <v>2259</v>
      </c>
      <c r="AX84" s="587">
        <v>3</v>
      </c>
      <c r="AY84" s="679" t="s">
        <v>2260</v>
      </c>
      <c r="AZ84" s="612" t="s">
        <v>2261</v>
      </c>
      <c r="BA84" s="587">
        <v>7</v>
      </c>
      <c r="BB84" s="656" t="s">
        <v>2262</v>
      </c>
      <c r="BC84" s="691" t="s">
        <v>2263</v>
      </c>
      <c r="BD84" s="587">
        <v>6</v>
      </c>
      <c r="BE84" s="656" t="s">
        <v>2264</v>
      </c>
      <c r="BF84" s="691" t="s">
        <v>2265</v>
      </c>
      <c r="BO84" s="612"/>
      <c r="CH84" s="679" t="s">
        <v>2266</v>
      </c>
      <c r="CI84" s="587">
        <v>117</v>
      </c>
      <c r="CJ84" s="587" cm="1">
        <f t="array" ref="CJ84">_xlfn.IFS($AZ$4&gt;=17,123,$AZ$4&gt;=8,122,$AZ$4&gt;=6,121,$AZ$4&gt;=3,120,1,0)</f>
        <v>0</v>
      </c>
      <c r="CN84" s="702" t="str">
        <f>IFERROR(IF(CN83+1&gt;CS2,IF(CN83+1&gt;CS2,IF(CR3+CR83&gt;CS3,"",CR3+CR83)),CN83+1),"")</f>
        <v/>
      </c>
      <c r="CO84" s="702" t="str" cm="1">
        <f t="array" ref="CO84">IFERROR(INDEX($B$34:$BO$262,CN84,$CP$2),"")</f>
        <v/>
      </c>
      <c r="CP84" s="702" t="str" cm="1">
        <f t="array" ref="CP84">IFERROR(INDEX($B$34:$BO$262,CN84,$CQ$2),"")</f>
        <v/>
      </c>
      <c r="CQ84" s="702" t="str" cm="1">
        <f t="array" ref="CQ84">IF(IFERROR(INDEX($B$34:$BO$262,CN84,$CO$2),"")=0,"",IFERROR(INDEX($B$34:$BO$262,CN84,$CO$2),""))</f>
        <v/>
      </c>
      <c r="CR84" s="702" t="str">
        <f>IFERROR(IF(CN83+1&gt;CS2,CR83+1,0),"")</f>
        <v/>
      </c>
      <c r="CT84" s="705" t="str">
        <f t="shared" si="6"/>
        <v/>
      </c>
      <c r="CU84" s="706" t="str" cm="1">
        <f t="array" ref="CU84">INDEX(CT:CT,SMALL(IF($CT$2:$CT$101&lt;&gt;"",ROW($CT$2:$CT$101),142),ROW(CT83)))&amp;""</f>
        <v/>
      </c>
    </row>
    <row r="85" customHeight="1" spans="1:99">
      <c r="A85" s="586">
        <v>52</v>
      </c>
      <c r="B85" s="610">
        <v>14</v>
      </c>
      <c r="C85" s="587" t="s">
        <v>2267</v>
      </c>
      <c r="D85" s="612" t="s">
        <v>2268</v>
      </c>
      <c r="E85" s="587">
        <v>6</v>
      </c>
      <c r="F85" s="613" t="s">
        <v>2269</v>
      </c>
      <c r="G85" s="614" t="s">
        <v>2270</v>
      </c>
      <c r="H85" s="587">
        <v>3</v>
      </c>
      <c r="I85" s="587" t="s">
        <v>2271</v>
      </c>
      <c r="J85" s="612" t="s">
        <v>2272</v>
      </c>
      <c r="K85" s="587">
        <v>10</v>
      </c>
      <c r="L85" s="613" t="s">
        <v>2273</v>
      </c>
      <c r="M85" s="614" t="s">
        <v>2274</v>
      </c>
      <c r="N85" s="587">
        <v>15</v>
      </c>
      <c r="O85" s="587" t="s">
        <v>2275</v>
      </c>
      <c r="P85" s="612" t="s">
        <v>2276</v>
      </c>
      <c r="Q85" s="587">
        <v>17</v>
      </c>
      <c r="R85" s="613" t="s">
        <v>2277</v>
      </c>
      <c r="S85" s="614" t="s">
        <v>2278</v>
      </c>
      <c r="T85" s="587">
        <v>3</v>
      </c>
      <c r="U85" s="613" t="s">
        <v>2279</v>
      </c>
      <c r="V85" s="614" t="s">
        <v>2280</v>
      </c>
      <c r="W85" s="587">
        <v>3</v>
      </c>
      <c r="X85" s="613" t="s">
        <v>2281</v>
      </c>
      <c r="Y85" s="614" t="s">
        <v>2282</v>
      </c>
      <c r="Z85" s="587">
        <v>3</v>
      </c>
      <c r="AA85" s="613" t="s">
        <v>2283</v>
      </c>
      <c r="AB85" s="614" t="s">
        <v>2284</v>
      </c>
      <c r="AC85" s="587">
        <v>14</v>
      </c>
      <c r="AD85" s="587" t="s">
        <v>2285</v>
      </c>
      <c r="AE85" s="612" t="s">
        <v>2286</v>
      </c>
      <c r="AF85" s="587" t="s">
        <v>1910</v>
      </c>
      <c r="AG85" s="652" t="str">
        <f>IF(主要!$CD$3="O","莱维斯图斯之墓","")</f>
        <v>莱维斯图斯之墓</v>
      </c>
      <c r="AH85" s="653" t="s">
        <v>2287</v>
      </c>
      <c r="AI85" s="587">
        <v>3</v>
      </c>
      <c r="AJ85" s="679" t="s">
        <v>2288</v>
      </c>
      <c r="AK85" s="612" t="s">
        <v>2289</v>
      </c>
      <c r="AL85" s="587">
        <v>3</v>
      </c>
      <c r="AM85" s="578" t="s">
        <v>2290</v>
      </c>
      <c r="AN85" s="611" t="s">
        <v>2291</v>
      </c>
      <c r="AO85" s="587">
        <v>6</v>
      </c>
      <c r="AP85" s="656" t="s">
        <v>2292</v>
      </c>
      <c r="AQ85" s="657" t="s">
        <v>2293</v>
      </c>
      <c r="AR85" s="587">
        <v>18</v>
      </c>
      <c r="AS85" s="587" t="s">
        <v>2294</v>
      </c>
      <c r="AT85" s="612" t="s">
        <v>2295</v>
      </c>
      <c r="AU85" s="587">
        <v>10</v>
      </c>
      <c r="AV85" s="649" t="s">
        <v>2296</v>
      </c>
      <c r="AW85" s="677" t="s">
        <v>2297</v>
      </c>
      <c r="AX85" s="587">
        <v>6</v>
      </c>
      <c r="AY85" s="679" t="s">
        <v>2298</v>
      </c>
      <c r="AZ85" s="678" t="s">
        <v>2299</v>
      </c>
      <c r="BA85" s="587">
        <v>7</v>
      </c>
      <c r="BB85" s="656" t="s">
        <v>2300</v>
      </c>
      <c r="BC85" s="691" t="s">
        <v>2301</v>
      </c>
      <c r="BD85" s="587">
        <v>11</v>
      </c>
      <c r="BE85" s="656" t="s">
        <v>2302</v>
      </c>
      <c r="BF85" s="691" t="s">
        <v>2303</v>
      </c>
      <c r="BO85" s="612"/>
      <c r="CH85" s="679" t="s">
        <v>2304</v>
      </c>
      <c r="CI85" s="587">
        <v>124</v>
      </c>
      <c r="CJ85" s="587" cm="1">
        <f t="array" ref="CJ85">_xlfn.IFS($AZ$4&gt;=17,129,$AZ$4&gt;=6,128,$AZ$4&gt;=3,127,1,0)</f>
        <v>0</v>
      </c>
      <c r="CN85" s="702" t="str">
        <f>IFERROR(IF(CN84+1&gt;CS2,IF(CN84+1&gt;CS2,IF(CR3+CR84&gt;CS3,"",CR3+CR84)),CN84+1),"")</f>
        <v/>
      </c>
      <c r="CO85" s="702" t="str" cm="1">
        <f t="array" ref="CO85">IFERROR(INDEX($B$34:$BO$262,CN85,$CP$2),"")</f>
        <v/>
      </c>
      <c r="CP85" s="702" t="str" cm="1">
        <f t="array" ref="CP85">IFERROR(INDEX($B$34:$BO$262,CN85,$CQ$2),"")</f>
        <v/>
      </c>
      <c r="CQ85" s="702" t="str" cm="1">
        <f t="array" ref="CQ85">IF(IFERROR(INDEX($B$34:$BO$262,CN85,$CO$2),"")=0,"",IFERROR(INDEX($B$34:$BO$262,CN85,$CO$2),""))</f>
        <v/>
      </c>
      <c r="CR85" s="702" t="str">
        <f>IFERROR(IF(CN84+1&gt;CS2,CR84+1,0),"")</f>
        <v/>
      </c>
      <c r="CT85" s="705" t="str">
        <f t="shared" si="6"/>
        <v/>
      </c>
      <c r="CU85" s="706" t="str" cm="1">
        <f t="array" ref="CU85">INDEX(CT:CT,SMALL(IF($CT$2:$CT$101&lt;&gt;"",ROW($CT$2:$CT$101),142),ROW(CT84)))&amp;""</f>
        <v/>
      </c>
    </row>
    <row r="86" customHeight="1" spans="1:99">
      <c r="A86" s="586">
        <v>53</v>
      </c>
      <c r="B86" s="610">
        <v>3</v>
      </c>
      <c r="C86" s="613" t="s">
        <v>2305</v>
      </c>
      <c r="D86" s="614" t="s">
        <v>2306</v>
      </c>
      <c r="E86" s="587">
        <v>14</v>
      </c>
      <c r="F86" s="613" t="s">
        <v>2307</v>
      </c>
      <c r="G86" s="614" t="s">
        <v>2308</v>
      </c>
      <c r="H86" s="587">
        <v>3</v>
      </c>
      <c r="I86" s="587" t="s">
        <v>2309</v>
      </c>
      <c r="J86" s="612" t="s">
        <v>2310</v>
      </c>
      <c r="K86" s="587">
        <v>14</v>
      </c>
      <c r="L86" s="613" t="s">
        <v>2311</v>
      </c>
      <c r="M86" s="614" t="s">
        <v>2312</v>
      </c>
      <c r="N86" s="587">
        <v>18</v>
      </c>
      <c r="O86" s="587" t="s">
        <v>2313</v>
      </c>
      <c r="P86" s="612" t="s">
        <v>2314</v>
      </c>
      <c r="Q86" s="587">
        <v>3</v>
      </c>
      <c r="R86" s="587" t="s">
        <v>2315</v>
      </c>
      <c r="S86" s="612" t="s">
        <v>2316</v>
      </c>
      <c r="T86" s="587">
        <v>7</v>
      </c>
      <c r="U86" s="613" t="s">
        <v>2317</v>
      </c>
      <c r="V86" s="614" t="s">
        <v>2318</v>
      </c>
      <c r="W86" s="587">
        <v>7</v>
      </c>
      <c r="X86" s="613" t="s">
        <v>2319</v>
      </c>
      <c r="Y86" s="614" t="s">
        <v>2320</v>
      </c>
      <c r="Z86" s="587">
        <v>3</v>
      </c>
      <c r="AA86" s="613" t="s">
        <v>2321</v>
      </c>
      <c r="AB86" s="614" t="s">
        <v>2322</v>
      </c>
      <c r="AC86" s="587">
        <v>18</v>
      </c>
      <c r="AD86" s="587" t="s">
        <v>2323</v>
      </c>
      <c r="AE86" s="612" t="s">
        <v>2324</v>
      </c>
      <c r="AF86" s="587" t="s">
        <v>1910</v>
      </c>
      <c r="AG86" s="654" t="str">
        <f>IF(主要!$CD$4="O","遥远音讯","")</f>
        <v>遥远音讯</v>
      </c>
      <c r="AH86" s="655" t="s">
        <v>2325</v>
      </c>
      <c r="AI86" s="587">
        <v>3</v>
      </c>
      <c r="AJ86" s="679" t="s">
        <v>2326</v>
      </c>
      <c r="AK86" s="612" t="s">
        <v>2327</v>
      </c>
      <c r="AL86" s="587">
        <v>3</v>
      </c>
      <c r="AM86" s="578" t="s">
        <v>2328</v>
      </c>
      <c r="AN86" s="611" t="s">
        <v>2329</v>
      </c>
      <c r="AO86" s="587">
        <v>6</v>
      </c>
      <c r="AP86" s="613" t="s">
        <v>2330</v>
      </c>
      <c r="AQ86" s="657" t="s">
        <v>2331</v>
      </c>
      <c r="AR86" s="587">
        <v>3</v>
      </c>
      <c r="AS86" s="613" t="s">
        <v>2332</v>
      </c>
      <c r="AT86" s="614" t="s">
        <v>2333</v>
      </c>
      <c r="AU86" s="587">
        <v>11</v>
      </c>
      <c r="AV86" s="587" t="s">
        <v>2334</v>
      </c>
      <c r="AW86" s="612" t="s">
        <v>2335</v>
      </c>
      <c r="AX86" s="587">
        <v>10</v>
      </c>
      <c r="AY86" s="679" t="s">
        <v>2336</v>
      </c>
      <c r="AZ86" s="612" t="s">
        <v>2337</v>
      </c>
      <c r="BA86" s="587">
        <v>11</v>
      </c>
      <c r="BB86" s="656" t="s">
        <v>2338</v>
      </c>
      <c r="BC86" s="691" t="s">
        <v>2339</v>
      </c>
      <c r="BD86" s="587">
        <v>17</v>
      </c>
      <c r="BE86" s="656" t="s">
        <v>2340</v>
      </c>
      <c r="BF86" s="691" t="s">
        <v>2341</v>
      </c>
      <c r="BO86" s="612"/>
      <c r="CH86" s="679" t="s">
        <v>2342</v>
      </c>
      <c r="CI86" s="587">
        <v>130</v>
      </c>
      <c r="CJ86" s="587" cm="1">
        <f t="array" ref="CJ86">_xlfn.IFS($AZ$4&gt;=17,135,$AZ$4&gt;=6,134,$AZ$4&gt;=3,133,1,0)</f>
        <v>0</v>
      </c>
      <c r="CN86" s="702" t="str">
        <f>IFERROR(IF(CN85+1&gt;CS2,IF(CN85+1&gt;CS2,IF(CR3+CR85&gt;CS3,"",CR3+CR85)),CN85+1),"")</f>
        <v/>
      </c>
      <c r="CO86" s="702" t="str" cm="1">
        <f t="array" ref="CO86">IFERROR(INDEX($B$34:$BO$262,CN86,$CP$2),"")</f>
        <v/>
      </c>
      <c r="CP86" s="702" t="str" cm="1">
        <f t="array" ref="CP86">IFERROR(INDEX($B$34:$BO$262,CN86,$CQ$2),"")</f>
        <v/>
      </c>
      <c r="CQ86" s="702" t="str" cm="1">
        <f t="array" ref="CQ86">IF(IFERROR(INDEX($B$34:$BO$262,CN86,$CO$2),"")=0,"",IFERROR(INDEX($B$34:$BO$262,CN86,$CO$2),""))</f>
        <v/>
      </c>
      <c r="CR86" s="702" t="str">
        <f>IFERROR(IF(CN85+1&gt;CS2,CR85+1,0),"")</f>
        <v/>
      </c>
      <c r="CT86" s="705" t="str">
        <f t="shared" si="6"/>
        <v/>
      </c>
      <c r="CU86" s="706" t="str" cm="1">
        <f t="array" ref="CU86">INDEX(CT:CT,SMALL(IF($CT$2:$CT$101&lt;&gt;"",ROW($CT$2:$CT$101),142),ROW(CT85)))&amp;""</f>
        <v/>
      </c>
    </row>
    <row r="87" customHeight="1" spans="1:99">
      <c r="A87" s="586">
        <v>54</v>
      </c>
      <c r="B87" s="610">
        <v>3</v>
      </c>
      <c r="C87" s="613" t="s">
        <v>2343</v>
      </c>
      <c r="D87" s="614" t="s">
        <v>2344</v>
      </c>
      <c r="E87" s="587">
        <v>3</v>
      </c>
      <c r="F87" s="587" t="s">
        <v>2345</v>
      </c>
      <c r="G87" s="612" t="s">
        <v>2346</v>
      </c>
      <c r="H87" s="587">
        <v>3</v>
      </c>
      <c r="I87" s="587" t="s">
        <v>2347</v>
      </c>
      <c r="J87" s="612" t="s">
        <v>2348</v>
      </c>
      <c r="K87" s="587">
        <v>3</v>
      </c>
      <c r="L87" s="587" t="s">
        <v>2349</v>
      </c>
      <c r="M87" s="612" t="s">
        <v>2350</v>
      </c>
      <c r="N87" s="587">
        <v>3</v>
      </c>
      <c r="O87" s="656" t="s">
        <v>1998</v>
      </c>
      <c r="P87" s="614" t="s">
        <v>2351</v>
      </c>
      <c r="Q87" s="587">
        <v>6</v>
      </c>
      <c r="R87" s="587" t="s">
        <v>2352</v>
      </c>
      <c r="S87" s="612" t="s">
        <v>2353</v>
      </c>
      <c r="T87" s="587">
        <v>15</v>
      </c>
      <c r="U87" s="613" t="s">
        <v>2354</v>
      </c>
      <c r="V87" s="614" t="s">
        <v>2355</v>
      </c>
      <c r="W87" s="587">
        <v>11</v>
      </c>
      <c r="X87" s="613" t="s">
        <v>2356</v>
      </c>
      <c r="Y87" s="614" t="s">
        <v>2357</v>
      </c>
      <c r="Z87" s="587">
        <v>9</v>
      </c>
      <c r="AA87" s="613" t="s">
        <v>2358</v>
      </c>
      <c r="AB87" s="614" t="s">
        <v>2359</v>
      </c>
      <c r="AC87" s="587">
        <v>3</v>
      </c>
      <c r="AD87" s="613" t="s">
        <v>2360</v>
      </c>
      <c r="AE87" s="614" t="s">
        <v>2361</v>
      </c>
      <c r="AF87" s="587" t="s">
        <v>1910</v>
      </c>
      <c r="AG87" s="654" t="s">
        <v>2362</v>
      </c>
      <c r="AH87" s="655" t="s">
        <v>2363</v>
      </c>
      <c r="AI87" s="587">
        <v>6</v>
      </c>
      <c r="AJ87" s="679" t="s">
        <v>975</v>
      </c>
      <c r="AK87" s="612" t="s">
        <v>2364</v>
      </c>
      <c r="AL87" s="587">
        <v>3</v>
      </c>
      <c r="AM87" s="587" t="s">
        <v>2365</v>
      </c>
      <c r="AN87" s="611" t="s">
        <v>2366</v>
      </c>
      <c r="AO87" s="587">
        <v>10</v>
      </c>
      <c r="AP87" s="613" t="s">
        <v>2367</v>
      </c>
      <c r="AQ87" s="657" t="s">
        <v>2368</v>
      </c>
      <c r="AR87" s="587">
        <v>3</v>
      </c>
      <c r="AS87" s="613" t="s">
        <v>2369</v>
      </c>
      <c r="AT87" s="614" t="s">
        <v>2370</v>
      </c>
      <c r="AU87" s="587">
        <v>14</v>
      </c>
      <c r="AV87" s="649" t="s">
        <v>2371</v>
      </c>
      <c r="AW87" s="677" t="s">
        <v>2372</v>
      </c>
      <c r="AX87" s="587">
        <v>14</v>
      </c>
      <c r="AY87" s="679" t="s">
        <v>2373</v>
      </c>
      <c r="AZ87" s="678" t="s">
        <v>2374</v>
      </c>
      <c r="BA87" s="587">
        <v>13</v>
      </c>
      <c r="BB87" s="656" t="s">
        <v>2375</v>
      </c>
      <c r="BC87" s="691" t="s">
        <v>2376</v>
      </c>
      <c r="BD87" s="587">
        <v>3</v>
      </c>
      <c r="BE87" s="578" t="s">
        <v>2377</v>
      </c>
      <c r="BF87" s="650" t="s">
        <v>2378</v>
      </c>
      <c r="BO87" s="612"/>
      <c r="CH87" s="679" t="s">
        <v>2379</v>
      </c>
      <c r="CI87" s="587">
        <v>136</v>
      </c>
      <c r="CJ87" s="587" cm="1">
        <f t="array" ref="CJ87">_xlfn.IFS($AZ$4&gt;=17,141,$AZ$4&gt;=6,140,$AZ$4&gt;=3,139,1,0)</f>
        <v>0</v>
      </c>
      <c r="CN87" s="702" t="str">
        <f>IFERROR(IF(CN86+1&gt;CS2,IF(CN86+1&gt;CS2,IF(CR3+CR86&gt;CS3,"",CR3+CR86)),CN86+1),"")</f>
        <v/>
      </c>
      <c r="CO87" s="702" t="str" cm="1">
        <f t="array" ref="CO87">IFERROR(INDEX($B$34:$BO$262,CN87,$CP$2),"")</f>
        <v/>
      </c>
      <c r="CP87" s="702" t="str" cm="1">
        <f t="array" ref="CP87">IFERROR(INDEX($B$34:$BO$262,CN87,$CQ$2),"")</f>
        <v/>
      </c>
      <c r="CQ87" s="702" t="str" cm="1">
        <f t="array" ref="CQ87">IF(IFERROR(INDEX($B$34:$BO$262,CN87,$CO$2),"")=0,"",IFERROR(INDEX($B$34:$BO$262,CN87,$CO$2),""))</f>
        <v/>
      </c>
      <c r="CR87" s="702" t="str">
        <f>IFERROR(IF(CN86+1&gt;CS2,CR86+1,0),"")</f>
        <v/>
      </c>
      <c r="CT87" s="705" t="str">
        <f t="shared" si="6"/>
        <v/>
      </c>
      <c r="CU87" s="706" t="str" cm="1">
        <f t="array" ref="CU87">INDEX(CT:CT,SMALL(IF($CT$2:$CT$101&lt;&gt;"",ROW($CT$2:$CT$101),142),ROW(CT86)))&amp;""</f>
        <v/>
      </c>
    </row>
    <row r="88" customHeight="1" spans="1:99">
      <c r="A88" s="586">
        <v>55</v>
      </c>
      <c r="B88" s="610">
        <v>6</v>
      </c>
      <c r="C88" s="613" t="s">
        <v>2380</v>
      </c>
      <c r="D88" s="614" t="s">
        <v>2381</v>
      </c>
      <c r="E88" s="587">
        <v>3</v>
      </c>
      <c r="F88" s="587" t="s">
        <v>2382</v>
      </c>
      <c r="G88" s="612" t="s">
        <v>2383</v>
      </c>
      <c r="H88" s="587">
        <v>3</v>
      </c>
      <c r="I88" s="587" t="s">
        <v>2384</v>
      </c>
      <c r="J88" s="612" t="s">
        <v>2385</v>
      </c>
      <c r="K88" s="587">
        <v>3</v>
      </c>
      <c r="L88" s="587" t="s">
        <v>2386</v>
      </c>
      <c r="M88" s="612" t="s">
        <v>2387</v>
      </c>
      <c r="O88" s="613" t="s">
        <v>695</v>
      </c>
      <c r="P88" s="614" t="s">
        <v>2388</v>
      </c>
      <c r="Q88" s="587">
        <v>11</v>
      </c>
      <c r="R88" s="587" t="s">
        <v>2389</v>
      </c>
      <c r="S88" s="612" t="s">
        <v>2390</v>
      </c>
      <c r="T88" s="587">
        <v>20</v>
      </c>
      <c r="U88" s="613" t="s">
        <v>2391</v>
      </c>
      <c r="V88" s="614" t="s">
        <v>2392</v>
      </c>
      <c r="W88" s="587">
        <v>15</v>
      </c>
      <c r="X88" s="613" t="s">
        <v>2393</v>
      </c>
      <c r="Y88" s="614" t="s">
        <v>2394</v>
      </c>
      <c r="Z88" s="587">
        <v>13</v>
      </c>
      <c r="AA88" s="613" t="s">
        <v>2395</v>
      </c>
      <c r="AB88" s="614" t="s">
        <v>2396</v>
      </c>
      <c r="AC88" s="587">
        <v>3</v>
      </c>
      <c r="AD88" s="613" t="s">
        <v>2397</v>
      </c>
      <c r="AE88" s="614" t="s">
        <v>2398</v>
      </c>
      <c r="AF88" s="587" t="s">
        <v>2399</v>
      </c>
      <c r="AG88" s="627" t="s">
        <v>2400</v>
      </c>
      <c r="AH88" s="628" t="s">
        <v>2401</v>
      </c>
      <c r="AI88" s="587">
        <v>10</v>
      </c>
      <c r="AJ88" s="679" t="s">
        <v>2402</v>
      </c>
      <c r="AK88" s="612" t="s">
        <v>2403</v>
      </c>
      <c r="AL88" s="587">
        <v>3</v>
      </c>
      <c r="AM88" s="587" t="s">
        <v>2404</v>
      </c>
      <c r="AN88" s="611" t="s">
        <v>2405</v>
      </c>
      <c r="AO88" s="587">
        <v>14</v>
      </c>
      <c r="AP88" s="613" t="s">
        <v>2406</v>
      </c>
      <c r="AQ88" s="657" t="s">
        <v>2407</v>
      </c>
      <c r="AR88" s="587">
        <v>3</v>
      </c>
      <c r="AS88" s="613" t="s">
        <v>2408</v>
      </c>
      <c r="AT88" s="614" t="s">
        <v>2409</v>
      </c>
      <c r="AU88" s="587">
        <v>14</v>
      </c>
      <c r="AV88" s="649" t="s">
        <v>2410</v>
      </c>
      <c r="AW88" s="677" t="s">
        <v>2411</v>
      </c>
      <c r="AX88" s="587">
        <v>3</v>
      </c>
      <c r="AY88" s="694" t="s">
        <v>2412</v>
      </c>
      <c r="AZ88" s="718" t="s">
        <v>2413</v>
      </c>
      <c r="BA88" s="587">
        <v>15</v>
      </c>
      <c r="BB88" s="656" t="s">
        <v>2414</v>
      </c>
      <c r="BC88" s="691" t="s">
        <v>2415</v>
      </c>
      <c r="BD88" s="587">
        <v>3</v>
      </c>
      <c r="BE88" s="578" t="s">
        <v>2416</v>
      </c>
      <c r="BF88" s="650" t="s">
        <v>2417</v>
      </c>
      <c r="BO88" s="612"/>
      <c r="CH88" s="679" t="s">
        <v>2418</v>
      </c>
      <c r="CI88" s="587">
        <v>142</v>
      </c>
      <c r="CJ88" s="587" cm="1">
        <f t="array" ref="CJ88">_xlfn.IFS($AZ$4&gt;=17,146,$AZ$4&gt;=6,145,$AZ$4&gt;=3,144,1,0)</f>
        <v>0</v>
      </c>
      <c r="CN88" s="702" t="str">
        <f>IFERROR(IF(CN87+1&gt;CS2,IF(CN87+1&gt;CS2,IF(CR3+CR87&gt;CS3,"",CR3+CR87)),CN87+1),"")</f>
        <v/>
      </c>
      <c r="CO88" s="702" t="str" cm="1">
        <f t="array" ref="CO88">IFERROR(INDEX($B$34:$BO$262,CN88,$CP$2),"")</f>
        <v/>
      </c>
      <c r="CP88" s="702" t="str" cm="1">
        <f t="array" ref="CP88">IFERROR(INDEX($B$34:$BO$262,CN88,$CQ$2),"")</f>
        <v/>
      </c>
      <c r="CQ88" s="702" t="str" cm="1">
        <f t="array" ref="CQ88">IF(IFERROR(INDEX($B$34:$BO$262,CN88,$CO$2),"")=0,"",IFERROR(INDEX($B$34:$BO$262,CN88,$CO$2),""))</f>
        <v/>
      </c>
      <c r="CR88" s="702" t="str">
        <f>IFERROR(IF(CN87+1&gt;CS2,CR87+1,0),"")</f>
        <v/>
      </c>
      <c r="CT88" s="705" t="str">
        <f t="shared" si="6"/>
        <v/>
      </c>
      <c r="CU88" s="706" t="str" cm="1">
        <f t="array" ref="CU88">INDEX(CT:CT,SMALL(IF($CT$2:$CT$101&lt;&gt;"",ROW($CT$2:$CT$101),142),ROW(CT87)))&amp;""</f>
        <v/>
      </c>
    </row>
    <row r="89" customHeight="1" spans="1:99">
      <c r="A89" s="586">
        <v>56</v>
      </c>
      <c r="B89" s="610">
        <v>10</v>
      </c>
      <c r="C89" s="613" t="s">
        <v>2419</v>
      </c>
      <c r="D89" s="614" t="s">
        <v>2420</v>
      </c>
      <c r="E89" s="587">
        <v>6</v>
      </c>
      <c r="F89" s="587" t="s">
        <v>2421</v>
      </c>
      <c r="G89" s="612" t="s">
        <v>2422</v>
      </c>
      <c r="H89" s="587">
        <v>6</v>
      </c>
      <c r="I89" s="587" t="s">
        <v>2423</v>
      </c>
      <c r="J89" s="612" t="s">
        <v>2424</v>
      </c>
      <c r="K89" s="587">
        <v>6</v>
      </c>
      <c r="L89" s="587" t="s">
        <v>2425</v>
      </c>
      <c r="M89" s="612" t="s">
        <v>2426</v>
      </c>
      <c r="O89" s="613" t="s">
        <v>702</v>
      </c>
      <c r="P89" s="614" t="s">
        <v>2427</v>
      </c>
      <c r="Q89" s="587">
        <v>17</v>
      </c>
      <c r="R89" s="587" t="s">
        <v>2428</v>
      </c>
      <c r="S89" s="612" t="s">
        <v>2429</v>
      </c>
      <c r="T89" s="587">
        <v>3</v>
      </c>
      <c r="U89" s="587" t="s">
        <v>2430</v>
      </c>
      <c r="V89" s="612" t="s">
        <v>2431</v>
      </c>
      <c r="W89" s="587">
        <v>3</v>
      </c>
      <c r="X89" s="587" t="s">
        <v>2432</v>
      </c>
      <c r="Y89" s="612" t="s">
        <v>2433</v>
      </c>
      <c r="Z89" s="587">
        <v>17</v>
      </c>
      <c r="AA89" s="613" t="s">
        <v>2434</v>
      </c>
      <c r="AB89" s="614" t="s">
        <v>2435</v>
      </c>
      <c r="AC89" s="587">
        <v>6</v>
      </c>
      <c r="AD89" s="613" t="s">
        <v>2436</v>
      </c>
      <c r="AE89" s="614" t="s">
        <v>2437</v>
      </c>
      <c r="AF89" s="587" t="s">
        <v>2399</v>
      </c>
      <c r="AG89" s="652" t="str">
        <f>IF(主要!$CD$3="O","幽魂凝视","")</f>
        <v>幽魂凝视</v>
      </c>
      <c r="AH89" s="653" t="s">
        <v>2438</v>
      </c>
      <c r="AI89" s="587">
        <v>14</v>
      </c>
      <c r="AJ89" s="679" t="s">
        <v>2439</v>
      </c>
      <c r="AK89" s="678" t="s">
        <v>2440</v>
      </c>
      <c r="AL89" s="587">
        <v>5</v>
      </c>
      <c r="AM89" s="587" t="s">
        <v>885</v>
      </c>
      <c r="AN89" s="612" t="s">
        <v>2441</v>
      </c>
      <c r="AO89" s="587">
        <v>3</v>
      </c>
      <c r="AP89" s="587" t="s">
        <v>2442</v>
      </c>
      <c r="AQ89" s="612" t="s">
        <v>2443</v>
      </c>
      <c r="AR89" s="587" t="s">
        <v>2444</v>
      </c>
      <c r="AS89" s="613" t="s">
        <v>2445</v>
      </c>
      <c r="AT89" s="614" t="s">
        <v>2446</v>
      </c>
      <c r="AU89" s="587">
        <v>14</v>
      </c>
      <c r="AV89" s="649" t="s">
        <v>2447</v>
      </c>
      <c r="AW89" s="677" t="s">
        <v>2448</v>
      </c>
      <c r="AX89" s="587">
        <v>3</v>
      </c>
      <c r="AY89" s="694" t="s">
        <v>2449</v>
      </c>
      <c r="AZ89" s="718" t="s">
        <v>2450</v>
      </c>
      <c r="BA89" s="587">
        <v>18</v>
      </c>
      <c r="BB89" s="656" t="s">
        <v>2451</v>
      </c>
      <c r="BC89" s="691" t="s">
        <v>2452</v>
      </c>
      <c r="BD89" s="587">
        <v>6</v>
      </c>
      <c r="BE89" s="578" t="s">
        <v>2453</v>
      </c>
      <c r="BF89" s="650" t="s">
        <v>2454</v>
      </c>
      <c r="BO89" s="612"/>
      <c r="CH89" s="608" t="s">
        <v>2455</v>
      </c>
      <c r="CI89" s="608">
        <v>29</v>
      </c>
      <c r="CJ89" s="608" cm="1">
        <f t="array" ref="CJ89">_xlfn.IFS($AZ$5&gt;=14,34,$AZ$5&gt;=10,33,$AZ$5&gt;=6,32,$AZ$5&gt;=3,31,1,0)</f>
        <v>0</v>
      </c>
      <c r="CN89" s="702" t="str">
        <f>IFERROR(IF(CN88+1&gt;CS2,IF(CN88+1&gt;CS2,IF(CR3+CR88&gt;CS3,"",CR3+CR88)),CN88+1),"")</f>
        <v/>
      </c>
      <c r="CO89" s="702" t="str" cm="1">
        <f t="array" ref="CO89">IFERROR(INDEX($B$34:$BO$262,CN89,$CP$2),"")</f>
        <v/>
      </c>
      <c r="CP89" s="702" t="str" cm="1">
        <f t="array" ref="CP89">IFERROR(INDEX($B$34:$BO$262,CN89,$CQ$2),"")</f>
        <v/>
      </c>
      <c r="CQ89" s="702" t="str" cm="1">
        <f t="array" ref="CQ89">IF(IFERROR(INDEX($B$34:$BO$262,CN89,$CO$2),"")=0,"",IFERROR(INDEX($B$34:$BO$262,CN89,$CO$2),""))</f>
        <v/>
      </c>
      <c r="CR89" s="702" t="str">
        <f>IFERROR(IF(CN88+1&gt;CS2,CR88+1,0),"")</f>
        <v/>
      </c>
      <c r="CT89" s="705" t="str">
        <f t="shared" si="6"/>
        <v/>
      </c>
      <c r="CU89" s="706" t="str" cm="1">
        <f t="array" ref="CU89">INDEX(CT:CT,SMALL(IF($CT$2:$CT$101&lt;&gt;"",ROW($CT$2:$CT$101),142),ROW(CT88)))&amp;""</f>
        <v/>
      </c>
    </row>
    <row r="90" customHeight="1" spans="1:99">
      <c r="A90" s="586">
        <v>57</v>
      </c>
      <c r="B90" s="610">
        <v>14</v>
      </c>
      <c r="C90" s="613" t="s">
        <v>2456</v>
      </c>
      <c r="D90" s="614" t="s">
        <v>2457</v>
      </c>
      <c r="E90" s="587">
        <v>6</v>
      </c>
      <c r="F90" s="587" t="s">
        <v>2458</v>
      </c>
      <c r="G90" s="612" t="s">
        <v>2459</v>
      </c>
      <c r="H90" s="587">
        <v>17</v>
      </c>
      <c r="I90" s="587" t="s">
        <v>2460</v>
      </c>
      <c r="J90" s="612" t="s">
        <v>2461</v>
      </c>
      <c r="K90" s="587">
        <v>10</v>
      </c>
      <c r="L90" s="587" t="s">
        <v>2462</v>
      </c>
      <c r="M90" s="612" t="s">
        <v>2463</v>
      </c>
      <c r="O90" s="613" t="s">
        <v>731</v>
      </c>
      <c r="P90" s="614" t="s">
        <v>2464</v>
      </c>
      <c r="Q90" s="587">
        <v>3</v>
      </c>
      <c r="R90" s="613" t="s">
        <v>2465</v>
      </c>
      <c r="S90" s="614" t="s">
        <v>2466</v>
      </c>
      <c r="T90" s="587">
        <v>3</v>
      </c>
      <c r="U90" s="587" t="s">
        <v>2467</v>
      </c>
      <c r="V90" s="612" t="s">
        <v>2468</v>
      </c>
      <c r="W90" s="587">
        <v>3</v>
      </c>
      <c r="X90" s="587" t="s">
        <v>2469</v>
      </c>
      <c r="Y90" s="612" t="s">
        <v>2470</v>
      </c>
      <c r="Z90" s="587">
        <v>3</v>
      </c>
      <c r="AA90" s="587" t="s">
        <v>2471</v>
      </c>
      <c r="AB90" s="612" t="s">
        <v>2472</v>
      </c>
      <c r="AC90" s="587">
        <v>14</v>
      </c>
      <c r="AD90" s="613" t="s">
        <v>2473</v>
      </c>
      <c r="AE90" s="614" t="s">
        <v>2474</v>
      </c>
      <c r="AF90" s="587" t="s">
        <v>2399</v>
      </c>
      <c r="AG90" s="652" t="str">
        <f>IF(主要!$CD$3="O","残酷巫咒","")</f>
        <v>残酷巫咒</v>
      </c>
      <c r="AH90" s="653" t="s">
        <v>2475</v>
      </c>
      <c r="AI90" s="587">
        <v>3</v>
      </c>
      <c r="AJ90" s="613" t="s">
        <v>2476</v>
      </c>
      <c r="AK90" s="614" t="s">
        <v>2477</v>
      </c>
      <c r="AL90" s="587">
        <v>9</v>
      </c>
      <c r="AM90" s="587" t="s">
        <v>2478</v>
      </c>
      <c r="AN90" s="611" t="s">
        <v>2479</v>
      </c>
      <c r="AO90" s="587">
        <v>3</v>
      </c>
      <c r="AP90" s="587" t="s">
        <v>2480</v>
      </c>
      <c r="AQ90" s="612" t="s">
        <v>2481</v>
      </c>
      <c r="AR90" s="587" t="s">
        <v>2444</v>
      </c>
      <c r="AS90" s="613" t="s">
        <v>2482</v>
      </c>
      <c r="AT90" s="614" t="s">
        <v>2483</v>
      </c>
      <c r="AU90" s="587">
        <v>14</v>
      </c>
      <c r="AV90" s="649" t="s">
        <v>2484</v>
      </c>
      <c r="AW90" s="677" t="s">
        <v>2485</v>
      </c>
      <c r="AX90" s="587">
        <v>6</v>
      </c>
      <c r="AY90" s="694" t="s">
        <v>2486</v>
      </c>
      <c r="AZ90" s="614" t="s">
        <v>2487</v>
      </c>
      <c r="BA90" s="587">
        <v>3</v>
      </c>
      <c r="BB90" s="578" t="s">
        <v>2488</v>
      </c>
      <c r="BC90" s="650" t="s">
        <v>2489</v>
      </c>
      <c r="BD90" s="587">
        <v>11</v>
      </c>
      <c r="BE90" s="578" t="s">
        <v>2490</v>
      </c>
      <c r="BF90" s="650" t="s">
        <v>2491</v>
      </c>
      <c r="BO90" s="612"/>
      <c r="CH90" s="587" t="s">
        <v>2492</v>
      </c>
      <c r="CI90" s="587">
        <v>35</v>
      </c>
      <c r="CJ90" s="587" cm="1">
        <f t="array" ref="CJ90">_xlfn.IFS($AZ$5&gt;=14,39,$AZ$5&gt;=10,38,$AZ$5&gt;=6,37,$AZ$5&gt;=3,36,1,0)</f>
        <v>0</v>
      </c>
      <c r="CN90" s="702" t="str">
        <f>IFERROR(IF(CN89+1&gt;CS2,IF(CN89+1&gt;CS2,IF(CR3+CR89&gt;CS3,"",CR3+CR89)),CN89+1),"")</f>
        <v/>
      </c>
      <c r="CO90" s="702" t="str" cm="1">
        <f t="array" ref="CO90">IFERROR(INDEX($B$34:$BO$262,CN90,$CP$2),"")</f>
        <v/>
      </c>
      <c r="CP90" s="702" t="str" cm="1">
        <f t="array" ref="CP90">IFERROR(INDEX($B$34:$BO$262,CN90,$CQ$2),"")</f>
        <v/>
      </c>
      <c r="CQ90" s="702" t="str" cm="1">
        <f t="array" ref="CQ90">IF(IFERROR(INDEX($B$34:$BO$262,CN90,$CO$2),"")=0,"",IFERROR(INDEX($B$34:$BO$262,CN90,$CO$2),""))</f>
        <v/>
      </c>
      <c r="CR90" s="702" t="str">
        <f>IFERROR(IF(CN89+1&gt;CS2,CR89+1,0),"")</f>
        <v/>
      </c>
      <c r="CT90" s="705" t="str">
        <f t="shared" si="6"/>
        <v/>
      </c>
      <c r="CU90" s="706" t="str" cm="1">
        <f t="array" ref="CU90">INDEX(CT:CT,SMALL(IF($CT$2:$CT$101&lt;&gt;"",ROW($CT$2:$CT$101),142),ROW(CT89)))&amp;""</f>
        <v/>
      </c>
    </row>
    <row r="91" customHeight="1" spans="1:99">
      <c r="A91" s="586">
        <v>58</v>
      </c>
      <c r="B91" s="610">
        <v>3</v>
      </c>
      <c r="C91" s="587" t="s">
        <v>2493</v>
      </c>
      <c r="D91" s="612" t="s">
        <v>2494</v>
      </c>
      <c r="E91" s="587">
        <v>14</v>
      </c>
      <c r="F91" s="587" t="s">
        <v>2495</v>
      </c>
      <c r="G91" s="612" t="s">
        <v>2496</v>
      </c>
      <c r="H91" s="587">
        <v>3</v>
      </c>
      <c r="I91" s="613" t="s">
        <v>2497</v>
      </c>
      <c r="J91" s="614" t="s">
        <v>2498</v>
      </c>
      <c r="K91" s="587">
        <v>14</v>
      </c>
      <c r="L91" s="587" t="s">
        <v>2499</v>
      </c>
      <c r="M91" s="612" t="s">
        <v>2500</v>
      </c>
      <c r="O91" s="613" t="s">
        <v>764</v>
      </c>
      <c r="P91" s="614" t="s">
        <v>2501</v>
      </c>
      <c r="Q91" s="587">
        <v>6</v>
      </c>
      <c r="R91" s="613" t="s">
        <v>2502</v>
      </c>
      <c r="S91" s="614" t="s">
        <v>2503</v>
      </c>
      <c r="T91" s="587">
        <v>7</v>
      </c>
      <c r="U91" s="587" t="s">
        <v>2504</v>
      </c>
      <c r="V91" s="612" t="s">
        <v>2505</v>
      </c>
      <c r="W91" s="587">
        <v>3</v>
      </c>
      <c r="X91" s="587" t="s">
        <v>2506</v>
      </c>
      <c r="Y91" s="612" t="s">
        <v>2507</v>
      </c>
      <c r="Z91" s="587">
        <v>3</v>
      </c>
      <c r="AA91" s="587" t="s">
        <v>2508</v>
      </c>
      <c r="AB91" s="612" t="s">
        <v>2509</v>
      </c>
      <c r="AC91" s="587">
        <v>18</v>
      </c>
      <c r="AD91" s="613" t="s">
        <v>2510</v>
      </c>
      <c r="AE91" s="614" t="s">
        <v>2511</v>
      </c>
      <c r="AF91" s="587" t="s">
        <v>2399</v>
      </c>
      <c r="AG91" s="652" t="str">
        <f>IF(主要!$CD$3="O","诡术师的逃脱术","")</f>
        <v>诡术师的逃脱术</v>
      </c>
      <c r="AH91" s="653" t="s">
        <v>2512</v>
      </c>
      <c r="AI91" s="587">
        <v>3</v>
      </c>
      <c r="AJ91" s="613" t="s">
        <v>2513</v>
      </c>
      <c r="AK91" s="614" t="s">
        <v>2514</v>
      </c>
      <c r="AL91" s="587">
        <v>15</v>
      </c>
      <c r="AM91" s="587" t="s">
        <v>2515</v>
      </c>
      <c r="AN91" s="611" t="s">
        <v>2516</v>
      </c>
      <c r="AO91" s="587">
        <v>3</v>
      </c>
      <c r="AP91" s="587" t="s">
        <v>2517</v>
      </c>
      <c r="AQ91" s="612" t="s">
        <v>2518</v>
      </c>
      <c r="AR91" s="587" t="s">
        <v>2444</v>
      </c>
      <c r="AS91" s="613" t="s">
        <v>2519</v>
      </c>
      <c r="AT91" s="614" t="s">
        <v>2520</v>
      </c>
      <c r="AU91" s="587">
        <v>19</v>
      </c>
      <c r="AV91" s="587" t="s">
        <v>1091</v>
      </c>
      <c r="AW91" s="612" t="s">
        <v>2521</v>
      </c>
      <c r="AX91" s="587">
        <v>10</v>
      </c>
      <c r="AY91" s="694" t="s">
        <v>2522</v>
      </c>
      <c r="AZ91" s="614" t="s">
        <v>2523</v>
      </c>
      <c r="BA91" s="587">
        <v>3</v>
      </c>
      <c r="BB91" s="578" t="s">
        <v>2524</v>
      </c>
      <c r="BC91" s="650" t="s">
        <v>2525</v>
      </c>
      <c r="BD91" s="587">
        <v>17</v>
      </c>
      <c r="BE91" s="587" t="s">
        <v>2526</v>
      </c>
      <c r="BF91" s="650" t="s">
        <v>2527</v>
      </c>
      <c r="BO91" s="612"/>
      <c r="CH91" s="587" t="s">
        <v>2528</v>
      </c>
      <c r="CI91" s="587">
        <v>40</v>
      </c>
      <c r="CJ91" s="587" cm="1">
        <f t="array" ref="CJ91">_xlfn.IFS($AZ$5&gt;=14,44,$AZ$5&gt;=10,43,$AZ$5&gt;=6,42,$AZ$5&gt;=3,41,1,0)</f>
        <v>0</v>
      </c>
      <c r="CN91" s="702" t="str">
        <f>IFERROR(IF(CN90+1&gt;CS2,IF(CN90+1&gt;CS2,IF(CR3+CR90&gt;CS3,"",CR3+CR90)),CN90+1),"")</f>
        <v/>
      </c>
      <c r="CO91" s="702" t="str" cm="1">
        <f t="array" ref="CO91">IFERROR(INDEX($B$34:$BO$262,CN91,$CP$2),"")</f>
        <v/>
      </c>
      <c r="CP91" s="702" t="str" cm="1">
        <f t="array" ref="CP91">IFERROR(INDEX($B$34:$BO$262,CN91,$CQ$2),"")</f>
        <v/>
      </c>
      <c r="CQ91" s="702" t="str" cm="1">
        <f t="array" ref="CQ91">IF(IFERROR(INDEX($B$34:$BO$262,CN91,$CO$2),"")=0,"",IFERROR(INDEX($B$34:$BO$262,CN91,$CO$2),""))</f>
        <v/>
      </c>
      <c r="CR91" s="702" t="str">
        <f>IFERROR(IF(CN90+1&gt;CS2,CR90+1,0),"")</f>
        <v/>
      </c>
      <c r="CT91" s="705" t="str">
        <f t="shared" si="6"/>
        <v/>
      </c>
      <c r="CU91" s="706" t="str" cm="1">
        <f t="array" ref="CU91">INDEX(CT:CT,SMALL(IF($CT$2:$CT$101&lt;&gt;"",ROW($CT$2:$CT$101),142),ROW(CT90)))&amp;""</f>
        <v/>
      </c>
    </row>
    <row r="92" customHeight="1" spans="1:99">
      <c r="A92" s="586">
        <v>59</v>
      </c>
      <c r="B92" s="610">
        <v>3</v>
      </c>
      <c r="C92" s="587" t="s">
        <v>2529</v>
      </c>
      <c r="D92" s="612" t="s">
        <v>2530</v>
      </c>
      <c r="E92" s="587">
        <v>3</v>
      </c>
      <c r="F92" s="613" t="s">
        <v>2531</v>
      </c>
      <c r="G92" s="614" t="s">
        <v>2532</v>
      </c>
      <c r="H92" s="587">
        <v>3</v>
      </c>
      <c r="I92" s="613" t="s">
        <v>1856</v>
      </c>
      <c r="J92" s="614" t="s">
        <v>2533</v>
      </c>
      <c r="K92" s="587">
        <v>3</v>
      </c>
      <c r="L92" s="613" t="s">
        <v>2534</v>
      </c>
      <c r="M92" s="614" t="s">
        <v>2535</v>
      </c>
      <c r="O92" s="613" t="s">
        <v>795</v>
      </c>
      <c r="P92" s="614" t="s">
        <v>863</v>
      </c>
      <c r="Q92" s="587">
        <v>11</v>
      </c>
      <c r="R92" s="613" t="s">
        <v>2536</v>
      </c>
      <c r="S92" s="614" t="s">
        <v>2537</v>
      </c>
      <c r="T92" s="587">
        <v>15</v>
      </c>
      <c r="U92" s="587" t="s">
        <v>2538</v>
      </c>
      <c r="V92" s="612" t="s">
        <v>2539</v>
      </c>
      <c r="W92" s="587">
        <v>7</v>
      </c>
      <c r="X92" s="587" t="s">
        <v>2540</v>
      </c>
      <c r="Y92" s="612" t="s">
        <v>2541</v>
      </c>
      <c r="Z92" s="587">
        <v>9</v>
      </c>
      <c r="AA92" s="587" t="s">
        <v>2542</v>
      </c>
      <c r="AB92" s="612" t="s">
        <v>2543</v>
      </c>
      <c r="AC92" s="587">
        <v>3</v>
      </c>
      <c r="AD92" s="587" t="s">
        <v>2544</v>
      </c>
      <c r="AE92" s="612" t="s">
        <v>2545</v>
      </c>
      <c r="AF92" s="587" t="s">
        <v>2399</v>
      </c>
      <c r="AG92" s="654" t="str">
        <f>IF(主要!$CD$4="O","护符庇佑","")</f>
        <v>护符庇佑</v>
      </c>
      <c r="AH92" s="655" t="s">
        <v>2546</v>
      </c>
      <c r="AI92" s="587">
        <v>6</v>
      </c>
      <c r="AJ92" s="613" t="s">
        <v>2547</v>
      </c>
      <c r="AK92" s="614" t="s">
        <v>2548</v>
      </c>
      <c r="AL92" s="587">
        <v>3</v>
      </c>
      <c r="AM92" s="656" t="s">
        <v>2549</v>
      </c>
      <c r="AN92" s="657" t="s">
        <v>2550</v>
      </c>
      <c r="AO92" s="587">
        <v>6</v>
      </c>
      <c r="AP92" s="587" t="s">
        <v>2551</v>
      </c>
      <c r="AQ92" s="612" t="s">
        <v>2552</v>
      </c>
      <c r="AR92" s="587" t="s">
        <v>2444</v>
      </c>
      <c r="AS92" s="613" t="s">
        <v>2553</v>
      </c>
      <c r="AT92" s="614" t="s">
        <v>2554</v>
      </c>
      <c r="AU92" s="587">
        <v>20</v>
      </c>
      <c r="AV92" s="587" t="s">
        <v>2555</v>
      </c>
      <c r="AW92" s="612" t="s">
        <v>2556</v>
      </c>
      <c r="AX92" s="587">
        <v>14</v>
      </c>
      <c r="AY92" s="694" t="s">
        <v>2557</v>
      </c>
      <c r="AZ92" s="614" t="s">
        <v>2558</v>
      </c>
      <c r="BA92" s="587">
        <v>3</v>
      </c>
      <c r="BB92" s="578" t="s">
        <v>2559</v>
      </c>
      <c r="BC92" s="650" t="s">
        <v>2560</v>
      </c>
      <c r="BO92" s="612"/>
      <c r="CH92" s="587" t="s">
        <v>2561</v>
      </c>
      <c r="CI92" s="587">
        <v>45</v>
      </c>
      <c r="CJ92" s="587" cm="1">
        <f t="array" ref="CJ92">_xlfn.IFS($AZ$5&gt;=14,49,$AZ$5&gt;=10,48,$AZ$5&gt;=6,47,$AZ$5&gt;=3,46,1,0)</f>
        <v>0</v>
      </c>
      <c r="CN92" s="702" t="str">
        <f>IFERROR(IF(CN91+1&gt;CS2,IF(CN91+1&gt;CS2,IF(CR3+CR91&gt;CS3,"",CR3+CR91)),CN91+1),"")</f>
        <v/>
      </c>
      <c r="CO92" s="702" t="str" cm="1">
        <f t="array" ref="CO92">IFERROR(INDEX($B$34:$BO$262,CN92,$CP$2),"")</f>
        <v/>
      </c>
      <c r="CP92" s="702" t="str" cm="1">
        <f t="array" ref="CP92">IFERROR(INDEX($B$34:$BO$262,CN92,$CQ$2),"")</f>
        <v/>
      </c>
      <c r="CQ92" s="702" t="str" cm="1">
        <f t="array" ref="CQ92">IF(IFERROR(INDEX($B$34:$BO$262,CN92,$CO$2),"")=0,"",IFERROR(INDEX($B$34:$BO$262,CN92,$CO$2),""))</f>
        <v/>
      </c>
      <c r="CR92" s="702" t="str">
        <f>IFERROR(IF(CN91+1&gt;CS2,CR91+1,0),"")</f>
        <v/>
      </c>
      <c r="CT92" s="705" t="str">
        <f t="shared" si="6"/>
        <v/>
      </c>
      <c r="CU92" s="706" t="str" cm="1">
        <f t="array" ref="CU92">INDEX(CT:CT,SMALL(IF($CT$2:$CT$101&lt;&gt;"",ROW($CT$2:$CT$101),142),ROW(CT91)))&amp;""</f>
        <v/>
      </c>
    </row>
    <row r="93" customHeight="1" spans="1:99">
      <c r="A93" s="586">
        <v>60</v>
      </c>
      <c r="B93" s="610">
        <v>6</v>
      </c>
      <c r="C93" s="587" t="s">
        <v>2562</v>
      </c>
      <c r="D93" s="612" t="s">
        <v>2563</v>
      </c>
      <c r="E93" s="587">
        <v>3</v>
      </c>
      <c r="F93" s="613" t="s">
        <v>2564</v>
      </c>
      <c r="G93" s="614" t="s">
        <v>2565</v>
      </c>
      <c r="H93" s="587">
        <v>3</v>
      </c>
      <c r="I93" s="613" t="s">
        <v>2566</v>
      </c>
      <c r="J93" s="614" t="s">
        <v>2567</v>
      </c>
      <c r="K93" s="587">
        <v>3</v>
      </c>
      <c r="L93" s="613" t="s">
        <v>2568</v>
      </c>
      <c r="M93" s="614" t="s">
        <v>2569</v>
      </c>
      <c r="O93" s="613" t="s">
        <v>826</v>
      </c>
      <c r="P93" s="614" t="s">
        <v>2570</v>
      </c>
      <c r="Q93" s="587">
        <v>17</v>
      </c>
      <c r="R93" s="613" t="s">
        <v>2571</v>
      </c>
      <c r="S93" s="614" t="s">
        <v>2572</v>
      </c>
      <c r="T93" s="587">
        <v>20</v>
      </c>
      <c r="U93" s="587" t="s">
        <v>2573</v>
      </c>
      <c r="V93" s="612" t="s">
        <v>2574</v>
      </c>
      <c r="W93" s="587">
        <v>11</v>
      </c>
      <c r="X93" s="587" t="s">
        <v>2575</v>
      </c>
      <c r="Y93" s="612" t="s">
        <v>2576</v>
      </c>
      <c r="Z93" s="587">
        <v>13</v>
      </c>
      <c r="AA93" s="587" t="s">
        <v>2577</v>
      </c>
      <c r="AB93" s="612" t="s">
        <v>2578</v>
      </c>
      <c r="AC93" s="587">
        <v>3</v>
      </c>
      <c r="AD93" s="587" t="s">
        <v>2579</v>
      </c>
      <c r="AE93" s="612" t="s">
        <v>2580</v>
      </c>
      <c r="AF93" s="587" t="s">
        <v>2399</v>
      </c>
      <c r="AG93" s="712" t="str">
        <f>IF(主要!$CO$7="O","野性转化","")</f>
        <v>野性转化</v>
      </c>
      <c r="AH93" s="713" t="s">
        <v>2581</v>
      </c>
      <c r="AI93" s="587">
        <v>10</v>
      </c>
      <c r="AJ93" s="613" t="s">
        <v>2582</v>
      </c>
      <c r="AK93" s="614" t="s">
        <v>2583</v>
      </c>
      <c r="AL93" s="587">
        <v>3</v>
      </c>
      <c r="AM93" s="656" t="s">
        <v>2584</v>
      </c>
      <c r="AN93" s="657" t="s">
        <v>2585</v>
      </c>
      <c r="AO93" s="587">
        <v>6</v>
      </c>
      <c r="AP93" s="587" t="s">
        <v>2586</v>
      </c>
      <c r="AQ93" s="612" t="s">
        <v>2587</v>
      </c>
      <c r="AR93" s="587" t="s">
        <v>2444</v>
      </c>
      <c r="AS93" s="613" t="s">
        <v>2588</v>
      </c>
      <c r="AT93" s="614" t="s">
        <v>2589</v>
      </c>
      <c r="AU93" s="587">
        <v>3</v>
      </c>
      <c r="AV93" s="613" t="s">
        <v>2590</v>
      </c>
      <c r="AW93" s="614" t="s">
        <v>2591</v>
      </c>
      <c r="AX93" s="587">
        <v>3</v>
      </c>
      <c r="AY93" s="679" t="s">
        <v>2592</v>
      </c>
      <c r="AZ93" s="612" t="s">
        <v>2593</v>
      </c>
      <c r="BA93" s="587">
        <v>3</v>
      </c>
      <c r="BB93" s="578" t="s">
        <v>1078</v>
      </c>
      <c r="BC93" s="650" t="s">
        <v>2594</v>
      </c>
      <c r="BO93" s="612"/>
      <c r="CH93" s="587" t="s">
        <v>2595</v>
      </c>
      <c r="CI93" s="587">
        <v>50</v>
      </c>
      <c r="CJ93" s="587" cm="1">
        <f t="array" ref="CJ93">_xlfn.IFS($AZ$5&gt;=14,53,$AZ$5&gt;=10,52,$AZ$5&gt;=6,51,$AZ$5&gt;=3,50,1,0)</f>
        <v>0</v>
      </c>
      <c r="CN93" s="702" t="str">
        <f>IFERROR(IF(CN92+1&gt;CS2,IF(CN92+1&gt;CS2,IF(CR3+CR92&gt;CS3,"",CR3+CR92)),CN92+1),"")</f>
        <v/>
      </c>
      <c r="CO93" s="702" t="str" cm="1">
        <f t="array" ref="CO93">IFERROR(INDEX($B$34:$BO$262,CN93,$CP$2),"")</f>
        <v/>
      </c>
      <c r="CP93" s="702" t="str" cm="1">
        <f t="array" ref="CP93">IFERROR(INDEX($B$34:$BO$262,CN93,$CQ$2),"")</f>
        <v/>
      </c>
      <c r="CQ93" s="702" t="str" cm="1">
        <f t="array" ref="CQ93">IF(IFERROR(INDEX($B$34:$BO$262,CN93,$CO$2),"")=0,"",IFERROR(INDEX($B$34:$BO$262,CN93,$CO$2),""))</f>
        <v/>
      </c>
      <c r="CR93" s="702" t="str">
        <f>IFERROR(IF(CN92+1&gt;CS2,CR92+1,0),"")</f>
        <v/>
      </c>
      <c r="CT93" s="705" t="str">
        <f t="shared" si="6"/>
        <v/>
      </c>
      <c r="CU93" s="706" t="str" cm="1">
        <f t="array" ref="CU93">INDEX(CT:CT,SMALL(IF($CT$2:$CT$101&lt;&gt;"",ROW($CT$2:$CT$101),142),ROW(CT92)))&amp;""</f>
        <v/>
      </c>
    </row>
    <row r="94" customHeight="1" spans="1:99">
      <c r="A94" s="586">
        <v>61</v>
      </c>
      <c r="B94" s="610">
        <v>10</v>
      </c>
      <c r="C94" s="587" t="s">
        <v>2596</v>
      </c>
      <c r="D94" s="612" t="s">
        <v>2597</v>
      </c>
      <c r="E94" s="587">
        <v>3</v>
      </c>
      <c r="F94" s="613" t="s">
        <v>2598</v>
      </c>
      <c r="G94" s="614" t="s">
        <v>2599</v>
      </c>
      <c r="H94" s="587">
        <v>3</v>
      </c>
      <c r="I94" s="613" t="s">
        <v>2600</v>
      </c>
      <c r="J94" s="614" t="s">
        <v>2601</v>
      </c>
      <c r="K94" s="587">
        <v>3</v>
      </c>
      <c r="L94" s="613" t="s">
        <v>2602</v>
      </c>
      <c r="M94" s="614" t="s">
        <v>2603</v>
      </c>
      <c r="N94" s="587">
        <v>3</v>
      </c>
      <c r="O94" s="613" t="s">
        <v>2604</v>
      </c>
      <c r="P94" s="614" t="s">
        <v>2605</v>
      </c>
      <c r="Q94" s="587">
        <v>3</v>
      </c>
      <c r="R94" s="587" t="s">
        <v>2606</v>
      </c>
      <c r="S94" s="612" t="s">
        <v>2607</v>
      </c>
      <c r="T94" s="587">
        <v>3</v>
      </c>
      <c r="U94" s="613" t="s">
        <v>2608</v>
      </c>
      <c r="V94" s="614" t="s">
        <v>2609</v>
      </c>
      <c r="W94" s="587">
        <v>15</v>
      </c>
      <c r="X94" s="587" t="s">
        <v>2610</v>
      </c>
      <c r="Y94" s="612" t="s">
        <v>2611</v>
      </c>
      <c r="Z94" s="587">
        <v>17</v>
      </c>
      <c r="AA94" s="587" t="s">
        <v>2612</v>
      </c>
      <c r="AB94" s="612" t="s">
        <v>2613</v>
      </c>
      <c r="AC94" s="587">
        <v>6</v>
      </c>
      <c r="AD94" s="587" t="s">
        <v>2614</v>
      </c>
      <c r="AE94" s="612" t="s">
        <v>2615</v>
      </c>
      <c r="AF94" s="587">
        <v>9</v>
      </c>
      <c r="AG94" s="587" t="s">
        <v>2616</v>
      </c>
      <c r="AH94" s="612" t="s">
        <v>2617</v>
      </c>
      <c r="AI94" s="587">
        <v>14</v>
      </c>
      <c r="AJ94" s="613" t="s">
        <v>2618</v>
      </c>
      <c r="AK94" s="614" t="s">
        <v>2619</v>
      </c>
      <c r="AL94" s="587">
        <v>3</v>
      </c>
      <c r="AM94" s="656" t="s">
        <v>2620</v>
      </c>
      <c r="AN94" s="657" t="s">
        <v>2621</v>
      </c>
      <c r="AO94" s="587">
        <v>10</v>
      </c>
      <c r="AP94" s="587" t="s">
        <v>2622</v>
      </c>
      <c r="AQ94" s="612" t="s">
        <v>2623</v>
      </c>
      <c r="AR94" s="587" t="s">
        <v>2444</v>
      </c>
      <c r="AS94" s="613" t="s">
        <v>2624</v>
      </c>
      <c r="AT94" s="614" t="s">
        <v>2625</v>
      </c>
      <c r="AU94" s="587">
        <v>3</v>
      </c>
      <c r="AV94" s="613" t="s">
        <v>2626</v>
      </c>
      <c r="AW94" s="614" t="s">
        <v>2627</v>
      </c>
      <c r="AX94" s="587">
        <v>3</v>
      </c>
      <c r="AY94" s="679" t="s">
        <v>2628</v>
      </c>
      <c r="AZ94" s="612" t="s">
        <v>2629</v>
      </c>
      <c r="BA94" s="587">
        <v>7</v>
      </c>
      <c r="BB94" s="578" t="s">
        <v>2630</v>
      </c>
      <c r="BC94" s="650" t="s">
        <v>2263</v>
      </c>
      <c r="BO94" s="612"/>
      <c r="CH94" s="587" t="s">
        <v>2631</v>
      </c>
      <c r="CI94" s="587">
        <v>54</v>
      </c>
      <c r="CJ94" s="587" cm="1">
        <f t="array" ref="CJ94">_xlfn.IFS($AZ$5&gt;=14,58,$AZ$5&gt;=10,57,$AZ$5&gt;=6,56,$AZ$5&gt;=3,55,1,0)</f>
        <v>0</v>
      </c>
      <c r="CN94" s="702" t="str">
        <f>IFERROR(IF(CN93+1&gt;CS2,IF(CN93+1&gt;CS2,IF(CR3+CR93&gt;CS3,"",CR3+CR93)),CN93+1),"")</f>
        <v/>
      </c>
      <c r="CO94" s="702" t="str" cm="1">
        <f t="array" ref="CO94">IFERROR(INDEX($B$34:$BO$262,CN94,$CP$2),"")</f>
        <v/>
      </c>
      <c r="CP94" s="702" t="str" cm="1">
        <f t="array" ref="CP94">IFERROR(INDEX($B$34:$BO$262,CN94,$CQ$2),"")</f>
        <v/>
      </c>
      <c r="CQ94" s="702" t="str" cm="1">
        <f t="array" ref="CQ94">IF(IFERROR(INDEX($B$34:$BO$262,CN94,$CO$2),"")=0,"",IFERROR(INDEX($B$34:$BO$262,CN94,$CO$2),""))</f>
        <v/>
      </c>
      <c r="CR94" s="702" t="str">
        <f>IFERROR(IF(CN93+1&gt;CS2,CR93+1,0),"")</f>
        <v/>
      </c>
      <c r="CT94" s="705" t="str">
        <f t="shared" si="6"/>
        <v/>
      </c>
      <c r="CU94" s="706" t="str" cm="1">
        <f t="array" ref="CU94">INDEX(CT:CT,SMALL(IF($CT$2:$CT$101&lt;&gt;"",ROW($CT$2:$CT$101),142),ROW(CT93)))&amp;""</f>
        <v/>
      </c>
    </row>
    <row r="95" customHeight="1" spans="1:99">
      <c r="A95" s="586">
        <v>62</v>
      </c>
      <c r="B95" s="610">
        <v>14</v>
      </c>
      <c r="C95" s="587" t="s">
        <v>2632</v>
      </c>
      <c r="D95" s="612" t="s">
        <v>2633</v>
      </c>
      <c r="E95" s="587">
        <v>3</v>
      </c>
      <c r="F95" s="613" t="s">
        <v>2634</v>
      </c>
      <c r="G95" s="614" t="s">
        <v>2635</v>
      </c>
      <c r="H95" s="587">
        <v>6</v>
      </c>
      <c r="I95" s="613" t="s">
        <v>2636</v>
      </c>
      <c r="J95" s="614" t="s">
        <v>2637</v>
      </c>
      <c r="K95" s="587">
        <v>6</v>
      </c>
      <c r="L95" s="613" t="s">
        <v>2638</v>
      </c>
      <c r="M95" s="614" t="s">
        <v>2639</v>
      </c>
      <c r="N95" s="587">
        <v>7</v>
      </c>
      <c r="O95" s="613" t="s">
        <v>2640</v>
      </c>
      <c r="P95" s="691" t="s">
        <v>2299</v>
      </c>
      <c r="Q95" s="587">
        <v>6</v>
      </c>
      <c r="R95" s="587" t="s">
        <v>2641</v>
      </c>
      <c r="S95" s="612" t="s">
        <v>2642</v>
      </c>
      <c r="T95" s="587">
        <v>3</v>
      </c>
      <c r="U95" s="613" t="s">
        <v>2643</v>
      </c>
      <c r="V95" s="614" t="s">
        <v>2644</v>
      </c>
      <c r="W95" s="587">
        <v>3</v>
      </c>
      <c r="X95" s="613" t="s">
        <v>2645</v>
      </c>
      <c r="Y95" s="614" t="s">
        <v>2646</v>
      </c>
      <c r="Z95" s="587">
        <v>3</v>
      </c>
      <c r="AA95" s="613" t="s">
        <v>2647</v>
      </c>
      <c r="AB95" s="614" t="s">
        <v>2648</v>
      </c>
      <c r="AC95" s="587">
        <v>14</v>
      </c>
      <c r="AD95" s="587" t="s">
        <v>2649</v>
      </c>
      <c r="AE95" s="612" t="s">
        <v>2650</v>
      </c>
      <c r="AF95" s="587" t="s">
        <v>2651</v>
      </c>
      <c r="AG95" s="627" t="s">
        <v>2652</v>
      </c>
      <c r="AH95" s="628" t="s">
        <v>2653</v>
      </c>
      <c r="AI95" s="587">
        <v>3</v>
      </c>
      <c r="AJ95" s="587" t="s">
        <v>2654</v>
      </c>
      <c r="AK95" s="612" t="s">
        <v>2655</v>
      </c>
      <c r="AL95" s="587">
        <v>3</v>
      </c>
      <c r="AM95" s="656" t="s">
        <v>2656</v>
      </c>
      <c r="AN95" s="657" t="s">
        <v>2657</v>
      </c>
      <c r="AO95" s="587">
        <v>14</v>
      </c>
      <c r="AP95" s="587" t="s">
        <v>2658</v>
      </c>
      <c r="AQ95" s="612" t="s">
        <v>2659</v>
      </c>
      <c r="AR95" s="587" t="s">
        <v>2444</v>
      </c>
      <c r="AS95" s="613" t="s">
        <v>2660</v>
      </c>
      <c r="AT95" s="614" t="s">
        <v>2661</v>
      </c>
      <c r="AU95" s="587">
        <v>3</v>
      </c>
      <c r="AV95" s="613" t="s">
        <v>2662</v>
      </c>
      <c r="AW95" s="614" t="s">
        <v>2663</v>
      </c>
      <c r="AX95" s="587">
        <v>6</v>
      </c>
      <c r="AY95" s="679" t="s">
        <v>2664</v>
      </c>
      <c r="AZ95" s="612" t="s">
        <v>2665</v>
      </c>
      <c r="BA95" s="587">
        <v>7</v>
      </c>
      <c r="BB95" s="578" t="s">
        <v>2666</v>
      </c>
      <c r="BC95" s="650" t="s">
        <v>2667</v>
      </c>
      <c r="BO95" s="612"/>
      <c r="CH95" s="587" t="s">
        <v>2668</v>
      </c>
      <c r="CI95" s="587">
        <v>59</v>
      </c>
      <c r="CJ95" s="587" cm="1">
        <f t="array" ref="CJ95">_xlfn.IFS($AZ$5&gt;=14,64,$AZ$5&gt;=10,63,$AZ$5&gt;=6,62,$AZ$5&gt;=3,61,1,0)</f>
        <v>0</v>
      </c>
      <c r="CN95" s="702" t="str">
        <f>IFERROR(IF(CN94+1&gt;CS2,IF(CN94+1&gt;CS2,IF(CR3+CR94&gt;CS3,"",CR3+CR94)),CN94+1),"")</f>
        <v/>
      </c>
      <c r="CO95" s="702" t="str" cm="1">
        <f t="array" ref="CO95">IFERROR(INDEX($B$34:$BO$262,CN95,$CP$2),"")</f>
        <v/>
      </c>
      <c r="CP95" s="702" t="str" cm="1">
        <f t="array" ref="CP95">IFERROR(INDEX($B$34:$BO$262,CN95,$CQ$2),"")</f>
        <v/>
      </c>
      <c r="CQ95" s="702" t="str" cm="1">
        <f t="array" ref="CQ95">IF(IFERROR(INDEX($B$34:$BO$262,CN95,$CO$2),"")=0,"",IFERROR(INDEX($B$34:$BO$262,CN95,$CO$2),""))</f>
        <v/>
      </c>
      <c r="CR95" s="702" t="str">
        <f>IFERROR(IF(CN94+1&gt;CS2,CR94+1,0),"")</f>
        <v/>
      </c>
      <c r="CT95" s="705" t="str">
        <f t="shared" si="6"/>
        <v/>
      </c>
      <c r="CU95" s="706" t="str" cm="1">
        <f t="array" ref="CU95">INDEX(CT:CT,SMALL(IF($CT$2:$CT$101&lt;&gt;"",ROW($CT$2:$CT$101),142),ROW(CT94)))&amp;""</f>
        <v/>
      </c>
    </row>
    <row r="96" customHeight="1" spans="1:99">
      <c r="A96" s="586">
        <v>63</v>
      </c>
      <c r="B96" s="610">
        <v>3</v>
      </c>
      <c r="C96" s="613" t="s">
        <v>2669</v>
      </c>
      <c r="D96" s="614" t="s">
        <v>2670</v>
      </c>
      <c r="E96" s="587">
        <v>6</v>
      </c>
      <c r="F96" s="613" t="s">
        <v>2671</v>
      </c>
      <c r="G96" s="614" t="s">
        <v>2672</v>
      </c>
      <c r="H96" s="587">
        <v>17</v>
      </c>
      <c r="I96" s="613" t="s">
        <v>2673</v>
      </c>
      <c r="J96" s="614" t="s">
        <v>2674</v>
      </c>
      <c r="K96" s="587">
        <v>10</v>
      </c>
      <c r="L96" s="613" t="s">
        <v>2675</v>
      </c>
      <c r="M96" s="614" t="s">
        <v>2676</v>
      </c>
      <c r="N96" s="587">
        <v>10</v>
      </c>
      <c r="O96" s="613" t="s">
        <v>2677</v>
      </c>
      <c r="P96" s="691" t="s">
        <v>2678</v>
      </c>
      <c r="Q96" s="587">
        <v>11</v>
      </c>
      <c r="R96" s="587" t="s">
        <v>2679</v>
      </c>
      <c r="S96" s="612" t="s">
        <v>2680</v>
      </c>
      <c r="T96" s="587">
        <v>7</v>
      </c>
      <c r="U96" s="613" t="s">
        <v>2681</v>
      </c>
      <c r="V96" s="614" t="s">
        <v>2682</v>
      </c>
      <c r="W96" s="587">
        <v>3</v>
      </c>
      <c r="X96" s="613" t="s">
        <v>2683</v>
      </c>
      <c r="Y96" s="614" t="s">
        <v>2684</v>
      </c>
      <c r="Z96" s="587">
        <v>3</v>
      </c>
      <c r="AA96" s="613" t="s">
        <v>2685</v>
      </c>
      <c r="AB96" s="614" t="s">
        <v>2686</v>
      </c>
      <c r="AC96" s="587">
        <v>18</v>
      </c>
      <c r="AD96" s="587" t="s">
        <v>2687</v>
      </c>
      <c r="AE96" s="612" t="s">
        <v>2688</v>
      </c>
      <c r="AF96" s="587" t="s">
        <v>2651</v>
      </c>
      <c r="AG96" s="627" t="s">
        <v>2689</v>
      </c>
      <c r="AH96" s="628" t="s">
        <v>2690</v>
      </c>
      <c r="AI96" s="587">
        <v>3</v>
      </c>
      <c r="AJ96" s="587" t="s">
        <v>2691</v>
      </c>
      <c r="AK96" s="612" t="s">
        <v>2692</v>
      </c>
      <c r="AL96" s="587">
        <v>5</v>
      </c>
      <c r="AM96" s="656" t="s">
        <v>2693</v>
      </c>
      <c r="AN96" s="657" t="s">
        <v>2694</v>
      </c>
      <c r="AR96" s="587" t="s">
        <v>2444</v>
      </c>
      <c r="AS96" s="613" t="s">
        <v>2695</v>
      </c>
      <c r="AT96" s="614" t="s">
        <v>2696</v>
      </c>
      <c r="AU96" s="587">
        <v>3</v>
      </c>
      <c r="AV96" s="613" t="s">
        <v>2697</v>
      </c>
      <c r="AW96" s="614" t="s">
        <v>2698</v>
      </c>
      <c r="AX96" s="587">
        <v>10</v>
      </c>
      <c r="AY96" s="679" t="s">
        <v>2699</v>
      </c>
      <c r="AZ96" s="678" t="s">
        <v>2700</v>
      </c>
      <c r="BA96" s="587">
        <v>11</v>
      </c>
      <c r="BB96" s="578" t="s">
        <v>2701</v>
      </c>
      <c r="BC96" s="650" t="s">
        <v>2702</v>
      </c>
      <c r="BO96" s="612"/>
      <c r="CH96" s="587" t="s">
        <v>2703</v>
      </c>
      <c r="CI96" s="587">
        <v>65</v>
      </c>
      <c r="CJ96" s="587" cm="1">
        <f t="array" ref="CJ96">_xlfn.IFS($AZ$5&gt;=14,69,$AZ$5&gt;=10,68,$AZ$5&gt;=6,67,$AZ$5&gt;=3,66,1,0)</f>
        <v>0</v>
      </c>
      <c r="CN96" s="702" t="str">
        <f>IFERROR(IF(CN95+1&gt;CS2,IF(CN95+1&gt;CS2,IF(CR3+CR95&gt;CS3,"",CR3+CR95)),CN95+1),"")</f>
        <v/>
      </c>
      <c r="CO96" s="702" t="str" cm="1">
        <f t="array" ref="CO96">IFERROR(INDEX($B$34:$BO$262,CN96,$CP$2),"")</f>
        <v/>
      </c>
      <c r="CP96" s="702" t="str" cm="1">
        <f t="array" ref="CP96">IFERROR(INDEX($B$34:$BO$262,CN96,$CQ$2),"")</f>
        <v/>
      </c>
      <c r="CQ96" s="702" t="str" cm="1">
        <f t="array" ref="CQ96">IF(IFERROR(INDEX($B$34:$BO$262,CN96,$CO$2),"")=0,"",IFERROR(INDEX($B$34:$BO$262,CN96,$CO$2),""))</f>
        <v/>
      </c>
      <c r="CR96" s="702" t="str">
        <f>IFERROR(IF(CN95+1&gt;CS2,CR95+1,0),"")</f>
        <v/>
      </c>
      <c r="CT96" s="705" t="str">
        <f t="shared" si="6"/>
        <v/>
      </c>
      <c r="CU96" s="706" t="str" cm="1">
        <f t="array" ref="CU96">INDEX(CT:CT,SMALL(IF($CT$2:$CT$101&lt;&gt;"",ROW($CT$2:$CT$101),142),ROW(CT95)))&amp;""</f>
        <v/>
      </c>
    </row>
    <row r="97" customHeight="1" spans="1:99">
      <c r="A97" s="586">
        <v>64</v>
      </c>
      <c r="B97" s="610">
        <v>3</v>
      </c>
      <c r="C97" s="613" t="s">
        <v>2704</v>
      </c>
      <c r="D97" s="614" t="s">
        <v>2705</v>
      </c>
      <c r="E97" s="587">
        <v>14</v>
      </c>
      <c r="F97" s="613" t="s">
        <v>2706</v>
      </c>
      <c r="G97" s="614" t="s">
        <v>2707</v>
      </c>
      <c r="H97" s="587">
        <v>3</v>
      </c>
      <c r="I97" s="587" t="s">
        <v>2708</v>
      </c>
      <c r="J97" s="612" t="s">
        <v>2709</v>
      </c>
      <c r="K97" s="587">
        <v>14</v>
      </c>
      <c r="L97" s="613" t="s">
        <v>2710</v>
      </c>
      <c r="M97" s="614" t="s">
        <v>2711</v>
      </c>
      <c r="N97" s="587">
        <v>15</v>
      </c>
      <c r="O97" s="613" t="s">
        <v>2712</v>
      </c>
      <c r="P97" s="614" t="s">
        <v>2713</v>
      </c>
      <c r="Q97" s="587">
        <v>17</v>
      </c>
      <c r="R97" s="587" t="s">
        <v>2714</v>
      </c>
      <c r="S97" s="612" t="s">
        <v>2715</v>
      </c>
      <c r="T97" s="587">
        <v>15</v>
      </c>
      <c r="U97" s="613" t="s">
        <v>2716</v>
      </c>
      <c r="V97" s="614" t="s">
        <v>2717</v>
      </c>
      <c r="W97" s="587">
        <v>7</v>
      </c>
      <c r="X97" s="613" t="s">
        <v>2718</v>
      </c>
      <c r="Y97" s="614" t="s">
        <v>2719</v>
      </c>
      <c r="Z97" s="587">
        <v>9</v>
      </c>
      <c r="AA97" s="613" t="s">
        <v>2720</v>
      </c>
      <c r="AB97" s="614" t="s">
        <v>2721</v>
      </c>
      <c r="AC97" s="587">
        <v>3</v>
      </c>
      <c r="AD97" s="613" t="s">
        <v>2722</v>
      </c>
      <c r="AE97" s="614" t="s">
        <v>2723</v>
      </c>
      <c r="AF97" s="587" t="s">
        <v>2651</v>
      </c>
      <c r="AG97" s="627" t="s">
        <v>2724</v>
      </c>
      <c r="AH97" s="628" t="s">
        <v>2725</v>
      </c>
      <c r="AI97" s="587">
        <v>6</v>
      </c>
      <c r="AJ97" s="587" t="s">
        <v>2726</v>
      </c>
      <c r="AK97" s="612" t="s">
        <v>2727</v>
      </c>
      <c r="AL97" s="587">
        <v>9</v>
      </c>
      <c r="AM97" s="613" t="s">
        <v>2728</v>
      </c>
      <c r="AN97" s="657" t="s">
        <v>2729</v>
      </c>
      <c r="AR97" s="587" t="s">
        <v>2444</v>
      </c>
      <c r="AS97" s="613" t="s">
        <v>2730</v>
      </c>
      <c r="AT97" s="614" t="s">
        <v>2731</v>
      </c>
      <c r="AU97" s="587">
        <v>6</v>
      </c>
      <c r="AV97" s="613" t="s">
        <v>2732</v>
      </c>
      <c r="AW97" s="614" t="s">
        <v>2733</v>
      </c>
      <c r="AX97" s="587">
        <v>14</v>
      </c>
      <c r="AY97" s="679" t="s">
        <v>2734</v>
      </c>
      <c r="AZ97" s="612" t="s">
        <v>2735</v>
      </c>
      <c r="BA97" s="587">
        <v>11</v>
      </c>
      <c r="BB97" s="578" t="s">
        <v>2736</v>
      </c>
      <c r="BC97" s="650" t="s">
        <v>2737</v>
      </c>
      <c r="BO97" s="612"/>
      <c r="CH97" s="587" t="s">
        <v>2738</v>
      </c>
      <c r="CI97" s="587">
        <v>70</v>
      </c>
      <c r="CJ97" s="587" cm="1">
        <f t="array" ref="CJ97">_xlfn.IFS($AZ$5&gt;=14,74,$AZ$5&gt;=10,73,$AZ$5&gt;=6,72,$AZ$5&gt;=3,71,1,0)</f>
        <v>0</v>
      </c>
      <c r="CN97" s="702" t="str">
        <f>IFERROR(IF(CN96+1&gt;CS2,IF(CN96+1&gt;CS2,IF(CR3+CR96&gt;CS3,"",CR3+CR96)),CN96+1),"")</f>
        <v/>
      </c>
      <c r="CO97" s="702" t="str" cm="1">
        <f t="array" ref="CO97">IFERROR(INDEX($B$34:$BO$262,CN97,$CP$2),"")</f>
        <v/>
      </c>
      <c r="CP97" s="702" t="str" cm="1">
        <f t="array" ref="CP97">IFERROR(INDEX($B$34:$BO$262,CN97,$CQ$2),"")</f>
        <v/>
      </c>
      <c r="CQ97" s="702" t="str" cm="1">
        <f t="array" ref="CQ97">IF(IFERROR(INDEX($B$34:$BO$262,CN97,$CO$2),"")=0,"",IFERROR(INDEX($B$34:$BO$262,CN97,$CO$2),""))</f>
        <v/>
      </c>
      <c r="CR97" s="702" t="str">
        <f>IFERROR(IF(CN96+1&gt;CS2,CR96+1,0),"")</f>
        <v/>
      </c>
      <c r="CT97" s="705" t="str">
        <f t="shared" si="6"/>
        <v/>
      </c>
      <c r="CU97" s="706" t="str" cm="1">
        <f t="array" ref="CU97">INDEX(CT:CT,SMALL(IF($CT$2:$CT$101&lt;&gt;"",ROW($CT$2:$CT$101),142),ROW(CT96)))&amp;""</f>
        <v/>
      </c>
    </row>
    <row r="98" customHeight="1" spans="1:99">
      <c r="A98" s="586">
        <v>65</v>
      </c>
      <c r="B98" s="610">
        <v>6</v>
      </c>
      <c r="C98" s="613" t="s">
        <v>2739</v>
      </c>
      <c r="D98" s="614" t="s">
        <v>2740</v>
      </c>
      <c r="E98" s="587">
        <v>3</v>
      </c>
      <c r="F98" s="587" t="s">
        <v>2741</v>
      </c>
      <c r="G98" s="612" t="s">
        <v>2742</v>
      </c>
      <c r="H98" s="587">
        <v>3</v>
      </c>
      <c r="I98" s="587" t="s">
        <v>2743</v>
      </c>
      <c r="J98" s="612" t="s">
        <v>2744</v>
      </c>
      <c r="K98" s="587">
        <v>3</v>
      </c>
      <c r="L98" s="587" t="s">
        <v>2745</v>
      </c>
      <c r="M98" s="612" t="s">
        <v>2746</v>
      </c>
      <c r="N98" s="587">
        <v>18</v>
      </c>
      <c r="O98" s="613" t="s">
        <v>2747</v>
      </c>
      <c r="P98" s="691" t="s">
        <v>2748</v>
      </c>
      <c r="Q98" s="587">
        <v>3</v>
      </c>
      <c r="R98" s="587" t="s">
        <v>2749</v>
      </c>
      <c r="S98" s="612" t="s">
        <v>2750</v>
      </c>
      <c r="T98" s="587">
        <v>20</v>
      </c>
      <c r="U98" s="613" t="s">
        <v>2751</v>
      </c>
      <c r="V98" s="614" t="s">
        <v>2752</v>
      </c>
      <c r="W98" s="587">
        <v>11</v>
      </c>
      <c r="X98" s="613" t="s">
        <v>2753</v>
      </c>
      <c r="Y98" s="614" t="s">
        <v>2754</v>
      </c>
      <c r="Z98" s="587">
        <v>13</v>
      </c>
      <c r="AA98" s="613" t="s">
        <v>2755</v>
      </c>
      <c r="AB98" s="614" t="s">
        <v>2756</v>
      </c>
      <c r="AC98" s="587">
        <v>3</v>
      </c>
      <c r="AD98" s="613" t="s">
        <v>2757</v>
      </c>
      <c r="AE98" s="614" t="s">
        <v>2758</v>
      </c>
      <c r="AF98" s="587" t="s">
        <v>2651</v>
      </c>
      <c r="AG98" s="654" t="str">
        <f>IF(主要!$CD$4="O","守护馈赠","")</f>
        <v>守护馈赠</v>
      </c>
      <c r="AH98" s="655" t="s">
        <v>2759</v>
      </c>
      <c r="AI98" s="587">
        <v>10</v>
      </c>
      <c r="AJ98" s="587" t="s">
        <v>2760</v>
      </c>
      <c r="AK98" s="612" t="s">
        <v>2761</v>
      </c>
      <c r="AL98" s="587">
        <v>15</v>
      </c>
      <c r="AM98" s="613" t="s">
        <v>2762</v>
      </c>
      <c r="AN98" s="657" t="s">
        <v>2763</v>
      </c>
      <c r="AR98" s="587" t="s">
        <v>2444</v>
      </c>
      <c r="AS98" s="613" t="s">
        <v>2764</v>
      </c>
      <c r="AT98" s="614" t="s">
        <v>2765</v>
      </c>
      <c r="AU98" s="587">
        <v>10</v>
      </c>
      <c r="AV98" s="613" t="s">
        <v>2766</v>
      </c>
      <c r="AW98" s="614" t="s">
        <v>2767</v>
      </c>
      <c r="BA98" s="587">
        <v>13</v>
      </c>
      <c r="BB98" s="578" t="s">
        <v>2768</v>
      </c>
      <c r="BC98" s="650" t="s">
        <v>2769</v>
      </c>
      <c r="BO98" s="612"/>
      <c r="CH98" s="679" t="s">
        <v>2770</v>
      </c>
      <c r="CI98" s="587">
        <v>75</v>
      </c>
      <c r="CJ98" s="587" cm="1">
        <f t="array" ref="CJ98">_xlfn.IFS($AZ$5&gt;=14,81,$AZ$5&gt;=10,80,$AZ$5&gt;=6,78,$AZ$5&gt;=3,76,1,0)</f>
        <v>0</v>
      </c>
      <c r="CN98" s="702" t="str">
        <f>IFERROR(IF(CN97+1&gt;CS2,IF(CN97+1&gt;CS2,IF(CR3+CR97&gt;CS3,"",CR3+CR97)),CN97+1),"")</f>
        <v/>
      </c>
      <c r="CO98" s="702" t="str" cm="1">
        <f t="array" ref="CO98">IFERROR(INDEX($B$34:$BO$262,CN98,$CP$2),"")</f>
        <v/>
      </c>
      <c r="CP98" s="702" t="str" cm="1">
        <f t="array" ref="CP98">IFERROR(INDEX($B$34:$BO$262,CN98,$CQ$2),"")</f>
        <v/>
      </c>
      <c r="CQ98" s="702" t="str" cm="1">
        <f t="array" ref="CQ98">IF(IFERROR(INDEX($B$34:$BO$262,CN98,$CO$2),"")=0,"",IFERROR(INDEX($B$34:$BO$262,CN98,$CO$2),""))</f>
        <v/>
      </c>
      <c r="CR98" s="702" t="str">
        <f>IFERROR(IF(CN97+1&gt;CS2,CR97+1,0),"")</f>
        <v/>
      </c>
      <c r="CT98" s="705" t="str">
        <f t="shared" ref="CT98:CT101" si="9">IFERROR(IF(OR(CO102="",COUNTIF($CW$2:$CW$81,CO102)),"",CO102),"")</f>
        <v/>
      </c>
      <c r="CU98" s="706" t="str" cm="1">
        <f t="array" ref="CU98">INDEX(CT:CT,SMALL(IF($CT$2:$CT$101&lt;&gt;"",ROW($CT$2:$CT$101),142),ROW(CT97)))&amp;""</f>
        <v/>
      </c>
    </row>
    <row r="99" customHeight="1" spans="1:99">
      <c r="A99" s="586">
        <v>66</v>
      </c>
      <c r="B99" s="610">
        <v>10</v>
      </c>
      <c r="C99" s="613" t="s">
        <v>2771</v>
      </c>
      <c r="D99" s="614" t="s">
        <v>2772</v>
      </c>
      <c r="E99" s="587">
        <v>3</v>
      </c>
      <c r="F99" s="587" t="s">
        <v>2773</v>
      </c>
      <c r="G99" s="612" t="s">
        <v>2774</v>
      </c>
      <c r="H99" s="587">
        <v>3</v>
      </c>
      <c r="I99" s="587" t="s">
        <v>2775</v>
      </c>
      <c r="J99" s="612" t="s">
        <v>2776</v>
      </c>
      <c r="K99" s="587">
        <v>3</v>
      </c>
      <c r="L99" s="587" t="s">
        <v>2777</v>
      </c>
      <c r="M99" s="612" t="s">
        <v>2778</v>
      </c>
      <c r="N99" s="587">
        <v>3</v>
      </c>
      <c r="O99" s="587" t="s">
        <v>896</v>
      </c>
      <c r="P99" s="612" t="s">
        <v>2779</v>
      </c>
      <c r="Q99" s="587">
        <v>3</v>
      </c>
      <c r="R99" s="587" t="s">
        <v>2780</v>
      </c>
      <c r="S99" s="612" t="s">
        <v>2781</v>
      </c>
      <c r="T99" s="587">
        <v>3</v>
      </c>
      <c r="U99" s="587" t="s">
        <v>2782</v>
      </c>
      <c r="V99" s="612" t="s">
        <v>2783</v>
      </c>
      <c r="W99" s="587">
        <v>15</v>
      </c>
      <c r="X99" s="613" t="s">
        <v>2784</v>
      </c>
      <c r="Y99" s="614" t="s">
        <v>2785</v>
      </c>
      <c r="Z99" s="587">
        <v>17</v>
      </c>
      <c r="AA99" s="613" t="s">
        <v>2786</v>
      </c>
      <c r="AB99" s="614" t="s">
        <v>2787</v>
      </c>
      <c r="AC99" s="587">
        <v>6</v>
      </c>
      <c r="AD99" s="613" t="s">
        <v>2788</v>
      </c>
      <c r="AE99" s="614" t="s">
        <v>2789</v>
      </c>
      <c r="AF99" s="587">
        <v>11</v>
      </c>
      <c r="AG99" s="587" t="s">
        <v>2790</v>
      </c>
      <c r="AH99" s="612" t="s">
        <v>2791</v>
      </c>
      <c r="AI99" s="587">
        <v>14</v>
      </c>
      <c r="AJ99" s="587" t="s">
        <v>2792</v>
      </c>
      <c r="AK99" s="612" t="s">
        <v>2793</v>
      </c>
      <c r="AN99" s="612"/>
      <c r="AR99" s="587" t="s">
        <v>2444</v>
      </c>
      <c r="AS99" s="613" t="s">
        <v>2794</v>
      </c>
      <c r="AT99" s="614" t="s">
        <v>2795</v>
      </c>
      <c r="AU99" s="587">
        <v>14</v>
      </c>
      <c r="AV99" s="613" t="s">
        <v>2796</v>
      </c>
      <c r="AW99" s="614" t="s">
        <v>2797</v>
      </c>
      <c r="BA99" s="587">
        <v>15</v>
      </c>
      <c r="BB99" s="578" t="s">
        <v>2798</v>
      </c>
      <c r="BC99" s="650" t="s">
        <v>2799</v>
      </c>
      <c r="BO99" s="612"/>
      <c r="CH99" s="679" t="s">
        <v>2800</v>
      </c>
      <c r="CI99" s="587">
        <v>82</v>
      </c>
      <c r="CJ99" s="587" cm="1">
        <f t="array" ref="CJ99">_xlfn.IFS($AZ$5&gt;=14,86,$AZ$5&gt;=10,85,$AZ$5&gt;=6,84,$AZ$5&gt;=3,83,1,0)</f>
        <v>0</v>
      </c>
      <c r="CN99" s="702" t="str">
        <f>IFERROR(IF(CN98+1&gt;CS2,IF(CN98+1&gt;CS2,IF(CR3+CR98&gt;CS3,"",CR3+CR98)),CN98+1),"")</f>
        <v/>
      </c>
      <c r="CO99" s="702" t="str" cm="1">
        <f t="array" ref="CO99">IFERROR(INDEX($B$34:$BO$262,CN99,$CP$2),"")</f>
        <v/>
      </c>
      <c r="CP99" s="702" t="str" cm="1">
        <f t="array" ref="CP99">IFERROR(INDEX($B$34:$BO$262,CN99,$CQ$2),"")</f>
        <v/>
      </c>
      <c r="CQ99" s="702" t="str" cm="1">
        <f t="array" ref="CQ99">IF(IFERROR(INDEX($B$34:$BO$262,CN99,$CO$2),"")=0,"",IFERROR(INDEX($B$34:$BO$262,CN99,$CO$2),""))</f>
        <v/>
      </c>
      <c r="CR99" s="702" t="str">
        <f>IFERROR(IF(CN98+1&gt;CS2,CR98+1,0),"")</f>
        <v/>
      </c>
      <c r="CT99" s="705" t="str">
        <f t="shared" si="9"/>
        <v/>
      </c>
      <c r="CU99" s="706" t="str" cm="1">
        <f t="array" ref="CU99">INDEX(CT:CT,SMALL(IF($CT$2:$CT$101&lt;&gt;"",ROW($CT$2:$CT$101),142),ROW(CT98)))&amp;""</f>
        <v/>
      </c>
    </row>
    <row r="100" customHeight="1" spans="1:99">
      <c r="A100" s="586">
        <v>67</v>
      </c>
      <c r="B100" s="610">
        <v>14</v>
      </c>
      <c r="C100" s="613" t="s">
        <v>2801</v>
      </c>
      <c r="D100" s="614" t="s">
        <v>2802</v>
      </c>
      <c r="E100" s="587">
        <v>6</v>
      </c>
      <c r="F100" s="587" t="s">
        <v>2803</v>
      </c>
      <c r="G100" s="612" t="s">
        <v>2804</v>
      </c>
      <c r="H100" s="587">
        <v>3</v>
      </c>
      <c r="I100" s="587" t="s">
        <v>2805</v>
      </c>
      <c r="J100" s="612" t="s">
        <v>2806</v>
      </c>
      <c r="K100" s="587">
        <v>6</v>
      </c>
      <c r="L100" s="587" t="s">
        <v>2807</v>
      </c>
      <c r="M100" s="612" t="s">
        <v>2808</v>
      </c>
      <c r="N100" s="587">
        <v>7</v>
      </c>
      <c r="O100" s="587" t="s">
        <v>2809</v>
      </c>
      <c r="P100" s="612" t="s">
        <v>2810</v>
      </c>
      <c r="Q100" s="587">
        <v>3</v>
      </c>
      <c r="R100" s="587" t="s">
        <v>2811</v>
      </c>
      <c r="S100" s="612" t="s">
        <v>2812</v>
      </c>
      <c r="T100" s="587">
        <v>3</v>
      </c>
      <c r="U100" s="587" t="s">
        <v>2813</v>
      </c>
      <c r="V100" s="612" t="s">
        <v>2814</v>
      </c>
      <c r="W100" s="587">
        <v>3</v>
      </c>
      <c r="X100" s="587" t="s">
        <v>2815</v>
      </c>
      <c r="Y100" s="612" t="s">
        <v>2816</v>
      </c>
      <c r="Z100" s="587">
        <v>3</v>
      </c>
      <c r="AA100" s="587" t="s">
        <v>2817</v>
      </c>
      <c r="AB100" s="612" t="s">
        <v>2818</v>
      </c>
      <c r="AC100" s="587">
        <v>6</v>
      </c>
      <c r="AD100" s="613" t="s">
        <v>2819</v>
      </c>
      <c r="AE100" s="614" t="s">
        <v>2820</v>
      </c>
      <c r="AF100" s="587" t="s">
        <v>2821</v>
      </c>
      <c r="AG100" s="627" t="s">
        <v>2822</v>
      </c>
      <c r="AH100" s="628" t="s">
        <v>2823</v>
      </c>
      <c r="AI100" s="587">
        <v>3</v>
      </c>
      <c r="AJ100" s="613" t="s">
        <v>2824</v>
      </c>
      <c r="AK100" s="614" t="s">
        <v>2825</v>
      </c>
      <c r="AR100" s="587" t="s">
        <v>2444</v>
      </c>
      <c r="AS100" s="613" t="s">
        <v>2826</v>
      </c>
      <c r="AT100" s="614" t="s">
        <v>2827</v>
      </c>
      <c r="AU100" s="587">
        <v>18</v>
      </c>
      <c r="AV100" s="613" t="s">
        <v>2828</v>
      </c>
      <c r="AW100" s="614" t="s">
        <v>2829</v>
      </c>
      <c r="BA100" s="587">
        <v>18</v>
      </c>
      <c r="BB100" s="578" t="s">
        <v>2830</v>
      </c>
      <c r="BC100" s="650" t="s">
        <v>2831</v>
      </c>
      <c r="BE100" s="578"/>
      <c r="BO100" s="612"/>
      <c r="CH100" s="679" t="s">
        <v>2832</v>
      </c>
      <c r="CI100" s="587">
        <v>87</v>
      </c>
      <c r="CJ100" s="587" cm="1">
        <f t="array" ref="CJ100">_xlfn.IFS($AZ$5&gt;=14,90,$AZ$5&gt;=10,89,$AZ$5&gt;=6,88,$AZ$5&gt;=3,87,1,0)</f>
        <v>0</v>
      </c>
      <c r="CN100" s="702" t="str">
        <f>IFERROR(IF(CN99+1&gt;CS2,IF(CN99+1&gt;CS2,IF(CR3+CR99&gt;CS3,"",CR3+CR99)),CN99+1),"")</f>
        <v/>
      </c>
      <c r="CO100" s="702" t="str" cm="1">
        <f t="array" ref="CO100">IFERROR(INDEX($B$34:$BO$262,CN100,$CP$2),"")</f>
        <v/>
      </c>
      <c r="CP100" s="702" t="str" cm="1">
        <f t="array" ref="CP100">IFERROR(INDEX($B$34:$BO$262,CN100,$CQ$2),"")</f>
        <v/>
      </c>
      <c r="CQ100" s="702" t="str" cm="1">
        <f t="array" ref="CQ100">IF(IFERROR(INDEX($B$34:$BO$262,CN100,$CO$2),"")=0,"",IFERROR(INDEX($B$34:$BO$262,CN100,$CO$2),""))</f>
        <v/>
      </c>
      <c r="CR100" s="702" t="str">
        <f>IFERROR(IF(CN99+1&gt;CS2,CR99+1,0),"")</f>
        <v/>
      </c>
      <c r="CT100" s="705" t="str">
        <f t="shared" si="9"/>
        <v/>
      </c>
      <c r="CU100" s="706" t="str" cm="1">
        <f t="array" ref="CU100">INDEX(CT:CT,SMALL(IF($CT$2:$CT$101&lt;&gt;"",ROW($CT$2:$CT$101),142),ROW(CT99)))&amp;""</f>
        <v/>
      </c>
    </row>
    <row r="101" customHeight="1" spans="1:99">
      <c r="A101" s="586">
        <v>68</v>
      </c>
      <c r="B101" s="610">
        <v>3</v>
      </c>
      <c r="C101" s="587" t="s">
        <v>2833</v>
      </c>
      <c r="D101" s="612" t="s">
        <v>2834</v>
      </c>
      <c r="E101" s="587">
        <v>14</v>
      </c>
      <c r="F101" s="587" t="s">
        <v>2835</v>
      </c>
      <c r="G101" s="612" t="s">
        <v>2836</v>
      </c>
      <c r="H101" s="587">
        <v>6</v>
      </c>
      <c r="I101" s="587" t="s">
        <v>2837</v>
      </c>
      <c r="J101" s="612" t="s">
        <v>2838</v>
      </c>
      <c r="K101" s="587">
        <v>10</v>
      </c>
      <c r="L101" s="587" t="s">
        <v>2839</v>
      </c>
      <c r="M101" s="612" t="s">
        <v>2840</v>
      </c>
      <c r="N101" s="587">
        <v>10</v>
      </c>
      <c r="O101" s="587" t="s">
        <v>2841</v>
      </c>
      <c r="P101" s="612" t="s">
        <v>2842</v>
      </c>
      <c r="Q101" s="587">
        <v>6</v>
      </c>
      <c r="R101" s="587" t="s">
        <v>2843</v>
      </c>
      <c r="S101" s="612" t="s">
        <v>2844</v>
      </c>
      <c r="T101" s="587">
        <v>3</v>
      </c>
      <c r="U101" s="587" t="s">
        <v>2845</v>
      </c>
      <c r="V101" s="612" t="s">
        <v>2846</v>
      </c>
      <c r="W101" s="587">
        <v>3</v>
      </c>
      <c r="X101" s="587" t="s">
        <v>2847</v>
      </c>
      <c r="Y101" s="612" t="s">
        <v>2848</v>
      </c>
      <c r="Z101" s="587">
        <v>3</v>
      </c>
      <c r="AA101" s="587" t="s">
        <v>2849</v>
      </c>
      <c r="AB101" s="612" t="s">
        <v>2850</v>
      </c>
      <c r="AC101" s="587">
        <v>14</v>
      </c>
      <c r="AD101" s="613" t="s">
        <v>2851</v>
      </c>
      <c r="AE101" s="614" t="s">
        <v>2852</v>
      </c>
      <c r="AF101" s="587" t="s">
        <v>2821</v>
      </c>
      <c r="AG101" s="654" t="str">
        <f>IF(主要!$CD$4="O","护符牵绊","")</f>
        <v>护符牵绊</v>
      </c>
      <c r="AH101" s="655" t="s">
        <v>2853</v>
      </c>
      <c r="AI101" s="587">
        <v>3</v>
      </c>
      <c r="AJ101" s="613" t="s">
        <v>2854</v>
      </c>
      <c r="AK101" s="614" t="s">
        <v>2855</v>
      </c>
      <c r="AR101" s="587" t="s">
        <v>2444</v>
      </c>
      <c r="AS101" s="613" t="s">
        <v>2856</v>
      </c>
      <c r="AT101" s="614" t="s">
        <v>2857</v>
      </c>
      <c r="AU101" s="587">
        <v>3</v>
      </c>
      <c r="AV101" s="587" t="s">
        <v>2858</v>
      </c>
      <c r="AW101" s="612" t="s">
        <v>2859</v>
      </c>
      <c r="BA101" s="587">
        <v>3</v>
      </c>
      <c r="BB101" s="656" t="s">
        <v>2860</v>
      </c>
      <c r="BC101" s="691" t="s">
        <v>2861</v>
      </c>
      <c r="BO101" s="612"/>
      <c r="CH101" s="679" t="s">
        <v>2862</v>
      </c>
      <c r="CI101" s="587">
        <v>91</v>
      </c>
      <c r="CJ101" s="587" cm="1">
        <f t="array" ref="CJ101">_xlfn.IFS($AZ$5&gt;=14,96,$AZ$5&gt;=10,95,$AZ$5&gt;=6,94,$AZ$5&gt;=3,93,1,0)</f>
        <v>0</v>
      </c>
      <c r="CN101" s="702" t="str">
        <f>IFERROR(IF(CN100+1&gt;CS2,IF(CN100+1&gt;CS2,IF(CR3+CR100&gt;CS3,"",CR3+CR100)),CN100+1),"")</f>
        <v/>
      </c>
      <c r="CO101" s="702" t="str" cm="1">
        <f t="array" ref="CO101">IFERROR(INDEX($B$34:$BO$262,CN101,$CP$2),"")</f>
        <v/>
      </c>
      <c r="CP101" s="702" t="str" cm="1">
        <f t="array" ref="CP101">IFERROR(INDEX($B$34:$BO$262,CN101,$CQ$2),"")</f>
        <v/>
      </c>
      <c r="CQ101" s="702" t="str" cm="1">
        <f t="array" ref="CQ101">IF(IFERROR(INDEX($B$34:$BO$262,CN101,$CO$2),"")=0,"",IFERROR(INDEX($B$34:$BO$262,CN101,$CO$2),""))</f>
        <v/>
      </c>
      <c r="CR101" s="702" t="str">
        <f>IFERROR(IF(CN100+1&gt;CS2,CR100+1,0),"")</f>
        <v/>
      </c>
      <c r="CT101" s="719" t="str">
        <f t="shared" si="9"/>
        <v/>
      </c>
      <c r="CU101" s="720" t="str" cm="1">
        <f t="array" ref="CU101">INDEX(CT:CT,SMALL(IF($CT$2:$CT$101&lt;&gt;"",ROW($CT$2:$CT$101),142),ROW(CT100)))&amp;""</f>
        <v/>
      </c>
    </row>
    <row r="102" customHeight="1" spans="1:96">
      <c r="A102" s="586">
        <v>69</v>
      </c>
      <c r="B102" s="610">
        <v>3</v>
      </c>
      <c r="C102" s="587" t="s">
        <v>2863</v>
      </c>
      <c r="D102" s="612" t="s">
        <v>2864</v>
      </c>
      <c r="E102" s="587">
        <v>14</v>
      </c>
      <c r="F102" s="587" t="s">
        <v>2865</v>
      </c>
      <c r="G102" s="612" t="s">
        <v>2866</v>
      </c>
      <c r="H102" s="587">
        <v>17</v>
      </c>
      <c r="I102" s="587" t="s">
        <v>2867</v>
      </c>
      <c r="J102" s="612" t="s">
        <v>2868</v>
      </c>
      <c r="K102" s="587">
        <v>14</v>
      </c>
      <c r="L102" s="587" t="s">
        <v>2869</v>
      </c>
      <c r="M102" s="612" t="s">
        <v>2870</v>
      </c>
      <c r="N102" s="587">
        <v>15</v>
      </c>
      <c r="O102" s="587" t="s">
        <v>2871</v>
      </c>
      <c r="P102" s="612" t="s">
        <v>2872</v>
      </c>
      <c r="Q102" s="587">
        <v>11</v>
      </c>
      <c r="R102" s="587" t="s">
        <v>2873</v>
      </c>
      <c r="S102" s="612" t="s">
        <v>2874</v>
      </c>
      <c r="T102" s="587">
        <v>7</v>
      </c>
      <c r="U102" s="587" t="s">
        <v>2875</v>
      </c>
      <c r="V102" s="612" t="s">
        <v>2876</v>
      </c>
      <c r="W102" s="587">
        <v>3</v>
      </c>
      <c r="X102" s="587" t="s">
        <v>2877</v>
      </c>
      <c r="Y102" s="612" t="s">
        <v>2878</v>
      </c>
      <c r="Z102" s="587">
        <v>9</v>
      </c>
      <c r="AA102" s="587" t="s">
        <v>2879</v>
      </c>
      <c r="AB102" s="612" t="s">
        <v>2880</v>
      </c>
      <c r="AC102" s="587">
        <v>18</v>
      </c>
      <c r="AD102" s="613" t="s">
        <v>2881</v>
      </c>
      <c r="AE102" s="614" t="s">
        <v>2882</v>
      </c>
      <c r="AF102" s="587" t="s">
        <v>1578</v>
      </c>
      <c r="AG102" s="627" t="s">
        <v>2883</v>
      </c>
      <c r="AH102" s="628" t="s">
        <v>2884</v>
      </c>
      <c r="AI102" s="587">
        <v>6</v>
      </c>
      <c r="AJ102" s="613" t="s">
        <v>2885</v>
      </c>
      <c r="AK102" s="614" t="s">
        <v>2886</v>
      </c>
      <c r="AR102" s="587" t="s">
        <v>2444</v>
      </c>
      <c r="AS102" s="613" t="s">
        <v>2887</v>
      </c>
      <c r="AT102" s="614" t="s">
        <v>2888</v>
      </c>
      <c r="AU102" s="587">
        <v>3</v>
      </c>
      <c r="AV102" s="587" t="s">
        <v>2889</v>
      </c>
      <c r="AW102" s="612" t="s">
        <v>2890</v>
      </c>
      <c r="BA102" s="587">
        <v>3</v>
      </c>
      <c r="BB102" s="656" t="s">
        <v>2891</v>
      </c>
      <c r="BC102" s="691" t="s">
        <v>2892</v>
      </c>
      <c r="BO102" s="612"/>
      <c r="CH102" s="679" t="s">
        <v>2893</v>
      </c>
      <c r="CI102" s="587">
        <v>97</v>
      </c>
      <c r="CJ102" s="587" cm="1">
        <f t="array" ref="CJ102">_xlfn.IFS($AZ$5&gt;=14,102,$AZ$5&gt;=10,101,$AZ$5&gt;=6,100,$AZ$5&gt;=3,99,1,0)</f>
        <v>0</v>
      </c>
      <c r="CN102" s="702" t="str">
        <f>IFERROR(IF(CN101+1&gt;CS2,IF(CN101+1&gt;CS2,IF(CR3+CR101&gt;CS3,"",CR3+CR101)),CN101+1),"")</f>
        <v/>
      </c>
      <c r="CO102" s="702" t="str" cm="1">
        <f t="array" ref="CO102">IFERROR(INDEX($B$34:$BO$262,CN102,$CP$2),"")</f>
        <v/>
      </c>
      <c r="CP102" s="702" t="str" cm="1">
        <f t="array" ref="CP102">IFERROR(INDEX($B$34:$BO$262,CN102,$CQ$2),"")</f>
        <v/>
      </c>
      <c r="CQ102" s="702" t="str" cm="1">
        <f t="array" ref="CQ102">IF(IFERROR(INDEX($B$34:$BO$262,CN102,$CO$2),"")=0,"",IFERROR(INDEX($B$34:$BO$262,CN102,$CO$2),""))</f>
        <v/>
      </c>
      <c r="CR102" s="702" t="str">
        <f>IFERROR(IF(CN101+1&gt;CS2,CR101+1,0),"")</f>
        <v/>
      </c>
    </row>
    <row r="103" customHeight="1" spans="1:96">
      <c r="A103" s="586">
        <v>70</v>
      </c>
      <c r="B103" s="610">
        <v>3</v>
      </c>
      <c r="C103" s="587" t="s">
        <v>2894</v>
      </c>
      <c r="D103" s="612" t="s">
        <v>2895</v>
      </c>
      <c r="E103" s="587">
        <v>3</v>
      </c>
      <c r="F103" s="613" t="s">
        <v>2896</v>
      </c>
      <c r="G103" s="614" t="s">
        <v>2897</v>
      </c>
      <c r="H103" s="587">
        <v>3</v>
      </c>
      <c r="I103" s="613" t="s">
        <v>2898</v>
      </c>
      <c r="J103" s="614" t="s">
        <v>2899</v>
      </c>
      <c r="K103" s="587">
        <v>3</v>
      </c>
      <c r="L103" s="613" t="s">
        <v>2900</v>
      </c>
      <c r="M103" s="614" t="s">
        <v>2901</v>
      </c>
      <c r="N103" s="587">
        <v>18</v>
      </c>
      <c r="O103" s="587" t="s">
        <v>2902</v>
      </c>
      <c r="P103" s="612" t="s">
        <v>2903</v>
      </c>
      <c r="Q103" s="587">
        <v>17</v>
      </c>
      <c r="R103" s="587" t="s">
        <v>2904</v>
      </c>
      <c r="S103" s="612" t="s">
        <v>2905</v>
      </c>
      <c r="T103" s="587">
        <v>7</v>
      </c>
      <c r="U103" s="587" t="s">
        <v>2906</v>
      </c>
      <c r="V103" s="612" t="s">
        <v>2907</v>
      </c>
      <c r="W103" s="587">
        <v>7</v>
      </c>
      <c r="X103" s="587" t="s">
        <v>2908</v>
      </c>
      <c r="Y103" s="612" t="s">
        <v>2909</v>
      </c>
      <c r="Z103" s="587">
        <v>13</v>
      </c>
      <c r="AA103" s="587" t="s">
        <v>2910</v>
      </c>
      <c r="AB103" s="612" t="s">
        <v>2911</v>
      </c>
      <c r="AC103" s="587">
        <v>3</v>
      </c>
      <c r="AD103" s="587" t="s">
        <v>2912</v>
      </c>
      <c r="AE103" s="612" t="s">
        <v>2913</v>
      </c>
      <c r="AF103" s="587" t="s">
        <v>1578</v>
      </c>
      <c r="AG103" s="652" t="str">
        <f>IF(主要!$CD$3="O","暗影寿衣","")</f>
        <v>暗影寿衣</v>
      </c>
      <c r="AH103" s="653" t="s">
        <v>2914</v>
      </c>
      <c r="AI103" s="587">
        <v>10</v>
      </c>
      <c r="AJ103" s="613" t="s">
        <v>2915</v>
      </c>
      <c r="AK103" s="614" t="s">
        <v>2916</v>
      </c>
      <c r="AR103" s="587" t="s">
        <v>2444</v>
      </c>
      <c r="AS103" s="613" t="s">
        <v>2917</v>
      </c>
      <c r="AT103" s="614" t="s">
        <v>2918</v>
      </c>
      <c r="AU103" s="587">
        <v>3</v>
      </c>
      <c r="AV103" s="587" t="s">
        <v>2919</v>
      </c>
      <c r="AW103" s="612" t="s">
        <v>2920</v>
      </c>
      <c r="BA103" s="587">
        <v>3</v>
      </c>
      <c r="BB103" s="656" t="s">
        <v>2921</v>
      </c>
      <c r="BC103" s="691" t="s">
        <v>2922</v>
      </c>
      <c r="BO103" s="612"/>
      <c r="CH103" s="679" t="s">
        <v>2923</v>
      </c>
      <c r="CI103" s="587">
        <v>103</v>
      </c>
      <c r="CJ103" s="587" cm="1">
        <f t="array" ref="CJ103">_xlfn.IFS($AZ$5&gt;=14,107,$AZ$5&gt;=10,106,$AZ$5&gt;=6,105,$AZ$5&gt;=3,104,1,0)</f>
        <v>0</v>
      </c>
      <c r="CN103" s="702" t="str">
        <f>IFERROR(IF(CN102+1&gt;CS2,IF(CN102+1&gt;CS2,IF(CR3+CR102&gt;CS3,"",CR3+CR102)),CN102+1),"")</f>
        <v/>
      </c>
      <c r="CO103" s="702" t="str" cm="1">
        <f t="array" ref="CO103">IFERROR(INDEX($B$34:$BO$262,CN103,$CP$2),"")</f>
        <v/>
      </c>
      <c r="CP103" s="702" t="str" cm="1">
        <f t="array" ref="CP103">IFERROR(INDEX($B$34:$BO$262,CN103,$CQ$2),"")</f>
        <v/>
      </c>
      <c r="CQ103" s="702" t="str" cm="1">
        <f t="array" ref="CQ103">IF(IFERROR(INDEX($B$34:$BO$262,CN103,$CO$2),"")=0,"",IFERROR(INDEX($B$34:$BO$262,CN103,$CO$2),""))</f>
        <v/>
      </c>
      <c r="CR103" s="702" t="str">
        <f>IFERROR(IF(CN102+1&gt;CS2,CR102+1,0),"")</f>
        <v/>
      </c>
    </row>
    <row r="104" customHeight="1" spans="1:96">
      <c r="A104" s="586">
        <v>71</v>
      </c>
      <c r="B104" s="610">
        <v>6</v>
      </c>
      <c r="C104" s="587" t="s">
        <v>2924</v>
      </c>
      <c r="D104" s="612" t="s">
        <v>2925</v>
      </c>
      <c r="E104" s="587">
        <v>3</v>
      </c>
      <c r="F104" s="613" t="s">
        <v>2926</v>
      </c>
      <c r="G104" s="614" t="s">
        <v>2927</v>
      </c>
      <c r="H104" s="587">
        <v>3</v>
      </c>
      <c r="I104" s="613" t="s">
        <v>1856</v>
      </c>
      <c r="J104" s="614" t="s">
        <v>2928</v>
      </c>
      <c r="K104" s="587">
        <v>3</v>
      </c>
      <c r="L104" s="613" t="s">
        <v>2929</v>
      </c>
      <c r="M104" s="614" t="s">
        <v>2930</v>
      </c>
      <c r="N104" s="587">
        <v>3</v>
      </c>
      <c r="O104" s="613" t="s">
        <v>2931</v>
      </c>
      <c r="P104" s="614" t="s">
        <v>2932</v>
      </c>
      <c r="Q104" s="587">
        <v>3</v>
      </c>
      <c r="R104" s="613" t="s">
        <v>2933</v>
      </c>
      <c r="S104" s="614" t="s">
        <v>2934</v>
      </c>
      <c r="T104" s="587">
        <v>15</v>
      </c>
      <c r="U104" s="587" t="s">
        <v>2935</v>
      </c>
      <c r="V104" s="612" t="s">
        <v>2936</v>
      </c>
      <c r="W104" s="587">
        <v>11</v>
      </c>
      <c r="X104" s="587" t="s">
        <v>2937</v>
      </c>
      <c r="Y104" s="612" t="s">
        <v>2938</v>
      </c>
      <c r="Z104" s="587">
        <v>17</v>
      </c>
      <c r="AA104" s="587" t="s">
        <v>2939</v>
      </c>
      <c r="AB104" s="612" t="s">
        <v>2940</v>
      </c>
      <c r="AC104" s="587">
        <v>3</v>
      </c>
      <c r="AD104" s="587" t="s">
        <v>2941</v>
      </c>
      <c r="AE104" s="612" t="s">
        <v>2942</v>
      </c>
      <c r="AF104" s="587">
        <v>19</v>
      </c>
      <c r="AG104" s="587" t="s">
        <v>1091</v>
      </c>
      <c r="AH104" s="612" t="s">
        <v>2943</v>
      </c>
      <c r="AI104" s="587">
        <v>14</v>
      </c>
      <c r="AJ104" s="613" t="s">
        <v>2944</v>
      </c>
      <c r="AK104" s="614" t="s">
        <v>2945</v>
      </c>
      <c r="AR104" s="587">
        <v>7</v>
      </c>
      <c r="AS104" s="613" t="s">
        <v>2946</v>
      </c>
      <c r="AT104" s="614" t="s">
        <v>2947</v>
      </c>
      <c r="AU104" s="587">
        <v>6</v>
      </c>
      <c r="AV104" s="587" t="s">
        <v>2948</v>
      </c>
      <c r="AW104" s="612" t="s">
        <v>2949</v>
      </c>
      <c r="BA104" s="587">
        <v>3</v>
      </c>
      <c r="BB104" s="656" t="s">
        <v>1078</v>
      </c>
      <c r="BC104" s="691" t="s">
        <v>2950</v>
      </c>
      <c r="BO104" s="612"/>
      <c r="CH104" s="679" t="s">
        <v>2951</v>
      </c>
      <c r="CI104" s="587">
        <v>108</v>
      </c>
      <c r="CJ104" s="587" cm="1">
        <f t="array" ref="CJ104">_xlfn.IFS($AZ$5&gt;=14,112,$AZ$5&gt;=10,111,$AZ$5&gt;=6,110,$AZ$5&gt;=3,109,1,0)</f>
        <v>0</v>
      </c>
      <c r="CN104" s="702" t="str">
        <f>IFERROR(IF(CN103+1&gt;CS2,IF(CN103+1&gt;CS2,IF(CR3+CR103&gt;CS3,"",CR3+CR103)),CN103+1),"")</f>
        <v/>
      </c>
      <c r="CO104" s="702" t="str" cm="1">
        <f t="array" ref="CO104">IFERROR(INDEX($B$34:$BO$262,CN104,$CP$2),"")</f>
        <v/>
      </c>
      <c r="CP104" s="702" t="str" cm="1">
        <f t="array" ref="CP104">IFERROR(INDEX($B$34:$BO$262,CN104,$CQ$2),"")</f>
        <v/>
      </c>
      <c r="CQ104" s="702" t="str" cm="1">
        <f t="array" ref="CQ104">IF(IFERROR(INDEX($B$34:$BO$262,CN104,$CO$2),"")=0,"",IFERROR(INDEX($B$34:$BO$262,CN104,$CO$2),""))</f>
        <v/>
      </c>
      <c r="CR104" s="702" t="str">
        <f>IFERROR(IF(CN103+1&gt;CS2,CR103+1,0),"")</f>
        <v/>
      </c>
    </row>
    <row r="105" customHeight="1" spans="1:96">
      <c r="A105" s="586">
        <v>72</v>
      </c>
      <c r="B105" s="610">
        <v>10</v>
      </c>
      <c r="C105" s="587" t="s">
        <v>2952</v>
      </c>
      <c r="D105" s="612" t="s">
        <v>2953</v>
      </c>
      <c r="E105" s="587">
        <v>6</v>
      </c>
      <c r="F105" s="613" t="s">
        <v>2954</v>
      </c>
      <c r="G105" s="614" t="s">
        <v>2955</v>
      </c>
      <c r="H105" s="587">
        <v>3</v>
      </c>
      <c r="I105" s="613" t="s">
        <v>2956</v>
      </c>
      <c r="J105" s="614" t="s">
        <v>2957</v>
      </c>
      <c r="K105" s="587">
        <v>6</v>
      </c>
      <c r="L105" s="613" t="s">
        <v>2958</v>
      </c>
      <c r="M105" s="614" t="s">
        <v>2959</v>
      </c>
      <c r="N105" s="587">
        <v>3</v>
      </c>
      <c r="O105" s="613" t="s">
        <v>2960</v>
      </c>
      <c r="P105" s="614" t="s">
        <v>2961</v>
      </c>
      <c r="Q105" s="587">
        <v>3</v>
      </c>
      <c r="R105" s="613" t="s">
        <v>2962</v>
      </c>
      <c r="S105" s="614" t="s">
        <v>2963</v>
      </c>
      <c r="T105" s="587">
        <v>20</v>
      </c>
      <c r="U105" s="587" t="s">
        <v>2964</v>
      </c>
      <c r="V105" s="612" t="s">
        <v>2965</v>
      </c>
      <c r="W105" s="587">
        <v>15</v>
      </c>
      <c r="X105" s="587" t="s">
        <v>2966</v>
      </c>
      <c r="Y105" s="612" t="s">
        <v>2967</v>
      </c>
      <c r="Z105" s="587">
        <v>3</v>
      </c>
      <c r="AA105" s="613" t="s">
        <v>2968</v>
      </c>
      <c r="AB105" s="614" t="s">
        <v>2969</v>
      </c>
      <c r="AC105" s="587">
        <v>6</v>
      </c>
      <c r="AD105" s="587" t="s">
        <v>2970</v>
      </c>
      <c r="AE105" s="612" t="s">
        <v>2971</v>
      </c>
      <c r="AF105" s="587">
        <v>20</v>
      </c>
      <c r="AG105" s="587" t="s">
        <v>2972</v>
      </c>
      <c r="AH105" s="612" t="s">
        <v>2973</v>
      </c>
      <c r="AI105" s="587">
        <v>3</v>
      </c>
      <c r="AJ105" s="587" t="s">
        <v>2974</v>
      </c>
      <c r="AK105" s="612" t="s">
        <v>2975</v>
      </c>
      <c r="AR105" s="587" t="s">
        <v>2399</v>
      </c>
      <c r="AS105" s="613" t="s">
        <v>2976</v>
      </c>
      <c r="AT105" s="614" t="s">
        <v>2977</v>
      </c>
      <c r="AU105" s="587">
        <v>6</v>
      </c>
      <c r="AV105" s="587" t="s">
        <v>2978</v>
      </c>
      <c r="AW105" s="612" t="s">
        <v>2979</v>
      </c>
      <c r="BA105" s="587">
        <v>7</v>
      </c>
      <c r="BB105" s="656" t="s">
        <v>2980</v>
      </c>
      <c r="BC105" s="691" t="s">
        <v>2263</v>
      </c>
      <c r="BO105" s="612"/>
      <c r="CH105" s="679" t="s">
        <v>2981</v>
      </c>
      <c r="CI105" s="587">
        <v>113</v>
      </c>
      <c r="CJ105" s="587" cm="1">
        <f t="array" ref="CJ105">_xlfn.IFS($AZ$5&gt;=14,117,$AZ$5&gt;=10,116,$AZ$5&gt;=6,115,$AZ$5&gt;=3,114,1,0)</f>
        <v>0</v>
      </c>
      <c r="CN105" s="702" t="str">
        <f>IFERROR(IF(CN104+1&gt;CS2,IF(CN104+1&gt;CS2,IF(CR3+CR104&gt;CS3,"",CR3+CR104)),CN104+1),"")</f>
        <v/>
      </c>
      <c r="CO105" s="702" t="str" cm="1">
        <f t="array" ref="CO105">IFERROR(INDEX($B$34:$BO$262,CN105,$CP$2),"")</f>
        <v/>
      </c>
      <c r="CP105" s="702" t="str" cm="1">
        <f t="array" ref="CP105">IFERROR(INDEX($B$34:$BO$262,CN105,$CQ$2),"")</f>
        <v/>
      </c>
      <c r="CQ105" s="702" t="str" cm="1">
        <f t="array" ref="CQ105">IF(IFERROR(INDEX($B$34:$BO$262,CN105,$CO$2),"")=0,"",IFERROR(INDEX($B$34:$BO$262,CN105,$CO$2),""))</f>
        <v/>
      </c>
      <c r="CR105" s="702" t="str">
        <f>IFERROR(IF(CN104+1&gt;CS2,CR104+1,0),"")</f>
        <v/>
      </c>
    </row>
    <row r="106" customHeight="1" spans="1:88">
      <c r="A106" s="586">
        <v>73</v>
      </c>
      <c r="B106" s="610">
        <v>14</v>
      </c>
      <c r="C106" s="587" t="s">
        <v>2982</v>
      </c>
      <c r="D106" s="612" t="s">
        <v>2983</v>
      </c>
      <c r="E106" s="587">
        <v>6</v>
      </c>
      <c r="F106" s="613" t="s">
        <v>2984</v>
      </c>
      <c r="G106" s="614" t="s">
        <v>2985</v>
      </c>
      <c r="H106" s="587">
        <v>3</v>
      </c>
      <c r="I106" s="613" t="s">
        <v>2986</v>
      </c>
      <c r="J106" s="614" t="s">
        <v>2987</v>
      </c>
      <c r="K106" s="587">
        <v>10</v>
      </c>
      <c r="L106" s="613" t="s">
        <v>2988</v>
      </c>
      <c r="M106" s="614" t="s">
        <v>2989</v>
      </c>
      <c r="O106" s="613" t="s">
        <v>2990</v>
      </c>
      <c r="P106" s="614" t="s">
        <v>2991</v>
      </c>
      <c r="Q106" s="587">
        <v>6</v>
      </c>
      <c r="R106" s="613" t="s">
        <v>2992</v>
      </c>
      <c r="S106" s="614" t="s">
        <v>2993</v>
      </c>
      <c r="T106" s="587">
        <v>3</v>
      </c>
      <c r="U106" s="613" t="s">
        <v>2994</v>
      </c>
      <c r="V106" s="614" t="s">
        <v>2995</v>
      </c>
      <c r="W106" s="587">
        <v>3</v>
      </c>
      <c r="X106" s="613" t="s">
        <v>2996</v>
      </c>
      <c r="Y106" s="614" t="s">
        <v>2997</v>
      </c>
      <c r="Z106" s="587">
        <v>3</v>
      </c>
      <c r="AA106" s="613" t="s">
        <v>2998</v>
      </c>
      <c r="AB106" s="614" t="s">
        <v>2999</v>
      </c>
      <c r="AC106" s="587">
        <v>14</v>
      </c>
      <c r="AD106" s="587" t="s">
        <v>3000</v>
      </c>
      <c r="AE106" s="612" t="s">
        <v>3001</v>
      </c>
      <c r="AF106" s="587">
        <v>3</v>
      </c>
      <c r="AG106" s="613" t="s">
        <v>3002</v>
      </c>
      <c r="AH106" s="614" t="s">
        <v>3003</v>
      </c>
      <c r="AI106" s="587">
        <v>6</v>
      </c>
      <c r="AJ106" s="587" t="s">
        <v>3004</v>
      </c>
      <c r="AK106" s="612" t="s">
        <v>3005</v>
      </c>
      <c r="AR106" s="587">
        <v>11</v>
      </c>
      <c r="AS106" s="613" t="s">
        <v>3006</v>
      </c>
      <c r="AT106" s="614" t="s">
        <v>3007</v>
      </c>
      <c r="AU106" s="587">
        <v>10</v>
      </c>
      <c r="AV106" s="587" t="s">
        <v>3008</v>
      </c>
      <c r="AW106" s="612" t="s">
        <v>3009</v>
      </c>
      <c r="BA106" s="587">
        <v>7</v>
      </c>
      <c r="BB106" s="656" t="s">
        <v>3010</v>
      </c>
      <c r="BC106" s="691" t="s">
        <v>3011</v>
      </c>
      <c r="BO106" s="612"/>
      <c r="CH106" s="679" t="s">
        <v>3012</v>
      </c>
      <c r="CI106" s="587">
        <v>118</v>
      </c>
      <c r="CJ106" s="587" cm="1">
        <f t="array" ref="CJ106">_xlfn.IFS($AZ$5&gt;=14,123,$AZ$5&gt;=10,122,$AZ$5&gt;=6,121,$AZ$5&gt;=3,120,1,0)</f>
        <v>0</v>
      </c>
    </row>
    <row r="107" customHeight="1" spans="1:88">
      <c r="A107" s="586">
        <v>74</v>
      </c>
      <c r="B107" s="707">
        <v>3</v>
      </c>
      <c r="C107" s="708" t="s">
        <v>3013</v>
      </c>
      <c r="D107" s="709" t="s">
        <v>3014</v>
      </c>
      <c r="E107" s="587">
        <v>14</v>
      </c>
      <c r="F107" s="613" t="s">
        <v>3015</v>
      </c>
      <c r="G107" s="614" t="s">
        <v>3016</v>
      </c>
      <c r="H107" s="587">
        <v>3</v>
      </c>
      <c r="I107" s="613" t="s">
        <v>3017</v>
      </c>
      <c r="J107" s="614" t="s">
        <v>3018</v>
      </c>
      <c r="K107" s="587">
        <v>14</v>
      </c>
      <c r="L107" s="613" t="s">
        <v>3019</v>
      </c>
      <c r="M107" s="614" t="s">
        <v>3020</v>
      </c>
      <c r="O107" s="613" t="s">
        <v>3021</v>
      </c>
      <c r="P107" s="614" t="s">
        <v>3022</v>
      </c>
      <c r="Q107" s="587">
        <v>11</v>
      </c>
      <c r="R107" s="613" t="s">
        <v>3023</v>
      </c>
      <c r="S107" s="614" t="s">
        <v>3024</v>
      </c>
      <c r="T107" s="587">
        <v>3</v>
      </c>
      <c r="U107" s="613" t="s">
        <v>3025</v>
      </c>
      <c r="V107" s="614" t="s">
        <v>3026</v>
      </c>
      <c r="W107" s="587">
        <v>3</v>
      </c>
      <c r="X107" s="613" t="s">
        <v>3027</v>
      </c>
      <c r="Y107" s="614" t="s">
        <v>3028</v>
      </c>
      <c r="Z107" s="587">
        <v>9</v>
      </c>
      <c r="AA107" s="613" t="s">
        <v>3029</v>
      </c>
      <c r="AB107" s="614" t="s">
        <v>3030</v>
      </c>
      <c r="AC107" s="587">
        <v>18</v>
      </c>
      <c r="AD107" s="587" t="s">
        <v>3031</v>
      </c>
      <c r="AE107" s="612" t="s">
        <v>3032</v>
      </c>
      <c r="AF107" s="587">
        <v>3</v>
      </c>
      <c r="AG107" s="613" t="s">
        <v>3033</v>
      </c>
      <c r="AH107" s="614" t="s">
        <v>3034</v>
      </c>
      <c r="AI107" s="587">
        <v>10</v>
      </c>
      <c r="AJ107" s="587" t="s">
        <v>3035</v>
      </c>
      <c r="AK107" s="612" t="s">
        <v>3036</v>
      </c>
      <c r="AR107" s="587" t="s">
        <v>3037</v>
      </c>
      <c r="AS107" s="613" t="s">
        <v>3038</v>
      </c>
      <c r="AT107" s="614" t="s">
        <v>3039</v>
      </c>
      <c r="AU107" s="587">
        <v>14</v>
      </c>
      <c r="AV107" s="587" t="s">
        <v>3040</v>
      </c>
      <c r="AW107" s="612" t="s">
        <v>3041</v>
      </c>
      <c r="BA107" s="587">
        <v>11</v>
      </c>
      <c r="BB107" s="656" t="s">
        <v>3042</v>
      </c>
      <c r="BC107" s="691" t="s">
        <v>3043</v>
      </c>
      <c r="BO107" s="612"/>
      <c r="CH107" s="608" t="s">
        <v>3044</v>
      </c>
      <c r="CI107" s="608">
        <v>22</v>
      </c>
      <c r="CJ107" s="608" cm="1">
        <f t="array" ref="CJ107">_xlfn.IFS($AZ$6&gt;=18,47,$AZ$6&gt;=15,46,$AZ$6&gt;=10,45,$AZ$6&gt;=7,44,$AZ$6&gt;=3,43,1,0)</f>
        <v>0</v>
      </c>
    </row>
    <row r="108" customHeight="1" spans="1:88">
      <c r="A108" s="586">
        <v>75</v>
      </c>
      <c r="B108" s="707">
        <v>3</v>
      </c>
      <c r="C108" s="708" t="s">
        <v>3045</v>
      </c>
      <c r="D108" s="709" t="s">
        <v>3046</v>
      </c>
      <c r="E108" s="587">
        <v>3</v>
      </c>
      <c r="F108" s="578" t="s">
        <v>3047</v>
      </c>
      <c r="G108" s="650" t="s">
        <v>3048</v>
      </c>
      <c r="H108" s="587">
        <v>6</v>
      </c>
      <c r="I108" s="613" t="s">
        <v>3049</v>
      </c>
      <c r="J108" s="614" t="s">
        <v>3050</v>
      </c>
      <c r="K108" s="587">
        <v>3</v>
      </c>
      <c r="L108" s="587" t="s">
        <v>3051</v>
      </c>
      <c r="M108" s="612" t="s">
        <v>3052</v>
      </c>
      <c r="O108" s="613" t="s">
        <v>3053</v>
      </c>
      <c r="P108" s="614" t="s">
        <v>3054</v>
      </c>
      <c r="Q108" s="587">
        <v>17</v>
      </c>
      <c r="R108" s="613" t="s">
        <v>3055</v>
      </c>
      <c r="S108" s="614" t="s">
        <v>3056</v>
      </c>
      <c r="T108" s="587">
        <v>7</v>
      </c>
      <c r="U108" s="613" t="s">
        <v>3057</v>
      </c>
      <c r="V108" s="614" t="s">
        <v>3058</v>
      </c>
      <c r="W108" s="587">
        <v>3</v>
      </c>
      <c r="X108" s="613" t="s">
        <v>3059</v>
      </c>
      <c r="Y108" s="614" t="s">
        <v>3060</v>
      </c>
      <c r="Z108" s="587">
        <v>13</v>
      </c>
      <c r="AA108" s="613" t="s">
        <v>3061</v>
      </c>
      <c r="AB108" s="614" t="s">
        <v>3062</v>
      </c>
      <c r="AC108" s="587">
        <v>3</v>
      </c>
      <c r="AD108" s="613" t="s">
        <v>3063</v>
      </c>
      <c r="AE108" s="614" t="s">
        <v>3064</v>
      </c>
      <c r="AF108" s="587">
        <v>6</v>
      </c>
      <c r="AG108" s="613" t="s">
        <v>3065</v>
      </c>
      <c r="AH108" s="614" t="s">
        <v>3066</v>
      </c>
      <c r="AI108" s="587">
        <v>14</v>
      </c>
      <c r="AJ108" s="587" t="s">
        <v>3067</v>
      </c>
      <c r="AK108" s="612" t="s">
        <v>3068</v>
      </c>
      <c r="AR108" s="587" t="s">
        <v>3037</v>
      </c>
      <c r="AS108" s="613" t="s">
        <v>3069</v>
      </c>
      <c r="AT108" s="614" t="s">
        <v>3070</v>
      </c>
      <c r="AU108" s="587">
        <v>18</v>
      </c>
      <c r="AV108" s="587" t="s">
        <v>3071</v>
      </c>
      <c r="AW108" s="612" t="s">
        <v>3072</v>
      </c>
      <c r="BA108" s="587">
        <v>13</v>
      </c>
      <c r="BB108" s="656" t="s">
        <v>3073</v>
      </c>
      <c r="BC108" s="691" t="s">
        <v>3074</v>
      </c>
      <c r="BO108" s="612"/>
      <c r="CH108" s="587" t="s">
        <v>3075</v>
      </c>
      <c r="CI108" s="587">
        <v>48</v>
      </c>
      <c r="CJ108" s="587" cm="1">
        <f t="array" ref="CJ108">_xlfn.IFS($AZ$6&gt;=18,53,$AZ$6&gt;=15,52,$AZ$6&gt;=10,51,$AZ$6&gt;=7,50,$AZ$6&gt;=3,49,1,0)</f>
        <v>0</v>
      </c>
    </row>
    <row r="109" customHeight="1" spans="1:88">
      <c r="A109" s="586">
        <v>76</v>
      </c>
      <c r="B109" s="707">
        <v>6</v>
      </c>
      <c r="C109" s="708" t="s">
        <v>3076</v>
      </c>
      <c r="D109" s="709" t="s">
        <v>3077</v>
      </c>
      <c r="E109" s="587">
        <v>3</v>
      </c>
      <c r="F109" s="578" t="s">
        <v>3078</v>
      </c>
      <c r="G109" s="650" t="s">
        <v>3079</v>
      </c>
      <c r="H109" s="587">
        <v>17</v>
      </c>
      <c r="I109" s="613" t="s">
        <v>3080</v>
      </c>
      <c r="J109" s="614" t="s">
        <v>3081</v>
      </c>
      <c r="K109" s="587">
        <v>3</v>
      </c>
      <c r="L109" s="587" t="s">
        <v>3082</v>
      </c>
      <c r="M109" s="612" t="s">
        <v>3083</v>
      </c>
      <c r="O109" s="613" t="s">
        <v>3084</v>
      </c>
      <c r="P109" s="614" t="s">
        <v>3085</v>
      </c>
      <c r="Q109" s="587">
        <v>3</v>
      </c>
      <c r="R109" s="587" t="s">
        <v>3086</v>
      </c>
      <c r="S109" s="612" t="s">
        <v>3087</v>
      </c>
      <c r="T109" s="587">
        <v>15</v>
      </c>
      <c r="U109" s="613" t="s">
        <v>3088</v>
      </c>
      <c r="V109" s="614" t="s">
        <v>3089</v>
      </c>
      <c r="W109" s="587">
        <v>7</v>
      </c>
      <c r="X109" s="613" t="s">
        <v>3090</v>
      </c>
      <c r="Y109" s="614" t="s">
        <v>3091</v>
      </c>
      <c r="Z109" s="587">
        <v>17</v>
      </c>
      <c r="AA109" s="613" t="s">
        <v>3092</v>
      </c>
      <c r="AB109" s="614" t="s">
        <v>3093</v>
      </c>
      <c r="AC109" s="587">
        <v>3</v>
      </c>
      <c r="AD109" s="613" t="s">
        <v>3094</v>
      </c>
      <c r="AE109" s="614" t="s">
        <v>3095</v>
      </c>
      <c r="AF109" s="587">
        <v>10</v>
      </c>
      <c r="AG109" s="613" t="s">
        <v>3096</v>
      </c>
      <c r="AH109" s="614" t="s">
        <v>3097</v>
      </c>
      <c r="AI109" s="587">
        <v>3</v>
      </c>
      <c r="AJ109" s="613" t="s">
        <v>3098</v>
      </c>
      <c r="AK109" s="614" t="s">
        <v>3099</v>
      </c>
      <c r="AR109" s="587" t="s">
        <v>3037</v>
      </c>
      <c r="AS109" s="613" t="s">
        <v>3100</v>
      </c>
      <c r="AT109" s="614" t="s">
        <v>3101</v>
      </c>
      <c r="AU109" s="587">
        <v>3</v>
      </c>
      <c r="AV109" s="613" t="s">
        <v>3102</v>
      </c>
      <c r="AW109" s="614" t="s">
        <v>3103</v>
      </c>
      <c r="BA109" s="587">
        <v>15</v>
      </c>
      <c r="BB109" s="656" t="s">
        <v>3104</v>
      </c>
      <c r="BC109" s="691" t="s">
        <v>3105</v>
      </c>
      <c r="BO109" s="612"/>
      <c r="CH109" s="587" t="s">
        <v>467</v>
      </c>
      <c r="CI109" s="587">
        <v>54</v>
      </c>
      <c r="CJ109" s="587" cm="1">
        <f t="array" ref="CJ109">_xlfn.IFS($AZ$6&gt;=18,65,$AZ$6&gt;=15,64,$AZ$6&gt;=10,63,$AZ$6&gt;=7,62,$AZ$6&gt;=3,61,1,0)</f>
        <v>0</v>
      </c>
    </row>
    <row r="110" customHeight="1" spans="1:88">
      <c r="A110" s="586">
        <v>77</v>
      </c>
      <c r="B110" s="707">
        <v>6</v>
      </c>
      <c r="C110" s="708" t="s">
        <v>3106</v>
      </c>
      <c r="D110" s="709" t="s">
        <v>3107</v>
      </c>
      <c r="E110" s="587">
        <v>6</v>
      </c>
      <c r="F110" s="578" t="s">
        <v>3108</v>
      </c>
      <c r="G110" s="650" t="s">
        <v>3109</v>
      </c>
      <c r="H110" s="587">
        <v>3</v>
      </c>
      <c r="I110" s="587" t="s">
        <v>3110</v>
      </c>
      <c r="J110" s="612" t="s">
        <v>3111</v>
      </c>
      <c r="K110" s="587">
        <v>6</v>
      </c>
      <c r="L110" s="587" t="s">
        <v>3112</v>
      </c>
      <c r="M110" s="612" t="s">
        <v>3113</v>
      </c>
      <c r="O110" s="613" t="s">
        <v>3114</v>
      </c>
      <c r="P110" s="614" t="s">
        <v>3115</v>
      </c>
      <c r="Q110" s="587">
        <v>3</v>
      </c>
      <c r="R110" s="587" t="s">
        <v>3116</v>
      </c>
      <c r="S110" s="612" t="s">
        <v>3117</v>
      </c>
      <c r="T110" s="587">
        <v>20</v>
      </c>
      <c r="U110" s="613" t="s">
        <v>3118</v>
      </c>
      <c r="V110" s="614" t="s">
        <v>3119</v>
      </c>
      <c r="W110" s="587">
        <v>11</v>
      </c>
      <c r="X110" s="613" t="s">
        <v>3120</v>
      </c>
      <c r="Y110" s="614" t="s">
        <v>3121</v>
      </c>
      <c r="Z110" s="587">
        <v>3</v>
      </c>
      <c r="AA110" s="587" t="s">
        <v>3122</v>
      </c>
      <c r="AB110" s="612" t="s">
        <v>3123</v>
      </c>
      <c r="AC110" s="587">
        <v>6</v>
      </c>
      <c r="AD110" s="613" t="s">
        <v>3124</v>
      </c>
      <c r="AE110" s="614" t="s">
        <v>3125</v>
      </c>
      <c r="AF110" s="587">
        <v>14</v>
      </c>
      <c r="AG110" s="613" t="s">
        <v>3126</v>
      </c>
      <c r="AH110" s="614" t="s">
        <v>3127</v>
      </c>
      <c r="AI110" s="587">
        <v>3</v>
      </c>
      <c r="AJ110" s="613" t="s">
        <v>3128</v>
      </c>
      <c r="AK110" s="614" t="s">
        <v>3129</v>
      </c>
      <c r="AR110" s="587">
        <v>15</v>
      </c>
      <c r="AS110" s="613" t="s">
        <v>1579</v>
      </c>
      <c r="AT110" s="614" t="s">
        <v>3130</v>
      </c>
      <c r="AU110" s="587">
        <v>3</v>
      </c>
      <c r="AV110" s="613" t="s">
        <v>3131</v>
      </c>
      <c r="AW110" s="614" t="s">
        <v>3132</v>
      </c>
      <c r="BA110" s="587">
        <v>18</v>
      </c>
      <c r="BB110" s="656" t="s">
        <v>3133</v>
      </c>
      <c r="BC110" s="691" t="s">
        <v>3134</v>
      </c>
      <c r="BO110" s="612"/>
      <c r="CH110" s="587" t="s">
        <v>3135</v>
      </c>
      <c r="CI110" s="587">
        <v>66</v>
      </c>
      <c r="CJ110" s="587" cm="1">
        <f t="array" ref="CJ110">_xlfn.IFS($AZ$6&gt;=18,70,$AZ$6&gt;=15,69,$AZ$6&gt;=10,68,$AZ$6&gt;=7,67,$AZ$6&gt;=3,66,1,0)</f>
        <v>0</v>
      </c>
    </row>
    <row r="111" customHeight="1" spans="1:88">
      <c r="A111" s="586">
        <v>78</v>
      </c>
      <c r="B111" s="707">
        <v>10</v>
      </c>
      <c r="C111" s="708" t="s">
        <v>3136</v>
      </c>
      <c r="D111" s="709" t="s">
        <v>3137</v>
      </c>
      <c r="E111" s="587">
        <v>6</v>
      </c>
      <c r="F111" s="578" t="s">
        <v>3138</v>
      </c>
      <c r="G111" s="650" t="s">
        <v>3139</v>
      </c>
      <c r="H111" s="587">
        <v>3</v>
      </c>
      <c r="I111" s="587" t="s">
        <v>3140</v>
      </c>
      <c r="J111" s="612" t="s">
        <v>3141</v>
      </c>
      <c r="K111" s="587">
        <v>6</v>
      </c>
      <c r="L111" s="587" t="s">
        <v>3142</v>
      </c>
      <c r="M111" s="612" t="s">
        <v>3143</v>
      </c>
      <c r="O111" s="613" t="s">
        <v>3144</v>
      </c>
      <c r="P111" s="614" t="s">
        <v>3145</v>
      </c>
      <c r="Q111" s="587">
        <v>6</v>
      </c>
      <c r="R111" s="587" t="s">
        <v>3146</v>
      </c>
      <c r="S111" s="612" t="s">
        <v>3147</v>
      </c>
      <c r="T111" s="587">
        <v>3</v>
      </c>
      <c r="U111" s="679" t="s">
        <v>3148</v>
      </c>
      <c r="V111" s="612" t="s">
        <v>3149</v>
      </c>
      <c r="W111" s="587">
        <v>15</v>
      </c>
      <c r="X111" s="613" t="s">
        <v>3150</v>
      </c>
      <c r="Y111" s="614" t="s">
        <v>3151</v>
      </c>
      <c r="Z111" s="587">
        <v>3</v>
      </c>
      <c r="AA111" s="587" t="s">
        <v>3152</v>
      </c>
      <c r="AB111" s="612" t="s">
        <v>3153</v>
      </c>
      <c r="AC111" s="587">
        <v>14</v>
      </c>
      <c r="AD111" s="613" t="s">
        <v>3154</v>
      </c>
      <c r="AE111" s="614" t="s">
        <v>3155</v>
      </c>
      <c r="AF111" s="587">
        <v>3</v>
      </c>
      <c r="AG111" s="587" t="s">
        <v>3156</v>
      </c>
      <c r="AH111" s="612" t="s">
        <v>3157</v>
      </c>
      <c r="AI111" s="587">
        <v>3</v>
      </c>
      <c r="AJ111" s="613" t="s">
        <v>3158</v>
      </c>
      <c r="AK111" s="614" t="s">
        <v>3159</v>
      </c>
      <c r="AR111" s="587">
        <v>18</v>
      </c>
      <c r="AS111" s="613" t="s">
        <v>3160</v>
      </c>
      <c r="AT111" s="614" t="s">
        <v>3161</v>
      </c>
      <c r="AU111" s="587">
        <v>3</v>
      </c>
      <c r="AV111" s="613" t="s">
        <v>3162</v>
      </c>
      <c r="AW111" s="614" t="s">
        <v>3163</v>
      </c>
      <c r="BA111" s="587">
        <v>3</v>
      </c>
      <c r="BB111" s="578" t="s">
        <v>3164</v>
      </c>
      <c r="BC111" s="650" t="s">
        <v>3165</v>
      </c>
      <c r="BO111" s="612"/>
      <c r="CH111" s="587" t="s">
        <v>3166</v>
      </c>
      <c r="CI111" s="587">
        <v>71</v>
      </c>
      <c r="CJ111" s="587" cm="1">
        <f t="array" ref="CJ111">_xlfn.IFS($AZ$6&gt;=18,83,$AZ$6&gt;=15,83,$AZ$6&gt;=10,82,$AZ$6&gt;=7,82,$AZ$6&gt;=3,80,1,0)</f>
        <v>0</v>
      </c>
    </row>
    <row r="112" customHeight="1" spans="1:88">
      <c r="A112" s="586">
        <v>79</v>
      </c>
      <c r="B112" s="707">
        <v>14</v>
      </c>
      <c r="C112" s="708" t="s">
        <v>3167</v>
      </c>
      <c r="D112" s="709" t="s">
        <v>3168</v>
      </c>
      <c r="E112" s="587">
        <v>14</v>
      </c>
      <c r="F112" s="578" t="s">
        <v>3169</v>
      </c>
      <c r="G112" s="650" t="s">
        <v>3170</v>
      </c>
      <c r="H112" s="587">
        <v>3</v>
      </c>
      <c r="I112" s="587" t="s">
        <v>3171</v>
      </c>
      <c r="J112" s="612" t="s">
        <v>3172</v>
      </c>
      <c r="K112" s="587">
        <v>10</v>
      </c>
      <c r="L112" s="587" t="s">
        <v>3173</v>
      </c>
      <c r="M112" s="612" t="s">
        <v>3174</v>
      </c>
      <c r="O112" s="613" t="s">
        <v>3175</v>
      </c>
      <c r="P112" s="614" t="s">
        <v>3176</v>
      </c>
      <c r="Q112" s="587">
        <v>11</v>
      </c>
      <c r="R112" s="587" t="s">
        <v>3177</v>
      </c>
      <c r="S112" s="612" t="s">
        <v>3178</v>
      </c>
      <c r="T112" s="587">
        <v>3</v>
      </c>
      <c r="U112" s="578" t="s">
        <v>2001</v>
      </c>
      <c r="V112" s="650" t="s">
        <v>3179</v>
      </c>
      <c r="W112" s="587">
        <v>3</v>
      </c>
      <c r="X112" s="587" t="s">
        <v>3180</v>
      </c>
      <c r="Y112" s="612" t="s">
        <v>3181</v>
      </c>
      <c r="Z112" s="587">
        <v>9</v>
      </c>
      <c r="AA112" s="587" t="s">
        <v>3182</v>
      </c>
      <c r="AB112" s="612" t="s">
        <v>3183</v>
      </c>
      <c r="AC112" s="587">
        <v>18</v>
      </c>
      <c r="AD112" s="613" t="s">
        <v>3184</v>
      </c>
      <c r="AE112" s="614" t="s">
        <v>3185</v>
      </c>
      <c r="AF112" s="587">
        <v>3</v>
      </c>
      <c r="AG112" s="587" t="s">
        <v>3186</v>
      </c>
      <c r="AH112" s="612" t="s">
        <v>3187</v>
      </c>
      <c r="AI112" s="587">
        <v>6</v>
      </c>
      <c r="AJ112" s="613" t="s">
        <v>3188</v>
      </c>
      <c r="AK112" s="614" t="s">
        <v>3189</v>
      </c>
      <c r="AR112" s="587">
        <v>3</v>
      </c>
      <c r="AS112" s="587" t="s">
        <v>3190</v>
      </c>
      <c r="AT112" s="612" t="s">
        <v>3191</v>
      </c>
      <c r="AU112" s="587">
        <v>6</v>
      </c>
      <c r="AV112" s="613" t="s">
        <v>3192</v>
      </c>
      <c r="AW112" s="614" t="s">
        <v>3193</v>
      </c>
      <c r="BA112" s="587">
        <v>3</v>
      </c>
      <c r="BB112" s="578" t="s">
        <v>3194</v>
      </c>
      <c r="BC112" s="650" t="s">
        <v>3195</v>
      </c>
      <c r="BO112" s="612"/>
      <c r="CH112" s="587" t="s">
        <v>3196</v>
      </c>
      <c r="CI112" s="587">
        <v>84</v>
      </c>
      <c r="CJ112" s="587" cm="1">
        <f t="array" ref="CJ112">_xlfn.IFS($AZ$6&gt;=18,90,$AZ$6&gt;=15,89,$AZ$6&gt;=10,88,$AZ$6&gt;=7,87,$AZ$6&gt;=3,86,1,0)</f>
        <v>0</v>
      </c>
    </row>
    <row r="113" customHeight="1" spans="1:88">
      <c r="A113" s="586">
        <v>80</v>
      </c>
      <c r="B113" s="707">
        <v>3</v>
      </c>
      <c r="C113" s="698" t="s">
        <v>3197</v>
      </c>
      <c r="D113" s="710" t="s">
        <v>3198</v>
      </c>
      <c r="E113" s="578">
        <v>3</v>
      </c>
      <c r="F113" s="656" t="s">
        <v>3199</v>
      </c>
      <c r="G113" s="691" t="s">
        <v>3200</v>
      </c>
      <c r="H113" s="587">
        <v>6</v>
      </c>
      <c r="I113" s="587" t="s">
        <v>3201</v>
      </c>
      <c r="J113" s="612" t="s">
        <v>3202</v>
      </c>
      <c r="K113" s="587">
        <v>10</v>
      </c>
      <c r="L113" s="587" t="s">
        <v>3203</v>
      </c>
      <c r="M113" s="612" t="s">
        <v>3204</v>
      </c>
      <c r="O113" s="613" t="s">
        <v>3205</v>
      </c>
      <c r="P113" s="614" t="s">
        <v>3206</v>
      </c>
      <c r="Q113" s="587">
        <v>17</v>
      </c>
      <c r="R113" s="587" t="s">
        <v>3207</v>
      </c>
      <c r="S113" s="612" t="s">
        <v>3208</v>
      </c>
      <c r="T113" s="587">
        <v>7</v>
      </c>
      <c r="U113" s="578" t="s">
        <v>3209</v>
      </c>
      <c r="V113" s="650" t="s">
        <v>3210</v>
      </c>
      <c r="W113" s="587">
        <v>3</v>
      </c>
      <c r="X113" s="587" t="s">
        <v>3211</v>
      </c>
      <c r="Y113" s="612" t="s">
        <v>3212</v>
      </c>
      <c r="Z113" s="587">
        <v>13</v>
      </c>
      <c r="AA113" s="587" t="s">
        <v>3213</v>
      </c>
      <c r="AB113" s="612" t="s">
        <v>3214</v>
      </c>
      <c r="AC113" s="587">
        <v>3</v>
      </c>
      <c r="AD113" s="679" t="s">
        <v>3215</v>
      </c>
      <c r="AE113" s="612" t="s">
        <v>3216</v>
      </c>
      <c r="AF113" s="587">
        <v>6</v>
      </c>
      <c r="AG113" s="587" t="s">
        <v>3217</v>
      </c>
      <c r="AH113" s="612" t="s">
        <v>3218</v>
      </c>
      <c r="AI113" s="587">
        <v>6</v>
      </c>
      <c r="AJ113" s="613" t="s">
        <v>3219</v>
      </c>
      <c r="AK113" s="614" t="s">
        <v>3220</v>
      </c>
      <c r="AR113" s="587">
        <v>3</v>
      </c>
      <c r="AS113" s="587" t="s">
        <v>1032</v>
      </c>
      <c r="AT113" s="612" t="s">
        <v>3221</v>
      </c>
      <c r="AU113" s="587">
        <v>10</v>
      </c>
      <c r="AV113" s="613" t="s">
        <v>3222</v>
      </c>
      <c r="AW113" s="614" t="s">
        <v>3223</v>
      </c>
      <c r="BA113" s="587">
        <v>3</v>
      </c>
      <c r="BB113" s="578" t="s">
        <v>3224</v>
      </c>
      <c r="BC113" s="650" t="s">
        <v>3225</v>
      </c>
      <c r="BO113" s="612"/>
      <c r="CH113" s="587" t="s">
        <v>3226</v>
      </c>
      <c r="CI113" s="587">
        <v>91</v>
      </c>
      <c r="CJ113" s="587" cm="1">
        <f t="array" ref="CJ113">_xlfn.IFS($AZ$6&gt;=18,96,$AZ$6&gt;=15,95,$AZ$6&gt;=10,94,$AZ$6&gt;=7,93,$AZ$6&gt;=3,92,1,0)</f>
        <v>0</v>
      </c>
    </row>
    <row r="114" customHeight="1" spans="1:88">
      <c r="A114" s="586">
        <v>81</v>
      </c>
      <c r="B114" s="707">
        <v>3</v>
      </c>
      <c r="C114" s="698" t="s">
        <v>3227</v>
      </c>
      <c r="D114" s="710" t="s">
        <v>3228</v>
      </c>
      <c r="E114" s="578"/>
      <c r="F114" s="689" t="s">
        <v>3229</v>
      </c>
      <c r="G114" s="690" t="s">
        <v>3230</v>
      </c>
      <c r="H114" s="587">
        <v>17</v>
      </c>
      <c r="I114" s="587" t="s">
        <v>3231</v>
      </c>
      <c r="J114" s="612" t="s">
        <v>3232</v>
      </c>
      <c r="K114" s="587">
        <v>14</v>
      </c>
      <c r="L114" s="587" t="s">
        <v>3233</v>
      </c>
      <c r="M114" s="612" t="s">
        <v>3234</v>
      </c>
      <c r="N114" s="587">
        <v>7</v>
      </c>
      <c r="O114" s="613" t="s">
        <v>3235</v>
      </c>
      <c r="P114" s="614" t="s">
        <v>3236</v>
      </c>
      <c r="Q114" s="587">
        <v>3</v>
      </c>
      <c r="R114" s="613" t="s">
        <v>3237</v>
      </c>
      <c r="S114" s="614" t="s">
        <v>3238</v>
      </c>
      <c r="T114" s="587">
        <v>15</v>
      </c>
      <c r="U114" s="578" t="s">
        <v>3239</v>
      </c>
      <c r="V114" s="650" t="s">
        <v>3240</v>
      </c>
      <c r="W114" s="587">
        <v>3</v>
      </c>
      <c r="X114" s="587" t="s">
        <v>3241</v>
      </c>
      <c r="Y114" s="612" t="s">
        <v>3242</v>
      </c>
      <c r="Z114" s="587">
        <v>17</v>
      </c>
      <c r="AA114" s="587" t="s">
        <v>3243</v>
      </c>
      <c r="AB114" s="612" t="s">
        <v>3244</v>
      </c>
      <c r="AC114" s="587">
        <v>3</v>
      </c>
      <c r="AD114" s="679" t="s">
        <v>3245</v>
      </c>
      <c r="AE114" s="612" t="s">
        <v>3246</v>
      </c>
      <c r="AF114" s="587">
        <v>10</v>
      </c>
      <c r="AG114" s="587" t="s">
        <v>3247</v>
      </c>
      <c r="AH114" s="612" t="s">
        <v>3248</v>
      </c>
      <c r="AI114" s="587">
        <v>10</v>
      </c>
      <c r="AJ114" s="613" t="s">
        <v>3249</v>
      </c>
      <c r="AK114" s="614" t="s">
        <v>3250</v>
      </c>
      <c r="AS114" s="587" t="s">
        <v>695</v>
      </c>
      <c r="AT114" s="612" t="s">
        <v>3251</v>
      </c>
      <c r="AU114" s="587">
        <v>14</v>
      </c>
      <c r="AV114" s="613" t="s">
        <v>3252</v>
      </c>
      <c r="AW114" s="614" t="s">
        <v>3253</v>
      </c>
      <c r="BA114" s="587">
        <v>3</v>
      </c>
      <c r="BB114" s="578" t="s">
        <v>1078</v>
      </c>
      <c r="BC114" s="650" t="s">
        <v>3254</v>
      </c>
      <c r="BO114" s="612"/>
      <c r="CH114" s="587" t="s">
        <v>3255</v>
      </c>
      <c r="CI114" s="587">
        <v>97</v>
      </c>
      <c r="CJ114" s="587" cm="1">
        <f t="array" ref="CJ114">_xlfn.IFS($AZ$6&gt;=18,109,$AZ$6&gt;=15,108,$AZ$6&gt;=10,107,$AZ$6&gt;=7,106,$AZ$6&gt;=3,103,1,0)</f>
        <v>0</v>
      </c>
    </row>
    <row r="115" customHeight="1" spans="1:88">
      <c r="A115" s="586">
        <v>82</v>
      </c>
      <c r="B115" s="707">
        <v>6</v>
      </c>
      <c r="C115" s="698" t="s">
        <v>3256</v>
      </c>
      <c r="D115" s="710" t="s">
        <v>3257</v>
      </c>
      <c r="E115" s="578"/>
      <c r="F115" s="689" t="s">
        <v>3258</v>
      </c>
      <c r="G115" s="690" t="s">
        <v>3259</v>
      </c>
      <c r="H115" s="587">
        <v>3</v>
      </c>
      <c r="I115" s="613" t="s">
        <v>3260</v>
      </c>
      <c r="J115" s="614" t="s">
        <v>3261</v>
      </c>
      <c r="K115" s="587">
        <v>3</v>
      </c>
      <c r="L115" s="656" t="s">
        <v>3262</v>
      </c>
      <c r="M115" s="691" t="s">
        <v>3263</v>
      </c>
      <c r="N115" s="587">
        <v>7</v>
      </c>
      <c r="O115" s="613" t="s">
        <v>3264</v>
      </c>
      <c r="P115" s="614" t="s">
        <v>3265</v>
      </c>
      <c r="Q115" s="587">
        <v>3</v>
      </c>
      <c r="R115" s="613" t="s">
        <v>1998</v>
      </c>
      <c r="S115" s="691" t="s">
        <v>3266</v>
      </c>
      <c r="T115" s="587">
        <v>20</v>
      </c>
      <c r="U115" s="578" t="s">
        <v>3267</v>
      </c>
      <c r="V115" s="650" t="s">
        <v>3268</v>
      </c>
      <c r="W115" s="587">
        <v>7</v>
      </c>
      <c r="X115" s="587" t="s">
        <v>3269</v>
      </c>
      <c r="Y115" s="612" t="s">
        <v>3270</v>
      </c>
      <c r="Z115" s="587">
        <v>3</v>
      </c>
      <c r="AA115" s="613" t="s">
        <v>3271</v>
      </c>
      <c r="AB115" s="614" t="s">
        <v>3272</v>
      </c>
      <c r="AC115" s="587">
        <v>3</v>
      </c>
      <c r="AD115" s="679" t="s">
        <v>3273</v>
      </c>
      <c r="AE115" s="612" t="s">
        <v>3274</v>
      </c>
      <c r="AF115" s="587">
        <v>14</v>
      </c>
      <c r="AG115" s="587" t="s">
        <v>3275</v>
      </c>
      <c r="AH115" s="612" t="s">
        <v>3276</v>
      </c>
      <c r="AI115" s="587">
        <v>10</v>
      </c>
      <c r="AJ115" s="613" t="s">
        <v>3277</v>
      </c>
      <c r="AK115" s="614" t="s">
        <v>3278</v>
      </c>
      <c r="AS115" s="587" t="s">
        <v>702</v>
      </c>
      <c r="AT115" s="612" t="s">
        <v>3279</v>
      </c>
      <c r="AU115" s="587">
        <v>18</v>
      </c>
      <c r="AV115" s="613" t="s">
        <v>3280</v>
      </c>
      <c r="AW115" s="614" t="s">
        <v>3281</v>
      </c>
      <c r="BA115" s="587">
        <v>7</v>
      </c>
      <c r="BB115" s="578" t="s">
        <v>3282</v>
      </c>
      <c r="BC115" s="650" t="s">
        <v>2263</v>
      </c>
      <c r="BO115" s="612"/>
      <c r="CH115" s="587" t="s">
        <v>3283</v>
      </c>
      <c r="CI115" s="587">
        <v>110</v>
      </c>
      <c r="CJ115" s="587" cm="1">
        <f t="array" ref="CJ115">_xlfn.IFS($AZ$6&gt;=18,115,$AZ$6&gt;=15,114,$AZ$6&gt;=10,113,$AZ$6&gt;=7,112,$AZ$6&gt;=3,111,1,0)</f>
        <v>0</v>
      </c>
    </row>
    <row r="116" customHeight="1" spans="1:88">
      <c r="A116" s="586">
        <v>83</v>
      </c>
      <c r="B116" s="707">
        <v>6</v>
      </c>
      <c r="C116" s="698" t="s">
        <v>3284</v>
      </c>
      <c r="D116" s="710" t="s">
        <v>3285</v>
      </c>
      <c r="E116" s="578"/>
      <c r="F116" s="689" t="s">
        <v>3286</v>
      </c>
      <c r="G116" s="690" t="s">
        <v>3287</v>
      </c>
      <c r="H116" s="587">
        <v>3</v>
      </c>
      <c r="I116" s="613" t="s">
        <v>3288</v>
      </c>
      <c r="J116" s="614" t="s">
        <v>3289</v>
      </c>
      <c r="K116" s="587">
        <v>3</v>
      </c>
      <c r="L116" s="656" t="s">
        <v>3290</v>
      </c>
      <c r="M116" s="691" t="s">
        <v>3291</v>
      </c>
      <c r="N116" s="587">
        <v>15</v>
      </c>
      <c r="O116" s="613" t="s">
        <v>3292</v>
      </c>
      <c r="P116" s="614" t="s">
        <v>3293</v>
      </c>
      <c r="R116" s="613" t="s">
        <v>258</v>
      </c>
      <c r="S116" s="614" t="s">
        <v>3294</v>
      </c>
      <c r="T116" s="587">
        <v>3</v>
      </c>
      <c r="U116" s="656" t="s">
        <v>3295</v>
      </c>
      <c r="V116" s="691" t="s">
        <v>3296</v>
      </c>
      <c r="W116" s="587">
        <v>11</v>
      </c>
      <c r="X116" s="587" t="s">
        <v>3297</v>
      </c>
      <c r="Y116" s="612" t="s">
        <v>3298</v>
      </c>
      <c r="Z116" s="587">
        <v>3</v>
      </c>
      <c r="AA116" s="613" t="s">
        <v>3299</v>
      </c>
      <c r="AB116" s="614" t="s">
        <v>3300</v>
      </c>
      <c r="AC116" s="587">
        <v>6</v>
      </c>
      <c r="AD116" s="679" t="s">
        <v>3301</v>
      </c>
      <c r="AE116" s="612" t="s">
        <v>3302</v>
      </c>
      <c r="AF116" s="587">
        <v>3</v>
      </c>
      <c r="AG116" s="613" t="s">
        <v>3303</v>
      </c>
      <c r="AH116" s="614" t="s">
        <v>3304</v>
      </c>
      <c r="AI116" s="587">
        <v>14</v>
      </c>
      <c r="AJ116" s="613" t="s">
        <v>3305</v>
      </c>
      <c r="AK116" s="614" t="s">
        <v>3306</v>
      </c>
      <c r="AS116" s="587" t="s">
        <v>3307</v>
      </c>
      <c r="AT116" s="612" t="s">
        <v>3308</v>
      </c>
      <c r="AU116" s="587">
        <v>3</v>
      </c>
      <c r="AV116" s="587" t="s">
        <v>3309</v>
      </c>
      <c r="AW116" s="612" t="s">
        <v>3310</v>
      </c>
      <c r="BA116" s="587">
        <v>7</v>
      </c>
      <c r="BB116" s="578" t="s">
        <v>3311</v>
      </c>
      <c r="BC116" s="650" t="s">
        <v>3312</v>
      </c>
      <c r="BO116" s="612"/>
      <c r="CH116" s="587" t="s">
        <v>3313</v>
      </c>
      <c r="CI116" s="587">
        <v>116</v>
      </c>
      <c r="CJ116" s="587" cm="1">
        <f t="array" ref="CJ116">_xlfn.IFS($AZ$6&gt;=18,121,$AZ$6&gt;=15,120,$AZ$6&gt;=10,119,$AZ$6&gt;=7,118,$AZ$6&gt;=3,117,1,0)</f>
        <v>0</v>
      </c>
    </row>
    <row r="117" customHeight="1" spans="1:88">
      <c r="A117" s="586">
        <v>84</v>
      </c>
      <c r="B117" s="707">
        <v>10</v>
      </c>
      <c r="C117" s="698" t="s">
        <v>3314</v>
      </c>
      <c r="D117" s="710" t="s">
        <v>3315</v>
      </c>
      <c r="E117" s="578"/>
      <c r="F117" s="689" t="s">
        <v>3316</v>
      </c>
      <c r="G117" s="690" t="s">
        <v>3317</v>
      </c>
      <c r="H117" s="587">
        <v>3</v>
      </c>
      <c r="I117" s="613" t="s">
        <v>3318</v>
      </c>
      <c r="J117" s="614" t="s">
        <v>3319</v>
      </c>
      <c r="K117" s="587">
        <v>6</v>
      </c>
      <c r="L117" s="656" t="s">
        <v>3320</v>
      </c>
      <c r="M117" s="691" t="s">
        <v>3321</v>
      </c>
      <c r="N117" s="587">
        <v>3</v>
      </c>
      <c r="O117" s="587" t="s">
        <v>2127</v>
      </c>
      <c r="P117" s="612" t="s">
        <v>3322</v>
      </c>
      <c r="R117" s="613" t="s">
        <v>231</v>
      </c>
      <c r="S117" s="614" t="s">
        <v>3323</v>
      </c>
      <c r="T117" s="587">
        <v>3</v>
      </c>
      <c r="U117" s="656" t="s">
        <v>3324</v>
      </c>
      <c r="V117" s="691" t="s">
        <v>3325</v>
      </c>
      <c r="W117" s="587">
        <v>15</v>
      </c>
      <c r="X117" s="587" t="s">
        <v>3326</v>
      </c>
      <c r="Y117" s="612" t="s">
        <v>3327</v>
      </c>
      <c r="Z117" s="587">
        <v>3</v>
      </c>
      <c r="AA117" s="613" t="s">
        <v>3328</v>
      </c>
      <c r="AB117" s="614" t="s">
        <v>3329</v>
      </c>
      <c r="AC117" s="587">
        <v>6</v>
      </c>
      <c r="AD117" s="679" t="s">
        <v>3330</v>
      </c>
      <c r="AE117" s="612" t="s">
        <v>3331</v>
      </c>
      <c r="AF117" s="587">
        <v>3</v>
      </c>
      <c r="AG117" s="613" t="s">
        <v>3332</v>
      </c>
      <c r="AH117" s="614" t="s">
        <v>3333</v>
      </c>
      <c r="AI117" s="587">
        <v>3</v>
      </c>
      <c r="AJ117" s="714" t="s">
        <v>3334</v>
      </c>
      <c r="AK117" s="612" t="s">
        <v>3335</v>
      </c>
      <c r="AS117" s="587" t="s">
        <v>795</v>
      </c>
      <c r="AT117" s="612" t="s">
        <v>3336</v>
      </c>
      <c r="AU117" s="587">
        <v>3</v>
      </c>
      <c r="AV117" s="587" t="s">
        <v>3337</v>
      </c>
      <c r="AW117" s="612" t="s">
        <v>3338</v>
      </c>
      <c r="BA117" s="587">
        <v>11</v>
      </c>
      <c r="BB117" s="578" t="s">
        <v>3339</v>
      </c>
      <c r="BC117" s="650" t="s">
        <v>3340</v>
      </c>
      <c r="BO117" s="612"/>
      <c r="CH117" s="679" t="s">
        <v>3341</v>
      </c>
      <c r="CI117" s="587">
        <v>122</v>
      </c>
      <c r="CJ117" s="587" cm="1">
        <f t="array" ref="CJ117">_xlfn.IFS($AZ$6&gt;=18,127,$AZ$6&gt;=15,126,$AZ$6&gt;=10,125,$AZ$6&gt;=7,124,$AZ$6&gt;=3,123,1,0)</f>
        <v>0</v>
      </c>
    </row>
    <row r="118" customHeight="1" spans="1:88">
      <c r="A118" s="586">
        <v>85</v>
      </c>
      <c r="B118" s="707">
        <v>14</v>
      </c>
      <c r="C118" s="698" t="s">
        <v>3342</v>
      </c>
      <c r="D118" s="710" t="s">
        <v>3343</v>
      </c>
      <c r="E118" s="578"/>
      <c r="F118" s="689" t="s">
        <v>3344</v>
      </c>
      <c r="G118" s="690" t="s">
        <v>3345</v>
      </c>
      <c r="H118" s="587">
        <v>3</v>
      </c>
      <c r="I118" s="613" t="s">
        <v>3346</v>
      </c>
      <c r="J118" s="614" t="s">
        <v>3347</v>
      </c>
      <c r="K118" s="587">
        <v>10</v>
      </c>
      <c r="L118" s="656" t="s">
        <v>3348</v>
      </c>
      <c r="M118" s="657" t="s">
        <v>3349</v>
      </c>
      <c r="N118" s="587">
        <v>3</v>
      </c>
      <c r="O118" s="587" t="s">
        <v>3350</v>
      </c>
      <c r="P118" s="612" t="s">
        <v>3351</v>
      </c>
      <c r="R118" s="613" t="s">
        <v>222</v>
      </c>
      <c r="S118" s="614" t="s">
        <v>3352</v>
      </c>
      <c r="T118" s="587">
        <v>7</v>
      </c>
      <c r="U118" s="656" t="s">
        <v>3353</v>
      </c>
      <c r="V118" s="691" t="s">
        <v>3354</v>
      </c>
      <c r="W118" s="587">
        <v>3</v>
      </c>
      <c r="X118" s="656" t="s">
        <v>3355</v>
      </c>
      <c r="Y118" s="691" t="s">
        <v>3356</v>
      </c>
      <c r="Z118" s="587">
        <v>9</v>
      </c>
      <c r="AA118" s="613" t="s">
        <v>3357</v>
      </c>
      <c r="AB118" s="614" t="s">
        <v>3358</v>
      </c>
      <c r="AC118" s="587">
        <v>14</v>
      </c>
      <c r="AD118" s="679" t="s">
        <v>3359</v>
      </c>
      <c r="AE118" s="612" t="s">
        <v>3360</v>
      </c>
      <c r="AF118" s="587">
        <v>6</v>
      </c>
      <c r="AG118" s="613" t="s">
        <v>3361</v>
      </c>
      <c r="AH118" s="614" t="s">
        <v>3362</v>
      </c>
      <c r="AI118" s="587">
        <v>3</v>
      </c>
      <c r="AJ118" s="714" t="s">
        <v>3363</v>
      </c>
      <c r="AK118" s="612" t="s">
        <v>3364</v>
      </c>
      <c r="AR118" s="587">
        <v>3</v>
      </c>
      <c r="AS118" s="587" t="s">
        <v>3365</v>
      </c>
      <c r="AT118" s="612" t="s">
        <v>3366</v>
      </c>
      <c r="AU118" s="587">
        <v>3</v>
      </c>
      <c r="AV118" s="587" t="s">
        <v>3367</v>
      </c>
      <c r="AW118" s="612" t="s">
        <v>3368</v>
      </c>
      <c r="BA118" s="587">
        <v>13</v>
      </c>
      <c r="BB118" s="578" t="s">
        <v>3369</v>
      </c>
      <c r="BC118" s="650" t="s">
        <v>3370</v>
      </c>
      <c r="BO118" s="612"/>
      <c r="CH118" s="679" t="s">
        <v>3371</v>
      </c>
      <c r="CI118" s="587">
        <v>128</v>
      </c>
      <c r="CJ118" s="587" cm="1">
        <f t="array" ref="CJ118">_xlfn.IFS($AZ$6&gt;=18,133,$AZ$6&gt;=15,132,$AZ$6&gt;=10,131,$AZ$6&gt;=7,130,$AZ$6&gt;=3,129,1,0)</f>
        <v>0</v>
      </c>
    </row>
    <row r="119" customHeight="1" spans="1:88">
      <c r="A119" s="586">
        <v>86</v>
      </c>
      <c r="B119" s="707">
        <v>14</v>
      </c>
      <c r="C119" s="698" t="s">
        <v>3372</v>
      </c>
      <c r="D119" s="710" t="s">
        <v>3373</v>
      </c>
      <c r="E119" s="578"/>
      <c r="F119" s="689" t="s">
        <v>3374</v>
      </c>
      <c r="G119" s="690" t="s">
        <v>3375</v>
      </c>
      <c r="H119" s="587">
        <v>6</v>
      </c>
      <c r="I119" s="613" t="s">
        <v>3376</v>
      </c>
      <c r="J119" s="614" t="s">
        <v>3377</v>
      </c>
      <c r="K119" s="587">
        <v>14</v>
      </c>
      <c r="L119" s="656" t="s">
        <v>3378</v>
      </c>
      <c r="M119" s="691" t="s">
        <v>3379</v>
      </c>
      <c r="N119" s="587">
        <v>3</v>
      </c>
      <c r="O119" s="587" t="s">
        <v>3380</v>
      </c>
      <c r="P119" s="612" t="s">
        <v>3381</v>
      </c>
      <c r="R119" s="613" t="s">
        <v>2148</v>
      </c>
      <c r="S119" s="614" t="s">
        <v>3382</v>
      </c>
      <c r="T119" s="587">
        <v>15</v>
      </c>
      <c r="U119" s="656" t="s">
        <v>3383</v>
      </c>
      <c r="V119" s="691" t="s">
        <v>3384</v>
      </c>
      <c r="W119" s="587">
        <v>3</v>
      </c>
      <c r="X119" s="656" t="s">
        <v>3385</v>
      </c>
      <c r="Y119" s="691" t="s">
        <v>3386</v>
      </c>
      <c r="Z119" s="587">
        <v>13</v>
      </c>
      <c r="AA119" s="613" t="s">
        <v>3387</v>
      </c>
      <c r="AB119" s="614" t="s">
        <v>3388</v>
      </c>
      <c r="AC119" s="587">
        <v>18</v>
      </c>
      <c r="AD119" s="679" t="s">
        <v>3389</v>
      </c>
      <c r="AE119" s="612" t="s">
        <v>3390</v>
      </c>
      <c r="AF119" s="587">
        <v>10</v>
      </c>
      <c r="AG119" s="613" t="s">
        <v>3391</v>
      </c>
      <c r="AH119" s="614" t="s">
        <v>3392</v>
      </c>
      <c r="AI119" s="587">
        <v>6</v>
      </c>
      <c r="AJ119" s="714" t="s">
        <v>3393</v>
      </c>
      <c r="AK119" s="612" t="s">
        <v>3394</v>
      </c>
      <c r="AR119" s="587">
        <v>7</v>
      </c>
      <c r="AS119" s="587" t="s">
        <v>3395</v>
      </c>
      <c r="AT119" s="612" t="s">
        <v>3396</v>
      </c>
      <c r="AU119" s="587">
        <v>6</v>
      </c>
      <c r="AV119" s="587" t="s">
        <v>885</v>
      </c>
      <c r="AW119" s="612" t="s">
        <v>3397</v>
      </c>
      <c r="BA119" s="587">
        <v>15</v>
      </c>
      <c r="BB119" s="578" t="s">
        <v>3398</v>
      </c>
      <c r="BC119" s="650" t="s">
        <v>3399</v>
      </c>
      <c r="BO119" s="612"/>
      <c r="CH119" s="679" t="s">
        <v>3400</v>
      </c>
      <c r="CI119" s="587">
        <v>134</v>
      </c>
      <c r="CJ119" s="587" cm="1">
        <f t="array" ref="CJ119">_xlfn.IFS($AZ$6&gt;=18,148,$AZ$6&gt;=15,147,$AZ$6&gt;=10,146,$AZ$6&gt;=7,145,$AZ$6&gt;=3,143,1,0)</f>
        <v>0</v>
      </c>
    </row>
    <row r="120" customHeight="1" spans="1:88">
      <c r="A120" s="586">
        <v>87</v>
      </c>
      <c r="B120" s="610">
        <v>3</v>
      </c>
      <c r="C120" s="694" t="s">
        <v>3401</v>
      </c>
      <c r="D120" s="691" t="s">
        <v>3402</v>
      </c>
      <c r="E120" s="578">
        <v>3</v>
      </c>
      <c r="F120" s="656" t="s">
        <v>3403</v>
      </c>
      <c r="G120" s="691" t="s">
        <v>3404</v>
      </c>
      <c r="H120" s="587">
        <v>17</v>
      </c>
      <c r="I120" s="613" t="s">
        <v>3405</v>
      </c>
      <c r="J120" s="614" t="s">
        <v>3406</v>
      </c>
      <c r="K120" s="587">
        <v>3</v>
      </c>
      <c r="L120" s="578" t="s">
        <v>3407</v>
      </c>
      <c r="M120" s="650" t="s">
        <v>3408</v>
      </c>
      <c r="N120" s="587">
        <v>7</v>
      </c>
      <c r="O120" s="587" t="s">
        <v>3409</v>
      </c>
      <c r="P120" s="612" t="s">
        <v>3410</v>
      </c>
      <c r="R120" s="613" t="s">
        <v>2112</v>
      </c>
      <c r="S120" s="614" t="s">
        <v>3411</v>
      </c>
      <c r="T120" s="587">
        <v>20</v>
      </c>
      <c r="U120" s="656" t="s">
        <v>3412</v>
      </c>
      <c r="V120" s="691" t="s">
        <v>3413</v>
      </c>
      <c r="W120" s="587">
        <v>7</v>
      </c>
      <c r="X120" s="656" t="s">
        <v>3414</v>
      </c>
      <c r="Y120" s="691" t="s">
        <v>3415</v>
      </c>
      <c r="Z120" s="587">
        <v>17</v>
      </c>
      <c r="AA120" s="613" t="s">
        <v>3416</v>
      </c>
      <c r="AB120" s="614" t="s">
        <v>3417</v>
      </c>
      <c r="AC120" s="587">
        <v>3</v>
      </c>
      <c r="AD120" s="694" t="s">
        <v>3418</v>
      </c>
      <c r="AE120" s="614" t="s">
        <v>3419</v>
      </c>
      <c r="AF120" s="587">
        <v>14</v>
      </c>
      <c r="AG120" s="613" t="s">
        <v>3420</v>
      </c>
      <c r="AH120" s="614" t="s">
        <v>3421</v>
      </c>
      <c r="AI120" s="587">
        <v>10</v>
      </c>
      <c r="AJ120" s="714" t="s">
        <v>3422</v>
      </c>
      <c r="AK120" s="612" t="s">
        <v>3423</v>
      </c>
      <c r="AR120" s="587">
        <v>7</v>
      </c>
      <c r="AS120" s="587" t="s">
        <v>3424</v>
      </c>
      <c r="AT120" s="612" t="s">
        <v>3425</v>
      </c>
      <c r="AU120" s="587">
        <v>6</v>
      </c>
      <c r="AV120" s="587" t="s">
        <v>3426</v>
      </c>
      <c r="AW120" s="612" t="s">
        <v>3427</v>
      </c>
      <c r="BA120" s="587">
        <v>18</v>
      </c>
      <c r="BB120" s="578" t="s">
        <v>3428</v>
      </c>
      <c r="BC120" s="650" t="s">
        <v>3429</v>
      </c>
      <c r="BO120" s="612"/>
      <c r="CH120" s="679" t="s">
        <v>3430</v>
      </c>
      <c r="CI120" s="587">
        <v>149</v>
      </c>
      <c r="CJ120" s="587" cm="1">
        <f t="array" ref="CJ120">_xlfn.IFS($AZ$6&gt;=18,156,$AZ$6&gt;=15,155,$AZ$6&gt;=10,154,$AZ$6&gt;=7,153,$AZ$6&gt;=3,152,1,0)</f>
        <v>0</v>
      </c>
    </row>
    <row r="121" customHeight="1" spans="1:88">
      <c r="A121" s="586">
        <v>88</v>
      </c>
      <c r="B121" s="610">
        <v>3</v>
      </c>
      <c r="C121" s="656" t="s">
        <v>3431</v>
      </c>
      <c r="D121" s="657" t="s">
        <v>3432</v>
      </c>
      <c r="E121" s="578">
        <v>6</v>
      </c>
      <c r="F121" s="656" t="s">
        <v>3433</v>
      </c>
      <c r="G121" s="691" t="s">
        <v>3434</v>
      </c>
      <c r="H121" s="587">
        <v>3</v>
      </c>
      <c r="I121" s="578" t="s">
        <v>3435</v>
      </c>
      <c r="J121" s="650" t="s">
        <v>3436</v>
      </c>
      <c r="K121" s="587">
        <v>6</v>
      </c>
      <c r="L121" s="578" t="s">
        <v>3437</v>
      </c>
      <c r="M121" s="650" t="s">
        <v>3438</v>
      </c>
      <c r="N121" s="587">
        <v>10</v>
      </c>
      <c r="O121" s="587" t="s">
        <v>3439</v>
      </c>
      <c r="P121" s="612" t="s">
        <v>3440</v>
      </c>
      <c r="R121" s="613" t="s">
        <v>2150</v>
      </c>
      <c r="S121" s="614" t="s">
        <v>3441</v>
      </c>
      <c r="T121" s="587">
        <v>3</v>
      </c>
      <c r="U121" s="578" t="s">
        <v>3442</v>
      </c>
      <c r="V121" s="650" t="s">
        <v>3443</v>
      </c>
      <c r="W121" s="587">
        <v>11</v>
      </c>
      <c r="X121" s="656" t="s">
        <v>3444</v>
      </c>
      <c r="Y121" s="691" t="s">
        <v>3445</v>
      </c>
      <c r="Z121" s="587">
        <v>3</v>
      </c>
      <c r="AA121" s="578" t="s">
        <v>3446</v>
      </c>
      <c r="AB121" s="650" t="s">
        <v>3447</v>
      </c>
      <c r="AD121" s="711" t="s">
        <v>3448</v>
      </c>
      <c r="AE121" s="677" t="s">
        <v>3449</v>
      </c>
      <c r="AF121" s="587">
        <v>3</v>
      </c>
      <c r="AG121" s="587" t="s">
        <v>3450</v>
      </c>
      <c r="AH121" s="612" t="s">
        <v>3451</v>
      </c>
      <c r="AI121" s="587">
        <v>14</v>
      </c>
      <c r="AJ121" s="679" t="s">
        <v>3452</v>
      </c>
      <c r="AK121" s="612" t="s">
        <v>3453</v>
      </c>
      <c r="AR121" s="587">
        <v>11</v>
      </c>
      <c r="AS121" s="587" t="s">
        <v>3454</v>
      </c>
      <c r="AT121" s="612" t="s">
        <v>3455</v>
      </c>
      <c r="AU121" s="587">
        <v>10</v>
      </c>
      <c r="AV121" s="587" t="s">
        <v>3456</v>
      </c>
      <c r="AW121" s="612" t="s">
        <v>3457</v>
      </c>
      <c r="BA121" s="587">
        <v>3</v>
      </c>
      <c r="BB121" s="656" t="s">
        <v>3458</v>
      </c>
      <c r="BC121" s="691" t="s">
        <v>3459</v>
      </c>
      <c r="BO121" s="612"/>
      <c r="CH121" s="679" t="s">
        <v>3460</v>
      </c>
      <c r="CI121" s="587">
        <v>157</v>
      </c>
      <c r="CJ121" s="587" cm="1">
        <f t="array" ref="CJ121">_xlfn.IFS($AZ$6&gt;=18,175,$AZ$6&gt;=15,174,$AZ$6&gt;=10,173,$AZ$6&gt;=7,172,$AZ$6&gt;=3,171,1,0)</f>
        <v>0</v>
      </c>
    </row>
    <row r="122" customHeight="1" spans="1:88">
      <c r="A122" s="586">
        <v>89</v>
      </c>
      <c r="B122" s="610">
        <v>6</v>
      </c>
      <c r="C122" s="656" t="s">
        <v>3461</v>
      </c>
      <c r="D122" s="691" t="s">
        <v>3462</v>
      </c>
      <c r="E122" s="578" t="s">
        <v>2399</v>
      </c>
      <c r="F122" s="689" t="s">
        <v>3463</v>
      </c>
      <c r="G122" s="690" t="s">
        <v>3464</v>
      </c>
      <c r="H122" s="587">
        <v>3</v>
      </c>
      <c r="I122" s="578" t="s">
        <v>3465</v>
      </c>
      <c r="J122" s="650" t="s">
        <v>3466</v>
      </c>
      <c r="K122" s="587">
        <v>10</v>
      </c>
      <c r="L122" s="578" t="s">
        <v>3467</v>
      </c>
      <c r="M122" s="650" t="s">
        <v>3468</v>
      </c>
      <c r="N122" s="587">
        <v>15</v>
      </c>
      <c r="O122" s="587" t="s">
        <v>3469</v>
      </c>
      <c r="P122" s="612" t="s">
        <v>3470</v>
      </c>
      <c r="Q122" s="587">
        <v>3</v>
      </c>
      <c r="R122" s="613" t="s">
        <v>3471</v>
      </c>
      <c r="S122" s="614" t="s">
        <v>3472</v>
      </c>
      <c r="T122" s="587">
        <v>3</v>
      </c>
      <c r="U122" s="578" t="s">
        <v>2001</v>
      </c>
      <c r="V122" s="650" t="s">
        <v>3473</v>
      </c>
      <c r="W122" s="587">
        <v>15</v>
      </c>
      <c r="X122" s="656" t="s">
        <v>3474</v>
      </c>
      <c r="Y122" s="691" t="s">
        <v>3475</v>
      </c>
      <c r="Z122" s="587">
        <v>3</v>
      </c>
      <c r="AA122" s="578" t="s">
        <v>3476</v>
      </c>
      <c r="AB122" s="650" t="s">
        <v>3477</v>
      </c>
      <c r="AD122" s="711" t="s">
        <v>3478</v>
      </c>
      <c r="AE122" s="677" t="s">
        <v>3479</v>
      </c>
      <c r="AF122" s="587">
        <v>3</v>
      </c>
      <c r="AG122" s="587" t="s">
        <v>3480</v>
      </c>
      <c r="AH122" s="612" t="s">
        <v>3481</v>
      </c>
      <c r="AI122" s="578">
        <v>3</v>
      </c>
      <c r="AJ122" s="656" t="s">
        <v>3482</v>
      </c>
      <c r="AK122" s="691" t="s">
        <v>3483</v>
      </c>
      <c r="AR122" s="587">
        <v>15</v>
      </c>
      <c r="AS122" s="587" t="s">
        <v>3484</v>
      </c>
      <c r="AT122" s="612" t="s">
        <v>3485</v>
      </c>
      <c r="AU122" s="587">
        <v>14</v>
      </c>
      <c r="AV122" s="587" t="s">
        <v>3486</v>
      </c>
      <c r="AW122" s="612" t="s">
        <v>3487</v>
      </c>
      <c r="BA122" s="587">
        <v>3</v>
      </c>
      <c r="BB122" s="656" t="s">
        <v>3488</v>
      </c>
      <c r="BC122" s="691" t="s">
        <v>3489</v>
      </c>
      <c r="BO122" s="612"/>
      <c r="CH122" s="679" t="s">
        <v>3490</v>
      </c>
      <c r="CI122" s="587">
        <v>176</v>
      </c>
      <c r="CJ122" s="587" cm="1">
        <f t="array" ref="CJ122">_xlfn.IFS($AZ$6&gt;=18,182,$AZ$6&gt;=15,181,$AZ$6&gt;=10,180,$AZ$6&gt;=7,179,$AZ$6&gt;=3,178,1,0)</f>
        <v>0</v>
      </c>
    </row>
    <row r="123" customHeight="1" spans="1:88">
      <c r="A123" s="586">
        <v>90</v>
      </c>
      <c r="B123" s="610">
        <v>6</v>
      </c>
      <c r="C123" s="656" t="s">
        <v>3491</v>
      </c>
      <c r="D123" s="691" t="s">
        <v>3492</v>
      </c>
      <c r="E123" s="578" t="s">
        <v>2399</v>
      </c>
      <c r="F123" s="689" t="s">
        <v>3493</v>
      </c>
      <c r="G123" s="690" t="s">
        <v>3494</v>
      </c>
      <c r="H123" s="587">
        <v>3</v>
      </c>
      <c r="I123" s="578" t="s">
        <v>3495</v>
      </c>
      <c r="J123" s="650" t="s">
        <v>3496</v>
      </c>
      <c r="K123" s="587">
        <v>14</v>
      </c>
      <c r="L123" s="578" t="s">
        <v>3497</v>
      </c>
      <c r="M123" s="650" t="s">
        <v>3498</v>
      </c>
      <c r="N123" s="587">
        <v>18</v>
      </c>
      <c r="O123" s="587" t="s">
        <v>3499</v>
      </c>
      <c r="P123" s="612" t="s">
        <v>3500</v>
      </c>
      <c r="Q123" s="587">
        <v>6</v>
      </c>
      <c r="R123" s="613" t="s">
        <v>3501</v>
      </c>
      <c r="S123" s="614" t="s">
        <v>3502</v>
      </c>
      <c r="T123" s="587">
        <v>7</v>
      </c>
      <c r="U123" s="578" t="s">
        <v>3503</v>
      </c>
      <c r="V123" s="650" t="s">
        <v>3504</v>
      </c>
      <c r="W123" s="587">
        <v>3</v>
      </c>
      <c r="X123" s="679" t="s">
        <v>3505</v>
      </c>
      <c r="Y123" s="612" t="s">
        <v>3506</v>
      </c>
      <c r="Z123" s="587">
        <v>9</v>
      </c>
      <c r="AA123" s="578" t="s">
        <v>3507</v>
      </c>
      <c r="AB123" s="650" t="s">
        <v>3508</v>
      </c>
      <c r="AD123" s="711" t="s">
        <v>3509</v>
      </c>
      <c r="AE123" s="677" t="s">
        <v>3510</v>
      </c>
      <c r="AF123" s="587">
        <v>3</v>
      </c>
      <c r="AG123" s="587" t="s">
        <v>3511</v>
      </c>
      <c r="AH123" s="612" t="s">
        <v>3512</v>
      </c>
      <c r="AI123" s="578">
        <v>3</v>
      </c>
      <c r="AJ123" s="656" t="s">
        <v>3513</v>
      </c>
      <c r="AK123" s="691" t="s">
        <v>3514</v>
      </c>
      <c r="AR123" s="587">
        <v>18</v>
      </c>
      <c r="AS123" s="587" t="s">
        <v>1693</v>
      </c>
      <c r="AT123" s="612" t="s">
        <v>3515</v>
      </c>
      <c r="AU123" s="587">
        <v>18</v>
      </c>
      <c r="AV123" s="587" t="s">
        <v>3516</v>
      </c>
      <c r="AW123" s="612" t="s">
        <v>3517</v>
      </c>
      <c r="BA123" s="587">
        <v>3</v>
      </c>
      <c r="BB123" s="656" t="s">
        <v>3518</v>
      </c>
      <c r="BC123" s="691" t="s">
        <v>3519</v>
      </c>
      <c r="BO123" s="612"/>
      <c r="CH123" s="679" t="s">
        <v>3520</v>
      </c>
      <c r="CI123" s="587">
        <v>183</v>
      </c>
      <c r="CJ123" s="587" cm="1">
        <f t="array" ref="CJ123">_xlfn.IFS($AZ$6&gt;=18,189,$AZ$6&gt;=15,188,$AZ$6&gt;=10,187,$AZ$6&gt;=7,186,$AZ$6&gt;=3,185,1,0)</f>
        <v>0</v>
      </c>
    </row>
    <row r="124" customHeight="1" spans="1:88">
      <c r="A124" s="586">
        <v>91</v>
      </c>
      <c r="B124" s="610">
        <v>10</v>
      </c>
      <c r="C124" s="656" t="s">
        <v>3521</v>
      </c>
      <c r="D124" s="657" t="s">
        <v>3522</v>
      </c>
      <c r="E124" s="578" t="s">
        <v>2399</v>
      </c>
      <c r="F124" s="689" t="s">
        <v>3523</v>
      </c>
      <c r="G124" s="690" t="s">
        <v>3524</v>
      </c>
      <c r="H124" s="587">
        <v>6</v>
      </c>
      <c r="I124" s="578" t="s">
        <v>3525</v>
      </c>
      <c r="J124" s="650" t="s">
        <v>3526</v>
      </c>
      <c r="K124" s="587">
        <v>3</v>
      </c>
      <c r="L124" s="694" t="s">
        <v>3527</v>
      </c>
      <c r="M124" s="614" t="s">
        <v>3528</v>
      </c>
      <c r="N124" s="587">
        <v>3</v>
      </c>
      <c r="O124" s="613" t="s">
        <v>2127</v>
      </c>
      <c r="P124" s="614" t="s">
        <v>3529</v>
      </c>
      <c r="Q124" s="587">
        <v>11</v>
      </c>
      <c r="R124" s="613" t="s">
        <v>3530</v>
      </c>
      <c r="S124" s="614" t="s">
        <v>3531</v>
      </c>
      <c r="T124" s="587">
        <v>15</v>
      </c>
      <c r="U124" s="578" t="s">
        <v>3532</v>
      </c>
      <c r="V124" s="650" t="s">
        <v>3533</v>
      </c>
      <c r="W124" s="587">
        <v>3</v>
      </c>
      <c r="X124" s="679" t="s">
        <v>3534</v>
      </c>
      <c r="Y124" s="612" t="s">
        <v>3535</v>
      </c>
      <c r="Z124" s="587">
        <v>13</v>
      </c>
      <c r="AA124" s="578" t="s">
        <v>3536</v>
      </c>
      <c r="AB124" s="650" t="s">
        <v>3537</v>
      </c>
      <c r="AD124" s="711" t="s">
        <v>3538</v>
      </c>
      <c r="AE124" s="677" t="s">
        <v>3539</v>
      </c>
      <c r="AF124" s="587">
        <v>6</v>
      </c>
      <c r="AG124" s="587" t="s">
        <v>3540</v>
      </c>
      <c r="AH124" s="612" t="s">
        <v>3541</v>
      </c>
      <c r="AI124" s="578">
        <v>6</v>
      </c>
      <c r="AJ124" s="656" t="s">
        <v>3542</v>
      </c>
      <c r="AK124" s="691" t="s">
        <v>3543</v>
      </c>
      <c r="AU124" s="587">
        <v>3</v>
      </c>
      <c r="AV124" s="613" t="s">
        <v>3544</v>
      </c>
      <c r="AW124" s="614" t="s">
        <v>3545</v>
      </c>
      <c r="BA124" s="587">
        <v>3</v>
      </c>
      <c r="BB124" s="656" t="s">
        <v>1078</v>
      </c>
      <c r="BC124" s="691" t="s">
        <v>3546</v>
      </c>
      <c r="BO124" s="612"/>
      <c r="CH124" s="679" t="s">
        <v>3547</v>
      </c>
      <c r="CI124" s="587">
        <v>190</v>
      </c>
      <c r="CJ124" s="587" cm="1">
        <f t="array" ref="CJ124">_xlfn.IFS($AZ$6&gt;=18,195,$AZ$6&gt;=15,194,$AZ$6&gt;=10,193,$AZ$6&gt;=7,192,$AZ$6&gt;=3,191,1,0)</f>
        <v>0</v>
      </c>
    </row>
    <row r="125" customHeight="1" spans="1:88">
      <c r="A125" s="586">
        <v>92</v>
      </c>
      <c r="B125" s="610">
        <v>14</v>
      </c>
      <c r="C125" s="656" t="s">
        <v>3548</v>
      </c>
      <c r="D125" s="691" t="s">
        <v>3549</v>
      </c>
      <c r="E125" s="578" t="s">
        <v>3037</v>
      </c>
      <c r="F125" s="689" t="s">
        <v>3550</v>
      </c>
      <c r="G125" s="690" t="s">
        <v>3551</v>
      </c>
      <c r="H125" s="587">
        <v>17</v>
      </c>
      <c r="I125" s="578" t="s">
        <v>3552</v>
      </c>
      <c r="J125" s="611" t="s">
        <v>3553</v>
      </c>
      <c r="K125" s="587">
        <v>3</v>
      </c>
      <c r="L125" s="694" t="s">
        <v>3554</v>
      </c>
      <c r="M125" s="614" t="s">
        <v>3555</v>
      </c>
      <c r="N125" s="587">
        <v>3</v>
      </c>
      <c r="O125" s="613" t="s">
        <v>3556</v>
      </c>
      <c r="P125" s="614" t="s">
        <v>3557</v>
      </c>
      <c r="Q125" s="587">
        <v>11</v>
      </c>
      <c r="R125" s="613" t="s">
        <v>3558</v>
      </c>
      <c r="S125" s="614" t="s">
        <v>3559</v>
      </c>
      <c r="T125" s="587">
        <v>20</v>
      </c>
      <c r="U125" s="578" t="s">
        <v>3560</v>
      </c>
      <c r="V125" s="650" t="s">
        <v>3561</v>
      </c>
      <c r="W125" s="587">
        <v>7</v>
      </c>
      <c r="X125" s="679" t="s">
        <v>3562</v>
      </c>
      <c r="Y125" s="612" t="s">
        <v>3563</v>
      </c>
      <c r="Z125" s="587">
        <v>17</v>
      </c>
      <c r="AA125" s="578" t="s">
        <v>3564</v>
      </c>
      <c r="AB125" s="650" t="s">
        <v>3565</v>
      </c>
      <c r="AD125" s="711" t="s">
        <v>3566</v>
      </c>
      <c r="AE125" s="677" t="s">
        <v>3567</v>
      </c>
      <c r="AF125" s="587">
        <v>10</v>
      </c>
      <c r="AG125" s="587" t="s">
        <v>3568</v>
      </c>
      <c r="AH125" s="612" t="s">
        <v>3569</v>
      </c>
      <c r="AI125" s="578">
        <v>6</v>
      </c>
      <c r="AJ125" s="656" t="s">
        <v>3570</v>
      </c>
      <c r="AK125" s="691" t="s">
        <v>3571</v>
      </c>
      <c r="AU125" s="587">
        <v>3</v>
      </c>
      <c r="AV125" s="613" t="s">
        <v>3572</v>
      </c>
      <c r="AW125" s="614" t="s">
        <v>3573</v>
      </c>
      <c r="BA125" s="587">
        <v>7</v>
      </c>
      <c r="BB125" s="656" t="s">
        <v>3574</v>
      </c>
      <c r="BC125" s="691" t="s">
        <v>2263</v>
      </c>
      <c r="BO125" s="612"/>
      <c r="CH125" s="679" t="s">
        <v>3575</v>
      </c>
      <c r="CI125" s="587">
        <v>196</v>
      </c>
      <c r="CJ125" s="587" cm="1">
        <f t="array" ref="CJ125">_xlfn.IFS($AZ$6&gt;=18,201,$AZ$6&gt;=15,200,$AZ$6&gt;=10,199,$AZ$6&gt;=7,198,$AZ$6&gt;=3,197,1,0)</f>
        <v>0</v>
      </c>
    </row>
    <row r="126" customHeight="1" spans="1:88">
      <c r="A126" s="586">
        <v>93</v>
      </c>
      <c r="B126" s="610">
        <v>3</v>
      </c>
      <c r="C126" s="578" t="s">
        <v>3576</v>
      </c>
      <c r="D126" s="650" t="s">
        <v>3577</v>
      </c>
      <c r="E126" s="578">
        <v>14</v>
      </c>
      <c r="F126" s="656" t="s">
        <v>3578</v>
      </c>
      <c r="G126" s="691" t="s">
        <v>3579</v>
      </c>
      <c r="H126" s="587">
        <v>3</v>
      </c>
      <c r="I126" s="656" t="s">
        <v>3580</v>
      </c>
      <c r="J126" s="691" t="s">
        <v>3581</v>
      </c>
      <c r="K126" s="587">
        <v>3</v>
      </c>
      <c r="L126" s="694" t="s">
        <v>3582</v>
      </c>
      <c r="M126" s="614" t="s">
        <v>3583</v>
      </c>
      <c r="N126" s="587">
        <v>7</v>
      </c>
      <c r="O126" s="613" t="s">
        <v>3584</v>
      </c>
      <c r="P126" s="614" t="s">
        <v>3585</v>
      </c>
      <c r="Q126" s="587">
        <v>17</v>
      </c>
      <c r="R126" s="613" t="s">
        <v>3586</v>
      </c>
      <c r="S126" s="614" t="s">
        <v>3587</v>
      </c>
      <c r="T126" s="587">
        <v>3</v>
      </c>
      <c r="U126" s="694" t="s">
        <v>3588</v>
      </c>
      <c r="V126" s="614" t="s">
        <v>3589</v>
      </c>
      <c r="W126" s="587">
        <v>11</v>
      </c>
      <c r="X126" s="679" t="s">
        <v>3590</v>
      </c>
      <c r="Y126" s="612" t="s">
        <v>3591</v>
      </c>
      <c r="Z126" s="587">
        <v>3</v>
      </c>
      <c r="AA126" s="656" t="s">
        <v>3592</v>
      </c>
      <c r="AB126" s="691" t="s">
        <v>3593</v>
      </c>
      <c r="AC126" s="587">
        <v>6</v>
      </c>
      <c r="AD126" s="694" t="s">
        <v>3594</v>
      </c>
      <c r="AE126" s="614" t="s">
        <v>3595</v>
      </c>
      <c r="AF126" s="587">
        <v>10</v>
      </c>
      <c r="AG126" s="587" t="s">
        <v>3596</v>
      </c>
      <c r="AH126" s="612" t="s">
        <v>3597</v>
      </c>
      <c r="AI126" s="578">
        <v>10</v>
      </c>
      <c r="AJ126" s="656" t="s">
        <v>3598</v>
      </c>
      <c r="AK126" s="691" t="s">
        <v>3599</v>
      </c>
      <c r="AU126" s="587">
        <v>3</v>
      </c>
      <c r="AV126" s="613" t="s">
        <v>3600</v>
      </c>
      <c r="AW126" s="614" t="s">
        <v>3601</v>
      </c>
      <c r="BA126" s="587">
        <v>7</v>
      </c>
      <c r="BB126" s="656" t="s">
        <v>3602</v>
      </c>
      <c r="BC126" s="691" t="s">
        <v>3603</v>
      </c>
      <c r="BO126" s="612"/>
      <c r="CH126" s="608" t="s">
        <v>3604</v>
      </c>
      <c r="CI126" s="608">
        <v>28</v>
      </c>
      <c r="CJ126" s="608" cm="1">
        <f t="array" ref="CJ126">_xlfn.IFS($AZ$7&gt;=17,34,$AZ$7&gt;=11,33,$AZ$7&gt;=6,32,$AZ$7&gt;=3,31,1,0)</f>
        <v>0</v>
      </c>
    </row>
    <row r="127" customHeight="1" spans="1:88">
      <c r="A127" s="586">
        <v>94</v>
      </c>
      <c r="B127" s="610">
        <v>3</v>
      </c>
      <c r="C127" s="578" t="s">
        <v>3605</v>
      </c>
      <c r="D127" s="650" t="s">
        <v>3606</v>
      </c>
      <c r="E127" s="587">
        <v>3</v>
      </c>
      <c r="F127" s="679" t="s">
        <v>3607</v>
      </c>
      <c r="G127" s="612" t="s">
        <v>3608</v>
      </c>
      <c r="H127" s="587">
        <v>3</v>
      </c>
      <c r="I127" s="656" t="s">
        <v>3609</v>
      </c>
      <c r="J127" s="691" t="s">
        <v>3610</v>
      </c>
      <c r="K127" s="587">
        <v>6</v>
      </c>
      <c r="L127" s="694" t="s">
        <v>3611</v>
      </c>
      <c r="M127" s="614" t="s">
        <v>3612</v>
      </c>
      <c r="N127" s="587">
        <v>10</v>
      </c>
      <c r="O127" s="613" t="s">
        <v>3613</v>
      </c>
      <c r="P127" s="614" t="s">
        <v>3614</v>
      </c>
      <c r="Q127" s="587">
        <v>3</v>
      </c>
      <c r="R127" s="578" t="s">
        <v>3615</v>
      </c>
      <c r="S127" s="650" t="s">
        <v>3616</v>
      </c>
      <c r="T127" s="587">
        <v>3</v>
      </c>
      <c r="U127" s="694" t="s">
        <v>3617</v>
      </c>
      <c r="V127" s="614" t="s">
        <v>3618</v>
      </c>
      <c r="W127" s="587">
        <v>15</v>
      </c>
      <c r="X127" s="679" t="s">
        <v>3619</v>
      </c>
      <c r="Y127" s="612" t="s">
        <v>3620</v>
      </c>
      <c r="Z127" s="587">
        <v>3</v>
      </c>
      <c r="AA127" s="656" t="s">
        <v>3621</v>
      </c>
      <c r="AB127" s="691" t="s">
        <v>3622</v>
      </c>
      <c r="AC127" s="587">
        <v>14</v>
      </c>
      <c r="AD127" s="694" t="s">
        <v>3623</v>
      </c>
      <c r="AE127" s="614" t="s">
        <v>3624</v>
      </c>
      <c r="AF127" s="587">
        <v>14</v>
      </c>
      <c r="AG127" s="587" t="s">
        <v>3625</v>
      </c>
      <c r="AH127" s="612" t="s">
        <v>3626</v>
      </c>
      <c r="AI127" s="578">
        <v>14</v>
      </c>
      <c r="AJ127" s="656" t="s">
        <v>3627</v>
      </c>
      <c r="AK127" s="691" t="s">
        <v>3628</v>
      </c>
      <c r="AU127" s="587">
        <v>3</v>
      </c>
      <c r="AV127" s="613" t="s">
        <v>3629</v>
      </c>
      <c r="AW127" s="614" t="s">
        <v>3630</v>
      </c>
      <c r="BA127" s="587">
        <v>11</v>
      </c>
      <c r="BB127" s="656" t="s">
        <v>3631</v>
      </c>
      <c r="BC127" s="691" t="s">
        <v>3632</v>
      </c>
      <c r="BO127" s="612"/>
      <c r="CH127" s="587" t="s">
        <v>3633</v>
      </c>
      <c r="CI127" s="587">
        <v>35</v>
      </c>
      <c r="CJ127" s="587" cm="1">
        <f t="array" ref="CJ127">_xlfn.IFS($AZ$7&gt;=17,38,$AZ$7&gt;=11,37,$AZ$7&gt;=6,36,$AZ$7&gt;=3,35,1,0)</f>
        <v>0</v>
      </c>
    </row>
    <row r="128" customHeight="1" spans="1:88">
      <c r="A128" s="586">
        <v>95</v>
      </c>
      <c r="B128" s="610">
        <v>6</v>
      </c>
      <c r="C128" s="578" t="s">
        <v>3634</v>
      </c>
      <c r="D128" s="650" t="s">
        <v>3635</v>
      </c>
      <c r="E128" s="587">
        <v>3</v>
      </c>
      <c r="F128" s="679" t="s">
        <v>3636</v>
      </c>
      <c r="G128" s="612" t="s">
        <v>3637</v>
      </c>
      <c r="H128" s="587">
        <v>3</v>
      </c>
      <c r="I128" s="656" t="s">
        <v>3638</v>
      </c>
      <c r="J128" s="691" t="s">
        <v>3639</v>
      </c>
      <c r="K128" s="587">
        <v>10</v>
      </c>
      <c r="L128" s="694" t="s">
        <v>3640</v>
      </c>
      <c r="M128" s="614" t="s">
        <v>3641</v>
      </c>
      <c r="N128" s="587">
        <v>15</v>
      </c>
      <c r="O128" s="613" t="s">
        <v>3642</v>
      </c>
      <c r="P128" s="614" t="s">
        <v>3643</v>
      </c>
      <c r="Q128" s="587">
        <v>6</v>
      </c>
      <c r="R128" s="578" t="s">
        <v>3644</v>
      </c>
      <c r="S128" s="650" t="s">
        <v>3645</v>
      </c>
      <c r="T128" s="587">
        <v>3</v>
      </c>
      <c r="U128" s="694" t="s">
        <v>3646</v>
      </c>
      <c r="V128" s="614" t="s">
        <v>3647</v>
      </c>
      <c r="W128" s="587">
        <v>3</v>
      </c>
      <c r="X128" s="694" t="s">
        <v>3648</v>
      </c>
      <c r="Y128" s="614" t="s">
        <v>3649</v>
      </c>
      <c r="AA128" s="689" t="s">
        <v>3650</v>
      </c>
      <c r="AB128" s="690" t="s">
        <v>3651</v>
      </c>
      <c r="AC128" s="587">
        <v>18</v>
      </c>
      <c r="AD128" s="694" t="s">
        <v>3652</v>
      </c>
      <c r="AE128" s="614" t="s">
        <v>3653</v>
      </c>
      <c r="AF128" s="587">
        <v>3</v>
      </c>
      <c r="AG128" s="613" t="s">
        <v>3654</v>
      </c>
      <c r="AH128" s="614" t="s">
        <v>3655</v>
      </c>
      <c r="AI128" s="578">
        <v>3</v>
      </c>
      <c r="AJ128" s="578" t="s">
        <v>3656</v>
      </c>
      <c r="AK128" s="650" t="s">
        <v>3657</v>
      </c>
      <c r="AU128" s="587">
        <v>6</v>
      </c>
      <c r="AV128" s="613" t="s">
        <v>3658</v>
      </c>
      <c r="AW128" s="614" t="s">
        <v>3659</v>
      </c>
      <c r="BA128" s="587">
        <v>13</v>
      </c>
      <c r="BB128" s="656" t="s">
        <v>3660</v>
      </c>
      <c r="BC128" s="691" t="s">
        <v>3661</v>
      </c>
      <c r="BO128" s="612"/>
      <c r="CH128" s="587" t="s">
        <v>3662</v>
      </c>
      <c r="CI128" s="587">
        <v>39</v>
      </c>
      <c r="CJ128" s="587" cm="1">
        <f t="array" ref="CJ128">_xlfn.IFS($AZ$7&gt;=17,43,$AZ$7&gt;=11,42,$AZ$7&gt;=6,41,$AZ$7&gt;=3,40,1,0)</f>
        <v>0</v>
      </c>
    </row>
    <row r="129" customHeight="1" spans="1:88">
      <c r="A129" s="586">
        <v>96</v>
      </c>
      <c r="B129" s="610">
        <v>10</v>
      </c>
      <c r="C129" s="578" t="s">
        <v>3663</v>
      </c>
      <c r="D129" s="650" t="s">
        <v>3664</v>
      </c>
      <c r="E129" s="587">
        <v>6</v>
      </c>
      <c r="F129" s="679" t="s">
        <v>3665</v>
      </c>
      <c r="G129" s="612" t="s">
        <v>3666</v>
      </c>
      <c r="H129" s="587">
        <v>3</v>
      </c>
      <c r="I129" s="656" t="s">
        <v>3667</v>
      </c>
      <c r="J129" s="691" t="s">
        <v>3668</v>
      </c>
      <c r="K129" s="587">
        <v>14</v>
      </c>
      <c r="L129" s="694" t="s">
        <v>3669</v>
      </c>
      <c r="M129" s="614" t="s">
        <v>3670</v>
      </c>
      <c r="N129" s="587">
        <v>18</v>
      </c>
      <c r="O129" s="613" t="s">
        <v>3671</v>
      </c>
      <c r="P129" s="614" t="s">
        <v>3672</v>
      </c>
      <c r="Q129" s="587">
        <v>6</v>
      </c>
      <c r="R129" s="578" t="s">
        <v>3673</v>
      </c>
      <c r="S129" s="650" t="s">
        <v>3674</v>
      </c>
      <c r="T129" s="587">
        <v>7</v>
      </c>
      <c r="U129" s="694" t="s">
        <v>3675</v>
      </c>
      <c r="V129" s="614" t="s">
        <v>3676</v>
      </c>
      <c r="W129" s="587">
        <v>3</v>
      </c>
      <c r="X129" s="656" t="s">
        <v>3677</v>
      </c>
      <c r="Y129" s="691" t="s">
        <v>3678</v>
      </c>
      <c r="AA129" s="689" t="s">
        <v>3679</v>
      </c>
      <c r="AB129" s="690" t="s">
        <v>3680</v>
      </c>
      <c r="AC129" s="587">
        <v>3</v>
      </c>
      <c r="AD129" s="679" t="s">
        <v>3681</v>
      </c>
      <c r="AE129" s="612" t="s">
        <v>3682</v>
      </c>
      <c r="AF129" s="587">
        <v>3</v>
      </c>
      <c r="AG129" s="613" t="s">
        <v>3683</v>
      </c>
      <c r="AH129" s="614" t="s">
        <v>3684</v>
      </c>
      <c r="AI129" s="578">
        <v>3</v>
      </c>
      <c r="AJ129" s="578" t="s">
        <v>3685</v>
      </c>
      <c r="AK129" s="650" t="s">
        <v>3686</v>
      </c>
      <c r="AU129" s="587">
        <v>6</v>
      </c>
      <c r="AV129" s="613" t="s">
        <v>3687</v>
      </c>
      <c r="AW129" s="614" t="s">
        <v>3688</v>
      </c>
      <c r="BA129" s="587">
        <v>15</v>
      </c>
      <c r="BB129" s="656" t="s">
        <v>3689</v>
      </c>
      <c r="BC129" s="691" t="s">
        <v>3690</v>
      </c>
      <c r="BO129" s="612"/>
      <c r="CH129" s="587" t="s">
        <v>3691</v>
      </c>
      <c r="CI129" s="587">
        <v>44</v>
      </c>
      <c r="CJ129" s="587" cm="1">
        <f t="array" ref="CJ129">_xlfn.IFS($AZ$7&gt;=17,47,$AZ$7&gt;=11,46,$AZ$7&gt;=6,45,$AZ$7&gt;=3,44,1,0)</f>
        <v>0</v>
      </c>
    </row>
    <row r="130" customHeight="1" spans="1:88">
      <c r="A130" s="586">
        <v>97</v>
      </c>
      <c r="B130" s="610">
        <v>14</v>
      </c>
      <c r="C130" s="578" t="s">
        <v>3692</v>
      </c>
      <c r="D130" s="650" t="s">
        <v>3693</v>
      </c>
      <c r="E130" s="587">
        <v>6</v>
      </c>
      <c r="F130" s="679" t="s">
        <v>3694</v>
      </c>
      <c r="G130" s="612" t="s">
        <v>3695</v>
      </c>
      <c r="H130" s="587">
        <v>6</v>
      </c>
      <c r="I130" s="656" t="s">
        <v>3696</v>
      </c>
      <c r="J130" s="691" t="s">
        <v>3697</v>
      </c>
      <c r="K130" s="587">
        <v>3</v>
      </c>
      <c r="L130" s="679" t="s">
        <v>3698</v>
      </c>
      <c r="M130" s="612" t="s">
        <v>3699</v>
      </c>
      <c r="N130" s="587">
        <v>3</v>
      </c>
      <c r="O130" s="587" t="s">
        <v>3700</v>
      </c>
      <c r="P130" s="612" t="s">
        <v>3701</v>
      </c>
      <c r="Q130" s="587">
        <v>11</v>
      </c>
      <c r="R130" s="578" t="s">
        <v>3702</v>
      </c>
      <c r="S130" s="650" t="s">
        <v>3703</v>
      </c>
      <c r="T130" s="587">
        <v>15</v>
      </c>
      <c r="U130" s="694" t="s">
        <v>3704</v>
      </c>
      <c r="V130" s="614" t="s">
        <v>3705</v>
      </c>
      <c r="W130" s="587">
        <v>3</v>
      </c>
      <c r="X130" s="656" t="s">
        <v>3706</v>
      </c>
      <c r="Y130" s="691" t="s">
        <v>3707</v>
      </c>
      <c r="AA130" s="649" t="s">
        <v>3708</v>
      </c>
      <c r="AB130" s="677" t="s">
        <v>3709</v>
      </c>
      <c r="AC130" s="587">
        <v>3</v>
      </c>
      <c r="AD130" s="679" t="s">
        <v>3710</v>
      </c>
      <c r="AE130" s="612" t="s">
        <v>3711</v>
      </c>
      <c r="AF130" s="587">
        <v>3</v>
      </c>
      <c r="AG130" s="613" t="s">
        <v>3712</v>
      </c>
      <c r="AH130" s="614" t="s">
        <v>3713</v>
      </c>
      <c r="AI130" s="578">
        <v>6</v>
      </c>
      <c r="AJ130" s="578" t="s">
        <v>3714</v>
      </c>
      <c r="AK130" s="650" t="s">
        <v>3715</v>
      </c>
      <c r="AU130" s="587">
        <v>10</v>
      </c>
      <c r="AV130" s="613" t="s">
        <v>3716</v>
      </c>
      <c r="AW130" s="614" t="s">
        <v>3717</v>
      </c>
      <c r="BA130" s="587">
        <v>18</v>
      </c>
      <c r="BB130" s="656" t="s">
        <v>3718</v>
      </c>
      <c r="BC130" s="691" t="s">
        <v>3719</v>
      </c>
      <c r="BO130" s="612"/>
      <c r="CH130" s="587" t="s">
        <v>3720</v>
      </c>
      <c r="CI130" s="587">
        <v>48</v>
      </c>
      <c r="CJ130" s="587" cm="1">
        <f t="array" ref="CJ130">_xlfn.IFS($AZ$7&gt;=17,52,$AZ$7&gt;=11,51,$AZ$7&gt;=6,50,$AZ$7&gt;=3,49,1,0)</f>
        <v>0</v>
      </c>
    </row>
    <row r="131" customHeight="1" spans="1:88">
      <c r="A131" s="586">
        <v>98</v>
      </c>
      <c r="B131" s="610">
        <v>3</v>
      </c>
      <c r="C131" s="656" t="s">
        <v>3721</v>
      </c>
      <c r="D131" s="691" t="s">
        <v>3722</v>
      </c>
      <c r="E131" s="587">
        <v>14</v>
      </c>
      <c r="F131" s="679" t="s">
        <v>3723</v>
      </c>
      <c r="G131" s="612" t="s">
        <v>3724</v>
      </c>
      <c r="H131" s="587">
        <v>6</v>
      </c>
      <c r="I131" s="656" t="s">
        <v>3725</v>
      </c>
      <c r="J131" s="691" t="s">
        <v>3726</v>
      </c>
      <c r="K131" s="587">
        <v>3</v>
      </c>
      <c r="L131" s="679" t="s">
        <v>3727</v>
      </c>
      <c r="M131" s="612" t="s">
        <v>3728</v>
      </c>
      <c r="N131" s="587">
        <v>3</v>
      </c>
      <c r="O131" s="587" t="s">
        <v>3729</v>
      </c>
      <c r="P131" s="612" t="s">
        <v>3730</v>
      </c>
      <c r="Q131" s="587">
        <v>17</v>
      </c>
      <c r="R131" s="578" t="s">
        <v>3731</v>
      </c>
      <c r="S131" s="650" t="s">
        <v>3732</v>
      </c>
      <c r="T131" s="587">
        <v>20</v>
      </c>
      <c r="U131" s="694" t="s">
        <v>3733</v>
      </c>
      <c r="V131" s="614" t="s">
        <v>3734</v>
      </c>
      <c r="W131" s="587">
        <v>7</v>
      </c>
      <c r="X131" s="656" t="s">
        <v>3735</v>
      </c>
      <c r="Y131" s="691" t="s">
        <v>3736</v>
      </c>
      <c r="AA131" s="649" t="s">
        <v>3737</v>
      </c>
      <c r="AB131" s="677" t="s">
        <v>3738</v>
      </c>
      <c r="AC131" s="587">
        <v>6</v>
      </c>
      <c r="AD131" s="679" t="s">
        <v>3739</v>
      </c>
      <c r="AE131" s="612" t="s">
        <v>3740</v>
      </c>
      <c r="AF131" s="587">
        <v>6</v>
      </c>
      <c r="AG131" s="613" t="s">
        <v>3741</v>
      </c>
      <c r="AH131" s="614" t="s">
        <v>3742</v>
      </c>
      <c r="AI131" s="587">
        <v>10</v>
      </c>
      <c r="AJ131" s="679" t="s">
        <v>3743</v>
      </c>
      <c r="AK131" s="612" t="s">
        <v>3744</v>
      </c>
      <c r="AU131" s="587">
        <v>14</v>
      </c>
      <c r="AV131" s="613" t="s">
        <v>3745</v>
      </c>
      <c r="AW131" s="614" t="s">
        <v>3746</v>
      </c>
      <c r="BO131" s="612"/>
      <c r="CH131" s="587" t="s">
        <v>3747</v>
      </c>
      <c r="CI131" s="587">
        <v>53</v>
      </c>
      <c r="CJ131" s="587" cm="1">
        <f t="array" ref="CJ131">_xlfn.IFS($AZ$7&gt;=17,56,$AZ$7&gt;=11,55,$AZ$7&gt;=6,54,$AZ$7&gt;=3,53,1,0)</f>
        <v>0</v>
      </c>
    </row>
    <row r="132" customHeight="1" spans="1:88">
      <c r="A132" s="586">
        <v>99</v>
      </c>
      <c r="B132" s="610">
        <v>3</v>
      </c>
      <c r="C132" s="656" t="s">
        <v>3748</v>
      </c>
      <c r="D132" s="691" t="s">
        <v>3749</v>
      </c>
      <c r="E132" s="587">
        <v>3</v>
      </c>
      <c r="F132" s="656" t="s">
        <v>3750</v>
      </c>
      <c r="G132" s="691" t="s">
        <v>3751</v>
      </c>
      <c r="H132" s="587">
        <v>17</v>
      </c>
      <c r="I132" s="656" t="s">
        <v>3752</v>
      </c>
      <c r="J132" s="657" t="s">
        <v>3753</v>
      </c>
      <c r="K132" s="587">
        <v>3</v>
      </c>
      <c r="L132" s="679" t="s">
        <v>3754</v>
      </c>
      <c r="M132" s="612" t="s">
        <v>3755</v>
      </c>
      <c r="N132" s="587">
        <v>3</v>
      </c>
      <c r="O132" s="587" t="s">
        <v>3756</v>
      </c>
      <c r="P132" s="612" t="s">
        <v>3757</v>
      </c>
      <c r="Q132" s="587">
        <v>3</v>
      </c>
      <c r="R132" s="656" t="s">
        <v>3758</v>
      </c>
      <c r="S132" s="691" t="s">
        <v>3759</v>
      </c>
      <c r="T132" s="587">
        <v>3</v>
      </c>
      <c r="U132" s="679" t="s">
        <v>3760</v>
      </c>
      <c r="V132" s="612" t="s">
        <v>3761</v>
      </c>
      <c r="W132" s="587">
        <v>11</v>
      </c>
      <c r="X132" s="656" t="s">
        <v>3762</v>
      </c>
      <c r="Y132" s="691" t="s">
        <v>3763</v>
      </c>
      <c r="AA132" s="649" t="s">
        <v>3764</v>
      </c>
      <c r="AB132" s="677" t="s">
        <v>3765</v>
      </c>
      <c r="AC132" s="587">
        <v>6</v>
      </c>
      <c r="AD132" s="679" t="s">
        <v>3766</v>
      </c>
      <c r="AE132" s="612" t="s">
        <v>3767</v>
      </c>
      <c r="AF132" s="587">
        <v>10</v>
      </c>
      <c r="AG132" s="613" t="s">
        <v>3768</v>
      </c>
      <c r="AH132" s="614" t="s">
        <v>3769</v>
      </c>
      <c r="AI132" s="587">
        <v>14</v>
      </c>
      <c r="AJ132" s="679" t="s">
        <v>3770</v>
      </c>
      <c r="AK132" s="612" t="s">
        <v>3771</v>
      </c>
      <c r="AU132" s="587">
        <v>18</v>
      </c>
      <c r="AV132" s="613" t="s">
        <v>3772</v>
      </c>
      <c r="AW132" s="614" t="s">
        <v>3773</v>
      </c>
      <c r="BO132" s="612"/>
      <c r="CH132" s="587" t="s">
        <v>3774</v>
      </c>
      <c r="CI132" s="587">
        <v>57</v>
      </c>
      <c r="CJ132" s="587" cm="1">
        <f t="array" ref="CJ132">_xlfn.IFS($AZ$7&gt;=17,60,$AZ$7&gt;=11,59,$AZ$7&gt;=6,58,$AZ$7&gt;=3,57,1,0)</f>
        <v>0</v>
      </c>
    </row>
    <row r="133" customHeight="1" spans="1:88">
      <c r="A133" s="586">
        <v>100</v>
      </c>
      <c r="B133" s="610">
        <v>6</v>
      </c>
      <c r="C133" s="656" t="s">
        <v>3775</v>
      </c>
      <c r="D133" s="691" t="s">
        <v>3776</v>
      </c>
      <c r="E133" s="587">
        <v>3</v>
      </c>
      <c r="F133" s="656" t="s">
        <v>3777</v>
      </c>
      <c r="G133" s="691" t="s">
        <v>3778</v>
      </c>
      <c r="H133" s="587">
        <v>3</v>
      </c>
      <c r="I133" s="578" t="s">
        <v>3779</v>
      </c>
      <c r="J133" s="678" t="s">
        <v>3780</v>
      </c>
      <c r="K133" s="587">
        <v>6</v>
      </c>
      <c r="L133" s="679" t="s">
        <v>3781</v>
      </c>
      <c r="M133" s="612" t="s">
        <v>3782</v>
      </c>
      <c r="N133" s="587">
        <v>3</v>
      </c>
      <c r="O133" s="587" t="s">
        <v>3783</v>
      </c>
      <c r="P133" s="612" t="s">
        <v>3784</v>
      </c>
      <c r="Q133" s="587">
        <v>3</v>
      </c>
      <c r="R133" s="656" t="s">
        <v>3785</v>
      </c>
      <c r="S133" s="691" t="s">
        <v>3786</v>
      </c>
      <c r="T133" s="587">
        <v>3</v>
      </c>
      <c r="U133" s="578" t="s">
        <v>2001</v>
      </c>
      <c r="V133" s="650" t="s">
        <v>3787</v>
      </c>
      <c r="W133" s="587">
        <v>15</v>
      </c>
      <c r="X133" s="656" t="s">
        <v>3788</v>
      </c>
      <c r="Y133" s="691" t="s">
        <v>3789</v>
      </c>
      <c r="AA133" s="649" t="s">
        <v>3790</v>
      </c>
      <c r="AB133" s="677" t="s">
        <v>3791</v>
      </c>
      <c r="AC133" s="587">
        <v>14</v>
      </c>
      <c r="AD133" s="679" t="s">
        <v>3792</v>
      </c>
      <c r="AE133" s="612" t="s">
        <v>3793</v>
      </c>
      <c r="AF133" s="587">
        <v>14</v>
      </c>
      <c r="AG133" s="613" t="s">
        <v>3794</v>
      </c>
      <c r="AH133" s="614" t="s">
        <v>3795</v>
      </c>
      <c r="AI133" s="587">
        <v>3</v>
      </c>
      <c r="AJ133" s="694" t="s">
        <v>3796</v>
      </c>
      <c r="AK133" s="614" t="s">
        <v>3797</v>
      </c>
      <c r="AU133" s="587">
        <v>3</v>
      </c>
      <c r="AV133" s="587" t="s">
        <v>3798</v>
      </c>
      <c r="AW133" s="612" t="s">
        <v>3799</v>
      </c>
      <c r="BO133" s="612"/>
      <c r="CH133" s="587" t="s">
        <v>3800</v>
      </c>
      <c r="CI133" s="587">
        <v>61</v>
      </c>
      <c r="CJ133" s="587" cm="1">
        <f t="array" ref="CJ133">_xlfn.IFS($AZ$7&gt;=17,64,$AZ$7&gt;=11,63,$AZ$7&gt;=6,62,$AZ$7&gt;=3,61,1,0)</f>
        <v>0</v>
      </c>
    </row>
    <row r="134" customHeight="1" spans="1:88">
      <c r="A134" s="586">
        <v>101</v>
      </c>
      <c r="B134" s="610">
        <v>10</v>
      </c>
      <c r="C134" s="656" t="s">
        <v>3801</v>
      </c>
      <c r="D134" s="691" t="s">
        <v>3802</v>
      </c>
      <c r="E134" s="587">
        <v>6</v>
      </c>
      <c r="F134" s="656" t="s">
        <v>3803</v>
      </c>
      <c r="G134" s="691" t="s">
        <v>3804</v>
      </c>
      <c r="H134" s="587">
        <v>3</v>
      </c>
      <c r="I134" s="679" t="s">
        <v>3805</v>
      </c>
      <c r="J134" s="612" t="s">
        <v>3806</v>
      </c>
      <c r="K134" s="587">
        <v>10</v>
      </c>
      <c r="L134" s="679" t="s">
        <v>3807</v>
      </c>
      <c r="M134" s="612" t="s">
        <v>3808</v>
      </c>
      <c r="N134" s="587">
        <v>3</v>
      </c>
      <c r="O134" s="587" t="s">
        <v>3809</v>
      </c>
      <c r="P134" s="612" t="s">
        <v>3810</v>
      </c>
      <c r="Q134" s="587">
        <v>6</v>
      </c>
      <c r="R134" s="656" t="s">
        <v>3811</v>
      </c>
      <c r="S134" s="691" t="s">
        <v>3812</v>
      </c>
      <c r="T134" s="587">
        <v>7</v>
      </c>
      <c r="U134" s="578" t="s">
        <v>3813</v>
      </c>
      <c r="V134" s="650" t="s">
        <v>3814</v>
      </c>
      <c r="W134" s="587">
        <v>3</v>
      </c>
      <c r="X134" s="679" t="s">
        <v>3815</v>
      </c>
      <c r="Y134" s="612" t="s">
        <v>3816</v>
      </c>
      <c r="AA134" s="649" t="s">
        <v>3817</v>
      </c>
      <c r="AB134" s="677" t="s">
        <v>3818</v>
      </c>
      <c r="AC134" s="587">
        <v>18</v>
      </c>
      <c r="AD134" s="679" t="s">
        <v>3819</v>
      </c>
      <c r="AE134" s="612" t="s">
        <v>3820</v>
      </c>
      <c r="AF134" s="587">
        <v>3</v>
      </c>
      <c r="AG134" s="587" t="s">
        <v>3821</v>
      </c>
      <c r="AH134" s="612" t="s">
        <v>3822</v>
      </c>
      <c r="AI134" s="587">
        <v>3</v>
      </c>
      <c r="AJ134" s="694" t="s">
        <v>3823</v>
      </c>
      <c r="AK134" s="614" t="s">
        <v>3824</v>
      </c>
      <c r="AU134" s="587">
        <v>3</v>
      </c>
      <c r="AV134" s="587" t="s">
        <v>3825</v>
      </c>
      <c r="AW134" s="612" t="s">
        <v>3826</v>
      </c>
      <c r="BO134" s="612"/>
      <c r="CH134" s="587" t="s">
        <v>3827</v>
      </c>
      <c r="CI134" s="587">
        <v>65</v>
      </c>
      <c r="CJ134" s="587" cm="1">
        <f t="array" ref="CJ134">_xlfn.IFS($AZ$7&gt;=17,70,$AZ$7&gt;=11,69,$AZ$7&gt;=6,68,$AZ$7&gt;=3,67,1,0)</f>
        <v>0</v>
      </c>
    </row>
    <row r="135" customHeight="1" spans="1:88">
      <c r="A135" s="586">
        <v>102</v>
      </c>
      <c r="B135" s="610">
        <v>14</v>
      </c>
      <c r="C135" s="656" t="s">
        <v>3828</v>
      </c>
      <c r="D135" s="691" t="s">
        <v>3829</v>
      </c>
      <c r="E135" s="587">
        <v>14</v>
      </c>
      <c r="F135" s="656" t="s">
        <v>3830</v>
      </c>
      <c r="G135" s="691" t="s">
        <v>3831</v>
      </c>
      <c r="H135" s="587">
        <v>3</v>
      </c>
      <c r="I135" s="679" t="s">
        <v>3832</v>
      </c>
      <c r="J135" s="612" t="s">
        <v>3833</v>
      </c>
      <c r="K135" s="587">
        <v>14</v>
      </c>
      <c r="L135" s="679" t="s">
        <v>3834</v>
      </c>
      <c r="M135" s="612" t="s">
        <v>3835</v>
      </c>
      <c r="N135" s="587">
        <v>3</v>
      </c>
      <c r="O135" s="587" t="s">
        <v>3836</v>
      </c>
      <c r="P135" s="612" t="s">
        <v>3837</v>
      </c>
      <c r="Q135" s="587">
        <v>11</v>
      </c>
      <c r="R135" s="656" t="s">
        <v>3838</v>
      </c>
      <c r="S135" s="691" t="s">
        <v>3839</v>
      </c>
      <c r="T135" s="587">
        <v>15</v>
      </c>
      <c r="U135" s="578" t="s">
        <v>3840</v>
      </c>
      <c r="V135" s="678" t="s">
        <v>3841</v>
      </c>
      <c r="W135" s="587">
        <v>3</v>
      </c>
      <c r="X135" s="679" t="s">
        <v>3842</v>
      </c>
      <c r="Y135" s="612" t="s">
        <v>3843</v>
      </c>
      <c r="AA135" s="649" t="s">
        <v>3844</v>
      </c>
      <c r="AB135" s="677" t="s">
        <v>3845</v>
      </c>
      <c r="AC135" s="587">
        <v>3</v>
      </c>
      <c r="AD135" s="656" t="s">
        <v>3846</v>
      </c>
      <c r="AE135" s="691" t="s">
        <v>3847</v>
      </c>
      <c r="AF135" s="587">
        <v>3</v>
      </c>
      <c r="AG135" s="587" t="s">
        <v>3848</v>
      </c>
      <c r="AH135" s="612" t="s">
        <v>3849</v>
      </c>
      <c r="AI135" s="587">
        <v>6</v>
      </c>
      <c r="AJ135" s="694" t="s">
        <v>3850</v>
      </c>
      <c r="AK135" s="614" t="s">
        <v>3851</v>
      </c>
      <c r="AU135" s="587">
        <v>3</v>
      </c>
      <c r="AV135" s="587" t="s">
        <v>3852</v>
      </c>
      <c r="AW135" s="612" t="s">
        <v>3853</v>
      </c>
      <c r="BO135" s="612"/>
      <c r="CH135" s="587" t="s">
        <v>3854</v>
      </c>
      <c r="CI135" s="587">
        <v>71</v>
      </c>
      <c r="CJ135" s="587" cm="1">
        <f t="array" ref="CJ135">_xlfn.IFS($AZ$7&gt;=17,75,$AZ$7&gt;=11,74,$AZ$7&gt;=6,73,$AZ$7&gt;=3,72,1,0)</f>
        <v>0</v>
      </c>
    </row>
    <row r="136" customHeight="1" spans="1:88">
      <c r="A136" s="586">
        <v>103</v>
      </c>
      <c r="B136" s="610">
        <v>3</v>
      </c>
      <c r="C136" s="679" t="s">
        <v>3855</v>
      </c>
      <c r="D136" s="612" t="s">
        <v>3856</v>
      </c>
      <c r="E136" s="587">
        <v>3</v>
      </c>
      <c r="F136" s="714" t="s">
        <v>3609</v>
      </c>
      <c r="G136" s="612" t="s">
        <v>3857</v>
      </c>
      <c r="H136" s="587">
        <v>3</v>
      </c>
      <c r="I136" s="679" t="s">
        <v>3858</v>
      </c>
      <c r="J136" s="612" t="s">
        <v>3859</v>
      </c>
      <c r="K136" s="587">
        <v>3</v>
      </c>
      <c r="L136" s="656" t="s">
        <v>3860</v>
      </c>
      <c r="M136" s="691" t="s">
        <v>3861</v>
      </c>
      <c r="N136" s="587">
        <v>3</v>
      </c>
      <c r="O136" s="587" t="s">
        <v>2669</v>
      </c>
      <c r="P136" s="612" t="s">
        <v>3862</v>
      </c>
      <c r="Q136" s="587">
        <v>17</v>
      </c>
      <c r="R136" s="656" t="s">
        <v>2526</v>
      </c>
      <c r="S136" s="691" t="s">
        <v>3863</v>
      </c>
      <c r="T136" s="587">
        <v>20</v>
      </c>
      <c r="U136" s="578" t="s">
        <v>3864</v>
      </c>
      <c r="V136" s="650" t="s">
        <v>3865</v>
      </c>
      <c r="W136" s="587">
        <v>3</v>
      </c>
      <c r="X136" s="679" t="s">
        <v>3866</v>
      </c>
      <c r="Y136" s="612" t="s">
        <v>3867</v>
      </c>
      <c r="AA136" s="649" t="s">
        <v>3868</v>
      </c>
      <c r="AB136" s="677" t="s">
        <v>3869</v>
      </c>
      <c r="AC136" s="587">
        <v>3</v>
      </c>
      <c r="AD136" s="656" t="s">
        <v>3870</v>
      </c>
      <c r="AE136" s="691" t="s">
        <v>3871</v>
      </c>
      <c r="AF136" s="587">
        <v>3</v>
      </c>
      <c r="AG136" s="587" t="s">
        <v>3872</v>
      </c>
      <c r="AH136" s="612" t="s">
        <v>3873</v>
      </c>
      <c r="AI136" s="587">
        <v>10</v>
      </c>
      <c r="AJ136" s="694" t="s">
        <v>3874</v>
      </c>
      <c r="AK136" s="614" t="s">
        <v>3875</v>
      </c>
      <c r="AV136" s="587" t="s">
        <v>3876</v>
      </c>
      <c r="AW136" s="612" t="s">
        <v>3877</v>
      </c>
      <c r="BO136" s="612"/>
      <c r="CH136" s="578" t="s">
        <v>3878</v>
      </c>
      <c r="CI136" s="587">
        <v>76</v>
      </c>
      <c r="CJ136" s="587" cm="1">
        <f t="array" ref="CJ136">_xlfn.IFS($AZ$7&gt;=17,80,$AZ$7&gt;=11,79,$AZ$7&gt;=6,78,$AZ$7&gt;=3,77,1,0)</f>
        <v>0</v>
      </c>
    </row>
    <row r="137" customHeight="1" spans="1:88">
      <c r="A137" s="586">
        <v>104</v>
      </c>
      <c r="B137" s="610">
        <v>3</v>
      </c>
      <c r="C137" s="679" t="s">
        <v>3879</v>
      </c>
      <c r="D137" s="612" t="s">
        <v>3880</v>
      </c>
      <c r="E137" s="587">
        <v>3</v>
      </c>
      <c r="F137" s="714" t="s">
        <v>3881</v>
      </c>
      <c r="G137" s="721" t="s">
        <v>3882</v>
      </c>
      <c r="H137" s="587">
        <v>6</v>
      </c>
      <c r="I137" s="679" t="s">
        <v>3883</v>
      </c>
      <c r="J137" s="612" t="s">
        <v>3884</v>
      </c>
      <c r="K137" s="587">
        <v>3</v>
      </c>
      <c r="L137" s="656" t="s">
        <v>3885</v>
      </c>
      <c r="M137" s="691" t="s">
        <v>3886</v>
      </c>
      <c r="N137" s="587">
        <v>7</v>
      </c>
      <c r="O137" s="587" t="s">
        <v>3887</v>
      </c>
      <c r="P137" s="612" t="s">
        <v>3888</v>
      </c>
      <c r="Q137" s="587">
        <v>3</v>
      </c>
      <c r="R137" s="578" t="s">
        <v>3889</v>
      </c>
      <c r="S137" s="650" t="s">
        <v>3890</v>
      </c>
      <c r="T137" s="587">
        <v>3</v>
      </c>
      <c r="U137" s="694" t="s">
        <v>3891</v>
      </c>
      <c r="V137" s="614" t="s">
        <v>3892</v>
      </c>
      <c r="W137" s="587">
        <v>7</v>
      </c>
      <c r="X137" s="679" t="s">
        <v>3893</v>
      </c>
      <c r="Y137" s="612" t="s">
        <v>3894</v>
      </c>
      <c r="AA137" s="649" t="s">
        <v>3895</v>
      </c>
      <c r="AB137" s="677" t="s">
        <v>3896</v>
      </c>
      <c r="AC137" s="587">
        <v>6</v>
      </c>
      <c r="AD137" s="656" t="s">
        <v>3897</v>
      </c>
      <c r="AE137" s="691" t="s">
        <v>3898</v>
      </c>
      <c r="AF137" s="587">
        <v>3</v>
      </c>
      <c r="AG137" s="587" t="s">
        <v>3899</v>
      </c>
      <c r="AH137" s="612" t="s">
        <v>3900</v>
      </c>
      <c r="AI137" s="587">
        <v>14</v>
      </c>
      <c r="AJ137" s="694" t="s">
        <v>3901</v>
      </c>
      <c r="AK137" s="614" t="s">
        <v>3902</v>
      </c>
      <c r="AU137" s="587">
        <v>6</v>
      </c>
      <c r="AV137" s="587" t="s">
        <v>3903</v>
      </c>
      <c r="AW137" s="612" t="s">
        <v>3904</v>
      </c>
      <c r="BO137" s="612"/>
      <c r="CH137" s="578" t="s">
        <v>307</v>
      </c>
      <c r="CI137" s="587">
        <v>81</v>
      </c>
      <c r="CJ137" s="587" cm="1">
        <f t="array" ref="CJ137">_xlfn.IFS($AZ$7&gt;=17,93,$AZ$7&gt;=11,92,$AZ$7&gt;=6,90,$AZ$7&gt;=3,89,1,0)</f>
        <v>0</v>
      </c>
    </row>
    <row r="138" customHeight="1" spans="1:88">
      <c r="A138" s="586">
        <v>105</v>
      </c>
      <c r="B138" s="610">
        <v>6</v>
      </c>
      <c r="C138" s="679" t="s">
        <v>3905</v>
      </c>
      <c r="D138" s="612" t="s">
        <v>3906</v>
      </c>
      <c r="E138" s="587">
        <v>3</v>
      </c>
      <c r="F138" s="714" t="s">
        <v>3907</v>
      </c>
      <c r="G138" s="612" t="s">
        <v>3908</v>
      </c>
      <c r="H138" s="587">
        <v>17</v>
      </c>
      <c r="I138" s="679" t="s">
        <v>3909</v>
      </c>
      <c r="J138" s="612" t="s">
        <v>3910</v>
      </c>
      <c r="K138" s="587">
        <v>6</v>
      </c>
      <c r="L138" s="656" t="s">
        <v>3911</v>
      </c>
      <c r="M138" s="691" t="s">
        <v>3912</v>
      </c>
      <c r="N138" s="587">
        <v>7</v>
      </c>
      <c r="O138" s="587" t="s">
        <v>3913</v>
      </c>
      <c r="P138" s="612" t="s">
        <v>3914</v>
      </c>
      <c r="Q138" s="587">
        <v>6</v>
      </c>
      <c r="R138" s="578" t="s">
        <v>3915</v>
      </c>
      <c r="S138" s="650" t="s">
        <v>3916</v>
      </c>
      <c r="T138" s="587">
        <v>3</v>
      </c>
      <c r="U138" s="656" t="s">
        <v>2001</v>
      </c>
      <c r="V138" s="691" t="s">
        <v>3917</v>
      </c>
      <c r="W138" s="587">
        <v>11</v>
      </c>
      <c r="X138" s="679" t="s">
        <v>3918</v>
      </c>
      <c r="Y138" s="612" t="s">
        <v>3919</v>
      </c>
      <c r="AA138" s="649" t="s">
        <v>3920</v>
      </c>
      <c r="AB138" s="677" t="s">
        <v>3921</v>
      </c>
      <c r="AC138" s="587">
        <v>14</v>
      </c>
      <c r="AD138" s="656" t="s">
        <v>3922</v>
      </c>
      <c r="AE138" s="691" t="s">
        <v>3923</v>
      </c>
      <c r="AF138" s="587">
        <v>3</v>
      </c>
      <c r="AG138" s="587" t="s">
        <v>3924</v>
      </c>
      <c r="AH138" s="612" t="s">
        <v>3925</v>
      </c>
      <c r="AI138" s="587">
        <v>3</v>
      </c>
      <c r="AJ138" s="679" t="s">
        <v>3926</v>
      </c>
      <c r="AK138" s="612" t="s">
        <v>3927</v>
      </c>
      <c r="AU138" s="587">
        <v>6</v>
      </c>
      <c r="AV138" s="587" t="s">
        <v>3928</v>
      </c>
      <c r="AW138" s="612" t="s">
        <v>3929</v>
      </c>
      <c r="BO138" s="612"/>
      <c r="CH138" s="578" t="s">
        <v>3930</v>
      </c>
      <c r="CI138" s="587">
        <v>94</v>
      </c>
      <c r="CJ138" s="587" cm="1">
        <f t="array" ref="CJ138">_xlfn.IFS($AZ$7&gt;=17,98,$AZ$7&gt;=11,97,$AZ$7&gt;=6,96,$AZ$7&gt;=3,94,1,0)</f>
        <v>0</v>
      </c>
    </row>
    <row r="139" customHeight="1" spans="1:88">
      <c r="A139" s="586">
        <v>106</v>
      </c>
      <c r="B139" s="610">
        <v>10</v>
      </c>
      <c r="C139" s="679" t="s">
        <v>3931</v>
      </c>
      <c r="D139" s="612" t="s">
        <v>3932</v>
      </c>
      <c r="F139" s="714" t="s">
        <v>3933</v>
      </c>
      <c r="G139" s="612" t="s">
        <v>3934</v>
      </c>
      <c r="H139" s="587">
        <v>3</v>
      </c>
      <c r="I139" s="694" t="s">
        <v>3935</v>
      </c>
      <c r="J139" s="614" t="s">
        <v>3936</v>
      </c>
      <c r="K139" s="587">
        <v>10</v>
      </c>
      <c r="L139" s="656" t="s">
        <v>3937</v>
      </c>
      <c r="M139" s="691" t="s">
        <v>3938</v>
      </c>
      <c r="N139" s="587">
        <v>7</v>
      </c>
      <c r="O139" s="587" t="s">
        <v>3939</v>
      </c>
      <c r="P139" s="612" t="s">
        <v>3940</v>
      </c>
      <c r="Q139" s="587">
        <v>6</v>
      </c>
      <c r="R139" s="578" t="s">
        <v>3941</v>
      </c>
      <c r="S139" s="650" t="s">
        <v>3942</v>
      </c>
      <c r="T139" s="587">
        <v>3</v>
      </c>
      <c r="U139" s="656" t="s">
        <v>3943</v>
      </c>
      <c r="V139" s="691" t="s">
        <v>3944</v>
      </c>
      <c r="W139" s="587">
        <v>15</v>
      </c>
      <c r="X139" s="679" t="s">
        <v>3945</v>
      </c>
      <c r="Y139" s="612" t="s">
        <v>3946</v>
      </c>
      <c r="AA139" s="649" t="s">
        <v>3947</v>
      </c>
      <c r="AB139" s="677" t="s">
        <v>3948</v>
      </c>
      <c r="AC139" s="587">
        <v>18</v>
      </c>
      <c r="AD139" s="656" t="s">
        <v>3949</v>
      </c>
      <c r="AE139" s="691" t="s">
        <v>3950</v>
      </c>
      <c r="AF139" s="587">
        <v>6</v>
      </c>
      <c r="AG139" s="587" t="s">
        <v>3951</v>
      </c>
      <c r="AH139" s="612" t="s">
        <v>3952</v>
      </c>
      <c r="AI139" s="587">
        <v>3</v>
      </c>
      <c r="AJ139" s="578" t="s">
        <v>3953</v>
      </c>
      <c r="AK139" s="650" t="s">
        <v>3954</v>
      </c>
      <c r="AU139" s="587">
        <v>10</v>
      </c>
      <c r="AV139" s="587" t="s">
        <v>3955</v>
      </c>
      <c r="AW139" s="612" t="s">
        <v>3956</v>
      </c>
      <c r="BO139" s="612"/>
      <c r="CH139" s="578" t="s">
        <v>3957</v>
      </c>
      <c r="CI139" s="587">
        <v>99</v>
      </c>
      <c r="CJ139" s="587" cm="1">
        <f t="array" ref="CJ139">_xlfn.IFS($AZ$7&gt;=17,103,$AZ$7&gt;=11,102,$AZ$7&gt;=6,101,$AZ$7&gt;=3,100,1,0)</f>
        <v>0</v>
      </c>
    </row>
    <row r="140" customHeight="1" spans="1:88">
      <c r="A140" s="586">
        <v>107</v>
      </c>
      <c r="B140" s="610">
        <v>14</v>
      </c>
      <c r="C140" s="679" t="s">
        <v>3958</v>
      </c>
      <c r="D140" s="612" t="s">
        <v>3959</v>
      </c>
      <c r="F140" s="714" t="s">
        <v>3960</v>
      </c>
      <c r="G140" s="612" t="s">
        <v>3961</v>
      </c>
      <c r="H140" s="587">
        <v>3</v>
      </c>
      <c r="I140" s="656" t="s">
        <v>3962</v>
      </c>
      <c r="J140" s="691" t="s">
        <v>3963</v>
      </c>
      <c r="K140" s="587">
        <v>14</v>
      </c>
      <c r="L140" s="656" t="s">
        <v>3964</v>
      </c>
      <c r="M140" s="691" t="s">
        <v>3965</v>
      </c>
      <c r="N140" s="587">
        <v>10</v>
      </c>
      <c r="O140" s="587" t="s">
        <v>3966</v>
      </c>
      <c r="P140" s="612" t="s">
        <v>3967</v>
      </c>
      <c r="Q140" s="587">
        <v>11</v>
      </c>
      <c r="R140" s="578" t="s">
        <v>3968</v>
      </c>
      <c r="S140" s="650" t="s">
        <v>3969</v>
      </c>
      <c r="T140" s="587">
        <v>7</v>
      </c>
      <c r="U140" s="656" t="s">
        <v>3970</v>
      </c>
      <c r="V140" s="691" t="s">
        <v>3971</v>
      </c>
      <c r="AA140" s="689" t="s">
        <v>3972</v>
      </c>
      <c r="AB140" s="690" t="s">
        <v>3973</v>
      </c>
      <c r="AC140" s="587">
        <v>3</v>
      </c>
      <c r="AD140" s="578" t="s">
        <v>3974</v>
      </c>
      <c r="AE140" s="611" t="s">
        <v>3975</v>
      </c>
      <c r="AF140" s="587">
        <v>10</v>
      </c>
      <c r="AG140" s="587" t="s">
        <v>3976</v>
      </c>
      <c r="AH140" s="612" t="s">
        <v>3977</v>
      </c>
      <c r="AI140" s="587">
        <v>6</v>
      </c>
      <c r="AJ140" s="578" t="s">
        <v>3978</v>
      </c>
      <c r="AK140" s="650" t="s">
        <v>3979</v>
      </c>
      <c r="AU140" s="587">
        <v>14</v>
      </c>
      <c r="AV140" s="587" t="s">
        <v>3980</v>
      </c>
      <c r="AW140" s="612" t="s">
        <v>3981</v>
      </c>
      <c r="BO140" s="612"/>
      <c r="CH140" s="578" t="s">
        <v>3982</v>
      </c>
      <c r="CI140" s="587">
        <v>104</v>
      </c>
      <c r="CJ140" s="587" cm="1">
        <f t="array" ref="CJ140">_xlfn.IFS($AZ$7&gt;=17,108,$AZ$7&gt;=11,107,$AZ$7&gt;=6,106,$AZ$7&gt;=3,104,1,0)</f>
        <v>0</v>
      </c>
    </row>
    <row r="141" customHeight="1" spans="1:88">
      <c r="A141" s="586">
        <v>108</v>
      </c>
      <c r="B141" s="610">
        <v>3</v>
      </c>
      <c r="C141" s="694" t="s">
        <v>3983</v>
      </c>
      <c r="D141" s="614" t="s">
        <v>3984</v>
      </c>
      <c r="F141" s="714" t="s">
        <v>3985</v>
      </c>
      <c r="G141" s="612" t="s">
        <v>3986</v>
      </c>
      <c r="H141" s="587">
        <v>3</v>
      </c>
      <c r="I141" s="656" t="s">
        <v>3987</v>
      </c>
      <c r="J141" s="691" t="s">
        <v>3988</v>
      </c>
      <c r="K141" s="587">
        <v>3</v>
      </c>
      <c r="L141" s="679" t="s">
        <v>3989</v>
      </c>
      <c r="M141" s="612" t="s">
        <v>3990</v>
      </c>
      <c r="N141" s="587">
        <v>15</v>
      </c>
      <c r="O141" s="587" t="s">
        <v>3991</v>
      </c>
      <c r="P141" s="612" t="s">
        <v>3992</v>
      </c>
      <c r="Q141" s="587">
        <v>17</v>
      </c>
      <c r="R141" s="578" t="s">
        <v>3993</v>
      </c>
      <c r="S141" s="650" t="s">
        <v>3994</v>
      </c>
      <c r="T141" s="587">
        <v>15</v>
      </c>
      <c r="U141" s="656" t="s">
        <v>3995</v>
      </c>
      <c r="V141" s="691" t="s">
        <v>3996</v>
      </c>
      <c r="Z141" s="587" t="s">
        <v>1910</v>
      </c>
      <c r="AA141" s="689" t="s">
        <v>3997</v>
      </c>
      <c r="AB141" s="690" t="s">
        <v>3998</v>
      </c>
      <c r="AC141" s="587">
        <v>3</v>
      </c>
      <c r="AD141" s="578" t="s">
        <v>3999</v>
      </c>
      <c r="AE141" s="611" t="s">
        <v>4000</v>
      </c>
      <c r="AF141" s="587">
        <v>14</v>
      </c>
      <c r="AG141" s="587" t="s">
        <v>4001</v>
      </c>
      <c r="AH141" s="612" t="s">
        <v>4002</v>
      </c>
      <c r="AI141" s="587">
        <v>10</v>
      </c>
      <c r="AJ141" s="578" t="s">
        <v>4003</v>
      </c>
      <c r="AK141" s="650" t="s">
        <v>4004</v>
      </c>
      <c r="AU141" s="587">
        <v>18</v>
      </c>
      <c r="AV141" s="587" t="s">
        <v>4005</v>
      </c>
      <c r="AW141" s="612" t="s">
        <v>4006</v>
      </c>
      <c r="BO141" s="612"/>
      <c r="CH141" s="578" t="s">
        <v>4007</v>
      </c>
      <c r="CI141" s="587">
        <v>109</v>
      </c>
      <c r="CJ141" s="587" cm="1">
        <f t="array" ref="CJ141">_xlfn.IFS($AZ$7&gt;=17,114,$AZ$7&gt;=11,113,$AZ$7&gt;=6,112,$AZ$7&gt;=3,110,1,0)</f>
        <v>0</v>
      </c>
    </row>
    <row r="142" customHeight="1" spans="1:88">
      <c r="A142" s="586">
        <v>109</v>
      </c>
      <c r="B142" s="610">
        <v>3</v>
      </c>
      <c r="C142" s="656" t="s">
        <v>4008</v>
      </c>
      <c r="D142" s="691" t="s">
        <v>4009</v>
      </c>
      <c r="F142" s="714" t="s">
        <v>4010</v>
      </c>
      <c r="G142" s="612" t="s">
        <v>4011</v>
      </c>
      <c r="H142" s="587">
        <v>3</v>
      </c>
      <c r="I142" s="656" t="s">
        <v>4012</v>
      </c>
      <c r="J142" s="691" t="s">
        <v>4013</v>
      </c>
      <c r="K142" s="587">
        <v>3</v>
      </c>
      <c r="L142" s="679" t="s">
        <v>4014</v>
      </c>
      <c r="M142" s="612" t="s">
        <v>4015</v>
      </c>
      <c r="N142" s="587">
        <v>18</v>
      </c>
      <c r="O142" s="587" t="s">
        <v>4016</v>
      </c>
      <c r="P142" s="612" t="s">
        <v>4017</v>
      </c>
      <c r="Q142" s="587">
        <v>3</v>
      </c>
      <c r="R142" s="694" t="s">
        <v>4018</v>
      </c>
      <c r="S142" s="614" t="s">
        <v>4019</v>
      </c>
      <c r="T142" s="587">
        <v>20</v>
      </c>
      <c r="U142" s="656" t="s">
        <v>4020</v>
      </c>
      <c r="V142" s="691" t="s">
        <v>4021</v>
      </c>
      <c r="Z142" s="587" t="s">
        <v>1910</v>
      </c>
      <c r="AA142" s="689" t="s">
        <v>4022</v>
      </c>
      <c r="AB142" s="690" t="s">
        <v>4023</v>
      </c>
      <c r="AC142" s="587">
        <v>6</v>
      </c>
      <c r="AD142" s="578" t="s">
        <v>4024</v>
      </c>
      <c r="AE142" s="611" t="s">
        <v>4025</v>
      </c>
      <c r="AF142" s="587">
        <v>3</v>
      </c>
      <c r="AG142" s="613" t="s">
        <v>4026</v>
      </c>
      <c r="AH142" s="614" t="s">
        <v>4027</v>
      </c>
      <c r="AI142" s="587">
        <v>14</v>
      </c>
      <c r="AJ142" s="578" t="s">
        <v>4028</v>
      </c>
      <c r="AK142" s="650" t="s">
        <v>4029</v>
      </c>
      <c r="BO142" s="612"/>
      <c r="CH142" s="578" t="s">
        <v>4030</v>
      </c>
      <c r="CI142" s="587">
        <v>115</v>
      </c>
      <c r="CJ142" s="587" cm="1">
        <f t="array" ref="CJ142">_xlfn.IFS($AZ$7&gt;=17,119,$AZ$7&gt;=11,118,$AZ$7&gt;=6,117,$AZ$7&gt;=3,116,1,0)</f>
        <v>0</v>
      </c>
    </row>
    <row r="143" customHeight="1" spans="1:88">
      <c r="A143" s="586">
        <v>110</v>
      </c>
      <c r="B143" s="610"/>
      <c r="C143" s="689" t="s">
        <v>4031</v>
      </c>
      <c r="D143" s="690" t="s">
        <v>4032</v>
      </c>
      <c r="F143" s="714" t="s">
        <v>4033</v>
      </c>
      <c r="G143" s="612" t="s">
        <v>4034</v>
      </c>
      <c r="H143" s="587">
        <v>6</v>
      </c>
      <c r="I143" s="656" t="s">
        <v>4035</v>
      </c>
      <c r="J143" s="691" t="s">
        <v>4036</v>
      </c>
      <c r="K143" s="587">
        <v>6</v>
      </c>
      <c r="L143" s="679" t="s">
        <v>4037</v>
      </c>
      <c r="M143" s="612" t="s">
        <v>4038</v>
      </c>
      <c r="N143" s="587">
        <v>3</v>
      </c>
      <c r="O143" s="613" t="s">
        <v>4039</v>
      </c>
      <c r="P143" s="614" t="s">
        <v>4040</v>
      </c>
      <c r="Q143" s="587">
        <v>3</v>
      </c>
      <c r="R143" s="694" t="s">
        <v>4041</v>
      </c>
      <c r="S143" s="614" t="s">
        <v>4042</v>
      </c>
      <c r="T143" s="587">
        <v>3</v>
      </c>
      <c r="U143" s="679" t="s">
        <v>4043</v>
      </c>
      <c r="V143" s="612" t="s">
        <v>4044</v>
      </c>
      <c r="Z143" s="587">
        <v>9</v>
      </c>
      <c r="AA143" s="656" t="s">
        <v>4045</v>
      </c>
      <c r="AB143" s="691" t="s">
        <v>4046</v>
      </c>
      <c r="AC143" s="587">
        <v>14</v>
      </c>
      <c r="AD143" s="578" t="s">
        <v>4047</v>
      </c>
      <c r="AE143" s="650" t="s">
        <v>4048</v>
      </c>
      <c r="AF143" s="587">
        <v>3</v>
      </c>
      <c r="AG143" s="613" t="s">
        <v>4049</v>
      </c>
      <c r="AH143" s="614" t="s">
        <v>4050</v>
      </c>
      <c r="AI143" s="587">
        <v>3</v>
      </c>
      <c r="AJ143" s="656" t="s">
        <v>4051</v>
      </c>
      <c r="AK143" s="691" t="s">
        <v>4052</v>
      </c>
      <c r="BO143" s="612"/>
      <c r="CH143" s="578" t="s">
        <v>4053</v>
      </c>
      <c r="CI143" s="587">
        <v>120</v>
      </c>
      <c r="CJ143" s="587" cm="1">
        <f t="array" ref="CJ143">_xlfn.IFS($AZ$7&gt;=17,124,$AZ$7&gt;=11,123,$AZ$7&gt;=6,122,$AZ$7&gt;=3,121,1,0)</f>
        <v>0</v>
      </c>
    </row>
    <row r="144" customHeight="1" spans="1:88">
      <c r="A144" s="586">
        <v>111</v>
      </c>
      <c r="B144" s="610"/>
      <c r="C144" s="689" t="s">
        <v>4054</v>
      </c>
      <c r="D144" s="690" t="s">
        <v>4055</v>
      </c>
      <c r="F144" s="714" t="s">
        <v>4056</v>
      </c>
      <c r="G144" s="612" t="s">
        <v>4057</v>
      </c>
      <c r="H144" s="587">
        <v>17</v>
      </c>
      <c r="I144" s="656" t="s">
        <v>4058</v>
      </c>
      <c r="J144" s="691" t="s">
        <v>4059</v>
      </c>
      <c r="K144" s="587">
        <v>10</v>
      </c>
      <c r="L144" s="679" t="s">
        <v>4060</v>
      </c>
      <c r="M144" s="612" t="s">
        <v>4061</v>
      </c>
      <c r="N144" s="587">
        <v>3</v>
      </c>
      <c r="O144" s="613" t="s">
        <v>4062</v>
      </c>
      <c r="P144" s="614" t="s">
        <v>4063</v>
      </c>
      <c r="Q144" s="587">
        <v>6</v>
      </c>
      <c r="R144" s="694" t="s">
        <v>4064</v>
      </c>
      <c r="S144" s="718" t="s">
        <v>4065</v>
      </c>
      <c r="T144" s="587">
        <v>3</v>
      </c>
      <c r="U144" s="679" t="s">
        <v>4066</v>
      </c>
      <c r="V144" s="612" t="s">
        <v>4067</v>
      </c>
      <c r="Z144" s="587" t="s">
        <v>4068</v>
      </c>
      <c r="AA144" s="689" t="s">
        <v>4069</v>
      </c>
      <c r="AB144" s="690" t="s">
        <v>4070</v>
      </c>
      <c r="AC144" s="587">
        <v>18</v>
      </c>
      <c r="AD144" s="578" t="s">
        <v>4071</v>
      </c>
      <c r="AE144" s="611" t="s">
        <v>4072</v>
      </c>
      <c r="AF144" s="587">
        <v>3</v>
      </c>
      <c r="AG144" s="613" t="s">
        <v>4073</v>
      </c>
      <c r="AH144" s="614" t="s">
        <v>4074</v>
      </c>
      <c r="AI144" s="587">
        <v>3</v>
      </c>
      <c r="AJ144" s="656" t="s">
        <v>4075</v>
      </c>
      <c r="AK144" s="691" t="s">
        <v>4076</v>
      </c>
      <c r="BO144" s="612"/>
      <c r="CH144" s="578" t="s">
        <v>309</v>
      </c>
      <c r="CI144" s="587">
        <v>125</v>
      </c>
      <c r="CJ144" s="587" cm="1">
        <f t="array" ref="CJ144">_xlfn.IFS($AZ$7&gt;=17,135,$AZ$7&gt;=11,134,$AZ$7&gt;=6,133,$AZ$7&gt;=3,131,1,0)</f>
        <v>0</v>
      </c>
    </row>
    <row r="145" customHeight="1" spans="1:88">
      <c r="A145" s="586">
        <v>112</v>
      </c>
      <c r="B145" s="610"/>
      <c r="C145" s="689" t="s">
        <v>4077</v>
      </c>
      <c r="D145" s="690" t="s">
        <v>4078</v>
      </c>
      <c r="F145" s="714" t="s">
        <v>4079</v>
      </c>
      <c r="G145" s="612" t="s">
        <v>4080</v>
      </c>
      <c r="H145" s="587">
        <v>3</v>
      </c>
      <c r="I145" s="714" t="s">
        <v>4081</v>
      </c>
      <c r="J145" s="612" t="s">
        <v>4082</v>
      </c>
      <c r="K145" s="587">
        <v>14</v>
      </c>
      <c r="L145" s="679" t="s">
        <v>4083</v>
      </c>
      <c r="M145" s="612" t="s">
        <v>4084</v>
      </c>
      <c r="N145" s="587">
        <v>7</v>
      </c>
      <c r="O145" s="613" t="s">
        <v>4085</v>
      </c>
      <c r="P145" s="614" t="s">
        <v>4086</v>
      </c>
      <c r="Q145" s="587">
        <v>6</v>
      </c>
      <c r="R145" s="694" t="s">
        <v>4087</v>
      </c>
      <c r="S145" s="614" t="s">
        <v>4088</v>
      </c>
      <c r="T145" s="587">
        <v>3</v>
      </c>
      <c r="U145" s="679" t="s">
        <v>4089</v>
      </c>
      <c r="V145" s="612" t="s">
        <v>4090</v>
      </c>
      <c r="Z145" s="587">
        <v>13</v>
      </c>
      <c r="AA145" s="656" t="s">
        <v>4091</v>
      </c>
      <c r="AB145" s="691" t="s">
        <v>4092</v>
      </c>
      <c r="AC145" s="587">
        <v>3</v>
      </c>
      <c r="AD145" s="694" t="s">
        <v>4093</v>
      </c>
      <c r="AE145" s="614" t="s">
        <v>4094</v>
      </c>
      <c r="AF145" s="587">
        <v>3</v>
      </c>
      <c r="AG145" s="613" t="s">
        <v>4095</v>
      </c>
      <c r="AH145" s="614" t="s">
        <v>4096</v>
      </c>
      <c r="AI145" s="587">
        <v>6</v>
      </c>
      <c r="AJ145" s="656" t="s">
        <v>4097</v>
      </c>
      <c r="AK145" s="691" t="s">
        <v>4098</v>
      </c>
      <c r="BO145" s="612"/>
      <c r="CH145" s="608" t="s">
        <v>4099</v>
      </c>
      <c r="CI145" s="608">
        <v>30</v>
      </c>
      <c r="CJ145" s="608" cm="1">
        <f t="array" ref="CJ145">_xlfn.IFS($AZ$8=20,34,$AZ$8&gt;=15,33,$AZ$8&gt;=7,32,$AZ$8&gt;=3,31,1,0)</f>
        <v>0</v>
      </c>
    </row>
    <row r="146" customHeight="1" spans="1:88">
      <c r="A146" s="586">
        <v>113</v>
      </c>
      <c r="B146" s="610"/>
      <c r="C146" s="689" t="s">
        <v>4100</v>
      </c>
      <c r="D146" s="690" t="s">
        <v>4101</v>
      </c>
      <c r="F146" s="714" t="s">
        <v>4102</v>
      </c>
      <c r="G146" s="612" t="s">
        <v>4103</v>
      </c>
      <c r="H146" s="587">
        <v>3</v>
      </c>
      <c r="I146" s="578" t="s">
        <v>4104</v>
      </c>
      <c r="J146" s="650" t="s">
        <v>4105</v>
      </c>
      <c r="K146" s="587">
        <v>3</v>
      </c>
      <c r="L146" s="694" t="s">
        <v>4106</v>
      </c>
      <c r="M146" s="614" t="s">
        <v>4107</v>
      </c>
      <c r="N146" s="587">
        <v>10</v>
      </c>
      <c r="O146" s="613" t="s">
        <v>4108</v>
      </c>
      <c r="P146" s="614" t="s">
        <v>4109</v>
      </c>
      <c r="Q146" s="587">
        <v>11</v>
      </c>
      <c r="R146" s="694" t="s">
        <v>4110</v>
      </c>
      <c r="S146" s="614" t="s">
        <v>4111</v>
      </c>
      <c r="T146" s="587">
        <v>7</v>
      </c>
      <c r="U146" s="679" t="s">
        <v>4112</v>
      </c>
      <c r="V146" s="612" t="s">
        <v>4113</v>
      </c>
      <c r="AA146" s="689" t="s">
        <v>4114</v>
      </c>
      <c r="AB146" s="690" t="s">
        <v>4115</v>
      </c>
      <c r="AC146" s="587">
        <v>3</v>
      </c>
      <c r="AD146" s="694" t="s">
        <v>4116</v>
      </c>
      <c r="AE146" s="614" t="s">
        <v>4117</v>
      </c>
      <c r="AF146" s="587">
        <v>6</v>
      </c>
      <c r="AG146" s="613" t="s">
        <v>4118</v>
      </c>
      <c r="AH146" s="614" t="s">
        <v>4119</v>
      </c>
      <c r="AI146" s="587">
        <v>10</v>
      </c>
      <c r="AJ146" s="656" t="s">
        <v>4120</v>
      </c>
      <c r="AK146" s="691" t="s">
        <v>4121</v>
      </c>
      <c r="BO146" s="612"/>
      <c r="CH146" s="587" t="s">
        <v>4122</v>
      </c>
      <c r="CI146" s="587">
        <v>35</v>
      </c>
      <c r="CJ146" s="587" cm="1">
        <f t="array" ref="CJ146">_xlfn.IFS($AZ$8=20,40,$AZ$8&gt;=15,39,$AZ$8&gt;=7,38,$AZ$8&gt;=3,37,1,0)</f>
        <v>0</v>
      </c>
    </row>
    <row r="147" customHeight="1" spans="1:88">
      <c r="A147" s="586">
        <v>114</v>
      </c>
      <c r="B147" s="610"/>
      <c r="C147" s="689" t="s">
        <v>4123</v>
      </c>
      <c r="D147" s="690" t="s">
        <v>4124</v>
      </c>
      <c r="F147" s="714" t="s">
        <v>4125</v>
      </c>
      <c r="G147" s="612" t="s">
        <v>4126</v>
      </c>
      <c r="H147" s="587">
        <v>3</v>
      </c>
      <c r="I147" s="578" t="s">
        <v>4127</v>
      </c>
      <c r="J147" s="650" t="s">
        <v>4128</v>
      </c>
      <c r="K147" s="587">
        <v>3</v>
      </c>
      <c r="L147" s="656" t="s">
        <v>4129</v>
      </c>
      <c r="M147" s="657" t="s">
        <v>4130</v>
      </c>
      <c r="N147" s="587">
        <v>15</v>
      </c>
      <c r="O147" s="613" t="s">
        <v>4131</v>
      </c>
      <c r="P147" s="614" t="s">
        <v>4132</v>
      </c>
      <c r="Q147" s="587">
        <v>17</v>
      </c>
      <c r="R147" s="694" t="s">
        <v>4133</v>
      </c>
      <c r="S147" s="614" t="s">
        <v>4134</v>
      </c>
      <c r="T147" s="587">
        <v>15</v>
      </c>
      <c r="U147" s="679" t="s">
        <v>4135</v>
      </c>
      <c r="V147" s="612" t="s">
        <v>4136</v>
      </c>
      <c r="AA147" s="689" t="s">
        <v>4137</v>
      </c>
      <c r="AB147" s="690" t="s">
        <v>4138</v>
      </c>
      <c r="AC147" s="587">
        <v>6</v>
      </c>
      <c r="AD147" s="694" t="s">
        <v>4139</v>
      </c>
      <c r="AE147" s="614" t="s">
        <v>4140</v>
      </c>
      <c r="AF147" s="587">
        <v>6</v>
      </c>
      <c r="AG147" s="613" t="s">
        <v>4141</v>
      </c>
      <c r="AH147" s="614" t="s">
        <v>4142</v>
      </c>
      <c r="AI147" s="587">
        <v>14</v>
      </c>
      <c r="AJ147" s="656" t="s">
        <v>4143</v>
      </c>
      <c r="AK147" s="691" t="s">
        <v>4144</v>
      </c>
      <c r="BO147" s="612"/>
      <c r="CH147" s="587" t="s">
        <v>4145</v>
      </c>
      <c r="CI147" s="587">
        <v>41</v>
      </c>
      <c r="CJ147" s="587" cm="1">
        <f t="array" ref="CJ147">_xlfn.IFS($AZ$8=20,45,$AZ$8&gt;=15,44,$AZ$8&gt;=7,43,$AZ$8&gt;=3,42,1,0)</f>
        <v>0</v>
      </c>
    </row>
    <row r="148" customHeight="1" spans="1:88">
      <c r="A148" s="586">
        <v>115</v>
      </c>
      <c r="B148" s="610"/>
      <c r="C148" s="689" t="s">
        <v>4146</v>
      </c>
      <c r="D148" s="690" t="s">
        <v>4147</v>
      </c>
      <c r="F148" s="714" t="s">
        <v>4148</v>
      </c>
      <c r="G148" s="612" t="s">
        <v>4149</v>
      </c>
      <c r="H148" s="587">
        <v>6</v>
      </c>
      <c r="I148" s="578" t="s">
        <v>4150</v>
      </c>
      <c r="J148" s="650" t="s">
        <v>4151</v>
      </c>
      <c r="K148" s="587">
        <v>6</v>
      </c>
      <c r="L148" s="656" t="s">
        <v>4152</v>
      </c>
      <c r="M148" s="657" t="s">
        <v>4153</v>
      </c>
      <c r="N148" s="587">
        <v>18</v>
      </c>
      <c r="O148" s="613" t="s">
        <v>4154</v>
      </c>
      <c r="P148" s="614" t="s">
        <v>4155</v>
      </c>
      <c r="Q148" s="587">
        <v>3</v>
      </c>
      <c r="R148" s="679" t="s">
        <v>4156</v>
      </c>
      <c r="S148" s="612" t="s">
        <v>4157</v>
      </c>
      <c r="T148" s="587">
        <v>20</v>
      </c>
      <c r="U148" s="679" t="s">
        <v>4158</v>
      </c>
      <c r="V148" s="612" t="s">
        <v>4159</v>
      </c>
      <c r="AA148" s="689" t="s">
        <v>4160</v>
      </c>
      <c r="AB148" s="690" t="s">
        <v>4161</v>
      </c>
      <c r="AC148" s="587">
        <v>14</v>
      </c>
      <c r="AD148" s="694" t="s">
        <v>4162</v>
      </c>
      <c r="AE148" s="614" t="s">
        <v>4163</v>
      </c>
      <c r="AF148" s="587">
        <v>10</v>
      </c>
      <c r="AG148" s="613" t="s">
        <v>4164</v>
      </c>
      <c r="AH148" s="614" t="s">
        <v>4165</v>
      </c>
      <c r="AI148" s="587">
        <v>3</v>
      </c>
      <c r="AJ148" s="578" t="s">
        <v>4166</v>
      </c>
      <c r="AK148" s="611" t="s">
        <v>4167</v>
      </c>
      <c r="BO148" s="612"/>
      <c r="CH148" s="587" t="s">
        <v>4168</v>
      </c>
      <c r="CI148" s="587">
        <v>46</v>
      </c>
      <c r="CJ148" s="587" cm="1">
        <f t="array" ref="CJ148">_xlfn.IFS($AZ$8=20,50,$AZ$8&gt;=15,49,$AZ$8&gt;=7,48,$AZ$8&gt;=3,47,1,0)</f>
        <v>0</v>
      </c>
    </row>
    <row r="149" customHeight="1" spans="1:88">
      <c r="A149" s="586">
        <v>116</v>
      </c>
      <c r="B149" s="610"/>
      <c r="C149" s="689" t="s">
        <v>4169</v>
      </c>
      <c r="D149" s="690" t="s">
        <v>4170</v>
      </c>
      <c r="E149" s="587">
        <v>6</v>
      </c>
      <c r="F149" s="714" t="s">
        <v>4171</v>
      </c>
      <c r="G149" s="612" t="s">
        <v>4172</v>
      </c>
      <c r="H149" s="587">
        <v>17</v>
      </c>
      <c r="I149" s="578" t="s">
        <v>4173</v>
      </c>
      <c r="J149" s="650" t="s">
        <v>4174</v>
      </c>
      <c r="K149" s="587">
        <v>10</v>
      </c>
      <c r="L149" s="656" t="s">
        <v>4175</v>
      </c>
      <c r="M149" s="657" t="s">
        <v>4176</v>
      </c>
      <c r="N149" s="587">
        <v>3</v>
      </c>
      <c r="O149" s="587" t="s">
        <v>4177</v>
      </c>
      <c r="P149" s="612" t="s">
        <v>4178</v>
      </c>
      <c r="Q149" s="587">
        <v>3</v>
      </c>
      <c r="R149" s="679" t="s">
        <v>4179</v>
      </c>
      <c r="S149" s="612" t="s">
        <v>4180</v>
      </c>
      <c r="T149" s="587">
        <v>3</v>
      </c>
      <c r="U149" s="694" t="s">
        <v>4181</v>
      </c>
      <c r="V149" s="614" t="s">
        <v>4182</v>
      </c>
      <c r="AA149" s="689" t="s">
        <v>4183</v>
      </c>
      <c r="AB149" s="690" t="s">
        <v>4184</v>
      </c>
      <c r="AC149" s="587">
        <v>18</v>
      </c>
      <c r="AD149" s="694" t="s">
        <v>4185</v>
      </c>
      <c r="AE149" s="614" t="s">
        <v>4186</v>
      </c>
      <c r="AF149" s="587">
        <v>14</v>
      </c>
      <c r="AG149" s="613" t="s">
        <v>4187</v>
      </c>
      <c r="AH149" s="614" t="s">
        <v>4188</v>
      </c>
      <c r="AI149" s="587">
        <v>3</v>
      </c>
      <c r="AJ149" s="578" t="s">
        <v>4189</v>
      </c>
      <c r="AK149" s="650" t="s">
        <v>4190</v>
      </c>
      <c r="BO149" s="612"/>
      <c r="CH149" s="587" t="s">
        <v>4191</v>
      </c>
      <c r="CI149" s="587">
        <v>51</v>
      </c>
      <c r="CJ149" s="587" cm="1">
        <f t="array" ref="CJ149">_xlfn.IFS($AZ$8=20,55,$AZ$8&gt;=15,54,$AZ$8&gt;=7,53,$AZ$8&gt;=3,52,1,0)</f>
        <v>0</v>
      </c>
    </row>
    <row r="150" customHeight="1" spans="1:88">
      <c r="A150" s="586">
        <v>117</v>
      </c>
      <c r="B150" s="610"/>
      <c r="C150" s="689" t="s">
        <v>4192</v>
      </c>
      <c r="D150" s="690" t="s">
        <v>4193</v>
      </c>
      <c r="E150" s="587">
        <v>6</v>
      </c>
      <c r="F150" s="714" t="s">
        <v>4194</v>
      </c>
      <c r="G150" s="612" t="s">
        <v>4195</v>
      </c>
      <c r="H150" s="587">
        <v>3</v>
      </c>
      <c r="I150" s="722" t="s">
        <v>4196</v>
      </c>
      <c r="J150" s="614" t="s">
        <v>4197</v>
      </c>
      <c r="K150" s="587">
        <v>14</v>
      </c>
      <c r="L150" s="656" t="s">
        <v>4198</v>
      </c>
      <c r="M150" s="657" t="s">
        <v>4199</v>
      </c>
      <c r="N150" s="587">
        <v>3</v>
      </c>
      <c r="O150" s="587" t="s">
        <v>4200</v>
      </c>
      <c r="P150" s="612" t="s">
        <v>4201</v>
      </c>
      <c r="Q150" s="587">
        <v>6</v>
      </c>
      <c r="R150" s="679" t="s">
        <v>4202</v>
      </c>
      <c r="S150" s="612" t="s">
        <v>4203</v>
      </c>
      <c r="T150" s="587">
        <v>3</v>
      </c>
      <c r="U150" s="694" t="s">
        <v>4204</v>
      </c>
      <c r="V150" s="614" t="s">
        <v>4205</v>
      </c>
      <c r="AA150" s="689" t="s">
        <v>4206</v>
      </c>
      <c r="AB150" s="690" t="s">
        <v>4207</v>
      </c>
      <c r="AC150" s="587">
        <v>3</v>
      </c>
      <c r="AD150" s="679" t="s">
        <v>4208</v>
      </c>
      <c r="AE150" s="587" t="s">
        <v>4209</v>
      </c>
      <c r="AF150" s="587">
        <v>3</v>
      </c>
      <c r="AG150" s="587" t="s">
        <v>4210</v>
      </c>
      <c r="AH150" s="612" t="s">
        <v>4211</v>
      </c>
      <c r="AI150" s="587">
        <v>6</v>
      </c>
      <c r="AJ150" s="578" t="s">
        <v>4212</v>
      </c>
      <c r="AK150" s="612" t="s">
        <v>4213</v>
      </c>
      <c r="BO150" s="612"/>
      <c r="CH150" s="587" t="s">
        <v>4214</v>
      </c>
      <c r="CI150" s="587">
        <v>56</v>
      </c>
      <c r="CJ150" s="587" cm="1">
        <f t="array" ref="CJ150">_xlfn.IFS($AZ$8=20,60,$AZ$8&gt;=15,59,$AZ$8&gt;=7,58,$AZ$8&gt;=3,57,1,0)</f>
        <v>0</v>
      </c>
    </row>
    <row r="151" customHeight="1" spans="1:88">
      <c r="A151" s="586">
        <v>118</v>
      </c>
      <c r="B151" s="610"/>
      <c r="C151" s="689" t="s">
        <v>4215</v>
      </c>
      <c r="D151" s="690" t="s">
        <v>4216</v>
      </c>
      <c r="E151" s="587">
        <v>3</v>
      </c>
      <c r="F151" s="656" t="s">
        <v>4217</v>
      </c>
      <c r="G151" s="691" t="s">
        <v>4218</v>
      </c>
      <c r="H151" s="587">
        <v>3</v>
      </c>
      <c r="I151" s="656" t="s">
        <v>4219</v>
      </c>
      <c r="J151" s="691" t="s">
        <v>4220</v>
      </c>
      <c r="K151" s="587">
        <v>3</v>
      </c>
      <c r="L151" s="679" t="s">
        <v>4221</v>
      </c>
      <c r="M151" s="612" t="s">
        <v>4222</v>
      </c>
      <c r="N151" s="587">
        <v>7</v>
      </c>
      <c r="O151" s="587" t="s">
        <v>4223</v>
      </c>
      <c r="P151" s="612" t="s">
        <v>4224</v>
      </c>
      <c r="Q151" s="587">
        <v>11</v>
      </c>
      <c r="R151" s="679" t="s">
        <v>4225</v>
      </c>
      <c r="S151" s="612" t="s">
        <v>4226</v>
      </c>
      <c r="T151" s="587">
        <v>3</v>
      </c>
      <c r="U151" s="694" t="s">
        <v>4227</v>
      </c>
      <c r="V151" s="718" t="s">
        <v>4228</v>
      </c>
      <c r="AA151" s="689" t="s">
        <v>4229</v>
      </c>
      <c r="AB151" s="690" t="s">
        <v>4230</v>
      </c>
      <c r="AC151" s="587">
        <v>3</v>
      </c>
      <c r="AD151" s="679" t="s">
        <v>4231</v>
      </c>
      <c r="AE151" s="587" t="s">
        <v>4232</v>
      </c>
      <c r="AF151" s="587">
        <v>3</v>
      </c>
      <c r="AG151" s="587" t="s">
        <v>4233</v>
      </c>
      <c r="AH151" s="612" t="s">
        <v>4234</v>
      </c>
      <c r="AI151" s="587">
        <v>10</v>
      </c>
      <c r="AJ151" s="578" t="s">
        <v>4235</v>
      </c>
      <c r="AK151" s="611" t="s">
        <v>4236</v>
      </c>
      <c r="BO151" s="612"/>
      <c r="CH151" s="587" t="s">
        <v>4237</v>
      </c>
      <c r="CI151" s="587">
        <v>61</v>
      </c>
      <c r="CJ151" s="587" cm="1">
        <f t="array" ref="CJ151">_xlfn.IFS($AZ$8=20,65,$AZ$8&gt;=15,64,$AZ$8&gt;=7,63,$AZ$8&gt;=3,62,1,0)</f>
        <v>0</v>
      </c>
    </row>
    <row r="152" customHeight="1" spans="1:88">
      <c r="A152" s="586">
        <v>119</v>
      </c>
      <c r="B152" s="610"/>
      <c r="C152" s="689" t="s">
        <v>4238</v>
      </c>
      <c r="D152" s="690" t="s">
        <v>4239</v>
      </c>
      <c r="E152" s="587">
        <v>3</v>
      </c>
      <c r="F152" s="656" t="s">
        <v>4240</v>
      </c>
      <c r="G152" s="691" t="s">
        <v>4241</v>
      </c>
      <c r="H152" s="587">
        <v>3</v>
      </c>
      <c r="I152" s="656" t="s">
        <v>4242</v>
      </c>
      <c r="J152" s="691" t="s">
        <v>4243</v>
      </c>
      <c r="K152" s="587">
        <v>3</v>
      </c>
      <c r="L152" s="679" t="s">
        <v>4244</v>
      </c>
      <c r="M152" s="612" t="s">
        <v>4245</v>
      </c>
      <c r="N152" s="587">
        <v>10</v>
      </c>
      <c r="O152" s="587" t="s">
        <v>4246</v>
      </c>
      <c r="P152" s="612" t="s">
        <v>4247</v>
      </c>
      <c r="Q152" s="587">
        <v>17</v>
      </c>
      <c r="R152" s="679" t="s">
        <v>4248</v>
      </c>
      <c r="S152" s="612" t="s">
        <v>4249</v>
      </c>
      <c r="T152" s="587">
        <v>7</v>
      </c>
      <c r="U152" s="694" t="s">
        <v>4250</v>
      </c>
      <c r="V152" s="718" t="s">
        <v>4251</v>
      </c>
      <c r="AA152" s="689" t="s">
        <v>4252</v>
      </c>
      <c r="AB152" s="690" t="s">
        <v>4253</v>
      </c>
      <c r="AC152" s="587">
        <v>6</v>
      </c>
      <c r="AD152" s="679" t="s">
        <v>4254</v>
      </c>
      <c r="AE152" s="587" t="s">
        <v>4255</v>
      </c>
      <c r="AF152" s="587">
        <v>6</v>
      </c>
      <c r="AG152" s="587" t="s">
        <v>4256</v>
      </c>
      <c r="AH152" s="612" t="s">
        <v>4257</v>
      </c>
      <c r="AI152" s="587">
        <v>14</v>
      </c>
      <c r="AJ152" s="578" t="s">
        <v>4258</v>
      </c>
      <c r="AK152" s="612" t="s">
        <v>4259</v>
      </c>
      <c r="BO152" s="612"/>
      <c r="CH152" s="587" t="s">
        <v>4260</v>
      </c>
      <c r="CI152" s="587">
        <v>66</v>
      </c>
      <c r="CJ152" s="587" cm="1">
        <f t="array" ref="CJ152">_xlfn.IFS($AZ$8=20,72,$AZ$8&gt;=15,71,$AZ$8&gt;=7,70,$AZ$8&gt;=3,68,1,0)</f>
        <v>0</v>
      </c>
    </row>
    <row r="153" customHeight="1" spans="1:88">
      <c r="A153" s="586">
        <v>120</v>
      </c>
      <c r="B153" s="610"/>
      <c r="C153" s="689" t="s">
        <v>4261</v>
      </c>
      <c r="D153" s="690" t="s">
        <v>4262</v>
      </c>
      <c r="E153" s="587">
        <v>6</v>
      </c>
      <c r="F153" s="656" t="s">
        <v>4263</v>
      </c>
      <c r="G153" s="691" t="s">
        <v>4264</v>
      </c>
      <c r="H153" s="587">
        <v>3</v>
      </c>
      <c r="I153" s="656" t="s">
        <v>4265</v>
      </c>
      <c r="J153" s="691" t="s">
        <v>4266</v>
      </c>
      <c r="K153" s="587">
        <v>3</v>
      </c>
      <c r="L153" s="679" t="s">
        <v>4267</v>
      </c>
      <c r="M153" s="612" t="s">
        <v>4268</v>
      </c>
      <c r="N153" s="587">
        <v>15</v>
      </c>
      <c r="O153" s="587" t="s">
        <v>4269</v>
      </c>
      <c r="P153" s="612" t="s">
        <v>4270</v>
      </c>
      <c r="Q153" s="587">
        <v>3</v>
      </c>
      <c r="R153" s="656" t="s">
        <v>4271</v>
      </c>
      <c r="S153" s="691" t="s">
        <v>4272</v>
      </c>
      <c r="T153" s="587">
        <v>15</v>
      </c>
      <c r="U153" s="694" t="s">
        <v>4273</v>
      </c>
      <c r="V153" s="614" t="s">
        <v>4274</v>
      </c>
      <c r="Z153" s="587">
        <v>17</v>
      </c>
      <c r="AA153" s="656" t="s">
        <v>4275</v>
      </c>
      <c r="AB153" s="691" t="s">
        <v>4276</v>
      </c>
      <c r="AC153" s="587">
        <v>14</v>
      </c>
      <c r="AD153" s="679" t="s">
        <v>4277</v>
      </c>
      <c r="AE153" s="587" t="s">
        <v>4278</v>
      </c>
      <c r="AF153" s="587">
        <v>10</v>
      </c>
      <c r="AG153" s="587" t="s">
        <v>4279</v>
      </c>
      <c r="AH153" s="612" t="s">
        <v>4280</v>
      </c>
      <c r="BO153" s="612"/>
      <c r="CH153" s="679" t="s">
        <v>4281</v>
      </c>
      <c r="CI153" s="587">
        <v>73</v>
      </c>
      <c r="CJ153" s="587" cm="1">
        <f t="array" ref="CJ153">_xlfn.IFS($AZ$8=20,77,$AZ$8&gt;=15,76,$AZ$8&gt;=7,75,$AZ$8&gt;=3,74,1,0)</f>
        <v>0</v>
      </c>
    </row>
    <row r="154" customHeight="1" spans="1:88">
      <c r="A154" s="586">
        <v>121</v>
      </c>
      <c r="B154" s="610"/>
      <c r="C154" s="689" t="s">
        <v>4282</v>
      </c>
      <c r="D154" s="690" t="s">
        <v>4283</v>
      </c>
      <c r="E154" s="587">
        <v>14</v>
      </c>
      <c r="F154" s="656" t="s">
        <v>4284</v>
      </c>
      <c r="G154" s="691" t="s">
        <v>4285</v>
      </c>
      <c r="H154" s="587">
        <v>6</v>
      </c>
      <c r="I154" s="656" t="s">
        <v>4286</v>
      </c>
      <c r="J154" s="691" t="s">
        <v>4287</v>
      </c>
      <c r="K154" s="587">
        <v>6</v>
      </c>
      <c r="L154" s="679" t="s">
        <v>4288</v>
      </c>
      <c r="M154" s="612" t="s">
        <v>4289</v>
      </c>
      <c r="N154" s="587">
        <v>18</v>
      </c>
      <c r="O154" s="587" t="s">
        <v>4290</v>
      </c>
      <c r="P154" s="612" t="s">
        <v>4291</v>
      </c>
      <c r="Q154" s="587">
        <v>3</v>
      </c>
      <c r="R154" s="656" t="s">
        <v>4292</v>
      </c>
      <c r="S154" s="691" t="s">
        <v>4293</v>
      </c>
      <c r="T154" s="587">
        <v>20</v>
      </c>
      <c r="U154" s="694" t="s">
        <v>4294</v>
      </c>
      <c r="V154" s="614" t="s">
        <v>4295</v>
      </c>
      <c r="Z154" s="587">
        <v>3</v>
      </c>
      <c r="AA154" s="679" t="s">
        <v>4296</v>
      </c>
      <c r="AB154" s="612" t="s">
        <v>4297</v>
      </c>
      <c r="AC154" s="587">
        <v>18</v>
      </c>
      <c r="AD154" s="679" t="s">
        <v>4298</v>
      </c>
      <c r="AE154" s="587" t="s">
        <v>4299</v>
      </c>
      <c r="AF154" s="587">
        <v>14</v>
      </c>
      <c r="AG154" s="587" t="s">
        <v>4300</v>
      </c>
      <c r="AH154" s="612" t="s">
        <v>4301</v>
      </c>
      <c r="BO154" s="612"/>
      <c r="CH154" s="679" t="s">
        <v>4302</v>
      </c>
      <c r="CI154" s="587">
        <v>78</v>
      </c>
      <c r="CJ154" s="587" cm="1">
        <f t="array" ref="CJ154">_xlfn.IFS($AZ$8=20,82,$AZ$8&gt;=15,81,$AZ$8&gt;=7,80,$AZ$8&gt;=3,79,1,0)</f>
        <v>0</v>
      </c>
    </row>
    <row r="155" customHeight="1" spans="1:88">
      <c r="A155" s="586">
        <v>122</v>
      </c>
      <c r="B155" s="610"/>
      <c r="C155" s="689" t="s">
        <v>4303</v>
      </c>
      <c r="D155" s="690" t="s">
        <v>4304</v>
      </c>
      <c r="E155" s="587">
        <v>3</v>
      </c>
      <c r="F155" s="578" t="s">
        <v>4305</v>
      </c>
      <c r="G155" s="650" t="s">
        <v>4306</v>
      </c>
      <c r="H155" s="587">
        <v>8</v>
      </c>
      <c r="I155" s="656" t="s">
        <v>4307</v>
      </c>
      <c r="J155" s="691" t="s">
        <v>4308</v>
      </c>
      <c r="K155" s="587">
        <v>10</v>
      </c>
      <c r="L155" s="679" t="s">
        <v>4309</v>
      </c>
      <c r="M155" s="612" t="s">
        <v>4310</v>
      </c>
      <c r="N155" s="587">
        <v>3</v>
      </c>
      <c r="O155" s="613" t="s">
        <v>4311</v>
      </c>
      <c r="P155" s="614" t="s">
        <v>4312</v>
      </c>
      <c r="Q155" s="587">
        <v>6</v>
      </c>
      <c r="R155" s="656" t="s">
        <v>4313</v>
      </c>
      <c r="S155" s="614" t="s">
        <v>4314</v>
      </c>
      <c r="Z155" s="587">
        <v>3</v>
      </c>
      <c r="AA155" s="679" t="s">
        <v>4315</v>
      </c>
      <c r="AB155" s="612" t="s">
        <v>4316</v>
      </c>
      <c r="AF155" s="587">
        <v>3</v>
      </c>
      <c r="AG155" s="613" t="s">
        <v>4317</v>
      </c>
      <c r="AH155" s="614" t="s">
        <v>4318</v>
      </c>
      <c r="BO155" s="612"/>
      <c r="CH155" s="679" t="s">
        <v>4319</v>
      </c>
      <c r="CI155" s="587">
        <v>83</v>
      </c>
      <c r="CJ155" s="587" cm="1">
        <f t="array" ref="CJ155">_xlfn.IFS($AZ$8=20,87,$AZ$8&gt;=15,86,$AZ$8&gt;=7,85,$AZ$8&gt;=3,84,1,0)</f>
        <v>0</v>
      </c>
    </row>
    <row r="156" customHeight="1" spans="1:88">
      <c r="A156" s="586">
        <v>123</v>
      </c>
      <c r="B156" s="610"/>
      <c r="C156" s="689" t="s">
        <v>4320</v>
      </c>
      <c r="D156" s="690" t="s">
        <v>4321</v>
      </c>
      <c r="E156" s="587">
        <v>3</v>
      </c>
      <c r="F156" s="578" t="s">
        <v>4322</v>
      </c>
      <c r="G156" s="650" t="s">
        <v>4323</v>
      </c>
      <c r="H156" s="587">
        <v>17</v>
      </c>
      <c r="I156" s="656" t="s">
        <v>4324</v>
      </c>
      <c r="J156" s="691" t="s">
        <v>4325</v>
      </c>
      <c r="K156" s="587">
        <v>14</v>
      </c>
      <c r="L156" s="679" t="s">
        <v>4326</v>
      </c>
      <c r="M156" s="612" t="s">
        <v>4327</v>
      </c>
      <c r="N156" s="587">
        <v>3</v>
      </c>
      <c r="O156" s="613" t="s">
        <v>4328</v>
      </c>
      <c r="P156" s="614" t="s">
        <v>4329</v>
      </c>
      <c r="Q156" s="587">
        <v>11</v>
      </c>
      <c r="R156" s="656" t="s">
        <v>4330</v>
      </c>
      <c r="S156" s="657" t="s">
        <v>4331</v>
      </c>
      <c r="Z156" s="587">
        <v>9</v>
      </c>
      <c r="AA156" s="679" t="s">
        <v>4332</v>
      </c>
      <c r="AB156" s="678" t="s">
        <v>4333</v>
      </c>
      <c r="AF156" s="587">
        <v>3</v>
      </c>
      <c r="AG156" s="613" t="s">
        <v>4334</v>
      </c>
      <c r="AH156" s="614" t="s">
        <v>4335</v>
      </c>
      <c r="BO156" s="612"/>
      <c r="CH156" s="679" t="s">
        <v>4336</v>
      </c>
      <c r="CI156" s="587">
        <v>88</v>
      </c>
      <c r="CJ156" s="587" cm="1">
        <f t="array" ref="CJ156">_xlfn.IFS($AZ$8=20,92,$AZ$8&gt;=15,91,$AZ$8&gt;=7,90,$AZ$8&gt;=3,89,1,0)</f>
        <v>0</v>
      </c>
    </row>
    <row r="157" customHeight="1" spans="1:88">
      <c r="A157" s="586">
        <v>124</v>
      </c>
      <c r="B157" s="610"/>
      <c r="C157" s="689" t="s">
        <v>4337</v>
      </c>
      <c r="D157" s="690" t="s">
        <v>4338</v>
      </c>
      <c r="E157" s="587">
        <v>6</v>
      </c>
      <c r="F157" s="578" t="s">
        <v>4339</v>
      </c>
      <c r="G157" s="612" t="s">
        <v>4340</v>
      </c>
      <c r="H157" s="587">
        <v>3</v>
      </c>
      <c r="I157" s="679" t="s">
        <v>4341</v>
      </c>
      <c r="J157" s="612" t="s">
        <v>4342</v>
      </c>
      <c r="N157" s="587">
        <v>7</v>
      </c>
      <c r="O157" s="613" t="s">
        <v>4343</v>
      </c>
      <c r="P157" s="614" t="s">
        <v>4344</v>
      </c>
      <c r="Q157" s="587">
        <v>17</v>
      </c>
      <c r="R157" s="656" t="s">
        <v>4345</v>
      </c>
      <c r="S157" s="691" t="s">
        <v>4346</v>
      </c>
      <c r="Z157" s="587">
        <v>13</v>
      </c>
      <c r="AA157" s="679" t="s">
        <v>4347</v>
      </c>
      <c r="AB157" s="612" t="s">
        <v>4348</v>
      </c>
      <c r="AF157" s="587">
        <v>3</v>
      </c>
      <c r="AG157" s="613" t="s">
        <v>4349</v>
      </c>
      <c r="AH157" s="614" t="s">
        <v>4350</v>
      </c>
      <c r="BO157" s="612"/>
      <c r="CH157" s="679" t="s">
        <v>4351</v>
      </c>
      <c r="CI157" s="587">
        <v>93</v>
      </c>
      <c r="CJ157" s="587" cm="1">
        <f t="array" ref="CJ157">_xlfn.IFS($AZ$8=20,98,$AZ$8&gt;=15,97,$AZ$8&gt;=7,96,$AZ$8&gt;=3,95,1,0)</f>
        <v>0</v>
      </c>
    </row>
    <row r="158" customHeight="1" spans="1:88">
      <c r="A158" s="586">
        <v>125</v>
      </c>
      <c r="B158" s="610"/>
      <c r="C158" s="689" t="s">
        <v>4352</v>
      </c>
      <c r="D158" s="690" t="s">
        <v>4353</v>
      </c>
      <c r="E158" s="587">
        <v>14</v>
      </c>
      <c r="F158" s="578" t="s">
        <v>4354</v>
      </c>
      <c r="G158" s="611" t="s">
        <v>4355</v>
      </c>
      <c r="H158" s="587">
        <v>3</v>
      </c>
      <c r="I158" s="578" t="s">
        <v>3962</v>
      </c>
      <c r="J158" s="650" t="s">
        <v>4356</v>
      </c>
      <c r="N158" s="587">
        <v>10</v>
      </c>
      <c r="O158" s="613" t="s">
        <v>4357</v>
      </c>
      <c r="P158" s="614" t="s">
        <v>4358</v>
      </c>
      <c r="Q158" s="587">
        <v>3</v>
      </c>
      <c r="R158" s="587" t="s">
        <v>1998</v>
      </c>
      <c r="S158" s="650" t="s">
        <v>4359</v>
      </c>
      <c r="Z158" s="587">
        <v>17</v>
      </c>
      <c r="AA158" s="679" t="s">
        <v>4360</v>
      </c>
      <c r="AB158" s="612" t="s">
        <v>4361</v>
      </c>
      <c r="AF158" s="587">
        <v>6</v>
      </c>
      <c r="AG158" s="613" t="s">
        <v>4362</v>
      </c>
      <c r="AH158" s="614" t="s">
        <v>4363</v>
      </c>
      <c r="BO158" s="612"/>
      <c r="CH158" s="679" t="s">
        <v>4364</v>
      </c>
      <c r="CI158" s="587">
        <v>99</v>
      </c>
      <c r="CJ158" s="587" cm="1">
        <f t="array" ref="CJ158">_xlfn.IFS($AZ$8=20,103,$AZ$8&gt;=15,102,$AZ$8&gt;=7,101,$AZ$8&gt;=3,100,1,0)</f>
        <v>0</v>
      </c>
    </row>
    <row r="159" customHeight="1" spans="1:88">
      <c r="A159" s="586">
        <v>126</v>
      </c>
      <c r="B159" s="610"/>
      <c r="C159" s="689" t="s">
        <v>4365</v>
      </c>
      <c r="D159" s="690" t="s">
        <v>4366</v>
      </c>
      <c r="E159" s="587">
        <v>3</v>
      </c>
      <c r="F159" s="694" t="s">
        <v>4367</v>
      </c>
      <c r="G159" s="614" t="s">
        <v>4368</v>
      </c>
      <c r="H159" s="587">
        <v>3</v>
      </c>
      <c r="I159" s="578" t="s">
        <v>4369</v>
      </c>
      <c r="J159" s="650" t="s">
        <v>4370</v>
      </c>
      <c r="N159" s="587">
        <v>15</v>
      </c>
      <c r="O159" s="613" t="s">
        <v>4371</v>
      </c>
      <c r="P159" s="614" t="s">
        <v>4372</v>
      </c>
      <c r="R159" s="587" t="s">
        <v>258</v>
      </c>
      <c r="S159" s="611" t="s">
        <v>4373</v>
      </c>
      <c r="Z159" s="587">
        <v>3</v>
      </c>
      <c r="AA159" s="694" t="s">
        <v>4374</v>
      </c>
      <c r="AB159" s="614" t="s">
        <v>4375</v>
      </c>
      <c r="AF159" s="587">
        <v>10</v>
      </c>
      <c r="AG159" s="613" t="s">
        <v>4376</v>
      </c>
      <c r="AH159" s="614" t="s">
        <v>4377</v>
      </c>
      <c r="BO159" s="612"/>
      <c r="CH159" s="679" t="s">
        <v>4378</v>
      </c>
      <c r="CI159" s="587">
        <v>104</v>
      </c>
      <c r="CJ159" s="587" cm="1">
        <f t="array" ref="CJ159">_xlfn.IFS($AZ$8=20,109,$AZ$8&gt;=15,108,$AZ$8&gt;=7,107,$AZ$8&gt;=3,106,1,0)</f>
        <v>0</v>
      </c>
    </row>
    <row r="160" customHeight="1" spans="1:88">
      <c r="A160" s="586">
        <v>127</v>
      </c>
      <c r="B160" s="610">
        <v>6</v>
      </c>
      <c r="C160" s="656" t="s">
        <v>4379</v>
      </c>
      <c r="D160" s="691" t="s">
        <v>4380</v>
      </c>
      <c r="E160" s="587">
        <v>3</v>
      </c>
      <c r="F160" s="694" t="s">
        <v>4381</v>
      </c>
      <c r="G160" s="614" t="s">
        <v>4382</v>
      </c>
      <c r="H160" s="587">
        <v>3</v>
      </c>
      <c r="I160" s="578" t="s">
        <v>4383</v>
      </c>
      <c r="J160" s="650" t="s">
        <v>4384</v>
      </c>
      <c r="N160" s="587">
        <v>18</v>
      </c>
      <c r="O160" s="613" t="s">
        <v>4385</v>
      </c>
      <c r="P160" s="614" t="s">
        <v>4386</v>
      </c>
      <c r="R160" s="587" t="s">
        <v>231</v>
      </c>
      <c r="S160" s="678" t="s">
        <v>4387</v>
      </c>
      <c r="Z160" s="587">
        <v>3</v>
      </c>
      <c r="AA160" s="656" t="s">
        <v>4388</v>
      </c>
      <c r="AB160" s="691" t="s">
        <v>4389</v>
      </c>
      <c r="AF160" s="587">
        <v>14</v>
      </c>
      <c r="AG160" s="613" t="s">
        <v>4390</v>
      </c>
      <c r="AH160" s="614" t="s">
        <v>4391</v>
      </c>
      <c r="BO160" s="612"/>
      <c r="CH160" s="679" t="s">
        <v>4392</v>
      </c>
      <c r="CI160" s="587">
        <v>110</v>
      </c>
      <c r="CJ160" s="587" cm="1">
        <f t="array" ref="CJ160">_xlfn.IFS($AZ$8=20,115,$AZ$8&gt;=15,114,$AZ$8&gt;=7,113,$AZ$8&gt;=3,112,1,0)</f>
        <v>0</v>
      </c>
    </row>
    <row r="161" customHeight="1" spans="1:88">
      <c r="A161" s="586">
        <v>128</v>
      </c>
      <c r="B161" s="610">
        <v>10</v>
      </c>
      <c r="C161" s="656" t="s">
        <v>4393</v>
      </c>
      <c r="D161" s="691" t="s">
        <v>4394</v>
      </c>
      <c r="E161" s="587">
        <v>6</v>
      </c>
      <c r="F161" s="694" t="s">
        <v>4395</v>
      </c>
      <c r="G161" s="614" t="s">
        <v>4396</v>
      </c>
      <c r="H161" s="587">
        <v>6</v>
      </c>
      <c r="I161" s="578" t="s">
        <v>4397</v>
      </c>
      <c r="J161" s="650" t="s">
        <v>4398</v>
      </c>
      <c r="N161" s="587">
        <v>3</v>
      </c>
      <c r="O161" s="578" t="s">
        <v>4399</v>
      </c>
      <c r="P161" s="650" t="s">
        <v>4400</v>
      </c>
      <c r="R161" s="587" t="s">
        <v>222</v>
      </c>
      <c r="S161" s="611" t="s">
        <v>4401</v>
      </c>
      <c r="AA161" s="656" t="s">
        <v>4402</v>
      </c>
      <c r="AB161" s="691" t="s">
        <v>4403</v>
      </c>
      <c r="AF161" s="587">
        <v>3</v>
      </c>
      <c r="AG161" s="587" t="s">
        <v>4404</v>
      </c>
      <c r="AH161" s="612" t="s">
        <v>4405</v>
      </c>
      <c r="BO161" s="612"/>
      <c r="CH161" s="679" t="s">
        <v>4406</v>
      </c>
      <c r="CI161" s="587">
        <v>116</v>
      </c>
      <c r="CJ161" s="587" cm="1">
        <f t="array" ref="CJ161">_xlfn.IFS($AZ$8=20,121,$AZ$8&gt;=15,120,$AZ$8&gt;=7,119,$AZ$8&gt;=3,118,1,0)</f>
        <v>0</v>
      </c>
    </row>
    <row r="162" customHeight="1" spans="1:88">
      <c r="A162" s="586">
        <v>129</v>
      </c>
      <c r="B162" s="610">
        <v>14</v>
      </c>
      <c r="C162" s="656" t="s">
        <v>4407</v>
      </c>
      <c r="D162" s="691" t="s">
        <v>4408</v>
      </c>
      <c r="E162" s="587">
        <v>14</v>
      </c>
      <c r="F162" s="694" t="s">
        <v>4409</v>
      </c>
      <c r="G162" s="614" t="s">
        <v>4410</v>
      </c>
      <c r="H162" s="587">
        <v>17</v>
      </c>
      <c r="I162" s="578" t="s">
        <v>4411</v>
      </c>
      <c r="J162" s="650" t="s">
        <v>4412</v>
      </c>
      <c r="N162" s="587">
        <v>3</v>
      </c>
      <c r="O162" s="578" t="s">
        <v>4413</v>
      </c>
      <c r="P162" s="650" t="s">
        <v>4414</v>
      </c>
      <c r="R162" s="587" t="s">
        <v>2148</v>
      </c>
      <c r="S162" s="650" t="s">
        <v>4415</v>
      </c>
      <c r="AA162" s="656" t="s">
        <v>4416</v>
      </c>
      <c r="AB162" s="691" t="s">
        <v>4417</v>
      </c>
      <c r="AF162" s="587">
        <v>3</v>
      </c>
      <c r="AG162" s="587" t="s">
        <v>4418</v>
      </c>
      <c r="AH162" s="612" t="s">
        <v>4419</v>
      </c>
      <c r="BO162" s="612"/>
      <c r="CH162" s="608" t="s">
        <v>4420</v>
      </c>
      <c r="CI162" s="608">
        <v>29</v>
      </c>
      <c r="CJ162" s="608" cm="1">
        <f t="array" ref="CJ162">_xlfn.IFS($AZ$9&gt;=15,32,$AZ$9&gt;=11,31,$AZ$9&gt;=7,30,$AZ$9&gt;=3,29,1,0)</f>
        <v>0</v>
      </c>
    </row>
    <row r="163" customHeight="1" spans="1:88">
      <c r="A163" s="586">
        <v>130</v>
      </c>
      <c r="B163" s="610">
        <v>3</v>
      </c>
      <c r="C163" s="578" t="s">
        <v>4421</v>
      </c>
      <c r="D163" s="650" t="s">
        <v>4422</v>
      </c>
      <c r="H163" s="587">
        <v>3</v>
      </c>
      <c r="I163" s="694" t="s">
        <v>4423</v>
      </c>
      <c r="J163" s="614" t="s">
        <v>4424</v>
      </c>
      <c r="N163" s="587">
        <v>7</v>
      </c>
      <c r="O163" s="578" t="s">
        <v>4425</v>
      </c>
      <c r="P163" s="650" t="s">
        <v>4426</v>
      </c>
      <c r="R163" s="587" t="s">
        <v>2112</v>
      </c>
      <c r="S163" s="650" t="s">
        <v>4427</v>
      </c>
      <c r="AA163" s="656" t="s">
        <v>4428</v>
      </c>
      <c r="AB163" s="691" t="s">
        <v>4429</v>
      </c>
      <c r="AF163" s="587">
        <v>3</v>
      </c>
      <c r="AG163" s="587" t="s">
        <v>4430</v>
      </c>
      <c r="AH163" s="612" t="s">
        <v>4431</v>
      </c>
      <c r="BO163" s="612"/>
      <c r="CH163" s="587" t="s">
        <v>4432</v>
      </c>
      <c r="CI163" s="587">
        <v>33</v>
      </c>
      <c r="CJ163" s="587" cm="1">
        <f t="array" ref="CJ163">_xlfn.IFS($AZ$9&gt;=15,38,$AZ$9&gt;=11,37,$AZ$9&gt;=7,36,$AZ$9&gt;=3,35,1,0)</f>
        <v>0</v>
      </c>
    </row>
    <row r="164" customHeight="1" spans="1:88">
      <c r="A164" s="586">
        <v>131</v>
      </c>
      <c r="B164" s="610">
        <v>3</v>
      </c>
      <c r="C164" s="578" t="s">
        <v>4433</v>
      </c>
      <c r="D164" s="650" t="s">
        <v>4434</v>
      </c>
      <c r="H164" s="587">
        <v>3</v>
      </c>
      <c r="I164" s="656" t="s">
        <v>4435</v>
      </c>
      <c r="J164" s="657" t="s">
        <v>4436</v>
      </c>
      <c r="N164" s="587">
        <v>10</v>
      </c>
      <c r="O164" s="578" t="s">
        <v>4437</v>
      </c>
      <c r="P164" s="650" t="s">
        <v>4438</v>
      </c>
      <c r="R164" s="587" t="s">
        <v>2150</v>
      </c>
      <c r="S164" s="650" t="s">
        <v>4439</v>
      </c>
      <c r="AA164" s="656" t="s">
        <v>4440</v>
      </c>
      <c r="AB164" s="691" t="s">
        <v>4441</v>
      </c>
      <c r="AF164" s="587">
        <v>6</v>
      </c>
      <c r="AG164" s="587" t="s">
        <v>4442</v>
      </c>
      <c r="AH164" s="612" t="s">
        <v>4443</v>
      </c>
      <c r="BO164" s="612"/>
      <c r="CH164" s="587" t="s">
        <v>4444</v>
      </c>
      <c r="CI164" s="587">
        <v>39</v>
      </c>
      <c r="CJ164" s="587" cm="1">
        <f t="array" ref="CJ164">_xlfn.IFS($AZ$9&gt;=15,44,$AZ$9&gt;=11,43,$AZ$9&gt;=7,42,$AZ$9&gt;=3,41,1,0)</f>
        <v>0</v>
      </c>
    </row>
    <row r="165" customHeight="1" spans="1:88">
      <c r="A165" s="586">
        <v>132</v>
      </c>
      <c r="B165" s="610">
        <v>6</v>
      </c>
      <c r="C165" s="578" t="s">
        <v>4445</v>
      </c>
      <c r="D165" s="650" t="s">
        <v>4446</v>
      </c>
      <c r="H165" s="587">
        <v>3</v>
      </c>
      <c r="I165" s="656" t="s">
        <v>3943</v>
      </c>
      <c r="J165" s="691" t="s">
        <v>4447</v>
      </c>
      <c r="N165" s="587">
        <v>15</v>
      </c>
      <c r="O165" s="578" t="s">
        <v>4448</v>
      </c>
      <c r="P165" s="650" t="s">
        <v>4449</v>
      </c>
      <c r="Q165" s="587">
        <v>6</v>
      </c>
      <c r="R165" s="679" t="s">
        <v>4450</v>
      </c>
      <c r="S165" s="612" t="s">
        <v>4451</v>
      </c>
      <c r="AA165" s="656" t="s">
        <v>4452</v>
      </c>
      <c r="AB165" s="691" t="s">
        <v>4453</v>
      </c>
      <c r="AF165" s="587">
        <v>10</v>
      </c>
      <c r="AG165" s="587" t="s">
        <v>4454</v>
      </c>
      <c r="AH165" s="612" t="s">
        <v>4455</v>
      </c>
      <c r="BO165" s="612"/>
      <c r="CH165" s="587" t="s">
        <v>4456</v>
      </c>
      <c r="CI165" s="587">
        <v>45</v>
      </c>
      <c r="CJ165" s="587" cm="1">
        <f t="array" ref="CJ165">_xlfn.IFS($AZ$9&gt;=15,49,$AZ$9&gt;=11,48,$AZ$9&gt;=7,47,$AZ$9&gt;=3,46,1,0)</f>
        <v>0</v>
      </c>
    </row>
    <row r="166" customHeight="1" spans="1:88">
      <c r="A166" s="586">
        <v>133</v>
      </c>
      <c r="B166" s="610">
        <v>10</v>
      </c>
      <c r="C166" s="578" t="s">
        <v>4457</v>
      </c>
      <c r="D166" s="650" t="s">
        <v>4458</v>
      </c>
      <c r="H166" s="587">
        <v>3</v>
      </c>
      <c r="I166" s="656" t="s">
        <v>4459</v>
      </c>
      <c r="J166" s="657" t="s">
        <v>4460</v>
      </c>
      <c r="N166" s="587">
        <v>18</v>
      </c>
      <c r="O166" s="578" t="s">
        <v>4461</v>
      </c>
      <c r="P166" s="650" t="s">
        <v>4462</v>
      </c>
      <c r="Q166" s="587">
        <v>6</v>
      </c>
      <c r="R166" s="679" t="s">
        <v>4463</v>
      </c>
      <c r="S166" s="678" t="s">
        <v>4464</v>
      </c>
      <c r="AA166" s="656" t="s">
        <v>4465</v>
      </c>
      <c r="AB166" s="691" t="s">
        <v>4466</v>
      </c>
      <c r="AF166" s="587">
        <v>14</v>
      </c>
      <c r="AG166" s="587" t="s">
        <v>4467</v>
      </c>
      <c r="AH166" s="612" t="s">
        <v>4468</v>
      </c>
      <c r="BO166" s="612"/>
      <c r="CH166" s="587" t="s">
        <v>4469</v>
      </c>
      <c r="CI166" s="587">
        <v>50</v>
      </c>
      <c r="CJ166" s="587" cm="1">
        <f t="array" ref="CJ166">_xlfn.IFS($AZ$9&gt;=15,55,$AZ$9&gt;=11,54,$AZ$9&gt;=7,53,$AZ$9&gt;=3,52,1,0)</f>
        <v>0</v>
      </c>
    </row>
    <row r="167" customHeight="1" spans="1:88">
      <c r="A167" s="586">
        <v>134</v>
      </c>
      <c r="B167" s="610">
        <v>14</v>
      </c>
      <c r="C167" s="578" t="s">
        <v>4470</v>
      </c>
      <c r="D167" s="650" t="s">
        <v>4471</v>
      </c>
      <c r="H167" s="587">
        <v>6</v>
      </c>
      <c r="I167" s="656" t="s">
        <v>4472</v>
      </c>
      <c r="J167" s="657" t="s">
        <v>4473</v>
      </c>
      <c r="N167" s="587">
        <v>3</v>
      </c>
      <c r="O167" s="656" t="s">
        <v>4474</v>
      </c>
      <c r="P167" s="691" t="s">
        <v>4475</v>
      </c>
      <c r="Q167" s="587">
        <v>11</v>
      </c>
      <c r="R167" s="679" t="s">
        <v>4476</v>
      </c>
      <c r="S167" s="678" t="s">
        <v>4477</v>
      </c>
      <c r="AA167" s="656" t="s">
        <v>4478</v>
      </c>
      <c r="AB167" s="691" t="s">
        <v>4479</v>
      </c>
      <c r="AF167" s="587">
        <v>3</v>
      </c>
      <c r="AG167" s="613" t="s">
        <v>4480</v>
      </c>
      <c r="AH167" s="614" t="s">
        <v>4481</v>
      </c>
      <c r="BO167" s="612"/>
      <c r="CH167" s="587" t="s">
        <v>4482</v>
      </c>
      <c r="CI167" s="587">
        <v>56</v>
      </c>
      <c r="CJ167" s="587" cm="1">
        <f t="array" ref="CJ167">_xlfn.IFS($AZ$9&gt;=15,61,$AZ$9&gt;=11,60,$AZ$9&gt;=7,59,$AZ$9&gt;=3,58,1,0)</f>
        <v>0</v>
      </c>
    </row>
    <row r="168" customHeight="1" spans="1:88">
      <c r="A168" s="586">
        <v>135</v>
      </c>
      <c r="B168" s="610">
        <v>3</v>
      </c>
      <c r="C168" s="656" t="s">
        <v>4483</v>
      </c>
      <c r="D168" s="691" t="s">
        <v>4484</v>
      </c>
      <c r="H168" s="587">
        <v>17</v>
      </c>
      <c r="I168" s="656" t="s">
        <v>4485</v>
      </c>
      <c r="J168" s="657" t="s">
        <v>4486</v>
      </c>
      <c r="N168" s="587">
        <v>3</v>
      </c>
      <c r="O168" s="656" t="s">
        <v>4487</v>
      </c>
      <c r="P168" s="691" t="s">
        <v>4488</v>
      </c>
      <c r="Q168" s="587">
        <v>17</v>
      </c>
      <c r="R168" s="679" t="s">
        <v>4489</v>
      </c>
      <c r="S168" s="678" t="s">
        <v>4490</v>
      </c>
      <c r="AA168" s="656" t="s">
        <v>4491</v>
      </c>
      <c r="AB168" s="691" t="s">
        <v>4492</v>
      </c>
      <c r="AF168" s="587">
        <v>3</v>
      </c>
      <c r="AG168" s="613" t="s">
        <v>4493</v>
      </c>
      <c r="AH168" s="614" t="s">
        <v>4494</v>
      </c>
      <c r="BO168" s="612"/>
      <c r="CH168" s="587" t="s">
        <v>4495</v>
      </c>
      <c r="CI168" s="587">
        <v>62</v>
      </c>
      <c r="CJ168" s="587" cm="1">
        <f t="array" ref="CJ168">_xlfn.IFS($AZ$9&gt;=15,66,$AZ$9&gt;=11,65,$AZ$9&gt;=7,64,$AZ$9&gt;=3,63,1,0)</f>
        <v>0</v>
      </c>
    </row>
    <row r="169" customHeight="1" spans="1:88">
      <c r="A169" s="586">
        <v>136</v>
      </c>
      <c r="B169" s="610">
        <v>6</v>
      </c>
      <c r="C169" s="656" t="s">
        <v>4496</v>
      </c>
      <c r="D169" s="657" t="s">
        <v>4497</v>
      </c>
      <c r="H169" s="587">
        <v>3</v>
      </c>
      <c r="I169" s="578" t="s">
        <v>3260</v>
      </c>
      <c r="J169" s="612" t="s">
        <v>4498</v>
      </c>
      <c r="O169" s="689" t="s">
        <v>4499</v>
      </c>
      <c r="P169" s="690" t="s">
        <v>4500</v>
      </c>
      <c r="AA169" s="656" t="s">
        <v>4501</v>
      </c>
      <c r="AB169" s="691" t="s">
        <v>4502</v>
      </c>
      <c r="AF169" s="587">
        <v>3</v>
      </c>
      <c r="AG169" s="613" t="s">
        <v>4503</v>
      </c>
      <c r="AH169" s="614" t="s">
        <v>4504</v>
      </c>
      <c r="BO169" s="612"/>
      <c r="CH169" s="587" t="s">
        <v>4505</v>
      </c>
      <c r="CI169" s="587">
        <v>67</v>
      </c>
      <c r="CJ169" s="587" cm="1">
        <f t="array" ref="CJ169">_xlfn.IFS($AZ$9&gt;=15,72,$AZ$9&gt;=11,71,$AZ$9&gt;=7,70,$AZ$9&gt;=3,69,1,0)</f>
        <v>0</v>
      </c>
    </row>
    <row r="170" customHeight="1" spans="1:88">
      <c r="A170" s="586">
        <v>137</v>
      </c>
      <c r="B170" s="610">
        <v>10</v>
      </c>
      <c r="C170" s="656" t="s">
        <v>4506</v>
      </c>
      <c r="D170" s="657" t="s">
        <v>4507</v>
      </c>
      <c r="H170" s="587">
        <v>3</v>
      </c>
      <c r="I170" s="578" t="s">
        <v>4508</v>
      </c>
      <c r="J170" s="650" t="s">
        <v>4509</v>
      </c>
      <c r="O170" s="689" t="s">
        <v>4510</v>
      </c>
      <c r="P170" s="690" t="s">
        <v>4511</v>
      </c>
      <c r="AA170" s="656" t="s">
        <v>4512</v>
      </c>
      <c r="AB170" s="691" t="s">
        <v>4513</v>
      </c>
      <c r="AF170" s="587">
        <v>6</v>
      </c>
      <c r="AG170" s="613" t="s">
        <v>4514</v>
      </c>
      <c r="AH170" s="614" t="s">
        <v>4515</v>
      </c>
      <c r="BO170" s="612"/>
      <c r="CH170" s="587" t="s">
        <v>4516</v>
      </c>
      <c r="CI170" s="587">
        <v>73</v>
      </c>
      <c r="CJ170" s="587" cm="1">
        <f t="array" ref="CJ170">_xlfn.IFS($AZ$9&gt;=15,78,$AZ$9&gt;=11,77,$AZ$9&gt;=7,76,$AZ$9&gt;=3,75,1,0)</f>
        <v>0</v>
      </c>
    </row>
    <row r="171" customHeight="1" spans="1:88">
      <c r="A171" s="586">
        <v>138</v>
      </c>
      <c r="B171" s="610">
        <v>14</v>
      </c>
      <c r="C171" s="656" t="s">
        <v>4517</v>
      </c>
      <c r="D171" s="614" t="s">
        <v>4518</v>
      </c>
      <c r="H171" s="587">
        <v>3</v>
      </c>
      <c r="I171" s="578" t="s">
        <v>4519</v>
      </c>
      <c r="J171" s="611" t="s">
        <v>4520</v>
      </c>
      <c r="O171" s="689" t="s">
        <v>4521</v>
      </c>
      <c r="P171" s="690" t="s">
        <v>4522</v>
      </c>
      <c r="AA171" s="656" t="s">
        <v>4523</v>
      </c>
      <c r="AB171" s="691" t="s">
        <v>4524</v>
      </c>
      <c r="AF171" s="587">
        <v>10</v>
      </c>
      <c r="AG171" s="613" t="s">
        <v>4525</v>
      </c>
      <c r="AH171" s="614" t="s">
        <v>4526</v>
      </c>
      <c r="BO171" s="612"/>
      <c r="CH171" s="679" t="s">
        <v>4527</v>
      </c>
      <c r="CI171" s="587">
        <v>79</v>
      </c>
      <c r="CJ171" s="587" cm="1">
        <f t="array" ref="CJ171">_xlfn.IFS($AZ$9&gt;=15,84,$AZ$9&gt;=11,83,$AZ$9&gt;=7,82,$AZ$9&gt;=3,81,1,0)</f>
        <v>0</v>
      </c>
    </row>
    <row r="172" customHeight="1" spans="1:88">
      <c r="A172" s="586">
        <v>139</v>
      </c>
      <c r="B172" s="610"/>
      <c r="H172" s="587">
        <v>3</v>
      </c>
      <c r="I172" s="578" t="s">
        <v>4528</v>
      </c>
      <c r="J172" s="611" t="s">
        <v>4529</v>
      </c>
      <c r="O172" s="689" t="s">
        <v>4530</v>
      </c>
      <c r="P172" s="690" t="s">
        <v>4531</v>
      </c>
      <c r="AA172" s="656" t="s">
        <v>4532</v>
      </c>
      <c r="AB172" s="691" t="s">
        <v>4533</v>
      </c>
      <c r="AF172" s="587">
        <v>14</v>
      </c>
      <c r="AG172" s="613" t="s">
        <v>4534</v>
      </c>
      <c r="AH172" s="614" t="s">
        <v>4535</v>
      </c>
      <c r="BO172" s="612"/>
      <c r="CH172" s="679" t="s">
        <v>4536</v>
      </c>
      <c r="CI172" s="587">
        <v>85</v>
      </c>
      <c r="CJ172" s="587" cm="1">
        <f t="array" ref="CJ172">_xlfn.IFS($AZ$9&gt;=15,89,$AZ$9&gt;=11,88,$AZ$9&gt;=7,87,$AZ$9&gt;=3,86,1,0)</f>
        <v>0</v>
      </c>
    </row>
    <row r="173" customHeight="1" spans="1:88">
      <c r="A173" s="586">
        <v>140</v>
      </c>
      <c r="B173" s="610"/>
      <c r="H173" s="587">
        <v>6</v>
      </c>
      <c r="I173" s="578" t="s">
        <v>4537</v>
      </c>
      <c r="J173" s="611" t="s">
        <v>4538</v>
      </c>
      <c r="O173" s="689" t="s">
        <v>4539</v>
      </c>
      <c r="P173" s="690" t="s">
        <v>4540</v>
      </c>
      <c r="AA173" s="656" t="s">
        <v>4541</v>
      </c>
      <c r="AB173" s="691" t="s">
        <v>4542</v>
      </c>
      <c r="AF173" s="578">
        <v>3</v>
      </c>
      <c r="AG173" s="578" t="s">
        <v>4543</v>
      </c>
      <c r="AH173" s="650" t="s">
        <v>4544</v>
      </c>
      <c r="BO173" s="612"/>
      <c r="CH173" s="679" t="s">
        <v>4545</v>
      </c>
      <c r="CI173" s="587">
        <v>90</v>
      </c>
      <c r="CJ173" s="587" cm="1">
        <f t="array" ref="CJ173">_xlfn.IFS($AZ$9&gt;=15,94,$AZ$9&gt;=11,93,$AZ$9&gt;=7,92,$AZ$9&gt;=3,91,1,0)</f>
        <v>0</v>
      </c>
    </row>
    <row r="174" customHeight="1" spans="1:88">
      <c r="A174" s="586">
        <v>141</v>
      </c>
      <c r="B174" s="610"/>
      <c r="H174" s="587">
        <v>17</v>
      </c>
      <c r="I174" s="578" t="s">
        <v>4546</v>
      </c>
      <c r="J174" s="650" t="s">
        <v>4547</v>
      </c>
      <c r="O174" s="689" t="s">
        <v>4548</v>
      </c>
      <c r="P174" s="690" t="s">
        <v>4549</v>
      </c>
      <c r="Z174" s="587">
        <v>9</v>
      </c>
      <c r="AA174" s="656" t="s">
        <v>4550</v>
      </c>
      <c r="AB174" s="657" t="s">
        <v>4551</v>
      </c>
      <c r="AF174" s="578">
        <v>3</v>
      </c>
      <c r="AG174" s="578" t="s">
        <v>4552</v>
      </c>
      <c r="AH174" s="650" t="s">
        <v>4553</v>
      </c>
      <c r="BO174" s="612"/>
      <c r="CH174" s="679" t="s">
        <v>4554</v>
      </c>
      <c r="CI174" s="587">
        <v>95</v>
      </c>
      <c r="CJ174" s="587" cm="1">
        <f t="array" ref="CJ174">_xlfn.IFS($AZ$9&gt;=15,100,$AZ$9&gt;=11,99,$AZ$9&gt;=7,98,$AZ$9&gt;=3,97,1,0)</f>
        <v>0</v>
      </c>
    </row>
    <row r="175" customHeight="1" spans="1:88">
      <c r="A175" s="586">
        <v>142</v>
      </c>
      <c r="B175" s="610"/>
      <c r="H175" s="587">
        <v>3</v>
      </c>
      <c r="I175" s="694" t="s">
        <v>4555</v>
      </c>
      <c r="J175" s="718" t="s">
        <v>4556</v>
      </c>
      <c r="O175" s="689" t="s">
        <v>4557</v>
      </c>
      <c r="P175" s="690" t="s">
        <v>4558</v>
      </c>
      <c r="Z175" s="587">
        <v>13</v>
      </c>
      <c r="AA175" s="656" t="s">
        <v>4559</v>
      </c>
      <c r="AB175" s="657" t="s">
        <v>4560</v>
      </c>
      <c r="AF175" s="578">
        <v>6</v>
      </c>
      <c r="AG175" s="578" t="s">
        <v>4561</v>
      </c>
      <c r="AH175" s="650" t="s">
        <v>4562</v>
      </c>
      <c r="BO175" s="612"/>
      <c r="CH175" s="679" t="s">
        <v>4563</v>
      </c>
      <c r="CI175" s="587">
        <v>101</v>
      </c>
      <c r="CJ175" s="587" cm="1">
        <f t="array" ref="CJ175">_xlfn.IFS($AZ$9&gt;=15,106,$AZ$9&gt;=11,105,$AZ$9&gt;=7,104,$AZ$9&gt;=3,103,1,0)</f>
        <v>0</v>
      </c>
    </row>
    <row r="176" customHeight="1" spans="1:88">
      <c r="A176" s="586">
        <v>143</v>
      </c>
      <c r="B176" s="610"/>
      <c r="H176" s="587">
        <v>3</v>
      </c>
      <c r="I176" s="694" t="s">
        <v>4564</v>
      </c>
      <c r="J176" s="614" t="s">
        <v>4565</v>
      </c>
      <c r="O176" s="689" t="s">
        <v>4566</v>
      </c>
      <c r="P176" s="690" t="s">
        <v>4567</v>
      </c>
      <c r="Z176" s="587">
        <v>3</v>
      </c>
      <c r="AA176" s="578" t="s">
        <v>4568</v>
      </c>
      <c r="AB176" s="650" t="s">
        <v>4569</v>
      </c>
      <c r="AF176" s="578">
        <v>10</v>
      </c>
      <c r="AG176" s="578" t="s">
        <v>4570</v>
      </c>
      <c r="AH176" s="650" t="s">
        <v>4571</v>
      </c>
      <c r="BO176" s="612"/>
      <c r="CH176" s="608" t="s">
        <v>476</v>
      </c>
      <c r="CI176" s="608">
        <v>25</v>
      </c>
      <c r="CJ176" s="608" cm="1">
        <f t="array" ref="CJ176">_xlfn.IFS($AZ$10&gt;=17,35,$AZ$10&gt;=13,34,$AZ$10&gt;=9,33,$AZ$10&gt;=3,32,1,0)</f>
        <v>0</v>
      </c>
    </row>
    <row r="177" customHeight="1" spans="1:88">
      <c r="A177" s="586">
        <v>144</v>
      </c>
      <c r="B177" s="610"/>
      <c r="H177" s="587">
        <v>3</v>
      </c>
      <c r="I177" s="694" t="s">
        <v>4572</v>
      </c>
      <c r="J177" s="718" t="s">
        <v>4573</v>
      </c>
      <c r="N177" s="587">
        <v>7</v>
      </c>
      <c r="O177" s="656" t="s">
        <v>4574</v>
      </c>
      <c r="P177" s="691" t="s">
        <v>4575</v>
      </c>
      <c r="Z177" s="587">
        <v>3</v>
      </c>
      <c r="AA177" s="578" t="s">
        <v>4576</v>
      </c>
      <c r="AB177" s="650" t="s">
        <v>4577</v>
      </c>
      <c r="AF177" s="578">
        <v>14</v>
      </c>
      <c r="AG177" s="578" t="s">
        <v>4578</v>
      </c>
      <c r="AH177" s="650" t="s">
        <v>4579</v>
      </c>
      <c r="BO177" s="612"/>
      <c r="CH177" s="587" t="s">
        <v>4580</v>
      </c>
      <c r="CI177" s="587">
        <v>36</v>
      </c>
      <c r="CJ177" s="587" cm="1">
        <f t="array" ref="CJ177">_xlfn.IFS($AZ$10&gt;=17,40,$AZ$10&gt;=13,39,$AZ$10&gt;=9,38,$AZ$10&gt;=3,37,1,0)</f>
        <v>0</v>
      </c>
    </row>
    <row r="178" customHeight="1" spans="1:88">
      <c r="A178" s="586">
        <v>145</v>
      </c>
      <c r="B178" s="610"/>
      <c r="H178" s="587">
        <v>6</v>
      </c>
      <c r="I178" s="694" t="s">
        <v>4581</v>
      </c>
      <c r="J178" s="614" t="s">
        <v>4582</v>
      </c>
      <c r="N178" s="587">
        <v>7</v>
      </c>
      <c r="O178" s="656" t="s">
        <v>4583</v>
      </c>
      <c r="P178" s="691" t="s">
        <v>4584</v>
      </c>
      <c r="Z178" s="587">
        <v>9</v>
      </c>
      <c r="AA178" s="578" t="s">
        <v>4585</v>
      </c>
      <c r="AB178" s="650" t="s">
        <v>4586</v>
      </c>
      <c r="AF178" s="578">
        <v>3</v>
      </c>
      <c r="AG178" s="656" t="s">
        <v>4587</v>
      </c>
      <c r="AH178" s="691" t="s">
        <v>4588</v>
      </c>
      <c r="BO178" s="612"/>
      <c r="CH178" s="587" t="s">
        <v>4589</v>
      </c>
      <c r="CI178" s="587">
        <v>41</v>
      </c>
      <c r="CJ178" s="587" cm="1">
        <f t="array" ref="CJ178">_xlfn.IFS($AZ$10&gt;=17,45,$AZ$10&gt;=13,44,$AZ$10&gt;=9,43,$AZ$10&gt;=3,42,1,0)</f>
        <v>0</v>
      </c>
    </row>
    <row r="179" customHeight="1" spans="1:88">
      <c r="A179" s="586">
        <v>146</v>
      </c>
      <c r="B179" s="610"/>
      <c r="H179" s="587">
        <v>17</v>
      </c>
      <c r="I179" s="694" t="s">
        <v>4590</v>
      </c>
      <c r="J179" s="614" t="s">
        <v>4591</v>
      </c>
      <c r="N179" s="587">
        <v>10</v>
      </c>
      <c r="O179" s="656" t="s">
        <v>4592</v>
      </c>
      <c r="P179" s="691" t="s">
        <v>4593</v>
      </c>
      <c r="Z179" s="587">
        <v>13</v>
      </c>
      <c r="AA179" s="578" t="s">
        <v>4594</v>
      </c>
      <c r="AB179" s="650" t="s">
        <v>4595</v>
      </c>
      <c r="AF179" s="578">
        <v>3</v>
      </c>
      <c r="AG179" s="656" t="s">
        <v>4596</v>
      </c>
      <c r="AH179" s="691" t="s">
        <v>4597</v>
      </c>
      <c r="BO179" s="612"/>
      <c r="CH179" s="587" t="s">
        <v>4598</v>
      </c>
      <c r="CI179" s="587">
        <v>46</v>
      </c>
      <c r="CJ179" s="587" cm="1">
        <f t="array" ref="CJ179">_xlfn.IFS($AZ$10&gt;=17,50,$AZ$10&gt;=13,49,$AZ$10&gt;=9,48,$AZ$10&gt;=3,47,1,0)</f>
        <v>0</v>
      </c>
    </row>
    <row r="180" customHeight="1" spans="1:88">
      <c r="A180" s="586">
        <v>147</v>
      </c>
      <c r="B180" s="610"/>
      <c r="N180" s="587">
        <v>15</v>
      </c>
      <c r="O180" s="656" t="s">
        <v>4599</v>
      </c>
      <c r="P180" s="691" t="s">
        <v>4600</v>
      </c>
      <c r="Z180" s="587">
        <v>17</v>
      </c>
      <c r="AA180" s="578" t="s">
        <v>4601</v>
      </c>
      <c r="AB180" s="650" t="s">
        <v>4602</v>
      </c>
      <c r="AF180" s="578">
        <v>3</v>
      </c>
      <c r="AG180" s="656" t="s">
        <v>4603</v>
      </c>
      <c r="AH180" s="691" t="s">
        <v>4604</v>
      </c>
      <c r="BO180" s="612"/>
      <c r="CH180" s="587" t="s">
        <v>4605</v>
      </c>
      <c r="CI180" s="587">
        <v>51</v>
      </c>
      <c r="CJ180" s="587" cm="1">
        <f t="array" ref="CJ180">_xlfn.IFS($AZ$10&gt;=17,56,$AZ$10&gt;=13,55,$AZ$10&gt;=9,54,$AZ$10&gt;=3,53,1,0)</f>
        <v>0</v>
      </c>
    </row>
    <row r="181" customHeight="1" spans="1:88">
      <c r="A181" s="586">
        <v>148</v>
      </c>
      <c r="B181" s="610"/>
      <c r="N181" s="587">
        <v>18</v>
      </c>
      <c r="O181" s="656" t="s">
        <v>4606</v>
      </c>
      <c r="P181" s="691" t="s">
        <v>4607</v>
      </c>
      <c r="Z181" s="587">
        <v>3</v>
      </c>
      <c r="AA181" s="656" t="s">
        <v>4608</v>
      </c>
      <c r="AB181" s="691" t="s">
        <v>4609</v>
      </c>
      <c r="AF181" s="578">
        <v>6</v>
      </c>
      <c r="AG181" s="656" t="s">
        <v>4610</v>
      </c>
      <c r="AH181" s="691" t="s">
        <v>4611</v>
      </c>
      <c r="BO181" s="612"/>
      <c r="CH181" s="587" t="s">
        <v>4612</v>
      </c>
      <c r="CI181" s="587">
        <v>57</v>
      </c>
      <c r="CJ181" s="587" cm="1">
        <f t="array" ref="CJ181">_xlfn.IFS($AZ$10&gt;=17,61,$AZ$10&gt;=13,60,$AZ$10&gt;=9,59,$AZ$10&gt;=3,58,1,0)</f>
        <v>0</v>
      </c>
    </row>
    <row r="182" customHeight="1" spans="1:88">
      <c r="A182" s="586">
        <v>149</v>
      </c>
      <c r="B182" s="610"/>
      <c r="N182" s="587">
        <v>3</v>
      </c>
      <c r="O182" s="679" t="s">
        <v>4613</v>
      </c>
      <c r="P182" s="612" t="s">
        <v>4614</v>
      </c>
      <c r="Z182" s="587">
        <v>3</v>
      </c>
      <c r="AA182" s="656" t="s">
        <v>4615</v>
      </c>
      <c r="AB182" s="657" t="s">
        <v>4616</v>
      </c>
      <c r="AF182" s="578">
        <v>6</v>
      </c>
      <c r="AG182" s="656" t="s">
        <v>4617</v>
      </c>
      <c r="AH182" s="691" t="s">
        <v>4618</v>
      </c>
      <c r="BO182" s="612"/>
      <c r="CH182" s="587" t="s">
        <v>4619</v>
      </c>
      <c r="CI182" s="587">
        <v>62</v>
      </c>
      <c r="CJ182" s="587" cm="1">
        <f t="array" ref="CJ182">_xlfn.IFS($AZ$10&gt;=17,66,$AZ$10&gt;=13,65,$AZ$10&gt;=9,64,$AZ$10&gt;=3,63,1,0)</f>
        <v>0</v>
      </c>
    </row>
    <row r="183" customHeight="1" spans="1:88">
      <c r="A183" s="586">
        <v>150</v>
      </c>
      <c r="B183" s="610"/>
      <c r="O183" s="711" t="s">
        <v>4620</v>
      </c>
      <c r="P183" s="677" t="s">
        <v>4621</v>
      </c>
      <c r="Z183" s="587">
        <v>9</v>
      </c>
      <c r="AA183" s="656" t="s">
        <v>4622</v>
      </c>
      <c r="AB183" s="657" t="s">
        <v>4623</v>
      </c>
      <c r="AF183" s="578">
        <v>10</v>
      </c>
      <c r="AG183" s="656" t="s">
        <v>4624</v>
      </c>
      <c r="AH183" s="691" t="s">
        <v>4625</v>
      </c>
      <c r="BO183" s="612"/>
      <c r="CH183" s="587" t="s">
        <v>4626</v>
      </c>
      <c r="CI183" s="587">
        <v>67</v>
      </c>
      <c r="CJ183" s="587" cm="1">
        <f t="array" ref="CJ183">_xlfn.IFS($AZ$10&gt;=17,71,$AZ$10&gt;=13,70,$AZ$10&gt;=9,69,$AZ$10&gt;=3,68,1,0)</f>
        <v>0</v>
      </c>
    </row>
    <row r="184" customHeight="1" spans="1:88">
      <c r="A184" s="586">
        <v>151</v>
      </c>
      <c r="B184" s="610"/>
      <c r="O184" s="711" t="s">
        <v>4627</v>
      </c>
      <c r="P184" s="723" t="s">
        <v>4628</v>
      </c>
      <c r="Z184" s="587">
        <v>13</v>
      </c>
      <c r="AA184" s="656" t="s">
        <v>1626</v>
      </c>
      <c r="AB184" s="657" t="s">
        <v>4629</v>
      </c>
      <c r="AF184" s="578">
        <v>14</v>
      </c>
      <c r="AG184" s="656" t="s">
        <v>4630</v>
      </c>
      <c r="AH184" s="691" t="s">
        <v>4631</v>
      </c>
      <c r="BO184" s="612"/>
      <c r="CH184" s="587" t="s">
        <v>4632</v>
      </c>
      <c r="CI184" s="587">
        <v>72</v>
      </c>
      <c r="CJ184" s="587" cm="1">
        <f t="array" ref="CJ184">_xlfn.IFS($AZ$10&gt;=17,76,$AZ$10&gt;=13,75,$AZ$10&gt;=9,74,$AZ$10&gt;=3,73,1,0)</f>
        <v>0</v>
      </c>
    </row>
    <row r="185" customHeight="1" spans="1:88">
      <c r="A185" s="586">
        <v>152</v>
      </c>
      <c r="B185" s="610"/>
      <c r="O185" s="711" t="s">
        <v>4633</v>
      </c>
      <c r="P185" s="677" t="s">
        <v>4634</v>
      </c>
      <c r="Z185" s="587">
        <v>17</v>
      </c>
      <c r="AA185" s="656" t="s">
        <v>4635</v>
      </c>
      <c r="AB185" s="657" t="s">
        <v>4636</v>
      </c>
      <c r="AF185" s="587">
        <v>3</v>
      </c>
      <c r="AG185" s="679" t="s">
        <v>4637</v>
      </c>
      <c r="AH185" s="612" t="s">
        <v>4638</v>
      </c>
      <c r="BO185" s="612"/>
      <c r="CH185" s="587" t="s">
        <v>4639</v>
      </c>
      <c r="CI185" s="587">
        <v>77</v>
      </c>
      <c r="CJ185" s="587" cm="1">
        <f t="array" ref="CJ185">_xlfn.IFS($AZ$10&gt;=17,81,$AZ$10&gt;=13,80,$AZ$10&gt;=9,79,$AZ$10&gt;=3,78,1,0)</f>
        <v>0</v>
      </c>
    </row>
    <row r="186" customHeight="1" spans="1:88">
      <c r="A186" s="586">
        <v>153</v>
      </c>
      <c r="B186" s="610"/>
      <c r="N186" s="587">
        <v>7</v>
      </c>
      <c r="O186" s="679" t="s">
        <v>4640</v>
      </c>
      <c r="P186" s="612" t="s">
        <v>4641</v>
      </c>
      <c r="Z186" s="587">
        <v>3</v>
      </c>
      <c r="AA186" s="679" t="s">
        <v>4642</v>
      </c>
      <c r="AB186" s="612" t="s">
        <v>4643</v>
      </c>
      <c r="AF186" s="587">
        <v>3</v>
      </c>
      <c r="AG186" s="679" t="s">
        <v>4644</v>
      </c>
      <c r="AH186" s="612" t="s">
        <v>4645</v>
      </c>
      <c r="BO186" s="612"/>
      <c r="CH186" s="679" t="s">
        <v>4646</v>
      </c>
      <c r="CI186" s="587">
        <v>82</v>
      </c>
      <c r="CJ186" s="587" cm="1">
        <f t="array" ref="CJ186">_xlfn.IFS($AZ$10&gt;=17,87,$AZ$10&gt;=13,86,$AZ$10&gt;=9,85,$AZ$10&gt;=3,84,1,0)</f>
        <v>0</v>
      </c>
    </row>
    <row r="187" customHeight="1" spans="1:88">
      <c r="A187" s="586">
        <v>154</v>
      </c>
      <c r="B187" s="610"/>
      <c r="N187" s="587">
        <v>10</v>
      </c>
      <c r="O187" s="679" t="s">
        <v>4647</v>
      </c>
      <c r="P187" s="612" t="s">
        <v>4648</v>
      </c>
      <c r="Z187" s="587">
        <v>3</v>
      </c>
      <c r="AA187" s="679" t="s">
        <v>4649</v>
      </c>
      <c r="AB187" s="612" t="s">
        <v>4650</v>
      </c>
      <c r="AF187" s="587">
        <v>6</v>
      </c>
      <c r="AG187" s="679" t="s">
        <v>4651</v>
      </c>
      <c r="AH187" s="612" t="s">
        <v>4652</v>
      </c>
      <c r="BO187" s="612"/>
      <c r="CH187" s="679" t="s">
        <v>4653</v>
      </c>
      <c r="CI187" s="587">
        <v>88</v>
      </c>
      <c r="CJ187" s="587" cm="1">
        <f t="array" ref="CJ187">_xlfn.IFS($AZ$10&gt;=17,92,$AZ$10&gt;=13,91,$AZ$10&gt;=9,90,$AZ$10&gt;=3,89,1,0)</f>
        <v>0</v>
      </c>
    </row>
    <row r="188" customHeight="1" spans="1:88">
      <c r="A188" s="586">
        <v>155</v>
      </c>
      <c r="B188" s="610"/>
      <c r="N188" s="587">
        <v>15</v>
      </c>
      <c r="O188" s="679" t="s">
        <v>4654</v>
      </c>
      <c r="P188" s="612" t="s">
        <v>4655</v>
      </c>
      <c r="Z188" s="587">
        <v>9</v>
      </c>
      <c r="AA188" s="679" t="s">
        <v>4656</v>
      </c>
      <c r="AB188" s="612" t="s">
        <v>4657</v>
      </c>
      <c r="AF188" s="587">
        <v>10</v>
      </c>
      <c r="AG188" s="679" t="s">
        <v>4658</v>
      </c>
      <c r="AH188" s="612" t="s">
        <v>4659</v>
      </c>
      <c r="BO188" s="612"/>
      <c r="CH188" s="679" t="s">
        <v>4660</v>
      </c>
      <c r="CI188" s="587">
        <v>93</v>
      </c>
      <c r="CJ188" s="587" cm="1">
        <f t="array" ref="CJ188">_xlfn.IFS($AZ$10&gt;=17,120,$AZ$10&gt;=13,119,$AZ$10&gt;=10,111,$AZ$10&gt;=9,110,$AZ$10&gt;=5,109,$AZ$10&gt;=3,107,1,0)</f>
        <v>0</v>
      </c>
    </row>
    <row r="189" customHeight="1" spans="1:88">
      <c r="A189" s="586">
        <v>156</v>
      </c>
      <c r="B189" s="610"/>
      <c r="N189" s="587">
        <v>18</v>
      </c>
      <c r="O189" s="679" t="s">
        <v>4661</v>
      </c>
      <c r="P189" s="612" t="s">
        <v>4662</v>
      </c>
      <c r="Z189" s="587">
        <v>13</v>
      </c>
      <c r="AA189" s="679" t="s">
        <v>4663</v>
      </c>
      <c r="AB189" s="612" t="s">
        <v>4664</v>
      </c>
      <c r="AF189" s="587">
        <v>14</v>
      </c>
      <c r="AG189" s="679" t="s">
        <v>4665</v>
      </c>
      <c r="AH189" s="612" t="s">
        <v>4666</v>
      </c>
      <c r="BO189" s="612"/>
      <c r="CH189" s="679" t="s">
        <v>4667</v>
      </c>
      <c r="CI189" s="587">
        <v>121</v>
      </c>
      <c r="CJ189" s="587" cm="1">
        <f t="array" ref="CJ189">_xlfn.IFS($AZ$10&gt;=17,125,$AZ$10&gt;=13,124,$AZ$10&gt;=9,123,$AZ$10&gt;=3,122,1,0)</f>
        <v>0</v>
      </c>
    </row>
    <row r="190" customHeight="1" spans="1:88">
      <c r="A190" s="586">
        <v>157</v>
      </c>
      <c r="B190" s="610"/>
      <c r="N190" s="587">
        <v>3</v>
      </c>
      <c r="O190" s="694" t="s">
        <v>3983</v>
      </c>
      <c r="P190" s="614" t="s">
        <v>4668</v>
      </c>
      <c r="Z190" s="587">
        <v>17</v>
      </c>
      <c r="AA190" s="679" t="s">
        <v>4669</v>
      </c>
      <c r="AB190" s="612" t="s">
        <v>4670</v>
      </c>
      <c r="AF190" s="587">
        <v>3</v>
      </c>
      <c r="AG190" s="694" t="s">
        <v>4671</v>
      </c>
      <c r="AH190" s="614" t="s">
        <v>4672</v>
      </c>
      <c r="BO190" s="612"/>
      <c r="CH190" s="679" t="s">
        <v>4673</v>
      </c>
      <c r="CI190" s="587">
        <v>126</v>
      </c>
      <c r="CJ190" s="587" cm="1">
        <f t="array" ref="CJ190">_xlfn.IFS($AZ$10&gt;=13,142,$AZ$10&gt;=9,141,$AZ$10&gt;=3,140,1,0)</f>
        <v>0</v>
      </c>
    </row>
    <row r="191" customHeight="1" spans="1:88">
      <c r="A191" s="586">
        <v>158</v>
      </c>
      <c r="B191" s="610"/>
      <c r="N191" s="587">
        <v>3</v>
      </c>
      <c r="O191" s="694" t="s">
        <v>4674</v>
      </c>
      <c r="P191" s="614" t="s">
        <v>4675</v>
      </c>
      <c r="Z191" s="587">
        <v>3</v>
      </c>
      <c r="AA191" s="656" t="s">
        <v>4676</v>
      </c>
      <c r="AB191" s="691" t="s">
        <v>4677</v>
      </c>
      <c r="AF191" s="587">
        <v>3</v>
      </c>
      <c r="AG191" s="694" t="s">
        <v>4678</v>
      </c>
      <c r="AH191" s="614" t="s">
        <v>4679</v>
      </c>
      <c r="BO191" s="612"/>
      <c r="CH191" s="679" t="s">
        <v>4680</v>
      </c>
      <c r="CI191" s="587">
        <v>143</v>
      </c>
      <c r="CJ191" s="587" cm="1">
        <f t="array" ref="CJ191">_xlfn.IFS($AZ$10&gt;=17,147,$AZ$10&gt;=13,146,$AZ$10&gt;=9,145,$AZ$10&gt;=3,144,1,0)</f>
        <v>0</v>
      </c>
    </row>
    <row r="192" customHeight="1" spans="1:88">
      <c r="A192" s="586">
        <v>159</v>
      </c>
      <c r="B192" s="610"/>
      <c r="O192" s="689" t="s">
        <v>4681</v>
      </c>
      <c r="P192" s="690" t="s">
        <v>4682</v>
      </c>
      <c r="Z192" s="587">
        <v>3</v>
      </c>
      <c r="AA192" s="656" t="s">
        <v>4683</v>
      </c>
      <c r="AB192" s="691" t="s">
        <v>4684</v>
      </c>
      <c r="AF192" s="587">
        <v>3</v>
      </c>
      <c r="AG192" s="694" t="s">
        <v>4685</v>
      </c>
      <c r="AH192" s="614" t="s">
        <v>4686</v>
      </c>
      <c r="BO192" s="612"/>
      <c r="CH192" s="679" t="s">
        <v>4687</v>
      </c>
      <c r="CI192" s="587">
        <v>148</v>
      </c>
      <c r="CJ192" s="587" cm="1">
        <f t="array" ref="CJ192">_xlfn.IFS($AZ$10&gt;=17,152,$AZ$10&gt;=13,151,$AZ$10&gt;=9,150,$AZ$10&gt;=3,149,1,0)</f>
        <v>0</v>
      </c>
    </row>
    <row r="193" customHeight="1" spans="1:88">
      <c r="A193" s="586">
        <v>160</v>
      </c>
      <c r="B193" s="610"/>
      <c r="O193" s="689" t="s">
        <v>4688</v>
      </c>
      <c r="P193" s="690" t="s">
        <v>4689</v>
      </c>
      <c r="Z193" s="587">
        <v>9</v>
      </c>
      <c r="AA193" s="656" t="s">
        <v>4690</v>
      </c>
      <c r="AB193" s="691" t="s">
        <v>4691</v>
      </c>
      <c r="AF193" s="587">
        <v>6</v>
      </c>
      <c r="AG193" s="694" t="s">
        <v>4692</v>
      </c>
      <c r="AH193" s="614" t="s">
        <v>4693</v>
      </c>
      <c r="BO193" s="612"/>
      <c r="CH193" s="679" t="s">
        <v>4694</v>
      </c>
      <c r="CI193" s="587">
        <v>153</v>
      </c>
      <c r="CJ193" s="587" cm="1">
        <f t="array" ref="CJ193">_xlfn.IFS($AZ$10&gt;=17,157,$AZ$10&gt;=13,156,$AZ$10&gt;=9,155,$AZ$10&gt;=3,154,1,0)</f>
        <v>0</v>
      </c>
    </row>
    <row r="194" customHeight="1" spans="1:88">
      <c r="A194" s="586">
        <v>161</v>
      </c>
      <c r="B194" s="610"/>
      <c r="O194" s="689" t="s">
        <v>4695</v>
      </c>
      <c r="P194" s="690" t="s">
        <v>4696</v>
      </c>
      <c r="Z194" s="587">
        <v>13</v>
      </c>
      <c r="AA194" s="656" t="s">
        <v>4697</v>
      </c>
      <c r="AB194" s="691" t="s">
        <v>4698</v>
      </c>
      <c r="AF194" s="587">
        <v>10</v>
      </c>
      <c r="AG194" s="694" t="s">
        <v>4699</v>
      </c>
      <c r="AH194" s="614" t="s">
        <v>4700</v>
      </c>
      <c r="BO194" s="612"/>
      <c r="CH194" s="679" t="s">
        <v>4701</v>
      </c>
      <c r="CI194" s="587">
        <v>158</v>
      </c>
      <c r="CJ194" s="587" cm="1">
        <f t="array" ref="CJ194">_xlfn.IFS($AZ$10&gt;=17,163,$AZ$10&gt;=13,162,$AZ$10&gt;=9,160,$AZ$10&gt;=3,159,1,0)</f>
        <v>0</v>
      </c>
    </row>
    <row r="195" customHeight="1" spans="1:88">
      <c r="A195" s="586">
        <v>162</v>
      </c>
      <c r="B195" s="610"/>
      <c r="O195" s="689" t="s">
        <v>4702</v>
      </c>
      <c r="P195" s="690" t="s">
        <v>4703</v>
      </c>
      <c r="Z195" s="587">
        <v>13</v>
      </c>
      <c r="AA195" s="656" t="s">
        <v>4704</v>
      </c>
      <c r="AB195" s="691" t="s">
        <v>4705</v>
      </c>
      <c r="AF195" s="587">
        <v>14</v>
      </c>
      <c r="AG195" s="694" t="s">
        <v>4706</v>
      </c>
      <c r="AH195" s="614" t="s">
        <v>4707</v>
      </c>
      <c r="BO195" s="612"/>
      <c r="CH195" s="608" t="s">
        <v>4708</v>
      </c>
      <c r="CI195" s="608">
        <v>33</v>
      </c>
      <c r="CJ195" s="608" cm="1">
        <f t="array" ref="CJ195">_xlfn.IFS($AZ$11&gt;=18,38,$AZ$11&gt;=14,37,$AZ$11&gt;=6,36,$AZ$11&gt;=3,34,1,0)</f>
        <v>0</v>
      </c>
    </row>
    <row r="196" customHeight="1" spans="1:88">
      <c r="A196" s="586">
        <v>163</v>
      </c>
      <c r="B196" s="610"/>
      <c r="O196" s="689" t="s">
        <v>4709</v>
      </c>
      <c r="P196" s="690" t="s">
        <v>4710</v>
      </c>
      <c r="Z196" s="587">
        <v>17</v>
      </c>
      <c r="AA196" s="656" t="s">
        <v>4711</v>
      </c>
      <c r="AB196" s="691" t="s">
        <v>4712</v>
      </c>
      <c r="AF196" s="587">
        <v>3</v>
      </c>
      <c r="AG196" s="679" t="s">
        <v>4713</v>
      </c>
      <c r="AH196" s="612" t="s">
        <v>4714</v>
      </c>
      <c r="BO196" s="612"/>
      <c r="CH196" s="587" t="s">
        <v>4715</v>
      </c>
      <c r="CI196" s="587">
        <v>39</v>
      </c>
      <c r="CJ196" s="587" cm="1">
        <f t="array" ref="CJ196">_xlfn.IFS($AZ$11&gt;=18,43,$AZ$11&gt;=14,42,$AZ$11&gt;=6,41,$AZ$11&gt;=3,40,1,0)</f>
        <v>0</v>
      </c>
    </row>
    <row r="197" customHeight="1" spans="1:88">
      <c r="A197" s="586">
        <v>164</v>
      </c>
      <c r="B197" s="610"/>
      <c r="O197" s="689" t="s">
        <v>4716</v>
      </c>
      <c r="P197" s="690" t="s">
        <v>4717</v>
      </c>
      <c r="AF197" s="587">
        <v>3</v>
      </c>
      <c r="AG197" s="578" t="s">
        <v>3962</v>
      </c>
      <c r="AH197" s="650" t="s">
        <v>4718</v>
      </c>
      <c r="BO197" s="612"/>
      <c r="CH197" s="587" t="s">
        <v>4719</v>
      </c>
      <c r="CI197" s="587">
        <v>44</v>
      </c>
      <c r="CJ197" s="587" cm="1">
        <f t="array" ref="CJ197">_xlfn.IFS($AZ$11&gt;=18,48,$AZ$11&gt;=14,47,$AZ$11&gt;=6,46,$AZ$11&gt;=3,45,1,0)</f>
        <v>0</v>
      </c>
    </row>
    <row r="198" customHeight="1" spans="1:88">
      <c r="A198" s="586">
        <v>165</v>
      </c>
      <c r="B198" s="610"/>
      <c r="O198" s="689" t="s">
        <v>4720</v>
      </c>
      <c r="P198" s="690" t="s">
        <v>4721</v>
      </c>
      <c r="AF198" s="587">
        <v>3</v>
      </c>
      <c r="AG198" s="578" t="s">
        <v>4722</v>
      </c>
      <c r="AH198" s="650" t="s">
        <v>4723</v>
      </c>
      <c r="BO198" s="612"/>
      <c r="CH198" s="587" t="s">
        <v>4724</v>
      </c>
      <c r="CI198" s="587">
        <v>49</v>
      </c>
      <c r="CJ198" s="587" cm="1">
        <f t="array" ref="CJ198">_xlfn.IFS($AZ$11&gt;=18,53,$AZ$11&gt;=14,52,$AZ$11&gt;=6,51,$AZ$11&gt;=3,50,1,0)</f>
        <v>0</v>
      </c>
    </row>
    <row r="199" customHeight="1" spans="1:88">
      <c r="A199" s="586">
        <v>166</v>
      </c>
      <c r="B199" s="610"/>
      <c r="O199" s="689" t="s">
        <v>4725</v>
      </c>
      <c r="P199" s="690" t="s">
        <v>4726</v>
      </c>
      <c r="AF199" s="587">
        <v>6</v>
      </c>
      <c r="AG199" s="578" t="s">
        <v>4727</v>
      </c>
      <c r="AH199" s="650" t="s">
        <v>4728</v>
      </c>
      <c r="BO199" s="612"/>
      <c r="CH199" s="586" t="s">
        <v>4729</v>
      </c>
      <c r="CI199" s="587">
        <v>54</v>
      </c>
      <c r="CJ199" s="587" cm="1">
        <f t="array" ref="CJ199">_xlfn.IFS($AZ$11&gt;=18,58,$AZ$11&gt;=14,57,$AZ$11&gt;=6,56,$AZ$11&gt;=3,55,1,0)</f>
        <v>0</v>
      </c>
    </row>
    <row r="200" customHeight="1" spans="1:88">
      <c r="A200" s="586">
        <v>167</v>
      </c>
      <c r="B200" s="610"/>
      <c r="O200" s="689" t="s">
        <v>4730</v>
      </c>
      <c r="P200" s="690" t="s">
        <v>4731</v>
      </c>
      <c r="AF200" s="587">
        <v>10</v>
      </c>
      <c r="AG200" s="578" t="s">
        <v>4732</v>
      </c>
      <c r="AH200" s="650" t="s">
        <v>4733</v>
      </c>
      <c r="BO200" s="612"/>
      <c r="CH200" s="586" t="s">
        <v>4734</v>
      </c>
      <c r="CI200" s="587">
        <v>59</v>
      </c>
      <c r="CJ200" s="587" cm="1">
        <f t="array" ref="CJ200">_xlfn.IFS($AZ$11&gt;=18,63,$AZ$11&gt;=14,62,$AZ$11&gt;=6,61,$AZ$11&gt;=3,60,1,0)</f>
        <v>0</v>
      </c>
    </row>
    <row r="201" customHeight="1" spans="1:88">
      <c r="A201" s="586">
        <v>168</v>
      </c>
      <c r="B201" s="610"/>
      <c r="O201" s="689" t="s">
        <v>4735</v>
      </c>
      <c r="P201" s="690" t="s">
        <v>4736</v>
      </c>
      <c r="AF201" s="587">
        <v>14</v>
      </c>
      <c r="AG201" s="578" t="s">
        <v>4737</v>
      </c>
      <c r="AH201" s="650" t="s">
        <v>4738</v>
      </c>
      <c r="BO201" s="612"/>
      <c r="CH201" s="586" t="s">
        <v>4739</v>
      </c>
      <c r="CI201" s="587">
        <v>64</v>
      </c>
      <c r="CJ201" s="587" cm="1">
        <f t="array" ref="CJ201">_xlfn.IFS($AZ$11&gt;=18,69,$AZ$11&gt;=14,68,$AZ$11&gt;=6,67,$AZ$11&gt;=3,65,1,0)</f>
        <v>0</v>
      </c>
    </row>
    <row r="202" customHeight="1" spans="1:88">
      <c r="A202" s="586">
        <v>169</v>
      </c>
      <c r="B202" s="610"/>
      <c r="O202" s="689" t="s">
        <v>4740</v>
      </c>
      <c r="P202" s="690" t="s">
        <v>4741</v>
      </c>
      <c r="AF202" s="587">
        <v>3</v>
      </c>
      <c r="AG202" s="694" t="s">
        <v>4742</v>
      </c>
      <c r="AH202" s="614" t="s">
        <v>4743</v>
      </c>
      <c r="BO202" s="612"/>
      <c r="CH202" s="587" t="s">
        <v>4744</v>
      </c>
      <c r="CI202" s="587">
        <v>70</v>
      </c>
      <c r="CJ202" s="587" cm="1">
        <f t="array" ref="CJ202">_xlfn.IFS($AZ$11&gt;=18,74,$AZ$11&gt;=14,73,$AZ$11&gt;=6,72,$AZ$11&gt;=3,71,1,0)</f>
        <v>0</v>
      </c>
    </row>
    <row r="203" customHeight="1" spans="1:88">
      <c r="A203" s="586">
        <v>170</v>
      </c>
      <c r="B203" s="610"/>
      <c r="O203" s="689" t="s">
        <v>4745</v>
      </c>
      <c r="P203" s="690" t="s">
        <v>4746</v>
      </c>
      <c r="AF203" s="587">
        <v>3</v>
      </c>
      <c r="AG203" s="656" t="s">
        <v>4747</v>
      </c>
      <c r="AH203" s="691" t="s">
        <v>4748</v>
      </c>
      <c r="BO203" s="612"/>
      <c r="CH203" s="679" t="s">
        <v>4749</v>
      </c>
      <c r="CI203" s="587">
        <v>75</v>
      </c>
      <c r="CJ203" s="587" cm="1">
        <f t="array" ref="CJ203">_xlfn.IFS($AZ$11&gt;=18,79,$AZ$11&gt;=14,78,$AZ$11&gt;=6,77,$AZ$11&gt;=3,76,1,0)</f>
        <v>0</v>
      </c>
    </row>
    <row r="204" customHeight="1" spans="1:88">
      <c r="A204" s="586">
        <v>171</v>
      </c>
      <c r="B204" s="610"/>
      <c r="O204" s="689" t="s">
        <v>4750</v>
      </c>
      <c r="P204" s="690" t="s">
        <v>4751</v>
      </c>
      <c r="AF204" s="587">
        <v>3</v>
      </c>
      <c r="AG204" s="656" t="s">
        <v>4752</v>
      </c>
      <c r="AH204" s="691" t="s">
        <v>4753</v>
      </c>
      <c r="BO204" s="612"/>
      <c r="CH204" s="679" t="s">
        <v>4754</v>
      </c>
      <c r="CI204" s="587">
        <v>80</v>
      </c>
      <c r="CJ204" s="587" cm="1">
        <f t="array" ref="CJ204">_xlfn.IFS($AZ$11&gt;=18,86,$AZ$11&gt;=14,85,$AZ$11&gt;=6,84,$AZ$11&gt;=3,82,1,0)</f>
        <v>0</v>
      </c>
    </row>
    <row r="205" customHeight="1" spans="1:88">
      <c r="A205" s="586">
        <v>172</v>
      </c>
      <c r="B205" s="610"/>
      <c r="N205" s="587">
        <v>7</v>
      </c>
      <c r="O205" s="656" t="s">
        <v>4755</v>
      </c>
      <c r="P205" s="691" t="s">
        <v>4756</v>
      </c>
      <c r="AF205" s="587">
        <v>6</v>
      </c>
      <c r="AG205" s="656" t="s">
        <v>4757</v>
      </c>
      <c r="AH205" s="657" t="s">
        <v>4758</v>
      </c>
      <c r="BO205" s="612"/>
      <c r="CH205" s="679" t="s">
        <v>4759</v>
      </c>
      <c r="CI205" s="587">
        <v>87</v>
      </c>
      <c r="CJ205" s="587" cm="1">
        <f t="array" ref="CJ205">_xlfn.IFS($AZ$11&gt;=18,95,$AZ$11&gt;=14,94,$AZ$11&gt;=6,993,$AZ$11&gt;=3,92,1,0)</f>
        <v>0</v>
      </c>
    </row>
    <row r="206" customHeight="1" spans="1:88">
      <c r="A206" s="586">
        <v>173</v>
      </c>
      <c r="B206" s="610"/>
      <c r="N206" s="587">
        <v>10</v>
      </c>
      <c r="O206" s="656" t="s">
        <v>4760</v>
      </c>
      <c r="P206" s="691" t="s">
        <v>4761</v>
      </c>
      <c r="AF206" s="587">
        <v>10</v>
      </c>
      <c r="AG206" s="656" t="s">
        <v>4762</v>
      </c>
      <c r="AH206" s="691" t="s">
        <v>4763</v>
      </c>
      <c r="BO206" s="612"/>
      <c r="CH206" s="679" t="s">
        <v>4764</v>
      </c>
      <c r="CI206" s="587">
        <v>96</v>
      </c>
      <c r="CJ206" s="587" cm="1">
        <f t="array" ref="CJ206">_xlfn.IFS($AZ$11&gt;=18,101,$AZ$11&gt;=14,100,$AZ$11&gt;=6,99,$AZ$11&gt;=3,97,1,0)</f>
        <v>0</v>
      </c>
    </row>
    <row r="207" customHeight="1" spans="1:88">
      <c r="A207" s="586">
        <v>174</v>
      </c>
      <c r="B207" s="610"/>
      <c r="N207" s="587">
        <v>15</v>
      </c>
      <c r="O207" s="656" t="s">
        <v>4765</v>
      </c>
      <c r="P207" s="691" t="s">
        <v>4766</v>
      </c>
      <c r="AF207" s="587">
        <v>14</v>
      </c>
      <c r="AG207" s="656" t="s">
        <v>4767</v>
      </c>
      <c r="AH207" s="657" t="s">
        <v>4768</v>
      </c>
      <c r="BO207" s="612"/>
      <c r="CH207" s="679" t="s">
        <v>4769</v>
      </c>
      <c r="CI207" s="587">
        <v>102</v>
      </c>
      <c r="CJ207" s="587" cm="1">
        <f t="array" ref="CJ207">_xlfn.IFS($AZ$11&gt;=18,106,$AZ$11&gt;=14,105,$AZ$11&gt;=6,104,$AZ$11&gt;=3,103,1,0)</f>
        <v>0</v>
      </c>
    </row>
    <row r="208" customHeight="1" spans="1:88">
      <c r="A208" s="586">
        <v>175</v>
      </c>
      <c r="B208" s="610"/>
      <c r="N208" s="587">
        <v>18</v>
      </c>
      <c r="O208" s="656" t="s">
        <v>4770</v>
      </c>
      <c r="P208" s="691" t="s">
        <v>4771</v>
      </c>
      <c r="AF208" s="587">
        <v>3</v>
      </c>
      <c r="AG208" s="679" t="s">
        <v>4772</v>
      </c>
      <c r="AH208" s="612" t="s">
        <v>4773</v>
      </c>
      <c r="BO208" s="612"/>
      <c r="CH208" s="679" t="s">
        <v>4774</v>
      </c>
      <c r="CI208" s="587">
        <v>107</v>
      </c>
      <c r="CJ208" s="587" cm="1">
        <f t="array" ref="CJ208">_xlfn.IFS($AZ$11&gt;=18,111,$AZ$11&gt;=14,110,$AZ$11&gt;=6,109,$AZ$11&gt;=3,108,1,0)</f>
        <v>0</v>
      </c>
    </row>
    <row r="209" customHeight="1" spans="1:88">
      <c r="A209" s="586">
        <v>176</v>
      </c>
      <c r="B209" s="610"/>
      <c r="N209" s="587">
        <v>3</v>
      </c>
      <c r="O209" s="578" t="s">
        <v>3609</v>
      </c>
      <c r="P209" s="650" t="s">
        <v>4775</v>
      </c>
      <c r="AF209" s="587">
        <v>3</v>
      </c>
      <c r="AG209" s="578" t="s">
        <v>4776</v>
      </c>
      <c r="AH209" s="650" t="s">
        <v>4777</v>
      </c>
      <c r="BO209" s="612"/>
      <c r="CH209" s="679" t="s">
        <v>4778</v>
      </c>
      <c r="CI209" s="587">
        <v>112</v>
      </c>
      <c r="CJ209" s="587" cm="1">
        <f t="array" ref="CJ209">_xlfn.IFS($AZ$11&gt;=18,116,$AZ$11&gt;=14,115,$AZ$11&gt;=6,114,$AZ$11&gt;=3,113,1,0)</f>
        <v>0</v>
      </c>
    </row>
    <row r="210" customHeight="1" spans="1:88">
      <c r="A210" s="586">
        <v>177</v>
      </c>
      <c r="B210" s="610"/>
      <c r="N210" s="587">
        <v>3</v>
      </c>
      <c r="O210" s="578" t="s">
        <v>4779</v>
      </c>
      <c r="P210" s="650" t="s">
        <v>4780</v>
      </c>
      <c r="AF210" s="587">
        <v>3</v>
      </c>
      <c r="AG210" s="578" t="s">
        <v>4781</v>
      </c>
      <c r="AH210" s="650" t="s">
        <v>4782</v>
      </c>
      <c r="BO210" s="612"/>
      <c r="CH210" s="679" t="s">
        <v>4783</v>
      </c>
      <c r="CI210" s="587">
        <v>117</v>
      </c>
      <c r="CJ210" s="587" cm="1">
        <f t="array" ref="CJ210">_xlfn.IFS($AZ$11&gt;=18,121,$AZ$11&gt;=14,120,$AZ$11&gt;=6,119,$AZ$11&gt;=3,118,1,0)</f>
        <v>0</v>
      </c>
    </row>
    <row r="211" customHeight="1" spans="1:88">
      <c r="A211" s="586">
        <v>178</v>
      </c>
      <c r="B211" s="610"/>
      <c r="N211" s="587">
        <v>3</v>
      </c>
      <c r="O211" s="578" t="s">
        <v>4784</v>
      </c>
      <c r="P211" s="650" t="s">
        <v>4785</v>
      </c>
      <c r="AF211" s="587">
        <v>6</v>
      </c>
      <c r="AG211" s="578" t="s">
        <v>4786</v>
      </c>
      <c r="AH211" s="611" t="s">
        <v>4787</v>
      </c>
      <c r="BO211" s="612"/>
      <c r="CH211" s="608" t="s">
        <v>4788</v>
      </c>
      <c r="CI211" s="608">
        <v>73</v>
      </c>
      <c r="CJ211" s="608" cm="1">
        <f t="array" ref="CJ211">_xlfn.IFS($AZ$12&gt;=14,77,$AZ$12&gt;=10,76,$AZ$12&gt;=6,75,$AZ$12&gt;=3,74,1,0)</f>
        <v>0</v>
      </c>
    </row>
    <row r="212" customHeight="1" spans="1:88">
      <c r="A212" s="586">
        <v>179</v>
      </c>
      <c r="B212" s="610"/>
      <c r="N212" s="587">
        <v>7</v>
      </c>
      <c r="O212" s="578" t="s">
        <v>4789</v>
      </c>
      <c r="P212" s="650" t="s">
        <v>4790</v>
      </c>
      <c r="AF212" s="587">
        <v>10</v>
      </c>
      <c r="AG212" s="578" t="s">
        <v>4791</v>
      </c>
      <c r="AH212" s="650" t="s">
        <v>4792</v>
      </c>
      <c r="BO212" s="612"/>
      <c r="CH212" s="587" t="s">
        <v>4793</v>
      </c>
      <c r="CI212" s="587">
        <v>78</v>
      </c>
      <c r="CJ212" s="587" cm="1">
        <f t="array" ref="CJ212">_xlfn.IFS($AZ$12&gt;=14,82,$AZ$12&gt;=10,81,$AZ$12&gt;=6,80,$AZ$12&gt;=3,79,1,0)</f>
        <v>0</v>
      </c>
    </row>
    <row r="213" customHeight="1" spans="1:88">
      <c r="A213" s="586">
        <v>180</v>
      </c>
      <c r="B213" s="610"/>
      <c r="N213" s="587">
        <v>10</v>
      </c>
      <c r="O213" s="578" t="s">
        <v>4794</v>
      </c>
      <c r="P213" s="650" t="s">
        <v>4795</v>
      </c>
      <c r="AF213" s="587">
        <v>14</v>
      </c>
      <c r="AG213" s="578" t="s">
        <v>4796</v>
      </c>
      <c r="AH213" s="611" t="s">
        <v>4797</v>
      </c>
      <c r="BO213" s="612"/>
      <c r="CH213" s="587" t="s">
        <v>4798</v>
      </c>
      <c r="CI213" s="587">
        <v>83</v>
      </c>
      <c r="CJ213" s="587" cm="1">
        <f t="array" ref="CJ213">_xlfn.IFS($AZ$12&gt;=14,87,$AZ$12&gt;=10,86,$AZ$12&gt;=6,85,$AZ$12&gt;=3,84,1,0)</f>
        <v>0</v>
      </c>
    </row>
    <row r="214" customHeight="1" spans="1:88">
      <c r="A214" s="586">
        <v>181</v>
      </c>
      <c r="B214" s="610"/>
      <c r="N214" s="587">
        <v>15</v>
      </c>
      <c r="O214" s="578" t="s">
        <v>4799</v>
      </c>
      <c r="P214" s="650" t="s">
        <v>4800</v>
      </c>
      <c r="AF214" s="587">
        <v>3</v>
      </c>
      <c r="AG214" s="694" t="s">
        <v>4801</v>
      </c>
      <c r="AH214" s="614" t="s">
        <v>4802</v>
      </c>
      <c r="BO214" s="612"/>
      <c r="CH214" s="587" t="s">
        <v>4803</v>
      </c>
      <c r="CI214" s="587">
        <v>88</v>
      </c>
      <c r="CJ214" s="587" cm="1">
        <f t="array" ref="CJ214">_xlfn.IFS($AZ$12&gt;=14,94,$AZ$12&gt;=10,93,$AZ$12&gt;=6,91,$AZ$12&gt;=3,90,1,0)</f>
        <v>0</v>
      </c>
    </row>
    <row r="215" customHeight="1" spans="1:88">
      <c r="A215" s="586">
        <v>182</v>
      </c>
      <c r="B215" s="610"/>
      <c r="N215" s="587">
        <v>18</v>
      </c>
      <c r="O215" s="578" t="s">
        <v>4804</v>
      </c>
      <c r="P215" s="650" t="s">
        <v>4805</v>
      </c>
      <c r="AF215" s="587">
        <v>3</v>
      </c>
      <c r="AG215" s="694" t="s">
        <v>4806</v>
      </c>
      <c r="AH215" s="614" t="s">
        <v>4807</v>
      </c>
      <c r="BO215" s="612"/>
      <c r="CH215" s="587" t="s">
        <v>4808</v>
      </c>
      <c r="CI215" s="587">
        <v>94</v>
      </c>
      <c r="CJ215" s="587" cm="1">
        <f t="array" ref="CJ215">_xlfn.IFS($AZ$12&gt;=14,100,$AZ$12&gt;=10,99,$AZ$12&gt;=6,98,$AZ$12&gt;=3,97,1,0)</f>
        <v>0</v>
      </c>
    </row>
    <row r="216" customHeight="1" spans="1:88">
      <c r="A216" s="586">
        <v>183</v>
      </c>
      <c r="B216" s="610"/>
      <c r="N216" s="587">
        <v>3</v>
      </c>
      <c r="O216" s="656" t="s">
        <v>4809</v>
      </c>
      <c r="P216" s="691" t="s">
        <v>4810</v>
      </c>
      <c r="AF216" s="587">
        <v>6</v>
      </c>
      <c r="AG216" s="694" t="s">
        <v>4811</v>
      </c>
      <c r="AH216" s="614" t="s">
        <v>4812</v>
      </c>
      <c r="BO216" s="612"/>
      <c r="CH216" s="587" t="s">
        <v>3821</v>
      </c>
      <c r="CI216" s="587">
        <v>101</v>
      </c>
      <c r="CJ216" s="587" cm="1">
        <f t="array" ref="CJ216">_xlfn.IFS($AZ$12&gt;=14,108,$AZ$12&gt;=10,107,$AZ$12&gt;=6,106,$AZ$12&gt;=3,105,1,0)</f>
        <v>0</v>
      </c>
    </row>
    <row r="217" customHeight="1" spans="1:88">
      <c r="A217" s="586">
        <v>184</v>
      </c>
      <c r="B217" s="610"/>
      <c r="N217" s="587">
        <v>3</v>
      </c>
      <c r="O217" s="656" t="s">
        <v>4813</v>
      </c>
      <c r="P217" s="691" t="s">
        <v>4814</v>
      </c>
      <c r="AF217" s="587">
        <v>10</v>
      </c>
      <c r="AG217" s="694" t="s">
        <v>4815</v>
      </c>
      <c r="AH217" s="614" t="s">
        <v>4816</v>
      </c>
      <c r="BO217" s="612"/>
      <c r="CH217" s="587" t="s">
        <v>4026</v>
      </c>
      <c r="CI217" s="587">
        <v>109</v>
      </c>
      <c r="CJ217" s="587" cm="1">
        <f t="array" ref="CJ217">_xlfn.IFS($AZ$12&gt;=14,116,$AZ$12&gt;=10,115,$AZ$12&gt;=6,114,$AZ$12&gt;=3,112,1,0)</f>
        <v>0</v>
      </c>
    </row>
    <row r="218" customHeight="1" spans="1:88">
      <c r="A218" s="586">
        <v>185</v>
      </c>
      <c r="B218" s="610"/>
      <c r="N218" s="587">
        <v>3</v>
      </c>
      <c r="O218" s="656" t="s">
        <v>4817</v>
      </c>
      <c r="P218" s="691" t="s">
        <v>4818</v>
      </c>
      <c r="AF218" s="587">
        <v>14</v>
      </c>
      <c r="AG218" s="694" t="s">
        <v>4819</v>
      </c>
      <c r="AH218" s="614" t="s">
        <v>4820</v>
      </c>
      <c r="BO218" s="612"/>
      <c r="CH218" s="587" t="s">
        <v>4821</v>
      </c>
      <c r="CI218" s="587">
        <v>117</v>
      </c>
      <c r="CJ218" s="587" cm="1">
        <f t="array" ref="CJ218">_xlfn.IFS($AZ$12&gt;=14,121,$AZ$12&gt;=10,120,$AZ$12&gt;=6,119,$AZ$12&gt;=3,118,1,0)</f>
        <v>0</v>
      </c>
    </row>
    <row r="219" customHeight="1" spans="1:88">
      <c r="A219" s="586">
        <v>186</v>
      </c>
      <c r="B219" s="610"/>
      <c r="N219" s="587">
        <v>7</v>
      </c>
      <c r="O219" s="656" t="s">
        <v>4822</v>
      </c>
      <c r="P219" s="691" t="s">
        <v>4823</v>
      </c>
      <c r="AF219" s="587">
        <v>3</v>
      </c>
      <c r="AG219" s="679" t="s">
        <v>4824</v>
      </c>
      <c r="AH219" s="587" t="s">
        <v>4825</v>
      </c>
      <c r="BO219" s="612"/>
      <c r="CH219" s="587" t="s">
        <v>4826</v>
      </c>
      <c r="CI219" s="587">
        <v>122</v>
      </c>
      <c r="CJ219" s="587" cm="1">
        <f t="array" ref="CJ219">_xlfn.IFS($AZ$12&gt;=14,127,$AZ$12&gt;=10,126,$AZ$12&gt;=6,125,$AZ$12&gt;=3,124,1,0)</f>
        <v>0</v>
      </c>
    </row>
    <row r="220" customHeight="1" spans="1:88">
      <c r="A220" s="586">
        <v>187</v>
      </c>
      <c r="B220" s="610"/>
      <c r="N220" s="587">
        <v>10</v>
      </c>
      <c r="O220" s="656" t="s">
        <v>4827</v>
      </c>
      <c r="P220" s="691" t="s">
        <v>4828</v>
      </c>
      <c r="AF220" s="587">
        <v>3</v>
      </c>
      <c r="AG220" s="679" t="s">
        <v>4829</v>
      </c>
      <c r="AH220" s="587" t="s">
        <v>4830</v>
      </c>
      <c r="BO220" s="612"/>
      <c r="CH220" s="698" t="s">
        <v>4831</v>
      </c>
      <c r="CI220" s="587">
        <v>128</v>
      </c>
      <c r="CJ220" s="587" cm="1">
        <f t="array" ref="CJ220">_xlfn.IFS($AZ$12&gt;=14,133,$AZ$12&gt;=10,132,$AZ$12&gt;=6,131,$AZ$12&gt;=3,130,1,0)</f>
        <v>0</v>
      </c>
    </row>
    <row r="221" customHeight="1" spans="1:88">
      <c r="A221" s="586">
        <v>188</v>
      </c>
      <c r="B221" s="610"/>
      <c r="N221" s="587">
        <v>15</v>
      </c>
      <c r="O221" s="656" t="s">
        <v>4832</v>
      </c>
      <c r="P221" s="691" t="s">
        <v>4833</v>
      </c>
      <c r="AF221" s="587">
        <v>6</v>
      </c>
      <c r="AG221" s="679" t="s">
        <v>4834</v>
      </c>
      <c r="AH221" s="679" t="s">
        <v>4835</v>
      </c>
      <c r="BO221" s="612"/>
      <c r="CH221" s="698" t="s">
        <v>4836</v>
      </c>
      <c r="CI221" s="587">
        <v>134</v>
      </c>
      <c r="CJ221" s="587" cm="1">
        <f t="array" ref="CJ221">_xlfn.IFS($AZ$12&gt;=14,139,$AZ$12&gt;=10,138,$AZ$12&gt;=6,137,$AZ$12&gt;=3,136,1,0)</f>
        <v>0</v>
      </c>
    </row>
    <row r="222" customHeight="1" spans="1:88">
      <c r="A222" s="586">
        <v>189</v>
      </c>
      <c r="B222" s="610"/>
      <c r="N222" s="587">
        <v>18</v>
      </c>
      <c r="O222" s="656" t="s">
        <v>4837</v>
      </c>
      <c r="P222" s="691" t="s">
        <v>4838</v>
      </c>
      <c r="AF222" s="587">
        <v>10</v>
      </c>
      <c r="AG222" s="679" t="s">
        <v>4839</v>
      </c>
      <c r="AH222" s="587" t="s">
        <v>4840</v>
      </c>
      <c r="BO222" s="612"/>
      <c r="CH222" s="698" t="s">
        <v>4841</v>
      </c>
      <c r="CI222" s="587">
        <v>140</v>
      </c>
      <c r="CJ222" s="587" cm="1">
        <f t="array" ref="CJ222">_xlfn.IFS($AZ$12&gt;=14,144,$AZ$12&gt;=10,143,$AZ$12&gt;=6,142,$AZ$12&gt;=3,141,1,0)</f>
        <v>0</v>
      </c>
    </row>
    <row r="223" customHeight="1" spans="1:88">
      <c r="A223" s="586">
        <v>190</v>
      </c>
      <c r="B223" s="610"/>
      <c r="N223" s="587">
        <v>3</v>
      </c>
      <c r="O223" s="578" t="s">
        <v>4842</v>
      </c>
      <c r="P223" s="650" t="s">
        <v>4843</v>
      </c>
      <c r="AF223" s="587">
        <v>14</v>
      </c>
      <c r="AG223" s="679" t="s">
        <v>4844</v>
      </c>
      <c r="AH223" s="587" t="s">
        <v>4845</v>
      </c>
      <c r="BO223" s="612"/>
      <c r="CH223" s="698" t="s">
        <v>4846</v>
      </c>
      <c r="CI223" s="587">
        <v>145</v>
      </c>
      <c r="CJ223" s="587" cm="1">
        <f t="array" ref="CJ223">_xlfn.IFS($AZ$12&gt;=14,151,$AZ$12&gt;=10,150,$AZ$12&gt;=6,149,$AZ$12&gt;=3,147,1,0)</f>
        <v>0</v>
      </c>
    </row>
    <row r="224" customHeight="1" spans="1:88">
      <c r="A224" s="586">
        <v>191</v>
      </c>
      <c r="B224" s="610"/>
      <c r="N224" s="587">
        <v>3</v>
      </c>
      <c r="O224" s="578" t="s">
        <v>4847</v>
      </c>
      <c r="P224" s="650" t="s">
        <v>4848</v>
      </c>
      <c r="BO224" s="612"/>
      <c r="CH224" s="698" t="s">
        <v>4849</v>
      </c>
      <c r="CI224" s="587">
        <v>152</v>
      </c>
      <c r="CJ224" s="587" cm="1">
        <f t="array" ref="CJ224">_xlfn.IFS($AZ$12&gt;=14,156,$AZ$12&gt;=10,155,$AZ$12&gt;=6,154,$AZ$12&gt;=3,153,1,0)</f>
        <v>0</v>
      </c>
    </row>
    <row r="225" customHeight="1" spans="1:88">
      <c r="A225" s="586">
        <v>192</v>
      </c>
      <c r="B225" s="610"/>
      <c r="N225" s="587">
        <v>7</v>
      </c>
      <c r="O225" s="578" t="s">
        <v>4850</v>
      </c>
      <c r="P225" s="650" t="s">
        <v>4851</v>
      </c>
      <c r="BO225" s="612"/>
      <c r="CH225" s="698" t="s">
        <v>4852</v>
      </c>
      <c r="CI225" s="587">
        <v>157</v>
      </c>
      <c r="CJ225" s="587" cm="1">
        <f t="array" ref="CJ225">_xlfn.IFS($AZ$12&gt;=14,162,$AZ$12&gt;=10,161,$AZ$12&gt;=6,160,$AZ$12&gt;=3,159,1,0)</f>
        <v>0</v>
      </c>
    </row>
    <row r="226" customHeight="1" spans="1:88">
      <c r="A226" s="586">
        <v>193</v>
      </c>
      <c r="B226" s="610"/>
      <c r="N226" s="587">
        <v>10</v>
      </c>
      <c r="O226" s="679" t="s">
        <v>4853</v>
      </c>
      <c r="P226" s="612" t="s">
        <v>4854</v>
      </c>
      <c r="BO226" s="612"/>
      <c r="CH226" s="698" t="s">
        <v>4855</v>
      </c>
      <c r="CI226" s="587">
        <v>163</v>
      </c>
      <c r="CJ226" s="587" cm="1">
        <f t="array" ref="CJ226">_xlfn.IFS($AZ$12&gt;=14,168,$AZ$12&gt;=10,167,$AZ$12&gt;=6,166,$AZ$12&gt;=3,165,1,0)</f>
        <v>0</v>
      </c>
    </row>
    <row r="227" customHeight="1" spans="1:88">
      <c r="A227" s="586">
        <v>194</v>
      </c>
      <c r="B227" s="610"/>
      <c r="N227" s="587">
        <v>15</v>
      </c>
      <c r="O227" s="679" t="s">
        <v>4856</v>
      </c>
      <c r="P227" s="612" t="s">
        <v>4857</v>
      </c>
      <c r="BO227" s="612"/>
      <c r="CH227" s="698" t="s">
        <v>4858</v>
      </c>
      <c r="CI227" s="587">
        <v>169</v>
      </c>
      <c r="CJ227" s="587" cm="1">
        <f t="array" ref="CJ227">_xlfn.IFS($AZ$12&gt;=14,174,$AZ$12&gt;=10,173,$AZ$12&gt;=6,172,$AZ$12&gt;=3,171,1,0)</f>
        <v>0</v>
      </c>
    </row>
    <row r="228" customHeight="1" spans="1:88">
      <c r="A228" s="586">
        <v>195</v>
      </c>
      <c r="B228" s="610"/>
      <c r="N228" s="587">
        <v>18</v>
      </c>
      <c r="O228" s="679" t="s">
        <v>4859</v>
      </c>
      <c r="P228" s="612" t="s">
        <v>4860</v>
      </c>
      <c r="BO228" s="612"/>
      <c r="CH228" s="698" t="s">
        <v>4861</v>
      </c>
      <c r="CI228" s="587">
        <v>175</v>
      </c>
      <c r="CJ228" s="587" cm="1">
        <f t="array" ref="CJ228">_xlfn.IFS($AZ$12&gt;=14,180,$AZ$12&gt;=10,179,$AZ$12&gt;=6,178,$AZ$12&gt;=3,177,1,0)</f>
        <v>0</v>
      </c>
    </row>
    <row r="229" customHeight="1" spans="1:88">
      <c r="A229" s="586">
        <v>196</v>
      </c>
      <c r="B229" s="610"/>
      <c r="N229" s="587">
        <v>3</v>
      </c>
      <c r="O229" s="656" t="s">
        <v>4862</v>
      </c>
      <c r="P229" s="691" t="s">
        <v>4863</v>
      </c>
      <c r="BO229" s="612"/>
      <c r="CH229" s="698" t="s">
        <v>4864</v>
      </c>
      <c r="CI229" s="587">
        <v>181</v>
      </c>
      <c r="CJ229" s="587" cm="1">
        <f t="array" ref="CJ229">_xlfn.IFS($AZ$12&gt;=14,185,$AZ$12&gt;=10,184,$AZ$12&gt;=6,183,$AZ$12&gt;=3,182,1,0)</f>
        <v>0</v>
      </c>
    </row>
    <row r="230" customHeight="1" spans="1:88">
      <c r="A230" s="586">
        <v>197</v>
      </c>
      <c r="B230" s="610"/>
      <c r="N230" s="587">
        <v>3</v>
      </c>
      <c r="O230" s="656" t="s">
        <v>4865</v>
      </c>
      <c r="P230" s="691" t="s">
        <v>4866</v>
      </c>
      <c r="BO230" s="612"/>
      <c r="CH230" s="698" t="s">
        <v>4867</v>
      </c>
      <c r="CI230" s="587">
        <v>186</v>
      </c>
      <c r="CJ230" s="587" cm="1">
        <f t="array" ref="CJ230">_xlfn.IFS($AZ$12&gt;=14,190,$AZ$12&gt;=10,189,$AZ$12&gt;=6,188,$AZ$12&gt;=3,187,1,0)</f>
        <v>0</v>
      </c>
    </row>
    <row r="231" customHeight="1" spans="1:88">
      <c r="A231" s="586">
        <v>198</v>
      </c>
      <c r="B231" s="610"/>
      <c r="N231" s="587">
        <v>7</v>
      </c>
      <c r="O231" s="656" t="s">
        <v>4868</v>
      </c>
      <c r="P231" s="691" t="s">
        <v>4869</v>
      </c>
      <c r="BO231" s="612"/>
      <c r="CH231" s="608" t="s">
        <v>4870</v>
      </c>
      <c r="CI231" s="608">
        <v>27</v>
      </c>
      <c r="CJ231" s="608" cm="1">
        <f t="array" ref="CJ231">_xlfn.IFS($AZ$13&gt;=14,31,$AZ$13&gt;=10,33,$AZ$13&gt;=6,29,$AZ$13&gt;=3,28,1,0)</f>
        <v>0</v>
      </c>
    </row>
    <row r="232" customHeight="1" spans="1:88">
      <c r="A232" s="586">
        <v>199</v>
      </c>
      <c r="B232" s="610"/>
      <c r="N232" s="587">
        <v>10</v>
      </c>
      <c r="O232" s="656" t="s">
        <v>4871</v>
      </c>
      <c r="P232" s="691" t="s">
        <v>4872</v>
      </c>
      <c r="BO232" s="612"/>
      <c r="CH232" s="587" t="s">
        <v>4873</v>
      </c>
      <c r="CI232" s="587">
        <v>32</v>
      </c>
      <c r="CJ232" s="587" cm="1">
        <f t="array" ref="CJ232">_xlfn.IFS($AZ$13&gt;=14,36,$AZ$13&gt;=10,35,$AZ$13&gt;=6,34,$AZ$13&gt;=3,33,1,0)</f>
        <v>0</v>
      </c>
    </row>
    <row r="233" customHeight="1" spans="1:88">
      <c r="A233" s="586">
        <v>200</v>
      </c>
      <c r="B233" s="610"/>
      <c r="N233" s="587">
        <v>15</v>
      </c>
      <c r="O233" s="656" t="s">
        <v>4874</v>
      </c>
      <c r="P233" s="691" t="s">
        <v>4875</v>
      </c>
      <c r="BO233" s="612"/>
      <c r="CH233" s="587" t="s">
        <v>4876</v>
      </c>
      <c r="CI233" s="587">
        <v>37</v>
      </c>
      <c r="CJ233" s="587" cm="1">
        <f t="array" ref="CJ233">_xlfn.IFS($AZ$13&gt;=14,41,$AZ$13&gt;=10,40,$AZ$13&gt;=6,39,$AZ$13&gt;=3,38,1,0)</f>
        <v>0</v>
      </c>
    </row>
    <row r="234" customHeight="1" spans="1:88">
      <c r="A234" s="586">
        <v>201</v>
      </c>
      <c r="B234" s="610"/>
      <c r="N234" s="587">
        <v>18</v>
      </c>
      <c r="O234" s="656" t="s">
        <v>4877</v>
      </c>
      <c r="P234" s="691" t="s">
        <v>4878</v>
      </c>
      <c r="BO234" s="612"/>
      <c r="CH234" s="587" t="s">
        <v>4879</v>
      </c>
      <c r="CI234" s="587">
        <v>42</v>
      </c>
      <c r="CJ234" s="587" cm="1">
        <f t="array" ref="CJ234">_xlfn.IFS($AZ$13&gt;=14,46,$AZ$13&gt;=10,45,$AZ$13&gt;=6,44,$AZ$13&gt;=3,43,1,0)</f>
        <v>0</v>
      </c>
    </row>
    <row r="235" customHeight="1" spans="1:88">
      <c r="A235" s="586">
        <v>202</v>
      </c>
      <c r="B235" s="610"/>
      <c r="BO235" s="612"/>
      <c r="CH235" s="587" t="s">
        <v>2640</v>
      </c>
      <c r="CI235" s="587">
        <v>47</v>
      </c>
      <c r="CJ235" s="587" cm="1">
        <f t="array" ref="CJ235">_xlfn.IFS($AZ$13&gt;=14,51,$AZ$13&gt;=10,50,$AZ$13&gt;=6,49,$AZ$13&gt;=3,48,1,0)</f>
        <v>0</v>
      </c>
    </row>
    <row r="236" customHeight="1" spans="1:88">
      <c r="A236" s="586">
        <v>203</v>
      </c>
      <c r="B236" s="610"/>
      <c r="BO236" s="612"/>
      <c r="CH236" s="578" t="s">
        <v>4880</v>
      </c>
      <c r="CI236" s="587">
        <v>52</v>
      </c>
      <c r="CJ236" s="587" cm="1">
        <f t="array" ref="CJ236">_xlfn.IFS($AZ$13&gt;=14,56,$AZ$13&gt;=10,55,$AZ$13&gt;=6,54,$AZ$13&gt;=3,53,1,0)</f>
        <v>0</v>
      </c>
    </row>
    <row r="237" customHeight="1" spans="1:88">
      <c r="A237" s="586">
        <v>204</v>
      </c>
      <c r="B237" s="610"/>
      <c r="BO237" s="612"/>
      <c r="CH237" s="587" t="s">
        <v>4881</v>
      </c>
      <c r="CI237" s="587">
        <v>57</v>
      </c>
      <c r="CJ237" s="587" cm="1">
        <f t="array" ref="CJ237">_xlfn.IFS($AZ$13&gt;=14,61,$AZ$13&gt;=10,60,$AZ$13&gt;=6,59,$AZ$13&gt;=3,58,1,0)</f>
        <v>0</v>
      </c>
    </row>
    <row r="238" customHeight="1" spans="1:88">
      <c r="A238" s="586">
        <v>205</v>
      </c>
      <c r="B238" s="610"/>
      <c r="BO238" s="612"/>
      <c r="CH238" s="587" t="s">
        <v>4882</v>
      </c>
      <c r="CI238" s="587">
        <v>62</v>
      </c>
      <c r="CJ238" s="587" cm="1">
        <f t="array" ref="CJ238">_xlfn.IFS($AZ$13&gt;=14,66,$AZ$13&gt;=10,65,$AZ$13&gt;=6,64,$AZ$13&gt;=3,63,1,0)</f>
        <v>0</v>
      </c>
    </row>
    <row r="239" customHeight="1" spans="1:88">
      <c r="A239" s="586">
        <v>206</v>
      </c>
      <c r="B239" s="610"/>
      <c r="BO239" s="612"/>
      <c r="CH239" s="587" t="s">
        <v>4883</v>
      </c>
      <c r="CI239" s="587">
        <v>67</v>
      </c>
      <c r="CJ239" s="587" cm="1">
        <f t="array" ref="CJ239">_xlfn.IFS($AZ$13&gt;=14,71,$AZ$13&gt;=10,70,$AZ$13&gt;=6,69,$AZ$13&gt;=3,68,1,0)</f>
        <v>0</v>
      </c>
    </row>
    <row r="240" customHeight="1" spans="1:88">
      <c r="A240" s="586">
        <v>207</v>
      </c>
      <c r="B240" s="610"/>
      <c r="BO240" s="612"/>
      <c r="CH240" s="587" t="s">
        <v>4884</v>
      </c>
      <c r="CI240" s="587">
        <v>72</v>
      </c>
      <c r="CJ240" s="587" cm="1">
        <f t="array" ref="CJ240">_xlfn.IFS($AZ$13&gt;=14,75,$AZ$13&gt;=10,74,$AZ$13&gt;=6,73,$AZ$13&gt;=3,72,1,0)</f>
        <v>0</v>
      </c>
    </row>
    <row r="241" customHeight="1" spans="1:88">
      <c r="A241" s="586">
        <v>208</v>
      </c>
      <c r="B241" s="610"/>
      <c r="BO241" s="612"/>
      <c r="CH241" s="679" t="s">
        <v>4885</v>
      </c>
      <c r="CI241" s="587">
        <v>76</v>
      </c>
      <c r="CJ241" s="587" cm="1">
        <f t="array" ref="CJ241">_xlfn.IFS($AZ$13&gt;=14,83,$AZ$13&gt;=10,82,$AZ$13&gt;=6,80,$AZ$13&gt;=3,78,1,0)</f>
        <v>0</v>
      </c>
    </row>
    <row r="242" customHeight="1" spans="1:88">
      <c r="A242" s="586">
        <v>209</v>
      </c>
      <c r="B242" s="610"/>
      <c r="BO242" s="612"/>
      <c r="CH242" s="679" t="s">
        <v>4886</v>
      </c>
      <c r="CI242" s="587">
        <v>84</v>
      </c>
      <c r="CJ242" s="587" cm="1">
        <f t="array" ref="CJ242">_xlfn.IFS($AZ$13&gt;=14,88,$AZ$13&gt;=10,87,$AZ$13&gt;=6,86,$AZ$13&gt;=3,85,1,0)</f>
        <v>0</v>
      </c>
    </row>
    <row r="243" customHeight="1" spans="1:88">
      <c r="A243" s="586">
        <v>210</v>
      </c>
      <c r="B243" s="610"/>
      <c r="BO243" s="612"/>
      <c r="CH243" s="679" t="s">
        <v>4887</v>
      </c>
      <c r="CI243" s="587">
        <v>89</v>
      </c>
      <c r="CJ243" s="587" cm="1">
        <f t="array" ref="CJ243">_xlfn.IFS($AZ$13&gt;=14,94,$AZ$13&gt;=10,93,$AZ$13&gt;=6,92,$AZ$13&gt;=3,90,1,0)</f>
        <v>0</v>
      </c>
    </row>
    <row r="244" customHeight="1" spans="1:88">
      <c r="A244" s="586">
        <v>211</v>
      </c>
      <c r="B244" s="610"/>
      <c r="BO244" s="612"/>
      <c r="CH244" s="679" t="s">
        <v>4888</v>
      </c>
      <c r="CI244" s="587">
        <v>95</v>
      </c>
      <c r="CJ244" s="587" cm="1">
        <f t="array" ref="CJ244">_xlfn.IFS($AZ$13&gt;=14,99,$AZ$13&gt;=10,98,$AZ$13&gt;=6,97,$AZ$13&gt;=3,96,1,0)</f>
        <v>0</v>
      </c>
    </row>
    <row r="245" customHeight="1" spans="1:88">
      <c r="A245" s="586">
        <v>212</v>
      </c>
      <c r="B245" s="610"/>
      <c r="BO245" s="612"/>
      <c r="CH245" s="679" t="s">
        <v>4889</v>
      </c>
      <c r="CI245" s="587">
        <v>100</v>
      </c>
      <c r="CJ245" s="587" cm="1">
        <f t="array" ref="CJ245">_xlfn.IFS($AZ$13&gt;=14,104,$AZ$13&gt;=10,103,$AZ$13&gt;=6,102,$AZ$13&gt;=3,101,1,0)</f>
        <v>0</v>
      </c>
    </row>
    <row r="246" customHeight="1" spans="1:88">
      <c r="A246" s="586">
        <v>213</v>
      </c>
      <c r="B246" s="610"/>
      <c r="BO246" s="612"/>
      <c r="CH246" s="679" t="s">
        <v>4890</v>
      </c>
      <c r="CI246" s="587">
        <v>105</v>
      </c>
      <c r="CJ246" s="587" cm="1">
        <f t="array" ref="CJ246">_xlfn.IFS($AZ$13&gt;=14,109,$AZ$13&gt;=10,108,$AZ$13&gt;=6,107,$AZ$13&gt;=3,106,1,0)</f>
        <v>0</v>
      </c>
    </row>
    <row r="247" customHeight="1" spans="1:88">
      <c r="A247" s="586">
        <v>214</v>
      </c>
      <c r="B247" s="610"/>
      <c r="BO247" s="612"/>
      <c r="CH247" s="679" t="s">
        <v>4891</v>
      </c>
      <c r="CI247" s="587">
        <v>110</v>
      </c>
      <c r="CJ247" s="587" cm="1">
        <f t="array" ref="CJ247">_xlfn.IFS($AZ$13&gt;=14,114,$AZ$13&gt;=10,113,$AZ$13&gt;=6,112,$AZ$13&gt;=3,111,1,0)</f>
        <v>0</v>
      </c>
    </row>
    <row r="248" customHeight="1" spans="1:88">
      <c r="A248" s="586">
        <v>215</v>
      </c>
      <c r="B248" s="610"/>
      <c r="BO248" s="612"/>
      <c r="CH248" s="679" t="s">
        <v>4892</v>
      </c>
      <c r="CI248" s="587">
        <v>115</v>
      </c>
      <c r="CJ248" s="587" cm="1">
        <f t="array" ref="CJ248">_xlfn.IFS($AZ$13&gt;=14,119,$AZ$13&gt;=10,118,$AZ$13&gt;=6,117,$AZ$13&gt;=3,116,1,0)</f>
        <v>0</v>
      </c>
    </row>
    <row r="249" customHeight="1" spans="1:88">
      <c r="A249" s="586">
        <v>216</v>
      </c>
      <c r="B249" s="610"/>
      <c r="BO249" s="612"/>
      <c r="CH249" s="608" t="s">
        <v>4893</v>
      </c>
      <c r="CI249" s="608">
        <v>30</v>
      </c>
      <c r="CJ249" s="608" cm="1">
        <f t="array" ref="CJ249">_xlfn.IFS($AZ$14&gt;=15,35,$AZ$14&gt;=9,34,$AZ$14&gt;=5,33,$AZ$14&gt;=3,32,1,0)</f>
        <v>0</v>
      </c>
    </row>
    <row r="250" customHeight="1" spans="1:88">
      <c r="A250" s="586">
        <v>217</v>
      </c>
      <c r="B250" s="610"/>
      <c r="BO250" s="612"/>
      <c r="CH250" s="587" t="s">
        <v>4894</v>
      </c>
      <c r="CI250" s="587">
        <v>36</v>
      </c>
      <c r="CJ250" s="587" cm="1">
        <f t="array" ref="CJ250">_xlfn.IFS($AZ$14&gt;=15,45,$AZ$14&gt;=9,44,$AZ$14&gt;=5,43,$AZ$14&gt;=3,42,1,0)</f>
        <v>0</v>
      </c>
    </row>
    <row r="251" customHeight="1" spans="1:88">
      <c r="A251" s="586">
        <v>218</v>
      </c>
      <c r="B251" s="610"/>
      <c r="BO251" s="612"/>
      <c r="CH251" s="587" t="s">
        <v>4895</v>
      </c>
      <c r="CI251" s="587">
        <v>46</v>
      </c>
      <c r="CJ251" s="587" cm="1">
        <f t="array" ref="CJ251">_xlfn.IFS($AZ$14&gt;=15,51,$AZ$14&gt;=9,50,$AZ$14&gt;=5,49,$AZ$14&gt;=3,48,1,0)</f>
        <v>0</v>
      </c>
    </row>
    <row r="252" customHeight="1" spans="1:88">
      <c r="A252" s="586">
        <v>219</v>
      </c>
      <c r="B252" s="610"/>
      <c r="BO252" s="612"/>
      <c r="CH252" s="578" t="s">
        <v>529</v>
      </c>
      <c r="CI252" s="587">
        <v>52</v>
      </c>
      <c r="CJ252" s="587" cm="1">
        <f t="array" ref="CJ252">_xlfn.IFS($AZ$14&gt;=15,58,$AZ$14&gt;=9,57,$AZ$14&gt;=5,56,$AZ$14&gt;=3,55,1,0)</f>
        <v>0</v>
      </c>
    </row>
    <row r="253" customHeight="1" spans="1:88">
      <c r="A253" s="586">
        <v>220</v>
      </c>
      <c r="B253" s="610"/>
      <c r="BO253" s="612"/>
      <c r="CH253" s="587" t="s">
        <v>4896</v>
      </c>
      <c r="CI253" s="587">
        <v>59</v>
      </c>
      <c r="CJ253" s="587" cm="1">
        <f t="array" ref="CJ253">_xlfn.IFS($AZ$14&gt;=15,65,$AZ$14&gt;=9,64,$AZ$14&gt;=5,63,$AZ$14&gt;=3,62,1,0)</f>
        <v>0</v>
      </c>
    </row>
    <row r="254" customHeight="1" spans="1:88">
      <c r="A254" s="586">
        <v>221</v>
      </c>
      <c r="B254" s="610"/>
      <c r="BO254" s="612"/>
      <c r="CH254" s="608" t="s">
        <v>4897</v>
      </c>
      <c r="CI254" s="608">
        <v>35</v>
      </c>
      <c r="CJ254" s="608" cm="1">
        <f t="array" ref="CJ254">_xlfn.IFS($AZ$15&gt;=14,41,$AZ$15&gt;=10,40,$AZ$15&gt;=6,39,$AZ$15&gt;=3,37,1,0)</f>
        <v>0</v>
      </c>
    </row>
    <row r="255" customHeight="1" spans="1:88">
      <c r="A255" s="586">
        <v>222</v>
      </c>
      <c r="B255" s="610"/>
      <c r="BO255" s="612"/>
      <c r="CH255" s="587" t="s">
        <v>4898</v>
      </c>
      <c r="CI255" s="587">
        <v>42</v>
      </c>
      <c r="CJ255" s="587" cm="1">
        <f t="array" ref="CJ255">_xlfn.IFS($AZ$15&gt;=14,48,$AZ$15&gt;=10,47,$AZ$15&gt;=6,46,$AZ$15&gt;=3,44,1,0)</f>
        <v>0</v>
      </c>
    </row>
    <row r="256" customHeight="1" spans="1:88">
      <c r="A256" s="586">
        <v>223</v>
      </c>
      <c r="B256" s="610"/>
      <c r="BO256" s="612"/>
      <c r="CH256" s="587" t="s">
        <v>4899</v>
      </c>
      <c r="CI256" s="587">
        <v>49</v>
      </c>
      <c r="CJ256" s="587" cm="1">
        <f t="array" ref="CJ256">_xlfn.IFS($AZ$15&gt;=14,55,$AZ$15&gt;=10,54,$AZ$15&gt;=6,53,$AZ$15&gt;=3,51,1,0)</f>
        <v>0</v>
      </c>
    </row>
    <row r="257" customHeight="1" spans="1:88">
      <c r="A257" s="586">
        <v>224</v>
      </c>
      <c r="B257" s="610"/>
      <c r="BO257" s="612"/>
      <c r="CH257" s="578" t="s">
        <v>534</v>
      </c>
      <c r="CI257" s="587">
        <v>56</v>
      </c>
      <c r="CJ257" s="587" cm="1">
        <f t="array" ref="CJ257">_xlfn.IFS($AZ$15&gt;=14,62,$AZ$15&gt;=10,61,$AZ$15&gt;=6,60,$AZ$15&gt;=3,58,1,0)</f>
        <v>0</v>
      </c>
    </row>
    <row r="258" customHeight="1" spans="1:88">
      <c r="A258" s="586">
        <v>225</v>
      </c>
      <c r="B258" s="610"/>
      <c r="BO258" s="612"/>
      <c r="CH258" s="608" t="s">
        <v>4900</v>
      </c>
      <c r="CI258" s="608">
        <v>39</v>
      </c>
      <c r="CJ258" s="608" cm="1">
        <f t="array" ref="CJ258">_xlfn.IFS($AZ$16&gt;=18,44,$AZ$16&gt;=15,43,$AZ$16&gt;=11,42,$AZ$16=7,41,$AZ$16=3,40,1,0)</f>
        <v>0</v>
      </c>
    </row>
    <row r="259" customHeight="1" spans="1:88">
      <c r="A259" s="586">
        <v>226</v>
      </c>
      <c r="B259" s="610"/>
      <c r="BO259" s="612"/>
      <c r="CH259" s="587" t="s">
        <v>4901</v>
      </c>
      <c r="CI259" s="587">
        <v>45</v>
      </c>
      <c r="CJ259" s="587" cm="1">
        <f t="array" ref="CJ259">_xlfn.IFS($AZ$16&gt;=18,52,$AZ$16&gt;=15,51,$AZ$16&gt;=11,50,$AZ$16=7,49,$AZ$16=3,48,1,0)</f>
        <v>0</v>
      </c>
    </row>
    <row r="260" customHeight="1" spans="1:88">
      <c r="A260" s="586">
        <v>227</v>
      </c>
      <c r="B260" s="610"/>
      <c r="BO260" s="612"/>
      <c r="CH260" s="587" t="s">
        <v>4902</v>
      </c>
      <c r="CI260" s="587">
        <v>53</v>
      </c>
      <c r="CJ260" s="587" cm="1">
        <f t="array" ref="CJ260">_xlfn.IFS($AZ$16&gt;=18,78,$AZ$16&gt;=15,77,$AZ$16&gt;=11,76,$AZ$16=7,72,$AZ$16=3,70,1,0)</f>
        <v>0</v>
      </c>
    </row>
    <row r="261" customHeight="1" spans="1:88">
      <c r="A261" s="586">
        <v>228</v>
      </c>
      <c r="B261" s="610"/>
      <c r="BO261" s="612"/>
      <c r="CH261" s="587" t="s">
        <v>539</v>
      </c>
      <c r="CI261" s="587">
        <v>79</v>
      </c>
      <c r="CJ261" s="587" cm="1">
        <f t="array" ref="CJ261">_xlfn.IFS($AZ$16&gt;=18,90,$AZ$16&gt;=15,89,$AZ$16&gt;=11,88,$AZ$16=7,87,$AZ$16=3,85,1,0)</f>
        <v>0</v>
      </c>
    </row>
    <row r="262" customHeight="1" spans="1:88">
      <c r="A262" s="586">
        <v>229</v>
      </c>
      <c r="B262" s="724"/>
      <c r="C262" s="725"/>
      <c r="D262" s="725"/>
      <c r="E262" s="725"/>
      <c r="F262" s="725"/>
      <c r="G262" s="725"/>
      <c r="H262" s="725"/>
      <c r="I262" s="725"/>
      <c r="J262" s="725"/>
      <c r="K262" s="725"/>
      <c r="L262" s="725"/>
      <c r="M262" s="725"/>
      <c r="N262" s="725"/>
      <c r="O262" s="725"/>
      <c r="P262" s="725"/>
      <c r="Q262" s="725"/>
      <c r="R262" s="725"/>
      <c r="S262" s="725"/>
      <c r="T262" s="725"/>
      <c r="U262" s="725"/>
      <c r="V262" s="725"/>
      <c r="W262" s="725"/>
      <c r="X262" s="725"/>
      <c r="Y262" s="725"/>
      <c r="Z262" s="725"/>
      <c r="AA262" s="725"/>
      <c r="AB262" s="725"/>
      <c r="AC262" s="725"/>
      <c r="AD262" s="725"/>
      <c r="AE262" s="725"/>
      <c r="AF262" s="725"/>
      <c r="AG262" s="725"/>
      <c r="AH262" s="725"/>
      <c r="AI262" s="725"/>
      <c r="AJ262" s="725"/>
      <c r="AK262" s="725"/>
      <c r="AL262" s="725"/>
      <c r="AM262" s="725"/>
      <c r="AN262" s="725"/>
      <c r="AO262" s="725"/>
      <c r="AP262" s="725"/>
      <c r="AQ262" s="725"/>
      <c r="AR262" s="725"/>
      <c r="AS262" s="725"/>
      <c r="AT262" s="725"/>
      <c r="AU262" s="725"/>
      <c r="AV262" s="725"/>
      <c r="AW262" s="725"/>
      <c r="AX262" s="725"/>
      <c r="AY262" s="725"/>
      <c r="AZ262" s="725"/>
      <c r="BA262" s="725"/>
      <c r="BB262" s="725"/>
      <c r="BC262" s="725"/>
      <c r="BD262" s="725"/>
      <c r="BE262" s="725"/>
      <c r="BF262" s="725"/>
      <c r="BG262" s="725"/>
      <c r="BH262" s="725"/>
      <c r="BI262" s="725"/>
      <c r="BJ262" s="725"/>
      <c r="BK262" s="725"/>
      <c r="BL262" s="725"/>
      <c r="BM262" s="725"/>
      <c r="BN262" s="725"/>
      <c r="BO262" s="727"/>
      <c r="CH262" s="684" t="s">
        <v>301</v>
      </c>
      <c r="CI262" s="608">
        <v>43</v>
      </c>
      <c r="CJ262" s="608" cm="1">
        <f t="array" ref="CJ262">_xlfn.IFS($AZ$19&gt;=18,56,$AZ$19&gt;=15,55,$AZ$19&gt;=13,54,$AZ$19&gt;=11,53,$AZ$19=7,52,$AZ$19=3,49,1,0)</f>
        <v>0</v>
      </c>
    </row>
    <row r="263" customHeight="1" spans="86:88">
      <c r="CH263" s="578" t="s">
        <v>556</v>
      </c>
      <c r="CI263" s="587">
        <v>57</v>
      </c>
      <c r="CJ263" s="587" cm="1">
        <f t="array" ref="CJ263">_xlfn.IFS($AZ$19&gt;=18,67,$AZ$19&gt;=15,66,$AZ$19&gt;=13,65,$AZ$19&gt;=11,64,$AZ$19=7,62,$AZ$19=3,60,1,0)</f>
        <v>0</v>
      </c>
    </row>
    <row r="264" customHeight="1" spans="86:88">
      <c r="CH264" s="578" t="s">
        <v>557</v>
      </c>
      <c r="CI264" s="587">
        <v>68</v>
      </c>
      <c r="CJ264" s="587" cm="1">
        <f t="array" ref="CJ264">_xlfn.IFS($AZ$19&gt;=18,77,$AZ$19&gt;=15,76,$AZ$19&gt;=13,75,$AZ$19&gt;=11,74,$AZ$19=7,73,$AZ$19=3,71,1,0)</f>
        <v>0</v>
      </c>
    </row>
    <row r="265" customHeight="1" spans="86:88">
      <c r="CH265" s="578" t="s">
        <v>558</v>
      </c>
      <c r="CI265" s="587">
        <v>78</v>
      </c>
      <c r="CJ265" s="587" cm="1">
        <f t="array" ref="CJ265">_xlfn.IFS($AZ$19&gt;=18,87,$AZ$19&gt;=15,86,$AZ$19&gt;=13,85,$AZ$19&gt;=11,84,$AZ$19=7,83,$AZ$19=3,81,1,0)</f>
        <v>0</v>
      </c>
    </row>
    <row r="266" customHeight="1" spans="86:88">
      <c r="CH266" s="578" t="s">
        <v>559</v>
      </c>
      <c r="CI266" s="587">
        <v>88</v>
      </c>
      <c r="CJ266" s="587" cm="1">
        <f t="array" ref="CJ266">_xlfn.IFS($AZ$19&gt;=18,97,$AZ$19&gt;=15,96,$AZ$19&gt;=13,95,$AZ$19&gt;=11,94,$AZ$19=7,93,$AZ$19=3,91,1,0)</f>
        <v>0</v>
      </c>
    </row>
    <row r="267" customHeight="1" spans="86:88">
      <c r="CH267" s="608" t="s">
        <v>4903</v>
      </c>
      <c r="CI267" s="608">
        <v>60</v>
      </c>
      <c r="CJ267" s="608" cm="1">
        <f t="array" ref="CJ267">_xlfn.IFS($AZ$17&gt;=18,67,$AZ$17&gt;=14,66,$AZ$17&gt;=10,65,$AZ$17&gt;=6,64,$AZ$17&gt;=3,63,1,0)</f>
        <v>0</v>
      </c>
    </row>
    <row r="268" customHeight="1" spans="86:88">
      <c r="CH268" s="587" t="s">
        <v>4904</v>
      </c>
      <c r="CI268" s="587">
        <v>68</v>
      </c>
      <c r="CJ268" s="587" cm="1">
        <f t="array" ref="CJ268">_xlfn.IFS($AZ$17&gt;=18,75,$AZ$17&gt;=14,74,$AZ$17&gt;=10,73,$AZ$17&gt;=6,72,$AZ$17&gt;=3,70,1,0)</f>
        <v>0</v>
      </c>
    </row>
    <row r="269" customHeight="1" spans="86:88">
      <c r="CH269" s="587" t="s">
        <v>4905</v>
      </c>
      <c r="CI269" s="587">
        <v>76</v>
      </c>
      <c r="CJ269" s="587" cm="1">
        <f t="array" ref="CJ269">_xlfn.IFS($AZ$17&gt;=18,82,$AZ$17&gt;=14,81,$AZ$17&gt;=10,80,$AZ$17&gt;=6,79,$AZ$17&gt;=3,78,1,0)</f>
        <v>0</v>
      </c>
    </row>
    <row r="270" customHeight="1" spans="86:88">
      <c r="CH270" s="587" t="s">
        <v>4906</v>
      </c>
      <c r="CI270" s="587">
        <v>83</v>
      </c>
      <c r="CJ270" s="587" cm="1">
        <f t="array" ref="CJ270">_xlfn.IFS($AZ$17&gt;=18,90,$AZ$17&gt;=14,89,$AZ$17&gt;=10,88,$AZ$17&gt;=6,87,$AZ$17&gt;=3,85,1,0)</f>
        <v>0</v>
      </c>
    </row>
    <row r="271" customHeight="1" spans="86:88">
      <c r="CH271" s="587" t="s">
        <v>4907</v>
      </c>
      <c r="CI271" s="587">
        <v>91</v>
      </c>
      <c r="CJ271" s="587" cm="1">
        <f t="array" ref="CJ271">_xlfn.IFS($AZ$17&gt;=18,99,$AZ$17&gt;=14,98,$AZ$17&gt;=10,97,$AZ$17&gt;=6,96,$AZ$17&gt;=3,94,1,0)</f>
        <v>0</v>
      </c>
    </row>
    <row r="272" customHeight="1" spans="86:88">
      <c r="CH272" s="587" t="s">
        <v>4908</v>
      </c>
      <c r="CI272" s="587">
        <v>100</v>
      </c>
      <c r="CJ272" s="587" cm="1">
        <f t="array" ref="CJ272">_xlfn.IFS($AZ$17&gt;=18,108,$AZ$17&gt;=14,107,$AZ$17&gt;=10,106,$AZ$17&gt;=6,105,$AZ$17&gt;=3,103,1,0)</f>
        <v>0</v>
      </c>
    </row>
    <row r="273" customHeight="1" spans="86:88">
      <c r="CH273" s="684" t="s">
        <v>560</v>
      </c>
      <c r="CI273" s="608">
        <v>29</v>
      </c>
      <c r="CJ273" s="608" cm="1">
        <f t="array" ref="CJ273">_xlfn.IFS($AZ$20&gt;=17,33,$AZ$20&gt;=11,32,$AZ$20&gt;=6,31,$AZ$20&gt;=3,30,1,0)</f>
        <v>0</v>
      </c>
    </row>
    <row r="274" customHeight="1" spans="86:88">
      <c r="CH274" s="578" t="s">
        <v>561</v>
      </c>
      <c r="CI274" s="587">
        <v>34</v>
      </c>
      <c r="CJ274" s="587" cm="1">
        <f t="array" ref="CJ274">_xlfn.IFS($AZ$20&gt;=17,38,$AZ$20&gt;=11,37,$AZ$20&gt;=6,36,$AZ$20&gt;=3,35,1,0)</f>
        <v>0</v>
      </c>
    </row>
    <row r="275" customHeight="1" spans="86:88">
      <c r="CH275" s="578" t="s">
        <v>562</v>
      </c>
      <c r="CI275" s="587">
        <v>39</v>
      </c>
      <c r="CJ275" s="587" cm="1">
        <f t="array" ref="CJ275">_xlfn.IFS($AZ$20&gt;=17,43,$AZ$20&gt;=11,42,$AZ$20&gt;=6,41,$AZ$20&gt;=3,40,1,0)</f>
        <v>0</v>
      </c>
    </row>
    <row r="276" customHeight="1" spans="86:88">
      <c r="CH276" s="578" t="s">
        <v>563</v>
      </c>
      <c r="CI276" s="587">
        <v>44</v>
      </c>
      <c r="CJ276" s="587" cm="1">
        <f t="array" ref="CJ276">_xlfn.IFS($AZ$20&gt;=17,48,$AZ$20&gt;=11,47,$AZ$20&gt;=6,46,$AZ$20&gt;=3,45,1,0)</f>
        <v>0</v>
      </c>
    </row>
    <row r="277" customHeight="1" spans="86:88">
      <c r="CH277" s="578" t="s">
        <v>84</v>
      </c>
      <c r="CI277" s="587">
        <v>49</v>
      </c>
      <c r="CJ277" s="587" cm="1">
        <f t="array" ref="CJ277">_xlfn.IFS($AZ$20&gt;=17,53,$AZ$20&gt;=11,52,$AZ$20&gt;=6,51,$AZ$20&gt;=3,50,1,0)</f>
        <v>0</v>
      </c>
    </row>
    <row r="278" customHeight="1" spans="86:88">
      <c r="CH278" s="578" t="s">
        <v>564</v>
      </c>
      <c r="CI278" s="587">
        <v>54</v>
      </c>
      <c r="CJ278" s="587" cm="1">
        <f t="array" ref="CJ278">_xlfn.IFS($AZ$20&gt;=17,58,$AZ$20&gt;=11,57,$AZ$20&gt;=6,56,$AZ$20&gt;=3,55,1,0)</f>
        <v>0</v>
      </c>
    </row>
    <row r="279" customHeight="1" spans="2:88">
      <c r="B279" s="726"/>
      <c r="CH279" s="728" t="s">
        <v>551</v>
      </c>
      <c r="CI279" s="608">
        <v>29</v>
      </c>
      <c r="CJ279" s="608" cm="1">
        <f t="array" ref="CJ279">_xlfn.IFS($AZ$18&gt;=14,33,$AZ$18&gt;=10,32,$AZ$18&gt;=6,31,$AZ$18&gt;=3,30,1,0)</f>
        <v>0</v>
      </c>
    </row>
    <row r="280" customHeight="1" spans="86:88">
      <c r="CH280" s="679" t="s">
        <v>552</v>
      </c>
      <c r="CI280" s="587">
        <v>34</v>
      </c>
      <c r="CJ280" s="587" cm="1">
        <f t="array" ref="CJ280">_xlfn.IFS($AZ$18&gt;=14,38,$AZ$18&gt;=10,37,$AZ$18&gt;=6,36,$AZ$18&gt;=3,35,1,0)</f>
        <v>0</v>
      </c>
    </row>
    <row r="281" customHeight="1" spans="86:88">
      <c r="CH281" s="679" t="s">
        <v>553</v>
      </c>
      <c r="CI281" s="587">
        <v>39</v>
      </c>
      <c r="CJ281" s="587" cm="1">
        <f t="array" ref="CJ281">_xlfn.IFS($AZ$18&gt;=14,43,$AZ$18&gt;=10,42,$AZ$18&gt;=6,41,$AZ$18&gt;=3,40,1,0)</f>
        <v>0</v>
      </c>
    </row>
    <row r="282" customHeight="1" spans="86:88">
      <c r="CH282" s="679" t="s">
        <v>304</v>
      </c>
      <c r="CI282" s="587">
        <v>44</v>
      </c>
      <c r="CJ282" s="587" cm="1">
        <f t="array" ref="CJ282">_xlfn.IFS($AZ$18&gt;=14,54,$AZ$18&gt;=10,53,$AZ$18&gt;=6,52,$AZ$18&gt;=3,51,1,0)</f>
        <v>0</v>
      </c>
    </row>
    <row r="283" customHeight="1" spans="86:88">
      <c r="CH283" s="679" t="s">
        <v>554</v>
      </c>
      <c r="CI283" s="587">
        <v>55</v>
      </c>
      <c r="CJ283" s="587" cm="1">
        <f t="array" ref="CJ283">_xlfn.IFS($AZ$18&gt;=14,59,$AZ$18&gt;=10,58,$AZ$18&gt;=6,57,$AZ$18&gt;=3,56,1,0)</f>
        <v>0</v>
      </c>
    </row>
    <row r="284" customHeight="1" spans="86:88">
      <c r="CH284" s="679" t="s">
        <v>555</v>
      </c>
      <c r="CI284" s="587">
        <v>60</v>
      </c>
      <c r="CJ284" s="587" cm="1">
        <f t="array" ref="CJ284">_xlfn.IFS($AZ$18&gt;=14,64,$AZ$18&gt;=10,63,$AZ$18&gt;=6,62,$AZ$18&gt;=3,61,1,0)</f>
        <v>0</v>
      </c>
    </row>
  </sheetData>
  <mergeCells count="26">
    <mergeCell ref="AO1:AP1"/>
    <mergeCell ref="AQ1:AR1"/>
    <mergeCell ref="CT1:CU1"/>
    <mergeCell ref="AQ6:AR6"/>
    <mergeCell ref="B33:D33"/>
    <mergeCell ref="E33:G33"/>
    <mergeCell ref="H33:J33"/>
    <mergeCell ref="K33:M33"/>
    <mergeCell ref="N33:P33"/>
    <mergeCell ref="Q33:S33"/>
    <mergeCell ref="T33:V33"/>
    <mergeCell ref="W33:Y33"/>
    <mergeCell ref="Z33:AB33"/>
    <mergeCell ref="AC33:AE33"/>
    <mergeCell ref="AF33:AH33"/>
    <mergeCell ref="AI33:AK33"/>
    <mergeCell ref="AL33:AN33"/>
    <mergeCell ref="AO33:AQ33"/>
    <mergeCell ref="AR33:AT33"/>
    <mergeCell ref="AU33:AW33"/>
    <mergeCell ref="AX33:AZ33"/>
    <mergeCell ref="BA33:BC33"/>
    <mergeCell ref="BD33:BF33"/>
    <mergeCell ref="BG33:BI33"/>
    <mergeCell ref="BJ33:BL33"/>
    <mergeCell ref="BM33:BO33"/>
  </mergeCells>
  <conditionalFormatting sqref="CH267:CH272 CH279:CH284 CH30:CH261">
    <cfRule type="duplicateValues" dxfId="7" priority="473"/>
  </conditionalFormatting>
  <dataValidations count="1">
    <dataValidation allowBlank="1" showInputMessage="1" sqref="CV2:CW81"/>
  </dataValidation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BD148"/>
  <sheetViews>
    <sheetView zoomScale="70" zoomScaleNormal="70" topLeftCell="Z1" workbookViewId="0">
      <selection activeCell="AP7" sqref="AP7"/>
    </sheetView>
  </sheetViews>
  <sheetFormatPr defaultColWidth="9" defaultRowHeight="16.95" customHeight="1"/>
  <cols>
    <col min="1" max="1" width="30.8909090909091" style="551" customWidth="1"/>
    <col min="2" max="10" width="9" style="551"/>
    <col min="11" max="12" width="14.5545454545455" style="551" customWidth="1"/>
    <col min="13" max="13" width="6.33636363636364" style="551" customWidth="1"/>
    <col min="14" max="15" width="9" style="551"/>
    <col min="16" max="17" width="6.33636363636364" style="551" customWidth="1"/>
    <col min="18" max="23" width="9" style="551"/>
    <col min="24" max="24" width="14.5545454545455" style="551" customWidth="1"/>
    <col min="25" max="25" width="9" style="551"/>
    <col min="26" max="32" width="9" style="552"/>
    <col min="33" max="33" width="13.5545454545455" style="552" customWidth="1"/>
    <col min="34" max="34" width="14.5545454545455" style="552" customWidth="1"/>
    <col min="35" max="35" width="9" style="552"/>
    <col min="36" max="36" width="11.2181818181818" style="552" customWidth="1"/>
    <col min="37" max="39" width="9" style="552"/>
    <col min="40" max="40" width="9.66363636363636" style="552" customWidth="1"/>
    <col min="41" max="41" width="9" style="552"/>
    <col min="42" max="42" width="11.3363636363636" style="552" customWidth="1"/>
    <col min="43" max="43" width="10" style="552" customWidth="1"/>
    <col min="44" max="44" width="9.78181818181818" style="552" customWidth="1"/>
    <col min="45" max="47" width="9" style="552"/>
    <col min="48" max="48" width="10" style="552" customWidth="1"/>
    <col min="49" max="50" width="9.78181818181818" style="552" customWidth="1"/>
    <col min="51" max="51" width="9" style="552"/>
    <col min="52" max="52" width="11.3363636363636" style="552" customWidth="1"/>
    <col min="53" max="16384" width="9" style="552"/>
  </cols>
  <sheetData>
    <row r="1" customHeight="1" spans="1:51">
      <c r="A1" s="553" t="s">
        <v>4909</v>
      </c>
      <c r="B1" s="553" t="s">
        <v>164</v>
      </c>
      <c r="C1" s="553" t="s">
        <v>4910</v>
      </c>
      <c r="D1" s="553" t="s">
        <v>165</v>
      </c>
      <c r="E1" s="493" t="s">
        <v>4909</v>
      </c>
      <c r="F1" s="493" t="s">
        <v>164</v>
      </c>
      <c r="G1" s="493" t="s">
        <v>4910</v>
      </c>
      <c r="H1" s="493" t="s">
        <v>165</v>
      </c>
      <c r="I1" s="493"/>
      <c r="K1" s="558" t="str" cm="1">
        <f t="array" ref="K1">IFERROR(INDEX($L$1:$L$45,SMALL(IF($L$1:$L$45&lt;&gt;"",ROW($L$1:$L$45),4^8),ROW($A2:$V2)))&amp;"","")</f>
        <v>炼金工具</v>
      </c>
      <c r="L1" s="553" t="s">
        <v>4911</v>
      </c>
      <c r="M1" s="553" t="s">
        <v>92</v>
      </c>
      <c r="N1" s="553" t="s">
        <v>4912</v>
      </c>
      <c r="O1" s="553" t="s">
        <v>4913</v>
      </c>
      <c r="P1" s="553" t="s">
        <v>4910</v>
      </c>
      <c r="Q1" s="553" t="s">
        <v>165</v>
      </c>
      <c r="R1" s="493" t="s">
        <v>4911</v>
      </c>
      <c r="S1" s="493" t="s">
        <v>92</v>
      </c>
      <c r="T1" s="493" t="s">
        <v>4912</v>
      </c>
      <c r="U1" s="493" t="s">
        <v>4913</v>
      </c>
      <c r="V1" s="493" t="s">
        <v>4910</v>
      </c>
      <c r="W1" s="493" t="s">
        <v>165</v>
      </c>
      <c r="Y1" s="493"/>
      <c r="Z1" s="563" t="s">
        <v>4914</v>
      </c>
      <c r="AA1" s="563"/>
      <c r="AB1" s="563" t="s">
        <v>4915</v>
      </c>
      <c r="AC1" s="563" t="s">
        <v>4916</v>
      </c>
      <c r="AD1" s="552" t="s">
        <v>4917</v>
      </c>
      <c r="AE1" s="552">
        <f>SUM(AE2:AE6)</f>
        <v>0</v>
      </c>
      <c r="AH1" s="570" t="s">
        <v>88</v>
      </c>
      <c r="AI1" s="570" t="s">
        <v>4918</v>
      </c>
      <c r="AJ1" s="570" t="s">
        <v>4919</v>
      </c>
      <c r="AK1" s="570" t="s">
        <v>4920</v>
      </c>
      <c r="AL1" s="570" t="s">
        <v>176</v>
      </c>
      <c r="AM1" s="570" t="s">
        <v>165</v>
      </c>
      <c r="AN1" s="570" t="s">
        <v>4910</v>
      </c>
      <c r="AO1" s="570" t="s">
        <v>92</v>
      </c>
      <c r="AP1" s="574" t="s">
        <v>4921</v>
      </c>
      <c r="AQ1" s="574" t="s">
        <v>4918</v>
      </c>
      <c r="AR1" s="574" t="s">
        <v>4919</v>
      </c>
      <c r="AS1" s="574" t="s">
        <v>4922</v>
      </c>
      <c r="AT1" s="574" t="s">
        <v>176</v>
      </c>
      <c r="AU1" s="575" t="s">
        <v>4923</v>
      </c>
      <c r="AV1" s="575" t="s">
        <v>99</v>
      </c>
      <c r="AW1" s="575"/>
      <c r="AX1" s="574" t="s">
        <v>4924</v>
      </c>
      <c r="AY1" s="552" t="s">
        <v>165</v>
      </c>
    </row>
    <row r="2" customHeight="1" spans="1:51">
      <c r="A2" s="554" t="s">
        <v>4925</v>
      </c>
      <c r="B2" s="554" t="s">
        <v>4926</v>
      </c>
      <c r="C2" s="554" t="s">
        <v>4927</v>
      </c>
      <c r="D2" s="554">
        <v>1</v>
      </c>
      <c r="E2" s="555">
        <f>背包!B5</f>
        <v>0</v>
      </c>
      <c r="F2" s="493" t="str">
        <f>IFERROR(VLOOKUP(E2,$A$2:$D$101,2,FALSE),"")</f>
        <v/>
      </c>
      <c r="G2" s="493" t="str">
        <f>IFERROR(VLOOKUP(E2,$A$2:$D$101,3,FALSE),"")</f>
        <v/>
      </c>
      <c r="H2" s="493" t="str">
        <f>IFERROR(VLOOKUP(E2,$A$2:$D$101,4,FALSE),"")</f>
        <v/>
      </c>
      <c r="J2" s="493" t="str">
        <f>IF(ISBLANK(背包!B5),,INDEX($B$2:$D$97,MATCH(背包!B5&amp;"*",$A$2:$A$97,0),1))&amp;""</f>
        <v/>
      </c>
      <c r="K2" s="558" t="str" cm="1">
        <f t="array" ref="K2">IFERROR(INDEX($L$1:$L$45,SMALL(IF($L$1:$L$45&lt;&gt;"",ROW($L$1:$L$45),4^8),ROW($A3:$V3)))&amp;"","")</f>
        <v>酿酒工具</v>
      </c>
      <c r="L2" s="493" t="s">
        <v>4928</v>
      </c>
      <c r="M2" s="493" t="s">
        <v>116</v>
      </c>
      <c r="N2" s="493" t="s">
        <v>4929</v>
      </c>
      <c r="O2" s="493" t="s">
        <v>4930</v>
      </c>
      <c r="P2" s="493" t="s">
        <v>4931</v>
      </c>
      <c r="Q2" s="493">
        <v>8</v>
      </c>
      <c r="R2" s="556" t="str">
        <f>IF(ISBLANK(背包!B16),,INDEX($L$2:$Q$45,MATCH(背包!B16&amp;"*",$L$2:$L$45,0),1))&amp;""</f>
        <v/>
      </c>
      <c r="S2" s="493" t="str">
        <f>IFERROR(VLOOKUP(R2,$L$2:$Q$45,2,FALSE),"")</f>
        <v/>
      </c>
      <c r="T2" s="493" t="str">
        <f>IFERROR(VLOOKUP(R2,$L$2:$Q$45,3,FALSE),"")</f>
        <v/>
      </c>
      <c r="U2" s="493" t="str">
        <f>IFERROR(VLOOKUP(R2,$L$2:$Q$45,4,FALSE),"")</f>
        <v/>
      </c>
      <c r="V2" s="493" t="str">
        <f>IFERROR(VLOOKUP(R2,$L$2:$Q$45,5,FALSE),"")</f>
        <v/>
      </c>
      <c r="W2" s="493" t="str">
        <f>IFERROR(VLOOKUP(R2,$L$2:$Q$45,6,FALSE),"")</f>
        <v/>
      </c>
      <c r="Y2" s="493"/>
      <c r="Z2" s="563" t="s">
        <v>179</v>
      </c>
      <c r="AA2" s="563" t="s">
        <v>4932</v>
      </c>
      <c r="AB2" s="563">
        <v>1</v>
      </c>
      <c r="AC2" s="552">
        <v>20</v>
      </c>
      <c r="AD2" s="552">
        <f>IFERROR(INT(主要!AS33/AC2),0)</f>
        <v>0</v>
      </c>
      <c r="AE2" s="563">
        <f>INT(AB2*AD2)</f>
        <v>0</v>
      </c>
      <c r="AH2" s="442" t="s">
        <v>4933</v>
      </c>
      <c r="AI2" s="442">
        <v>1</v>
      </c>
      <c r="AJ2" s="442" t="s">
        <v>4934</v>
      </c>
      <c r="AK2" s="442" t="s">
        <v>4935</v>
      </c>
      <c r="AL2" s="442" t="s">
        <v>4935</v>
      </c>
      <c r="AM2" s="442">
        <v>0</v>
      </c>
      <c r="AN2" s="442" t="s">
        <v>4935</v>
      </c>
      <c r="AO2" s="576" t="s">
        <v>104</v>
      </c>
      <c r="AP2" s="552">
        <f>主要!L33</f>
        <v>0</v>
      </c>
      <c r="AQ2" s="552" t="str">
        <f>IFERROR(VLOOKUP(AP2,$AH$2:$AO$86,2,FALSE),"")</f>
        <v/>
      </c>
      <c r="AR2" s="552" t="str">
        <f>IFERROR(VLOOKUP(AP2,$AH$2:$AO$86,3,FALSE),"")</f>
        <v/>
      </c>
      <c r="AS2" s="552" t="str">
        <f>IFERROR(VLOOKUP(AP2,$AH$2:$AO$86,4,FALSE),"")</f>
        <v/>
      </c>
      <c r="AT2" s="552" t="str">
        <f>IFERROR(VLOOKUP(AP2,$AH$2:$AO$86,5,FALSE),"")</f>
        <v/>
      </c>
      <c r="AU2" s="567" t="str">
        <f>IFERROR(CONCATENATE("+",SUM(AW2+IF(主要!AC33="O",主要!$S$3,0)+主要!U33)),"")</f>
        <v/>
      </c>
      <c r="AV2" s="552" t="str">
        <f>IF(主要!$AS$29="默认",IFERROR(VLOOKUP(AP2,$AH$2:$AO$86,8,FALSE),""),主要!$AS$29)</f>
        <v/>
      </c>
      <c r="AW2" s="552" t="str">
        <f>IFERROR(VLOOKUP(AV2,主要!$C$13:$S$18,16,FALSE),"")</f>
        <v/>
      </c>
      <c r="AX2" s="552" t="str">
        <f>IF(AW2="","",IF(AW2&gt;=0,CONCATENATE("+",AW2),AW2))</f>
        <v/>
      </c>
      <c r="AY2" s="552" t="str">
        <f>IFERROR(VLOOKUP(AP2,$AH$2:$AO$86,6,FALSE),"")</f>
        <v/>
      </c>
    </row>
    <row r="3" customHeight="1" spans="1:51">
      <c r="A3" s="493" t="s">
        <v>4936</v>
      </c>
      <c r="B3" s="493" t="s">
        <v>4937</v>
      </c>
      <c r="C3" s="493" t="s">
        <v>4931</v>
      </c>
      <c r="D3" s="493">
        <v>1</v>
      </c>
      <c r="E3" s="556">
        <f>背包!B6</f>
        <v>0</v>
      </c>
      <c r="F3" s="493" t="str">
        <f t="shared" ref="F3:F11" si="0">IFERROR(VLOOKUP(E3,$A$2:$D$101,2,FALSE),"")</f>
        <v/>
      </c>
      <c r="G3" s="493" t="str">
        <f t="shared" ref="G3:G11" si="1">IFERROR(VLOOKUP(E3,$A$2:$D$101,3,FALSE),"")</f>
        <v/>
      </c>
      <c r="H3" s="493" t="str">
        <f t="shared" ref="H3:H11" si="2">IFERROR(VLOOKUP(E3,$A$2:$D$101,4,FALSE),"")</f>
        <v/>
      </c>
      <c r="I3" s="493"/>
      <c r="K3" s="558" t="str" cm="1">
        <f t="array" ref="K3">IFERROR(INDEX($L$1:$L$45,SMALL(IF($L$1:$L$45&lt;&gt;"",ROW($L$1:$L$45),4^8),ROW($A4:$V4)))&amp;"","")</f>
        <v>书法工具</v>
      </c>
      <c r="L3" s="493" t="s">
        <v>4938</v>
      </c>
      <c r="M3" s="493" t="s">
        <v>116</v>
      </c>
      <c r="N3" s="493" t="s">
        <v>4939</v>
      </c>
      <c r="O3" s="493" t="s">
        <v>4940</v>
      </c>
      <c r="P3" s="493" t="s">
        <v>4941</v>
      </c>
      <c r="Q3" s="493">
        <v>9</v>
      </c>
      <c r="R3" s="556" t="str">
        <f>IF(ISBLANK(背包!B17),,INDEX($L$2:$Q$45,MATCH(背包!B17&amp;"*",$L$2:$L$45,0),1))&amp;""</f>
        <v/>
      </c>
      <c r="S3" s="493" t="str">
        <f t="shared" ref="S3:S11" si="3">IFERROR(VLOOKUP(R3,$L$2:$Q$45,2,FALSE),"")</f>
        <v/>
      </c>
      <c r="T3" s="493" t="str">
        <f t="shared" ref="T3:T11" si="4">IFERROR(VLOOKUP(R3,$L$2:$Q$45,3,FALSE),"")</f>
        <v/>
      </c>
      <c r="U3" s="493" t="str">
        <f t="shared" ref="U3:U11" si="5">IFERROR(VLOOKUP(R3,$L$2:$Q$45,4,FALSE),"")</f>
        <v/>
      </c>
      <c r="V3" s="493" t="str">
        <f t="shared" ref="V3:V11" si="6">IFERROR(VLOOKUP(R3,$L$2:$Q$45,5,FALSE),"")</f>
        <v/>
      </c>
      <c r="W3" s="493" t="str">
        <f t="shared" ref="W3:W11" si="7">IFERROR(VLOOKUP(R3,$L$2:$Q$45,6,FALSE),"")</f>
        <v/>
      </c>
      <c r="Y3" s="493"/>
      <c r="Z3" s="563" t="s">
        <v>181</v>
      </c>
      <c r="AA3" s="563" t="s">
        <v>4942</v>
      </c>
      <c r="AB3" s="563">
        <v>0.5</v>
      </c>
      <c r="AC3" s="552">
        <v>20</v>
      </c>
      <c r="AD3" s="552">
        <f>IFERROR(INT(主要!AS34/AC3),0)</f>
        <v>0</v>
      </c>
      <c r="AE3" s="563">
        <f>INT(AB3*AD3)</f>
        <v>0</v>
      </c>
      <c r="AG3" s="571" t="str" cm="1">
        <f t="array" ref="AG3">IFERROR(INDEX($AH$1:$AH$86,SMALL(IF($AH$1:$AH$86&lt;&gt;"",ROW($AH$1:$AH$86),4^8),ROW(AH2)))&amp;"","")</f>
        <v>徒手打击</v>
      </c>
      <c r="AH3" s="442" t="s">
        <v>4943</v>
      </c>
      <c r="AI3" s="442"/>
      <c r="AJ3" s="442"/>
      <c r="AK3" s="442"/>
      <c r="AL3" s="442"/>
      <c r="AM3" s="442"/>
      <c r="AN3" s="442"/>
      <c r="AO3" s="442"/>
      <c r="AP3" s="552">
        <f>主要!L34</f>
        <v>0</v>
      </c>
      <c r="AQ3" s="552" t="str">
        <f>IFERROR(VLOOKUP(AP3,$AH$2:$AO$86,2,FALSE),"")</f>
        <v/>
      </c>
      <c r="AR3" s="552" t="str">
        <f>IFERROR(VLOOKUP(AP3,$AH$2:$AO$86,3,FALSE),"")</f>
        <v/>
      </c>
      <c r="AS3" s="552" t="str">
        <f>IFERROR(VLOOKUP(AP3,$AH$2:$AO$86,4,FALSE),"")</f>
        <v/>
      </c>
      <c r="AT3" s="552" t="str">
        <f>IFERROR(VLOOKUP(AP3,$AH$2:$AO$86,5,FALSE),"")</f>
        <v/>
      </c>
      <c r="AU3" s="567" t="str">
        <f>IFERROR(CONCATENATE("+",SUM(AW3+IF(主要!AC34="O",主要!$S$3,0)+主要!U34)),"")</f>
        <v/>
      </c>
      <c r="AV3" s="552" t="str">
        <f>IF(主要!$AS$29="默认",IFERROR(VLOOKUP(AP3,$AH$2:$AO$86,8,FALSE),""),主要!$AS$29)</f>
        <v/>
      </c>
      <c r="AW3" s="552" t="str">
        <f>IFERROR(VLOOKUP(AV3,主要!$C$13:$S$18,16,FALSE),"")</f>
        <v/>
      </c>
      <c r="AX3" s="552" t="str">
        <f>IF(AW3="","",IF(AW3&gt;=0,CONCATENATE("+",AW3),AW3))</f>
        <v/>
      </c>
      <c r="AY3" s="552" t="str">
        <f>IFERROR(VLOOKUP(AP3,$AH$2:$AO$86,6,FALSE),"")</f>
        <v/>
      </c>
    </row>
    <row r="4" customHeight="1" spans="1:51">
      <c r="A4" s="496" t="s">
        <v>4944</v>
      </c>
      <c r="B4" s="496" t="s">
        <v>4945</v>
      </c>
      <c r="C4" s="496" t="s">
        <v>4946</v>
      </c>
      <c r="D4" s="496">
        <v>1</v>
      </c>
      <c r="E4" s="556">
        <f>背包!B7</f>
        <v>0</v>
      </c>
      <c r="F4" s="493" t="str">
        <f t="shared" si="0"/>
        <v/>
      </c>
      <c r="G4" s="493" t="str">
        <f t="shared" si="1"/>
        <v/>
      </c>
      <c r="H4" s="493" t="str">
        <f t="shared" si="2"/>
        <v/>
      </c>
      <c r="I4" s="493"/>
      <c r="K4" s="558" t="str" cm="1">
        <f t="array" ref="K4">IFERROR(INDEX($L$1:$L$45,SMALL(IF($L$1:$L$45&lt;&gt;"",ROW($L$1:$L$45),4^8),ROW($A5:$V5)))&amp;"","")</f>
        <v>木匠工具</v>
      </c>
      <c r="L4" s="493" t="s">
        <v>4947</v>
      </c>
      <c r="M4" s="493" t="s">
        <v>109</v>
      </c>
      <c r="N4" s="493" t="s">
        <v>4948</v>
      </c>
      <c r="O4" s="493" t="s">
        <v>4949</v>
      </c>
      <c r="P4" s="493" t="s">
        <v>4950</v>
      </c>
      <c r="Q4" s="493">
        <v>5</v>
      </c>
      <c r="R4" s="556" t="str">
        <f>IF(ISBLANK(背包!B18),,INDEX($L$2:$Q$45,MATCH(背包!B18&amp;"*",$L$2:$L$45,0),1))&amp;""</f>
        <v/>
      </c>
      <c r="S4" s="493" t="str">
        <f t="shared" si="3"/>
        <v/>
      </c>
      <c r="T4" s="493" t="str">
        <f t="shared" si="4"/>
        <v/>
      </c>
      <c r="U4" s="493" t="str">
        <f t="shared" si="5"/>
        <v/>
      </c>
      <c r="V4" s="493" t="str">
        <f t="shared" si="6"/>
        <v/>
      </c>
      <c r="W4" s="493" t="str">
        <f t="shared" si="7"/>
        <v/>
      </c>
      <c r="Y4" s="493"/>
      <c r="Z4" s="563" t="s">
        <v>183</v>
      </c>
      <c r="AA4" s="563" t="s">
        <v>4951</v>
      </c>
      <c r="AB4" s="563"/>
      <c r="AD4" s="552">
        <f>IFERROR(INT(主要!AS35/AC4),0)</f>
        <v>0</v>
      </c>
      <c r="AE4" s="563">
        <f>INT(AB4*AD4)</f>
        <v>0</v>
      </c>
      <c r="AG4" s="571" t="str" cm="1">
        <f t="array" ref="AG4">IFERROR(INDEX($AH$1:$AH$86,SMALL(IF($AH$1:$AH$86&lt;&gt;"",ROW($AH$1:$AH$86),4^8),ROW(AH3)))&amp;"","")</f>
        <v>—简易近战—</v>
      </c>
      <c r="AH4" s="572" t="s">
        <v>4952</v>
      </c>
      <c r="AI4" s="572" t="s">
        <v>4953</v>
      </c>
      <c r="AJ4" s="572" t="s">
        <v>4934</v>
      </c>
      <c r="AK4" s="572" t="s">
        <v>4954</v>
      </c>
      <c r="AL4" s="572" t="s">
        <v>4955</v>
      </c>
      <c r="AM4" s="572">
        <v>2</v>
      </c>
      <c r="AN4" s="572" t="s">
        <v>4956</v>
      </c>
      <c r="AO4" s="577" t="s">
        <v>104</v>
      </c>
      <c r="AP4" s="552">
        <f>主要!L35</f>
        <v>0</v>
      </c>
      <c r="AQ4" s="552" t="str">
        <f>IFERROR(VLOOKUP(AP4,$AH$2:$AO$86,2,FALSE),"")</f>
        <v/>
      </c>
      <c r="AR4" s="552" t="str">
        <f>IFERROR(VLOOKUP(AP4,$AH$2:$AO$86,3,FALSE),"")</f>
        <v/>
      </c>
      <c r="AS4" s="552" t="str">
        <f>IFERROR(VLOOKUP(AP4,$AH$2:$AO$86,4,FALSE),"")</f>
        <v/>
      </c>
      <c r="AT4" s="552" t="str">
        <f>IFERROR(VLOOKUP(AP4,$AH$2:$AO$86,5,FALSE),"")</f>
        <v/>
      </c>
      <c r="AU4" s="567" t="str">
        <f>IFERROR(CONCATENATE("+",SUM(AW4+IF(主要!AC35="O",主要!$S$3,0)+主要!U35)),"")</f>
        <v/>
      </c>
      <c r="AV4" s="552" t="str">
        <f>IF(主要!$AS$29="默认",IFERROR(VLOOKUP(AP4,$AH$2:$AO$86,8,FALSE),""),主要!$AS$29)</f>
        <v/>
      </c>
      <c r="AW4" s="552" t="str">
        <f>IFERROR(VLOOKUP(AV4,主要!$C$13:$S$18,16,FALSE),"")</f>
        <v/>
      </c>
      <c r="AX4" s="552" t="str">
        <f>IF(AW4="","",IF(AW4&gt;=0,CONCATENATE("+",AW4),AW4))</f>
        <v/>
      </c>
      <c r="AY4" s="552" t="str">
        <f>IFERROR(VLOOKUP(AP4,$AH$2:$AO$86,6,FALSE),"")</f>
        <v/>
      </c>
    </row>
    <row r="5" customHeight="1" spans="1:56">
      <c r="A5" s="493" t="s">
        <v>4957</v>
      </c>
      <c r="B5" s="493" t="s">
        <v>4945</v>
      </c>
      <c r="C5" s="493" t="s">
        <v>4946</v>
      </c>
      <c r="D5" s="493">
        <v>1.5</v>
      </c>
      <c r="E5" s="556">
        <f>背包!B8</f>
        <v>0</v>
      </c>
      <c r="F5" s="493" t="str">
        <f t="shared" si="0"/>
        <v/>
      </c>
      <c r="G5" s="493" t="str">
        <f t="shared" si="1"/>
        <v/>
      </c>
      <c r="H5" s="493" t="str">
        <f t="shared" si="2"/>
        <v/>
      </c>
      <c r="K5" s="558" t="str" cm="1">
        <f t="array" ref="K5">IFERROR(INDEX($L$1:$L$45,SMALL(IF($L$1:$L$45&lt;&gt;"",ROW($L$1:$L$45),4^8),ROW($A6:$V6)))&amp;"","")</f>
        <v>制图工具</v>
      </c>
      <c r="L5" s="493" t="s">
        <v>4958</v>
      </c>
      <c r="M5" s="493" t="s">
        <v>104</v>
      </c>
      <c r="N5" s="493" t="s">
        <v>4959</v>
      </c>
      <c r="O5" s="493" t="s">
        <v>4960</v>
      </c>
      <c r="P5" s="493" t="s">
        <v>4961</v>
      </c>
      <c r="Q5" s="493">
        <v>6</v>
      </c>
      <c r="R5" s="556" t="str">
        <f>IF(ISBLANK(背包!B19),,INDEX($L$2:$Q$45,MATCH(背包!B19&amp;"*",$L$2:$L$45,0),1))&amp;""</f>
        <v/>
      </c>
      <c r="S5" s="493" t="str">
        <f t="shared" si="3"/>
        <v/>
      </c>
      <c r="T5" s="493" t="str">
        <f t="shared" si="4"/>
        <v/>
      </c>
      <c r="U5" s="493" t="str">
        <f t="shared" si="5"/>
        <v/>
      </c>
      <c r="V5" s="493" t="str">
        <f t="shared" si="6"/>
        <v/>
      </c>
      <c r="W5" s="493" t="str">
        <f t="shared" si="7"/>
        <v/>
      </c>
      <c r="Y5" s="493"/>
      <c r="Z5" s="563" t="s">
        <v>185</v>
      </c>
      <c r="AA5" s="563" t="s">
        <v>4962</v>
      </c>
      <c r="AB5" s="563">
        <v>0.5</v>
      </c>
      <c r="AC5" s="552">
        <v>20</v>
      </c>
      <c r="AD5" s="552">
        <f>IFERROR(INT(主要!AS36/AC5),0)</f>
        <v>0</v>
      </c>
      <c r="AE5" s="563">
        <f>INT(AB5*AD5)</f>
        <v>0</v>
      </c>
      <c r="AG5" s="571" t="str" cm="1">
        <f t="array" ref="AG5">IFERROR(INDEX($AH$1:$AH$86,SMALL(IF($AH$1:$AH$86&lt;&gt;"",ROW($AH$1:$AH$86),4^8),ROW(AH4)))&amp;"","")</f>
        <v>短棒</v>
      </c>
      <c r="AH5" s="442" t="s">
        <v>4963</v>
      </c>
      <c r="AI5" s="442" t="s">
        <v>4953</v>
      </c>
      <c r="AJ5" s="442" t="s">
        <v>4964</v>
      </c>
      <c r="AK5" s="442" t="s">
        <v>4965</v>
      </c>
      <c r="AL5" s="442" t="s">
        <v>4966</v>
      </c>
      <c r="AM5" s="442">
        <v>1</v>
      </c>
      <c r="AN5" s="442" t="s">
        <v>4967</v>
      </c>
      <c r="AO5" s="578" t="str">
        <f>IF(主要!R13&gt;=主要!R14,"力量","敏捷")</f>
        <v>力量</v>
      </c>
      <c r="AP5" s="552">
        <f>主要!L36</f>
        <v>0</v>
      </c>
      <c r="AQ5" s="552" t="str">
        <f>IFERROR(VLOOKUP(AP5,$AH$2:$AO$86,2,FALSE),"")</f>
        <v/>
      </c>
      <c r="AR5" s="552" t="str">
        <f>IFERROR(VLOOKUP(AP5,$AH$2:$AO$86,3,FALSE),"")</f>
        <v/>
      </c>
      <c r="AS5" s="552" t="str">
        <f>IFERROR(VLOOKUP(AP5,$AH$2:$AO$86,4,FALSE),"")</f>
        <v/>
      </c>
      <c r="AT5" s="552" t="str">
        <f>IFERROR(VLOOKUP(AP5,$AH$2:$AO$86,5,FALSE),"")</f>
        <v/>
      </c>
      <c r="AU5" s="567" t="str">
        <f>IFERROR(CONCATENATE("+",SUM(AW5+IF(主要!AC36="O",主要!$S$3,0)+主要!U36)),"")</f>
        <v/>
      </c>
      <c r="AV5" s="552" t="str">
        <f>IF(主要!$AS$29="默认",IFERROR(VLOOKUP(AP5,$AH$2:$AO$86,8,FALSE),""),主要!$AS$29)</f>
        <v/>
      </c>
      <c r="AW5" s="552" t="str">
        <f>IFERROR(VLOOKUP(AV5,主要!$C$13:$S$18,16,FALSE),"")</f>
        <v/>
      </c>
      <c r="AX5" s="552" t="str">
        <f t="shared" ref="AX5:AX6" si="8">IF(AW5="","",IF(AW5&gt;=0,CONCATENATE("+",AW5),AW5))</f>
        <v/>
      </c>
      <c r="AY5" s="552" t="str">
        <f>IFERROR(VLOOKUP(AP5,$AH$2:$AO$86,6,FALSE),"")</f>
        <v/>
      </c>
      <c r="BA5" s="552">
        <v>5</v>
      </c>
      <c r="BD5" s="552">
        <v>1</v>
      </c>
    </row>
    <row r="6" customHeight="1" spans="1:56">
      <c r="A6" s="496" t="s">
        <v>4968</v>
      </c>
      <c r="B6" s="496" t="s">
        <v>4969</v>
      </c>
      <c r="C6" s="496" t="s">
        <v>4970</v>
      </c>
      <c r="D6" s="496">
        <v>2</v>
      </c>
      <c r="E6" s="556">
        <f>背包!B9</f>
        <v>0</v>
      </c>
      <c r="F6" s="493" t="str">
        <f t="shared" si="0"/>
        <v/>
      </c>
      <c r="G6" s="493" t="str">
        <f t="shared" si="1"/>
        <v/>
      </c>
      <c r="H6" s="493" t="str">
        <f t="shared" si="2"/>
        <v/>
      </c>
      <c r="K6" s="558" t="str" cm="1">
        <f t="array" ref="K6">IFERROR(INDEX($L$1:$L$45,SMALL(IF($L$1:$L$45&lt;&gt;"",ROW($L$1:$L$45),4^8),ROW($A7:$V7)))&amp;"","")</f>
        <v>鞋匠工具</v>
      </c>
      <c r="L6" s="493" t="s">
        <v>4971</v>
      </c>
      <c r="M6" s="493" t="s">
        <v>119</v>
      </c>
      <c r="N6" s="493" t="s">
        <v>4972</v>
      </c>
      <c r="O6" s="493" t="s">
        <v>4973</v>
      </c>
      <c r="P6" s="493" t="s">
        <v>4974</v>
      </c>
      <c r="Q6" s="493">
        <v>6</v>
      </c>
      <c r="R6" s="556" t="str">
        <f>IF(ISBLANK(背包!B20),,INDEX($L$2:$Q$45,MATCH(背包!B20&amp;"*",$L$2:$L$45,0),1))&amp;""</f>
        <v/>
      </c>
      <c r="S6" s="493" t="str">
        <f t="shared" si="3"/>
        <v/>
      </c>
      <c r="T6" s="493" t="str">
        <f t="shared" si="4"/>
        <v/>
      </c>
      <c r="U6" s="493" t="str">
        <f t="shared" si="5"/>
        <v/>
      </c>
      <c r="V6" s="493" t="str">
        <f t="shared" si="6"/>
        <v/>
      </c>
      <c r="W6" s="493" t="str">
        <f t="shared" si="7"/>
        <v/>
      </c>
      <c r="Y6" s="493"/>
      <c r="Z6" s="563" t="s">
        <v>186</v>
      </c>
      <c r="AA6" s="563" t="s">
        <v>4975</v>
      </c>
      <c r="AB6" s="563">
        <v>1</v>
      </c>
      <c r="AC6" s="552">
        <v>50</v>
      </c>
      <c r="AD6" s="552">
        <f>IFERROR(INT(主要!AS37/AC6),0)</f>
        <v>0</v>
      </c>
      <c r="AE6" s="563">
        <f>INT(AB6*AD6)</f>
        <v>0</v>
      </c>
      <c r="AG6" s="571" t="str" cm="1">
        <f t="array" ref="AG6">IFERROR(INDEX($AH$1:$AH$86,SMALL(IF($AH$1:$AH$86&lt;&gt;"",ROW($AH$1:$AH$86),4^8),ROW(AH5)))&amp;"","")</f>
        <v>匕首</v>
      </c>
      <c r="AH6" s="572" t="s">
        <v>4976</v>
      </c>
      <c r="AI6" s="572" t="s">
        <v>4977</v>
      </c>
      <c r="AJ6" s="572" t="s">
        <v>4934</v>
      </c>
      <c r="AK6" s="572" t="s">
        <v>4978</v>
      </c>
      <c r="AL6" s="572" t="s">
        <v>4979</v>
      </c>
      <c r="AM6" s="572">
        <v>10</v>
      </c>
      <c r="AN6" s="572" t="s">
        <v>4980</v>
      </c>
      <c r="AO6" s="577" t="s">
        <v>104</v>
      </c>
      <c r="AP6" s="552">
        <f>主要!L37</f>
        <v>0</v>
      </c>
      <c r="AQ6" s="552" t="str">
        <f>IFERROR(VLOOKUP(AP6,$AH$2:$AO$86,2,FALSE),"")</f>
        <v/>
      </c>
      <c r="AR6" s="552" t="str">
        <f>IFERROR(VLOOKUP(AP6,$AH$2:$AO$86,3,FALSE),"")</f>
        <v/>
      </c>
      <c r="AS6" s="552" t="str">
        <f>IFERROR(VLOOKUP(AP6,$AH$2:$AO$86,4,FALSE),"")</f>
        <v/>
      </c>
      <c r="AT6" s="552" t="str">
        <f>IFERROR(VLOOKUP(AP6,$AH$2:$AO$86,5,FALSE),"")</f>
        <v/>
      </c>
      <c r="AU6" s="567" t="str">
        <f>IFERROR(CONCATENATE("+",SUM(AW6+IF(主要!AC37="O",主要!$S$3,0)+主要!U37)),"")</f>
        <v/>
      </c>
      <c r="AV6" s="552" t="str">
        <f>IF(主要!$AS$29="默认",IFERROR(VLOOKUP(AP6,$AH$2:$AO$86,8,FALSE),""),主要!$AS$29)</f>
        <v/>
      </c>
      <c r="AW6" s="552" t="str">
        <f>IFERROR(VLOOKUP(AV6,主要!$C$13:$S$18,16,FALSE),"")</f>
        <v/>
      </c>
      <c r="AX6" s="552" t="str">
        <f t="shared" si="8"/>
        <v/>
      </c>
      <c r="AY6" s="552" t="str">
        <f>IFERROR(VLOOKUP(AP6,$AH$2:$AO$86,6,FALSE),"")</f>
        <v/>
      </c>
      <c r="BA6" s="552">
        <v>2</v>
      </c>
      <c r="BD6" s="552">
        <v>1</v>
      </c>
    </row>
    <row r="7" customHeight="1" spans="1:56">
      <c r="A7" s="493" t="s">
        <v>4981</v>
      </c>
      <c r="B7" s="493" t="s">
        <v>4982</v>
      </c>
      <c r="C7" s="493" t="s">
        <v>4983</v>
      </c>
      <c r="D7" s="493">
        <v>1.5</v>
      </c>
      <c r="E7" s="556">
        <f>背包!B10</f>
        <v>0</v>
      </c>
      <c r="F7" s="493" t="str">
        <f t="shared" si="0"/>
        <v/>
      </c>
      <c r="G7" s="493" t="str">
        <f t="shared" si="1"/>
        <v/>
      </c>
      <c r="H7" s="493" t="str">
        <f t="shared" si="2"/>
        <v/>
      </c>
      <c r="K7" s="558" t="str" cm="1">
        <f t="array" ref="K7">IFERROR(INDEX($L$1:$L$45,SMALL(IF($L$1:$L$45&lt;&gt;"",ROW($L$1:$L$45),4^8),ROW($A8:$V8)))&amp;"","")</f>
        <v>厨师工具</v>
      </c>
      <c r="L7" s="493" t="s">
        <v>4984</v>
      </c>
      <c r="M7" s="493" t="s">
        <v>109</v>
      </c>
      <c r="N7" s="493" t="s">
        <v>4985</v>
      </c>
      <c r="O7" s="493" t="s">
        <v>4986</v>
      </c>
      <c r="P7" s="493" t="s">
        <v>4987</v>
      </c>
      <c r="Q7" s="493">
        <v>5</v>
      </c>
      <c r="R7" s="556" t="str">
        <f>IF(ISBLANK(背包!B21),,INDEX($L$2:$Q$45,MATCH(背包!B21&amp;"*",$L$2:$L$45,0),1))&amp;""</f>
        <v/>
      </c>
      <c r="S7" s="493" t="str">
        <f t="shared" si="3"/>
        <v/>
      </c>
      <c r="T7" s="493" t="str">
        <f t="shared" si="4"/>
        <v/>
      </c>
      <c r="U7" s="493" t="str">
        <f t="shared" si="5"/>
        <v/>
      </c>
      <c r="V7" s="493" t="str">
        <f t="shared" si="6"/>
        <v/>
      </c>
      <c r="W7" s="493" t="str">
        <f t="shared" si="7"/>
        <v/>
      </c>
      <c r="Y7" s="493"/>
      <c r="AG7" s="571" t="str" cm="1">
        <f t="array" ref="AG7">IFERROR(INDEX($AH$1:$AH$86,SMALL(IF($AH$1:$AH$86&lt;&gt;"",ROW($AH$1:$AH$86),4^8),ROW(AH6)))&amp;"","")</f>
        <v>巨棒</v>
      </c>
      <c r="AH7" s="442" t="s">
        <v>4988</v>
      </c>
      <c r="AI7" s="442" t="s">
        <v>4989</v>
      </c>
      <c r="AJ7" s="442" t="s">
        <v>4990</v>
      </c>
      <c r="AK7" s="442" t="s">
        <v>4991</v>
      </c>
      <c r="AL7" s="442" t="s">
        <v>3685</v>
      </c>
      <c r="AM7" s="442">
        <v>2</v>
      </c>
      <c r="AN7" s="442" t="s">
        <v>4992</v>
      </c>
      <c r="AO7" s="578" t="s">
        <v>104</v>
      </c>
      <c r="AT7" s="567"/>
      <c r="BA7" s="552">
        <v>0</v>
      </c>
      <c r="BD7" s="552">
        <v>1</v>
      </c>
    </row>
    <row r="8" customHeight="1" spans="1:56">
      <c r="A8" s="496" t="s">
        <v>4993</v>
      </c>
      <c r="B8" s="496" t="s">
        <v>4994</v>
      </c>
      <c r="C8" s="496" t="s">
        <v>4946</v>
      </c>
      <c r="D8" s="496">
        <v>1</v>
      </c>
      <c r="E8" s="556">
        <f>背包!B11</f>
        <v>0</v>
      </c>
      <c r="F8" s="493" t="str">
        <f t="shared" si="0"/>
        <v/>
      </c>
      <c r="G8" s="493" t="str">
        <f t="shared" si="1"/>
        <v/>
      </c>
      <c r="H8" s="493" t="str">
        <f t="shared" si="2"/>
        <v/>
      </c>
      <c r="K8" s="558" t="str" cm="1">
        <f t="array" ref="K8">IFERROR(INDEX($L$1:$L$45,SMALL(IF($L$1:$L$45&lt;&gt;"",ROW($L$1:$L$45),4^8),ROW($A9:$V9)))&amp;"","")</f>
        <v>玻璃匠工具</v>
      </c>
      <c r="L8" s="493" t="s">
        <v>4995</v>
      </c>
      <c r="M8" s="493" t="s">
        <v>119</v>
      </c>
      <c r="N8" s="493" t="s">
        <v>4996</v>
      </c>
      <c r="O8" s="493" t="s">
        <v>4997</v>
      </c>
      <c r="P8" s="493" t="s">
        <v>4946</v>
      </c>
      <c r="Q8" s="493">
        <v>8</v>
      </c>
      <c r="R8" s="556" t="str">
        <f>IF(ISBLANK(背包!B22),,INDEX($L$2:$Q$45,MATCH(背包!B22&amp;"*",$L$2:$L$45,0),1))&amp;""</f>
        <v/>
      </c>
      <c r="S8" s="493" t="str">
        <f t="shared" si="3"/>
        <v/>
      </c>
      <c r="T8" s="493" t="str">
        <f t="shared" si="4"/>
        <v/>
      </c>
      <c r="U8" s="493" t="str">
        <f t="shared" si="5"/>
        <v/>
      </c>
      <c r="V8" s="493" t="str">
        <f t="shared" si="6"/>
        <v/>
      </c>
      <c r="W8" s="493" t="str">
        <f t="shared" si="7"/>
        <v/>
      </c>
      <c r="Y8" s="493"/>
      <c r="AG8" s="571" t="str" cm="1">
        <f t="array" ref="AG8">IFERROR(INDEX($AH$1:$AH$86,SMALL(IF($AH$1:$AH$86&lt;&gt;"",ROW($AH$1:$AH$86),4^8),ROW(AH7)))&amp;"","")</f>
        <v>手斧</v>
      </c>
      <c r="AH8" s="572" t="s">
        <v>4998</v>
      </c>
      <c r="AI8" s="572" t="s">
        <v>4989</v>
      </c>
      <c r="AJ8" s="572" t="s">
        <v>4964</v>
      </c>
      <c r="AK8" s="572" t="s">
        <v>4999</v>
      </c>
      <c r="AL8" s="572" t="s">
        <v>4955</v>
      </c>
      <c r="AM8" s="572">
        <v>2</v>
      </c>
      <c r="AN8" s="572" t="s">
        <v>5000</v>
      </c>
      <c r="AO8" s="577" t="s">
        <v>104</v>
      </c>
      <c r="AT8" s="567"/>
      <c r="AU8" s="567"/>
      <c r="AV8" s="567"/>
      <c r="BA8" s="552">
        <v>0</v>
      </c>
      <c r="BD8" s="552">
        <v>10</v>
      </c>
    </row>
    <row r="9" customHeight="1" spans="1:56">
      <c r="A9" s="493" t="s">
        <v>4940</v>
      </c>
      <c r="B9" s="493" t="s">
        <v>5001</v>
      </c>
      <c r="C9" s="493" t="s">
        <v>4931</v>
      </c>
      <c r="D9" s="493">
        <v>0</v>
      </c>
      <c r="E9" s="556">
        <f>背包!B12</f>
        <v>0</v>
      </c>
      <c r="F9" s="493" t="str">
        <f t="shared" si="0"/>
        <v/>
      </c>
      <c r="G9" s="493" t="str">
        <f t="shared" si="1"/>
        <v/>
      </c>
      <c r="H9" s="493" t="str">
        <f t="shared" si="2"/>
        <v/>
      </c>
      <c r="K9" s="558" t="str" cm="1">
        <f t="array" ref="K9">IFERROR(INDEX($L$1:$L$45,SMALL(IF($L$1:$L$45&lt;&gt;"",ROW($L$1:$L$45),4^8),ROW($A10:$V10)))&amp;"","")</f>
        <v>珠宝匠工具</v>
      </c>
      <c r="L9" s="493" t="s">
        <v>5002</v>
      </c>
      <c r="M9" s="493" t="s">
        <v>116</v>
      </c>
      <c r="N9" s="493" t="s">
        <v>5003</v>
      </c>
      <c r="O9" s="493" t="s">
        <v>5004</v>
      </c>
      <c r="P9" s="493" t="s">
        <v>5005</v>
      </c>
      <c r="Q9" s="493">
        <v>5</v>
      </c>
      <c r="R9" s="556" t="str">
        <f>IF(ISBLANK(背包!B23),,INDEX($L$2:$Q$45,MATCH(背包!B23&amp;"*",$L$2:$L$45,0),1))&amp;""</f>
        <v/>
      </c>
      <c r="S9" s="493" t="str">
        <f t="shared" si="3"/>
        <v/>
      </c>
      <c r="T9" s="493" t="str">
        <f t="shared" si="4"/>
        <v/>
      </c>
      <c r="U9" s="493" t="str">
        <f t="shared" si="5"/>
        <v/>
      </c>
      <c r="V9" s="493" t="str">
        <f t="shared" si="6"/>
        <v/>
      </c>
      <c r="W9" s="493" t="str">
        <f t="shared" si="7"/>
        <v/>
      </c>
      <c r="Y9" s="493"/>
      <c r="AC9" s="563" t="s">
        <v>5006</v>
      </c>
      <c r="AD9" s="564" t="s">
        <v>4935</v>
      </c>
      <c r="AE9" s="565"/>
      <c r="AF9" s="566" t="str">
        <f>""</f>
        <v/>
      </c>
      <c r="AG9" s="571" t="str" cm="1">
        <f t="array" ref="AG9">IFERROR(INDEX($AH$1:$AH$86,SMALL(IF($AH$1:$AH$86&lt;&gt;"",ROW($AH$1:$AH$86),4^8),ROW(AH8)))&amp;"","")</f>
        <v>标枪</v>
      </c>
      <c r="AH9" s="442" t="s">
        <v>5007</v>
      </c>
      <c r="AI9" s="442" t="s">
        <v>4953</v>
      </c>
      <c r="AJ9" s="442" t="s">
        <v>4934</v>
      </c>
      <c r="AK9" s="442" t="s">
        <v>4991</v>
      </c>
      <c r="AL9" s="442" t="s">
        <v>4966</v>
      </c>
      <c r="AM9" s="442">
        <v>2</v>
      </c>
      <c r="AN9" s="442" t="s">
        <v>4967</v>
      </c>
      <c r="AO9" s="578" t="s">
        <v>104</v>
      </c>
      <c r="AP9" s="579" t="s">
        <v>167</v>
      </c>
      <c r="AT9" s="567"/>
      <c r="AU9" s="567"/>
      <c r="AV9" s="567"/>
      <c r="BA9" s="552">
        <v>5</v>
      </c>
      <c r="BD9" s="552">
        <v>1</v>
      </c>
    </row>
    <row r="10" customHeight="1" spans="1:56">
      <c r="A10" s="496" t="s">
        <v>5008</v>
      </c>
      <c r="B10" s="496" t="s">
        <v>5009</v>
      </c>
      <c r="C10" s="496" t="s">
        <v>4950</v>
      </c>
      <c r="D10" s="496">
        <v>1</v>
      </c>
      <c r="E10" s="556">
        <f>背包!B13</f>
        <v>0</v>
      </c>
      <c r="F10" s="493" t="str">
        <f t="shared" si="0"/>
        <v/>
      </c>
      <c r="G10" s="493" t="str">
        <f t="shared" si="1"/>
        <v/>
      </c>
      <c r="H10" s="493" t="str">
        <f t="shared" si="2"/>
        <v/>
      </c>
      <c r="K10" s="558" t="str" cm="1">
        <f t="array" ref="K10">IFERROR(INDEX($L$1:$L$45,SMALL(IF($L$1:$L$45&lt;&gt;"",ROW($L$1:$L$45),4^8),ROW($A11:$V11)))&amp;"","")</f>
        <v>皮匠工具</v>
      </c>
      <c r="L10" s="493" t="s">
        <v>5010</v>
      </c>
      <c r="M10" s="493" t="s">
        <v>116</v>
      </c>
      <c r="N10" s="493" t="s">
        <v>5011</v>
      </c>
      <c r="O10" s="493" t="s">
        <v>5012</v>
      </c>
      <c r="P10" s="493" t="s">
        <v>4927</v>
      </c>
      <c r="Q10" s="493">
        <v>2</v>
      </c>
      <c r="R10" s="556" t="str">
        <f>IF(ISBLANK(背包!B24),,INDEX($L$2:$Q$45,MATCH(背包!B24&amp;"*",$L$2:$L$45,0),1))&amp;""</f>
        <v/>
      </c>
      <c r="S10" s="493" t="str">
        <f t="shared" si="3"/>
        <v/>
      </c>
      <c r="T10" s="493" t="str">
        <f t="shared" si="4"/>
        <v/>
      </c>
      <c r="U10" s="493" t="str">
        <f t="shared" si="5"/>
        <v/>
      </c>
      <c r="V10" s="493" t="str">
        <f t="shared" si="6"/>
        <v/>
      </c>
      <c r="W10" s="493" t="str">
        <f t="shared" si="7"/>
        <v/>
      </c>
      <c r="Y10" s="493"/>
      <c r="AC10" s="563" t="s">
        <v>5013</v>
      </c>
      <c r="AD10" s="564" t="s">
        <v>5014</v>
      </c>
      <c r="AE10" s="565"/>
      <c r="AF10" s="566" t="str">
        <f>""</f>
        <v/>
      </c>
      <c r="AG10" s="571" t="str" cm="1">
        <f t="array" ref="AG10">IFERROR(INDEX($AH$1:$AH$86,SMALL(IF($AH$1:$AH$86&lt;&gt;"",ROW($AH$1:$AH$86),4^8),ROW(AH9)))&amp;"","")</f>
        <v>轻锤</v>
      </c>
      <c r="AH10" s="572" t="s">
        <v>5015</v>
      </c>
      <c r="AI10" s="572" t="s">
        <v>4989</v>
      </c>
      <c r="AJ10" s="572" t="s">
        <v>4934</v>
      </c>
      <c r="AK10" s="572" t="s">
        <v>5016</v>
      </c>
      <c r="AL10" s="572" t="s">
        <v>5017</v>
      </c>
      <c r="AM10" s="572">
        <v>4</v>
      </c>
      <c r="AN10" s="572" t="s">
        <v>4992</v>
      </c>
      <c r="AO10" s="577" t="s">
        <v>104</v>
      </c>
      <c r="AP10" s="579" t="b">
        <v>0</v>
      </c>
      <c r="AT10" s="567"/>
      <c r="AU10" s="567"/>
      <c r="AV10" s="567"/>
      <c r="BA10" s="552">
        <v>2</v>
      </c>
      <c r="BD10" s="552">
        <v>1</v>
      </c>
    </row>
    <row r="11" customHeight="1" spans="1:56">
      <c r="A11" s="493" t="s">
        <v>5018</v>
      </c>
      <c r="B11" s="493" t="s">
        <v>5009</v>
      </c>
      <c r="C11" s="493" t="s">
        <v>4941</v>
      </c>
      <c r="D11" s="493">
        <v>3</v>
      </c>
      <c r="E11" s="557">
        <f>背包!B14</f>
        <v>0</v>
      </c>
      <c r="F11" s="493" t="str">
        <f t="shared" si="0"/>
        <v/>
      </c>
      <c r="G11" s="493" t="str">
        <f t="shared" si="1"/>
        <v/>
      </c>
      <c r="H11" s="493" t="str">
        <f t="shared" si="2"/>
        <v/>
      </c>
      <c r="K11" s="558" t="str" cm="1">
        <f t="array" ref="K11">IFERROR(INDEX($L$1:$L$45,SMALL(IF($L$1:$L$45&lt;&gt;"",ROW($L$1:$L$45),4^8),ROW($A12:$W12)))&amp;"","")</f>
        <v>石匠工具</v>
      </c>
      <c r="L11" s="493" t="s">
        <v>5019</v>
      </c>
      <c r="M11" s="493" t="s">
        <v>109</v>
      </c>
      <c r="N11" s="493" t="s">
        <v>5020</v>
      </c>
      <c r="O11" s="493" t="s">
        <v>5021</v>
      </c>
      <c r="P11" s="493" t="s">
        <v>4987</v>
      </c>
      <c r="Q11" s="493">
        <v>5</v>
      </c>
      <c r="R11" s="556" t="str">
        <f>IF(ISBLANK(背包!B25),,INDEX($L$2:$Q$45,MATCH(背包!B25&amp;"*",$L$2:$L$45,0),1))&amp;""</f>
        <v/>
      </c>
      <c r="S11" s="493" t="str">
        <f t="shared" si="3"/>
        <v/>
      </c>
      <c r="T11" s="493" t="str">
        <f t="shared" si="4"/>
        <v/>
      </c>
      <c r="U11" s="493" t="str">
        <f t="shared" si="5"/>
        <v/>
      </c>
      <c r="V11" s="493" t="str">
        <f t="shared" si="6"/>
        <v/>
      </c>
      <c r="W11" s="493" t="str">
        <f t="shared" si="7"/>
        <v/>
      </c>
      <c r="Y11" s="493"/>
      <c r="AC11" s="563" t="s">
        <v>4966</v>
      </c>
      <c r="AD11" s="564" t="s">
        <v>5022</v>
      </c>
      <c r="AF11" s="567"/>
      <c r="AG11" s="571" t="str" cm="1">
        <f t="array" ref="AG11">IFERROR(INDEX($AH$1:$AH$86,SMALL(IF($AH$1:$AH$86&lt;&gt;"",ROW($AH$1:$AH$86),4^8),ROW(AH10)))&amp;"","")</f>
        <v>硬头锤</v>
      </c>
      <c r="AH11" s="442" t="s">
        <v>5023</v>
      </c>
      <c r="AI11" s="442" t="s">
        <v>4989</v>
      </c>
      <c r="AJ11" s="442" t="s">
        <v>4934</v>
      </c>
      <c r="AK11" s="442" t="s">
        <v>5024</v>
      </c>
      <c r="AL11" s="442" t="s">
        <v>5025</v>
      </c>
      <c r="AM11" s="442">
        <v>4</v>
      </c>
      <c r="AN11" s="442" t="s">
        <v>4980</v>
      </c>
      <c r="AO11" s="578" t="s">
        <v>104</v>
      </c>
      <c r="AP11" s="580" t="s">
        <v>5026</v>
      </c>
      <c r="AQ11" s="580" t="s">
        <v>138</v>
      </c>
      <c r="AR11" s="563" t="s">
        <v>166</v>
      </c>
      <c r="AS11" s="563" t="s">
        <v>165</v>
      </c>
      <c r="AT11" s="563" t="s">
        <v>92</v>
      </c>
      <c r="AU11" s="574" t="s">
        <v>5027</v>
      </c>
      <c r="AV11" s="574" t="s">
        <v>138</v>
      </c>
      <c r="AW11" s="575" t="s">
        <v>166</v>
      </c>
      <c r="AX11" s="575" t="s">
        <v>165</v>
      </c>
      <c r="AY11" s="575" t="s">
        <v>92</v>
      </c>
      <c r="AZ11" s="571" t="str" cm="1">
        <f t="array" ref="AZ11">IFERROR(INDEX($AP$1:$AP$43,SMALL(IF($AP$1:$AP$43&lt;&gt;"",ROW($AP$1:$AP$43),4^8),ROW(10:10)))&amp;"","")</f>
        <v>法师护甲</v>
      </c>
      <c r="BA11" s="552">
        <v>1</v>
      </c>
      <c r="BD11" s="552">
        <v>7</v>
      </c>
    </row>
    <row r="12" customHeight="1" spans="1:56">
      <c r="A12" s="496" t="s">
        <v>5028</v>
      </c>
      <c r="B12" s="496" t="s">
        <v>5009</v>
      </c>
      <c r="C12" s="496" t="s">
        <v>4950</v>
      </c>
      <c r="D12" s="496">
        <v>2</v>
      </c>
      <c r="E12" s="493"/>
      <c r="F12" s="493"/>
      <c r="G12" s="493"/>
      <c r="H12" s="493"/>
      <c r="K12" s="558" t="str" cm="1">
        <f t="array" ref="K12">IFERROR(INDEX($L$1:$L$45,SMALL(IF($L$1:$L$45&lt;&gt;"",ROW($L$1:$L$45),4^8),ROW($A13:$W13)))&amp;"","")</f>
        <v>画家工具</v>
      </c>
      <c r="L12" s="493" t="s">
        <v>5029</v>
      </c>
      <c r="M12" s="493" t="s">
        <v>104</v>
      </c>
      <c r="N12" s="493" t="s">
        <v>5030</v>
      </c>
      <c r="O12" s="493" t="s">
        <v>5031</v>
      </c>
      <c r="P12" s="493" t="s">
        <v>4950</v>
      </c>
      <c r="Q12" s="493">
        <v>8</v>
      </c>
      <c r="R12" s="493"/>
      <c r="S12" s="493"/>
      <c r="T12" s="493"/>
      <c r="U12" s="493"/>
      <c r="V12" s="493"/>
      <c r="W12" s="493"/>
      <c r="X12" s="493"/>
      <c r="Y12" s="493"/>
      <c r="AC12" s="563" t="s">
        <v>4979</v>
      </c>
      <c r="AD12" s="564" t="s">
        <v>5032</v>
      </c>
      <c r="AF12" s="567"/>
      <c r="AG12" s="571" t="str" cm="1">
        <f t="array" ref="AG12">IFERROR(INDEX($AH$1:$AH$86,SMALL(IF($AH$1:$AH$86&lt;&gt;"",ROW($AH$1:$AH$86),4^8),ROW(AH11)))&amp;"","")</f>
        <v>长棍</v>
      </c>
      <c r="AH12" s="572" t="s">
        <v>5033</v>
      </c>
      <c r="AI12" s="572" t="s">
        <v>4953</v>
      </c>
      <c r="AJ12" s="572" t="s">
        <v>4990</v>
      </c>
      <c r="AK12" s="572" t="s">
        <v>4954</v>
      </c>
      <c r="AL12" s="572" t="s">
        <v>4966</v>
      </c>
      <c r="AM12" s="572">
        <v>2</v>
      </c>
      <c r="AN12" s="572" t="s">
        <v>5034</v>
      </c>
      <c r="AO12" s="577" t="s">
        <v>104</v>
      </c>
      <c r="AP12" s="563" t="s">
        <v>5035</v>
      </c>
      <c r="AQ12" s="563">
        <v>13</v>
      </c>
      <c r="AR12" s="563">
        <f>主要!$R$14</f>
        <v>0</v>
      </c>
      <c r="AS12" s="563"/>
      <c r="AT12" s="563"/>
      <c r="AU12" s="574">
        <f>主要!L31</f>
        <v>0</v>
      </c>
      <c r="AV12" s="574">
        <f>IFERROR(VLOOKUP(AU12,AP12:AT43,2,FALSE),10)</f>
        <v>10</v>
      </c>
      <c r="AW12" s="575">
        <f>IFERROR(VLOOKUP(AU12,AP12:AT43,3,FALSE),0)</f>
        <v>0</v>
      </c>
      <c r="AX12" s="575" t="str">
        <f>IFERROR(VLOOKUP(AU12,AP12:AT43,4,FALSE),"")</f>
        <v/>
      </c>
      <c r="AY12" s="575" t="str">
        <f>IFERROR(VLOOKUP(AU12,AP12:AT43,5,FALSE),"")</f>
        <v/>
      </c>
      <c r="AZ12" s="571" t="str" cm="1">
        <f t="array" ref="AZ12">IFERROR(INDEX($AP$1:$AP$43,SMALL(IF($AP$1:$AP$43&lt;&gt;"",ROW($AP$1:$AP$43),4^8),ROW(11:11)))&amp;"","")</f>
        <v>大法师法袍</v>
      </c>
      <c r="BA12" s="552">
        <v>2</v>
      </c>
      <c r="BD12" s="552">
        <v>5</v>
      </c>
    </row>
    <row r="13" customHeight="1" spans="1:56">
      <c r="A13" s="493" t="s">
        <v>5036</v>
      </c>
      <c r="B13" s="493" t="s">
        <v>5009</v>
      </c>
      <c r="C13" s="493" t="s">
        <v>4987</v>
      </c>
      <c r="D13" s="493">
        <v>4</v>
      </c>
      <c r="E13" s="551" t="s">
        <v>202</v>
      </c>
      <c r="F13" s="493" t="s">
        <v>203</v>
      </c>
      <c r="G13" s="493" t="s">
        <v>216</v>
      </c>
      <c r="H13" s="493"/>
      <c r="I13" s="555" t="str">
        <f>IF(ISBLANK(背包!B5),,INDEX($A$2:$D$97,MATCH(背包!B5&amp;"*",$A$2:$A$97,0),1))&amp;""</f>
        <v/>
      </c>
      <c r="K13" s="558" t="str" cm="1">
        <f t="array" ref="K13">IFERROR(INDEX($L$1:$L$45,SMALL(IF($L$1:$L$45&lt;&gt;"",ROW($L$1:$L$45),4^8),ROW($A14:$W14)))&amp;"","")</f>
        <v>陶匠工具</v>
      </c>
      <c r="L13" s="493" t="s">
        <v>5037</v>
      </c>
      <c r="M13" s="493" t="s">
        <v>119</v>
      </c>
      <c r="N13" s="493" t="s">
        <v>5038</v>
      </c>
      <c r="O13" s="493" t="s">
        <v>5039</v>
      </c>
      <c r="P13" s="493" t="s">
        <v>4950</v>
      </c>
      <c r="Q13" s="493">
        <v>5</v>
      </c>
      <c r="AC13" s="563" t="s">
        <v>5017</v>
      </c>
      <c r="AD13" s="564" t="s">
        <v>5040</v>
      </c>
      <c r="AF13" s="567"/>
      <c r="AG13" s="571" t="str" cm="1">
        <f t="array" ref="AG13">IFERROR(INDEX($AH$1:$AH$86,SMALL(IF($AH$1:$AH$86&lt;&gt;"",ROW($AH$1:$AH$86),4^8),ROW(AH12)))&amp;"","")</f>
        <v>镰刀</v>
      </c>
      <c r="AH13" s="442" t="s">
        <v>5041</v>
      </c>
      <c r="AI13" s="442" t="s">
        <v>4989</v>
      </c>
      <c r="AJ13" s="442" t="s">
        <v>4964</v>
      </c>
      <c r="AK13" s="442" t="s">
        <v>5042</v>
      </c>
      <c r="AL13" s="442" t="s">
        <v>5017</v>
      </c>
      <c r="AM13" s="442">
        <v>3</v>
      </c>
      <c r="AN13" s="442" t="s">
        <v>5034</v>
      </c>
      <c r="AO13" s="578" t="s">
        <v>104</v>
      </c>
      <c r="AP13" s="563" t="s">
        <v>5043</v>
      </c>
      <c r="AQ13" s="563">
        <v>15</v>
      </c>
      <c r="AR13" s="563">
        <f>主要!$R$14</f>
        <v>0</v>
      </c>
      <c r="AS13" s="563"/>
      <c r="AT13" s="563"/>
      <c r="AV13" s="567"/>
      <c r="AW13" s="567"/>
      <c r="AX13" s="567"/>
      <c r="AY13" s="567"/>
      <c r="AZ13" s="571" t="str" cm="1">
        <f t="array" ref="AZ13">IFERROR(INDEX($AP$1:$AP$43,SMALL(IF($AP$1:$AP$43&lt;&gt;"",ROW($AP$1:$AP$43),4^8),ROW(12:12)))&amp;"","")</f>
        <v>武僧</v>
      </c>
      <c r="BA13" s="552">
        <v>5</v>
      </c>
      <c r="BD13" s="552">
        <v>1</v>
      </c>
    </row>
    <row r="14" customHeight="1" spans="1:56">
      <c r="A14" s="496" t="s">
        <v>5044</v>
      </c>
      <c r="B14" s="496" t="s">
        <v>5009</v>
      </c>
      <c r="C14" s="496" t="s">
        <v>4950</v>
      </c>
      <c r="D14" s="496">
        <v>1</v>
      </c>
      <c r="E14" s="493">
        <f>背包!AP5*IF(ISBLANK(背包!AS5),1,背包!AS5)</f>
        <v>0</v>
      </c>
      <c r="F14" s="551">
        <f>背包!S29*IF(ISBLANK(背包!V29),1,背包!V29)</f>
        <v>0</v>
      </c>
      <c r="G14" s="493">
        <f>背包!AP29*IF(ISBLANK(背包!AS29),1,背包!AS29)</f>
        <v>0</v>
      </c>
      <c r="H14" s="493"/>
      <c r="K14" s="558" t="str" cm="1">
        <f t="array" ref="K14">IFERROR(INDEX($L$1:$L$45,SMALL(IF($L$1:$L$45&lt;&gt;"",ROW($L$1:$L$45),4^8),ROW($A15:$W15)))&amp;"","")</f>
        <v>铁匠工具</v>
      </c>
      <c r="L14" s="493" t="s">
        <v>5045</v>
      </c>
      <c r="M14" s="493" t="s">
        <v>116</v>
      </c>
      <c r="N14" s="493" t="s">
        <v>5046</v>
      </c>
      <c r="O14" s="493" t="s">
        <v>5047</v>
      </c>
      <c r="P14" s="493" t="s">
        <v>4950</v>
      </c>
      <c r="Q14" s="493">
        <v>3</v>
      </c>
      <c r="AC14" s="563" t="s">
        <v>4955</v>
      </c>
      <c r="AD14" s="564" t="s">
        <v>5048</v>
      </c>
      <c r="AE14" s="568" t="s">
        <v>4964</v>
      </c>
      <c r="AF14" s="567"/>
      <c r="AG14" s="571" t="str" cm="1">
        <f t="array" ref="AG14">IFERROR(INDEX($AH$1:$AH$86,SMALL(IF($AH$1:$AH$86&lt;&gt;"",ROW($AH$1:$AH$86),4^8),ROW(AH13)))&amp;"","")</f>
        <v>矛</v>
      </c>
      <c r="AH14" s="572" t="str">
        <f>IF(主要!$CO$11="O","船桨","")</f>
        <v>船桨</v>
      </c>
      <c r="AI14" s="572" t="s">
        <v>5049</v>
      </c>
      <c r="AJ14" s="572" t="s">
        <v>4934</v>
      </c>
      <c r="AK14" s="572" t="s">
        <v>4978</v>
      </c>
      <c r="AL14" s="572" t="s">
        <v>4935</v>
      </c>
      <c r="AM14" s="572">
        <v>8</v>
      </c>
      <c r="AN14" s="572" t="s">
        <v>5050</v>
      </c>
      <c r="AO14" s="577" t="s">
        <v>104</v>
      </c>
      <c r="AP14" s="563" t="s">
        <v>477</v>
      </c>
      <c r="AQ14" s="563">
        <f>10+主要!R17</f>
        <v>10</v>
      </c>
      <c r="AR14" s="563">
        <f>主要!$R$14</f>
        <v>0</v>
      </c>
      <c r="AS14" s="563"/>
      <c r="AT14" s="563" t="s">
        <v>5051</v>
      </c>
      <c r="AV14" s="567"/>
      <c r="AW14" s="567"/>
      <c r="AX14" s="567"/>
      <c r="AY14" s="567"/>
      <c r="AZ14" s="571" t="str" cm="1">
        <f t="array" ref="AZ14">IFERROR(INDEX($AP$1:$AP$43,SMALL(IF($AP$1:$AP$43&lt;&gt;"",ROW($AP$1:$AP$43),4^8),ROW(13:13)))&amp;"","")</f>
        <v>野蛮人</v>
      </c>
      <c r="BA14" s="552">
        <v>1</v>
      </c>
      <c r="BD14" s="552">
        <v>1</v>
      </c>
    </row>
    <row r="15" customHeight="1" spans="1:52">
      <c r="A15" s="493" t="s">
        <v>345</v>
      </c>
      <c r="B15" s="493" t="s">
        <v>5052</v>
      </c>
      <c r="C15" s="493" t="s">
        <v>5053</v>
      </c>
      <c r="D15" s="493">
        <v>5</v>
      </c>
      <c r="E15" s="493">
        <f>背包!AP6*IF(ISBLANK(背包!AS6),1,背包!AS6)</f>
        <v>0</v>
      </c>
      <c r="F15" s="551">
        <f>背包!S30*IF(ISBLANK(背包!V30),1,背包!V30)</f>
        <v>0</v>
      </c>
      <c r="G15" s="493">
        <f>背包!AP30*IF(ISBLANK(背包!AS30),1,背包!AS30)</f>
        <v>0</v>
      </c>
      <c r="H15" s="493"/>
      <c r="K15" s="558" t="str" cm="1">
        <f t="array" ref="K15">IFERROR(INDEX($L$1:$L$45,SMALL(IF($L$1:$L$45&lt;&gt;"",ROW($L$1:$L$45),4^8),ROW($A16:$W16)))&amp;"","")</f>
        <v>修补工具</v>
      </c>
      <c r="L15" s="493" t="s">
        <v>5054</v>
      </c>
      <c r="M15" s="493" t="s">
        <v>104</v>
      </c>
      <c r="N15" s="493" t="s">
        <v>5055</v>
      </c>
      <c r="O15" s="493" t="s">
        <v>5056</v>
      </c>
      <c r="P15" s="493" t="s">
        <v>4941</v>
      </c>
      <c r="Q15" s="493">
        <v>8</v>
      </c>
      <c r="AC15" s="563" t="s">
        <v>5025</v>
      </c>
      <c r="AD15" s="568" t="s">
        <v>5057</v>
      </c>
      <c r="AE15" s="568" t="s">
        <v>4990</v>
      </c>
      <c r="AF15" s="567"/>
      <c r="AG15" s="571" t="str" cm="1">
        <f t="array" ref="AG15">IFERROR(INDEX($AH$1:$AH$86,SMALL(IF($AH$1:$AH$86&lt;&gt;"",ROW($AH$1:$AH$86),4^8),ROW(AH14)))&amp;"","")</f>
        <v>船桨</v>
      </c>
      <c r="AH15" s="442" t="str">
        <f>IF(主要!$CO$11="O","回旋镖","")</f>
        <v>回旋镖</v>
      </c>
      <c r="AI15" s="442" t="s">
        <v>4989</v>
      </c>
      <c r="AJ15" s="442" t="s">
        <v>4990</v>
      </c>
      <c r="AK15" s="442" t="s">
        <v>5058</v>
      </c>
      <c r="AL15" s="442" t="s">
        <v>4935</v>
      </c>
      <c r="AM15" s="442">
        <v>1</v>
      </c>
      <c r="AN15" s="442" t="s">
        <v>4967</v>
      </c>
      <c r="AO15" s="578" t="s">
        <v>104</v>
      </c>
      <c r="AP15" s="563" t="s">
        <v>431</v>
      </c>
      <c r="AQ15" s="563">
        <f>10+主要!R15</f>
        <v>10</v>
      </c>
      <c r="AR15" s="563">
        <f>主要!$R$14</f>
        <v>0</v>
      </c>
      <c r="AS15" s="563"/>
      <c r="AT15" s="563" t="s">
        <v>5059</v>
      </c>
      <c r="AV15" s="567"/>
      <c r="AW15" s="567"/>
      <c r="AX15" s="567"/>
      <c r="AY15" s="567"/>
      <c r="AZ15" s="571" t="str" cm="1">
        <f t="array" ref="AZ15">IFERROR(INDEX($AP$1:$AP$43,SMALL(IF($AP$1:$AP$43&lt;&gt;"",ROW($AP$1:$AP$43),4^8),ROW(14:14)))&amp;"","")</f>
        <v>龙术</v>
      </c>
    </row>
    <row r="16" customHeight="1" spans="1:56">
      <c r="A16" s="554" t="s">
        <v>5060</v>
      </c>
      <c r="B16" s="554" t="s">
        <v>5061</v>
      </c>
      <c r="C16" s="554" t="s">
        <v>4946</v>
      </c>
      <c r="D16" s="554">
        <v>2</v>
      </c>
      <c r="E16" s="493">
        <f>背包!AP7*IF(ISBLANK(背包!AS7),1,背包!AS7)</f>
        <v>0</v>
      </c>
      <c r="F16" s="551">
        <f>背包!S31*IF(ISBLANK(背包!V31),1,背包!V31)</f>
        <v>0</v>
      </c>
      <c r="G16" s="493">
        <f>背包!AP31*IF(ISBLANK(背包!AS31),1,背包!AS31)</f>
        <v>0</v>
      </c>
      <c r="H16" s="493"/>
      <c r="K16" s="558" t="str" cm="1">
        <f t="array" ref="K16">IFERROR(INDEX($L$1:$L$45,SMALL(IF($L$1:$L$45&lt;&gt;"",ROW($L$1:$L$45),4^8),ROW($A17:$W17)))&amp;"","")</f>
        <v>织布工具</v>
      </c>
      <c r="L16" s="493" t="s">
        <v>5062</v>
      </c>
      <c r="M16" s="493" t="s">
        <v>109</v>
      </c>
      <c r="N16" s="493" t="s">
        <v>5063</v>
      </c>
      <c r="O16" s="493" t="s">
        <v>5064</v>
      </c>
      <c r="P16" s="493" t="s">
        <v>4931</v>
      </c>
      <c r="Q16" s="493">
        <v>10</v>
      </c>
      <c r="AC16" s="563" t="s">
        <v>3685</v>
      </c>
      <c r="AD16" s="568" t="s">
        <v>5065</v>
      </c>
      <c r="AE16" s="568" t="s">
        <v>4934</v>
      </c>
      <c r="AF16" s="567"/>
      <c r="AG16" s="571" t="str" cm="1">
        <f t="array" ref="AG16">IFERROR(INDEX($AH$1:$AH$86,SMALL(IF($AH$1:$AH$86&lt;&gt;"",ROW($AH$1:$AH$86),4^8),ROW(AH15)))&amp;"","")</f>
        <v>回旋镖</v>
      </c>
      <c r="AH16" s="572" t="str">
        <f>IF(主要!$CO$11="O","蝴蝶杖","")</f>
        <v>蝴蝶杖</v>
      </c>
      <c r="AI16" s="572" t="s">
        <v>4953</v>
      </c>
      <c r="AJ16" s="572" t="s">
        <v>4934</v>
      </c>
      <c r="AK16" s="572" t="s">
        <v>5066</v>
      </c>
      <c r="AL16" s="572" t="s">
        <v>4935</v>
      </c>
      <c r="AM16" s="572">
        <v>1</v>
      </c>
      <c r="AN16" s="572" t="s">
        <v>5067</v>
      </c>
      <c r="AO16" s="577" t="s">
        <v>104</v>
      </c>
      <c r="AP16" s="563" t="s">
        <v>5068</v>
      </c>
      <c r="AQ16" s="563">
        <f>10+主要!R18</f>
        <v>10</v>
      </c>
      <c r="AR16" s="563">
        <f>主要!$R$14</f>
        <v>0</v>
      </c>
      <c r="AS16" s="563"/>
      <c r="AT16" s="563" t="s">
        <v>5069</v>
      </c>
      <c r="AV16" s="567"/>
      <c r="AW16" s="567"/>
      <c r="AX16" s="567"/>
      <c r="AY16" s="567"/>
      <c r="AZ16" s="571" t="str" cm="1">
        <f t="array" ref="AZ16">IFERROR(INDEX($AP$1:$AP$43,SMALL(IF($AP$1:$AP$43&lt;&gt;"",ROW($AP$1:$AP$43),4^8),ROW(15:15)))&amp;"","")</f>
        <v>舞蹈诗</v>
      </c>
      <c r="BA16" s="552">
        <v>5</v>
      </c>
      <c r="BD16" s="552">
        <v>1</v>
      </c>
    </row>
    <row r="17" customHeight="1" spans="1:52">
      <c r="A17" s="493" t="s">
        <v>5070</v>
      </c>
      <c r="B17" s="493" t="s">
        <v>5071</v>
      </c>
      <c r="C17" s="493" t="s">
        <v>5053</v>
      </c>
      <c r="D17" s="493">
        <v>70</v>
      </c>
      <c r="E17" s="493">
        <f>背包!AP8*IF(ISBLANK(背包!AS8),1,背包!AS8)</f>
        <v>0</v>
      </c>
      <c r="F17" s="551">
        <f>背包!S32*IF(ISBLANK(背包!V32),1,背包!V32)</f>
        <v>0</v>
      </c>
      <c r="G17" s="493">
        <f>背包!AP32*IF(ISBLANK(背包!AS32),1,背包!AS32)</f>
        <v>0</v>
      </c>
      <c r="H17" s="493"/>
      <c r="K17" s="558" t="str" cm="1">
        <f t="array" ref="K17">IFERROR(INDEX($L$1:$L$45,SMALL(IF($L$1:$L$45&lt;&gt;"",ROW($L$1:$L$45),4^8),ROW($A18:$W18)))&amp;"","")</f>
        <v>木雕工具</v>
      </c>
      <c r="L17" s="493" t="s">
        <v>5072</v>
      </c>
      <c r="M17" s="493" t="s">
        <v>109</v>
      </c>
      <c r="N17" s="493" t="s">
        <v>5073</v>
      </c>
      <c r="O17" s="493" t="s">
        <v>5074</v>
      </c>
      <c r="P17" s="493" t="s">
        <v>4946</v>
      </c>
      <c r="Q17" s="493">
        <v>5</v>
      </c>
      <c r="AD17" s="568" t="s">
        <v>5075</v>
      </c>
      <c r="AE17" s="568" t="s">
        <v>5076</v>
      </c>
      <c r="AF17" s="567"/>
      <c r="AG17" s="571" t="str" cm="1">
        <f t="array" ref="AG17">IFERROR(INDEX($AH$1:$AH$86,SMALL(IF($AH$1:$AH$86&lt;&gt;"",ROW($AH$1:$AH$86),4^8),ROW(AH16)))&amp;"","")</f>
        <v>蝴蝶杖</v>
      </c>
      <c r="AH17" s="442" t="str">
        <f>IF(主要!$CO$11="O","扇","")</f>
        <v>扇</v>
      </c>
      <c r="AI17" s="442" t="s">
        <v>4953</v>
      </c>
      <c r="AJ17" s="442" t="s">
        <v>4990</v>
      </c>
      <c r="AK17" s="442" t="s">
        <v>5077</v>
      </c>
      <c r="AL17" s="442" t="s">
        <v>4935</v>
      </c>
      <c r="AM17" s="442">
        <v>0.25</v>
      </c>
      <c r="AN17" s="442" t="s">
        <v>5078</v>
      </c>
      <c r="AO17" s="578" t="s">
        <v>104</v>
      </c>
      <c r="AP17" s="563" t="s">
        <v>5079</v>
      </c>
      <c r="AQ17" s="563">
        <f>10+主要!R18</f>
        <v>10</v>
      </c>
      <c r="AR17" s="563">
        <f>主要!$R$14</f>
        <v>0</v>
      </c>
      <c r="AS17" s="563"/>
      <c r="AT17" s="563" t="s">
        <v>5069</v>
      </c>
      <c r="AV17" s="567"/>
      <c r="AW17" s="567"/>
      <c r="AX17" s="567"/>
      <c r="AY17" s="567"/>
      <c r="AZ17" s="571" t="str" cm="1">
        <f t="array" ref="AZ17">IFERROR(INDEX($AP$1:$AP$43,SMALL(IF($AP$1:$AP$43&lt;&gt;"",ROW($AP$1:$AP$43),4^8),ROW(16:16)))&amp;"","")</f>
        <v>巨灵流光</v>
      </c>
    </row>
    <row r="18" customHeight="1" spans="1:52">
      <c r="A18" s="554" t="s">
        <v>5080</v>
      </c>
      <c r="B18" s="554" t="s">
        <v>5081</v>
      </c>
      <c r="C18" s="554" t="s">
        <v>5082</v>
      </c>
      <c r="D18" s="554">
        <v>2</v>
      </c>
      <c r="E18" s="493">
        <f>背包!AP9*IF(ISBLANK(背包!AS9),1,背包!AS9)</f>
        <v>0</v>
      </c>
      <c r="F18" s="551">
        <f>背包!S33*IF(ISBLANK(背包!V33),1,背包!V33)</f>
        <v>0</v>
      </c>
      <c r="G18" s="493">
        <f>背包!AP33*IF(ISBLANK(背包!AS33),1,背包!AS33)</f>
        <v>0</v>
      </c>
      <c r="H18" s="493"/>
      <c r="K18" s="558" t="str" cm="1">
        <f t="array" ref="K18">IFERROR(INDEX($L$1:$L$45,SMALL(IF($L$1:$L$45&lt;&gt;"",ROW($L$1:$L$45),4^8),ROW($A19:$W19)))&amp;"","")</f>
        <v>易容工具</v>
      </c>
      <c r="L18" s="559" t="s">
        <v>5083</v>
      </c>
      <c r="M18" s="559" t="s">
        <v>109</v>
      </c>
      <c r="N18" s="559" t="s">
        <v>5084</v>
      </c>
      <c r="O18" s="559" t="s">
        <v>5085</v>
      </c>
      <c r="P18" s="559" t="s">
        <v>4946</v>
      </c>
      <c r="Q18" s="559">
        <v>5</v>
      </c>
      <c r="AC18" s="552" t="s">
        <v>104</v>
      </c>
      <c r="AD18" s="568" t="s">
        <v>5086</v>
      </c>
      <c r="AE18" s="568" t="s">
        <v>5087</v>
      </c>
      <c r="AF18" s="567"/>
      <c r="AG18" s="571" t="str" cm="1">
        <f t="array" ref="AG18">IFERROR(INDEX($AH$1:$AH$86,SMALL(IF($AH$1:$AH$86&lt;&gt;"",ROW($AH$1:$AH$86),4^8),ROW(AH17)))&amp;"","")</f>
        <v>扇</v>
      </c>
      <c r="AH18" s="572" t="str">
        <f>IF(主要!$CO$11="O","煎锅","")</f>
        <v>煎锅</v>
      </c>
      <c r="AI18" s="572" t="s">
        <v>4989</v>
      </c>
      <c r="AJ18" s="572" t="s">
        <v>4934</v>
      </c>
      <c r="AK18" s="572" t="s">
        <v>5088</v>
      </c>
      <c r="AL18" s="572" t="s">
        <v>4935</v>
      </c>
      <c r="AM18" s="572">
        <v>6</v>
      </c>
      <c r="AN18" s="572" t="s">
        <v>5089</v>
      </c>
      <c r="AO18" s="577" t="s">
        <v>104</v>
      </c>
      <c r="AP18" s="563" t="str">
        <f>IF(主要!$CD$10="O","巨灵流光","")</f>
        <v>巨灵流光</v>
      </c>
      <c r="AQ18" s="563">
        <f>10+主要!R18</f>
        <v>10</v>
      </c>
      <c r="AR18" s="563">
        <f>主要!$R$14</f>
        <v>0</v>
      </c>
      <c r="AS18" s="563"/>
      <c r="AT18" s="563" t="s">
        <v>5069</v>
      </c>
      <c r="AV18" s="567"/>
      <c r="AW18" s="567"/>
      <c r="AX18" s="567"/>
      <c r="AY18" s="567"/>
      <c r="AZ18" s="571" t="str" cm="1">
        <f t="array" ref="AZ18">IFERROR(INDEX($AP$1:$AP$43,SMALL(IF($AP$1:$AP$43&lt;&gt;"",ROW($AP$1:$AP$43),4^8),ROW(17:17)))&amp;"","")</f>
        <v>象族</v>
      </c>
    </row>
    <row r="19" customHeight="1" spans="1:52">
      <c r="A19" s="493" t="s">
        <v>5090</v>
      </c>
      <c r="B19" s="493" t="s">
        <v>5091</v>
      </c>
      <c r="C19" s="493" t="s">
        <v>4946</v>
      </c>
      <c r="D19" s="493">
        <v>7</v>
      </c>
      <c r="E19" s="493">
        <f>背包!AP10*IF(ISBLANK(背包!AS10),1,背包!AS10)</f>
        <v>0</v>
      </c>
      <c r="F19" s="551">
        <f>背包!S34*IF(ISBLANK(背包!V34),1,背包!V34)</f>
        <v>0</v>
      </c>
      <c r="G19" s="493">
        <f>背包!AP34*IF(ISBLANK(背包!AS34),1,背包!AS34)</f>
        <v>0</v>
      </c>
      <c r="H19" s="493"/>
      <c r="K19" s="558" t="str" cm="1">
        <f t="array" ref="K19">IFERROR(INDEX($L$1:$L$45,SMALL(IF($L$1:$L$45&lt;&gt;"",ROW($L$1:$L$45),4^8),ROW($A20:$W20)))&amp;"","")</f>
        <v>文书伪造工具</v>
      </c>
      <c r="L19" s="493" t="s">
        <v>5092</v>
      </c>
      <c r="M19" s="551" t="s">
        <v>121</v>
      </c>
      <c r="N19" s="493" t="s">
        <v>5093</v>
      </c>
      <c r="O19" s="493" t="s">
        <v>5094</v>
      </c>
      <c r="P19" s="493" t="s">
        <v>4927</v>
      </c>
      <c r="Q19" s="493">
        <v>3</v>
      </c>
      <c r="X19" s="551" t="s">
        <v>5095</v>
      </c>
      <c r="AC19" s="552" t="s">
        <v>109</v>
      </c>
      <c r="AD19" s="568" t="s">
        <v>5096</v>
      </c>
      <c r="AE19" s="568" t="s">
        <v>5097</v>
      </c>
      <c r="AF19" s="567"/>
      <c r="AG19" s="571" t="str" cm="1">
        <f t="array" ref="AG19">IFERROR(INDEX($AH$1:$AH$86,SMALL(IF($AH$1:$AH$86&lt;&gt;"",ROW($AH$1:$AH$86),4^8),ROW(AH18)))&amp;"","")</f>
        <v>煎锅</v>
      </c>
      <c r="AH19" s="442" t="str">
        <f>IF(主要!$CO$11="O","铁茶壶","")</f>
        <v>铁茶壶</v>
      </c>
      <c r="AI19" s="442" t="s">
        <v>5098</v>
      </c>
      <c r="AJ19" s="442" t="s">
        <v>4934</v>
      </c>
      <c r="AK19" s="442" t="s">
        <v>4935</v>
      </c>
      <c r="AL19" s="442" t="s">
        <v>4935</v>
      </c>
      <c r="AM19" s="442">
        <v>2</v>
      </c>
      <c r="AN19" s="442" t="s">
        <v>4956</v>
      </c>
      <c r="AO19" s="578" t="s">
        <v>104</v>
      </c>
      <c r="AP19" s="563" t="str">
        <f>IF(主要!$CD$15="O","象族","")</f>
        <v>象族</v>
      </c>
      <c r="AQ19" s="563">
        <v>12</v>
      </c>
      <c r="AR19" s="563">
        <f>主要!R15</f>
        <v>0</v>
      </c>
      <c r="AS19" s="563"/>
      <c r="AT19" s="563" t="s">
        <v>5099</v>
      </c>
      <c r="AV19" s="567"/>
      <c r="AW19" s="567"/>
      <c r="AX19" s="567"/>
      <c r="AY19" s="567"/>
      <c r="AZ19" s="571" t="str" cm="1">
        <f t="array" ref="AZ19">IFERROR(INDEX($AP$1:$AP$43,SMALL(IF($AP$1:$AP$43&lt;&gt;"",ROW($AP$1:$AP$43),4^8),ROW(18:18)))&amp;"","")</f>
        <v>蜥蜴人</v>
      </c>
    </row>
    <row r="20" customHeight="1" spans="1:52">
      <c r="A20" s="554" t="s">
        <v>5100</v>
      </c>
      <c r="B20" s="554" t="s">
        <v>5101</v>
      </c>
      <c r="C20" s="554" t="s">
        <v>4946</v>
      </c>
      <c r="D20" s="554">
        <v>0</v>
      </c>
      <c r="E20" s="493">
        <f>背包!AP11*IF(ISBLANK(背包!AS11),1,背包!AS11)</f>
        <v>0</v>
      </c>
      <c r="F20" s="551">
        <f>背包!S35*IF(ISBLANK(背包!V35),1,背包!V35)</f>
        <v>0</v>
      </c>
      <c r="G20" s="493">
        <f>背包!AP35*IF(ISBLANK(背包!AS35),1,背包!AS35)</f>
        <v>0</v>
      </c>
      <c r="H20" s="493"/>
      <c r="K20" s="558" t="str" cm="1">
        <f t="array" ref="K20">IFERROR(INDEX($L$1:$L$45,SMALL(IF($L$1:$L$45&lt;&gt;"",ROW($L$1:$L$45),4^8),ROW($A21:$W21)))&amp;"","")</f>
        <v>赌具（多种）</v>
      </c>
      <c r="L20" s="493" t="s">
        <v>5102</v>
      </c>
      <c r="M20" s="551" t="s">
        <v>109</v>
      </c>
      <c r="N20" s="493" t="s">
        <v>5103</v>
      </c>
      <c r="O20" s="493" t="s">
        <v>4935</v>
      </c>
      <c r="P20" s="493" t="s">
        <v>4974</v>
      </c>
      <c r="Q20" s="493">
        <v>5</v>
      </c>
      <c r="W20" s="551" t="s">
        <v>161</v>
      </c>
      <c r="X20" s="551">
        <f>IF(主要!P31="O",1,0)</f>
        <v>0</v>
      </c>
      <c r="AC20" s="552" t="s">
        <v>112</v>
      </c>
      <c r="AD20" s="568" t="s">
        <v>5104</v>
      </c>
      <c r="AE20" s="568" t="s">
        <v>5105</v>
      </c>
      <c r="AF20" s="567"/>
      <c r="AG20" s="571" t="str" cm="1">
        <f t="array" ref="AG20">IFERROR(INDEX($AH$1:$AH$86,SMALL(IF($AH$1:$AH$86&lt;&gt;"",ROW($AH$1:$AH$86),4^8),ROW(AH19)))&amp;"","")</f>
        <v>铁茶壶</v>
      </c>
      <c r="AH20" s="572" t="str">
        <f>IF(主要!$CO$11="O","铲子","")</f>
        <v>铲子</v>
      </c>
      <c r="AI20" s="572" t="s">
        <v>4989</v>
      </c>
      <c r="AJ20" s="572" t="s">
        <v>5106</v>
      </c>
      <c r="AK20" s="572" t="s">
        <v>5024</v>
      </c>
      <c r="AL20" s="572" t="s">
        <v>4935</v>
      </c>
      <c r="AM20" s="572">
        <v>4</v>
      </c>
      <c r="AN20" s="572" t="s">
        <v>5089</v>
      </c>
      <c r="AO20" s="577" t="s">
        <v>104</v>
      </c>
      <c r="AP20" s="563" t="str">
        <f>IF(主要!$CD$5="O","蜥蜴人","")</f>
        <v>蜥蜴人</v>
      </c>
      <c r="AQ20" s="563">
        <v>13</v>
      </c>
      <c r="AR20" s="563">
        <f>主要!$R$14</f>
        <v>0</v>
      </c>
      <c r="AS20" s="563"/>
      <c r="AT20" s="563" t="s">
        <v>5107</v>
      </c>
      <c r="AV20" s="567"/>
      <c r="AW20" s="567"/>
      <c r="AX20" s="567"/>
      <c r="AY20" s="567"/>
      <c r="AZ20" s="571" t="str" cm="1">
        <f t="array" ref="AZ20">IFERROR(INDEX($AP$1:$AP$43,SMALL(IF($AP$1:$AP$43&lt;&gt;"",ROW($AP$1:$AP$43),4^8),ROW(19:19)))&amp;"","")</f>
        <v>龟人</v>
      </c>
    </row>
    <row r="21" customHeight="1" spans="1:52">
      <c r="A21" s="493" t="s">
        <v>5108</v>
      </c>
      <c r="B21" s="493" t="s">
        <v>5109</v>
      </c>
      <c r="C21" s="493" t="s">
        <v>5110</v>
      </c>
      <c r="D21" s="493">
        <v>3</v>
      </c>
      <c r="E21" s="493">
        <f>背包!AP12*IF(ISBLANK(背包!AS12),1,背包!AS12)</f>
        <v>0</v>
      </c>
      <c r="F21" s="551">
        <f>背包!S36*IF(ISBLANK(背包!V36),1,背包!V36)</f>
        <v>0</v>
      </c>
      <c r="G21" s="493">
        <f>背包!AP36*IF(ISBLANK(背包!AS36),1,背包!AS36)</f>
        <v>0</v>
      </c>
      <c r="H21" s="493"/>
      <c r="K21" s="558" t="str" cm="1">
        <f t="array" ref="K21">IFERROR(INDEX($L$1:$L$45,SMALL(IF($L$1:$L$45&lt;&gt;"",ROW($L$1:$L$45),4^8),ROW($A22:$W22)))&amp;"","")</f>
        <v>骰子</v>
      </c>
      <c r="L21" s="493" t="s">
        <v>5111</v>
      </c>
      <c r="M21" s="551" t="s">
        <v>119</v>
      </c>
      <c r="N21" s="493" t="s">
        <v>5112</v>
      </c>
      <c r="O21" s="493" t="s">
        <v>4935</v>
      </c>
      <c r="P21" s="551" t="s">
        <v>4935</v>
      </c>
      <c r="Q21" s="493">
        <v>0</v>
      </c>
      <c r="W21" s="551" t="s">
        <v>171</v>
      </c>
      <c r="X21" s="551">
        <f>IF(主要!P33="O",1,0)</f>
        <v>0</v>
      </c>
      <c r="AC21" s="552" t="s">
        <v>116</v>
      </c>
      <c r="AD21" s="569" t="s">
        <v>5113</v>
      </c>
      <c r="AE21" s="568" t="s">
        <v>5114</v>
      </c>
      <c r="AF21" s="568" t="s">
        <v>4935</v>
      </c>
      <c r="AG21" s="571" t="str" cm="1">
        <f t="array" ref="AG21">IFERROR(INDEX($AH$1:$AH$86,SMALL(IF($AH$1:$AH$86&lt;&gt;"",ROW($AH$1:$AH$86),4^8),ROW(AH20)))&amp;"","")</f>
        <v>铲子</v>
      </c>
      <c r="AH21" s="442" t="str">
        <f>IF(主要!$CO$11="O","雨伞","")</f>
        <v>雨伞</v>
      </c>
      <c r="AI21" s="442" t="s">
        <v>4953</v>
      </c>
      <c r="AJ21" s="442" t="s">
        <v>4934</v>
      </c>
      <c r="AK21" s="442" t="s">
        <v>5115</v>
      </c>
      <c r="AL21" s="442" t="s">
        <v>4935</v>
      </c>
      <c r="AM21" s="442">
        <v>2</v>
      </c>
      <c r="AN21" s="442" t="s">
        <v>5000</v>
      </c>
      <c r="AO21" s="578" t="s">
        <v>104</v>
      </c>
      <c r="AP21" s="563" t="str">
        <f>IF(主要!$CD$5="O","龟人","")</f>
        <v>龟人</v>
      </c>
      <c r="AQ21" s="563">
        <v>17</v>
      </c>
      <c r="AR21" s="563">
        <v>0</v>
      </c>
      <c r="AS21" s="563"/>
      <c r="AT21" s="563"/>
      <c r="AV21" s="567"/>
      <c r="AW21" s="567"/>
      <c r="AX21" s="567"/>
      <c r="AY21" s="567"/>
      <c r="AZ21" s="571" t="str" cm="1">
        <f t="array" ref="AZ21">IFERROR(INDEX($AP$1:$AP$43,SMALL(IF($AP$1:$AP$43&lt;&gt;"",ROW($AP$1:$AP$43),4^8),ROW(20:20)))&amp;"","")</f>
        <v>螳螂人</v>
      </c>
    </row>
    <row r="22" customHeight="1" spans="1:52">
      <c r="A22" s="554" t="s">
        <v>5031</v>
      </c>
      <c r="B22" s="554" t="s">
        <v>5116</v>
      </c>
      <c r="C22" s="554" t="s">
        <v>4946</v>
      </c>
      <c r="D22" s="554">
        <v>5</v>
      </c>
      <c r="E22" s="493">
        <f>背包!AP13*IF(ISBLANK(背包!AS13),1,背包!AS13)</f>
        <v>0</v>
      </c>
      <c r="F22" s="551">
        <f>背包!S37*IF(ISBLANK(背包!V37),1,背包!V37)</f>
        <v>0</v>
      </c>
      <c r="G22" s="493">
        <f>背包!AP37*IF(ISBLANK(背包!AS37),1,背包!AS37)</f>
        <v>0</v>
      </c>
      <c r="H22" s="493"/>
      <c r="K22" s="558" t="str" cm="1">
        <f t="array" ref="K22">IFERROR(INDEX($L$1:$L$45,SMALL(IF($L$1:$L$45&lt;&gt;"",ROW($L$1:$L$45),4^8),ROW($A23:$W23)))&amp;"","")</f>
        <v>龙棋</v>
      </c>
      <c r="L22" s="551" t="s">
        <v>5117</v>
      </c>
      <c r="M22" s="551" t="s">
        <v>119</v>
      </c>
      <c r="N22" s="493" t="s">
        <v>5118</v>
      </c>
      <c r="O22" s="493" t="s">
        <v>4935</v>
      </c>
      <c r="P22" s="493" t="s">
        <v>5119</v>
      </c>
      <c r="Q22" s="493">
        <v>0</v>
      </c>
      <c r="X22" s="551">
        <f>IF(主要!P34="O",1,0)</f>
        <v>0</v>
      </c>
      <c r="AC22" s="552" t="s">
        <v>119</v>
      </c>
      <c r="AD22" s="569" t="s">
        <v>5120</v>
      </c>
      <c r="AE22" s="568" t="s">
        <v>5121</v>
      </c>
      <c r="AF22" s="568" t="s">
        <v>5122</v>
      </c>
      <c r="AG22" s="571" t="str" cm="1">
        <f t="array" ref="AG22">IFERROR(INDEX($AH$1:$AH$86,SMALL(IF($AH$1:$AH$86&lt;&gt;"",ROW($AH$1:$AH$86),4^8),ROW(AH21)))&amp;"","")</f>
        <v>雨伞</v>
      </c>
      <c r="AH22" s="572" t="str">
        <f>IF(主要!$CO$16="O","指虎","")</f>
        <v>指虎</v>
      </c>
      <c r="AI22" s="572" t="s">
        <v>4953</v>
      </c>
      <c r="AJ22" s="572" t="s">
        <v>4934</v>
      </c>
      <c r="AK22" s="572" t="s">
        <v>4954</v>
      </c>
      <c r="AL22" s="572" t="s">
        <v>4979</v>
      </c>
      <c r="AM22" s="572">
        <v>1</v>
      </c>
      <c r="AN22" s="572" t="s">
        <v>5034</v>
      </c>
      <c r="AO22" s="577" t="s">
        <v>104</v>
      </c>
      <c r="AP22" s="563" t="str">
        <f>IF(主要!$CD$21="O","螳螂人","")</f>
        <v>螳螂人</v>
      </c>
      <c r="AQ22" s="563">
        <v>13</v>
      </c>
      <c r="AR22" s="563">
        <f>主要!$R$14</f>
        <v>0</v>
      </c>
      <c r="AS22" s="563"/>
      <c r="AT22" s="563" t="s">
        <v>5107</v>
      </c>
      <c r="AV22" s="567"/>
      <c r="AW22" s="567"/>
      <c r="AX22" s="567"/>
      <c r="AY22" s="567"/>
      <c r="AZ22" s="571" t="str" cm="1">
        <f t="array" ref="AZ22">IFERROR(INDEX($AP$1:$AP$43,SMALL(IF($AP$1:$AP$43&lt;&gt;"",ROW($AP$1:$AP$43),4^8),ROW(21:21)))&amp;"","")</f>
        <v>自动侏儒</v>
      </c>
    </row>
    <row r="23" customHeight="1" spans="1:52">
      <c r="A23" s="493" t="s">
        <v>5123</v>
      </c>
      <c r="B23" s="493" t="s">
        <v>5124</v>
      </c>
      <c r="C23" s="493" t="s">
        <v>4927</v>
      </c>
      <c r="D23" s="493">
        <v>5</v>
      </c>
      <c r="E23" s="493">
        <f>背包!AP14*IF(ISBLANK(背包!AS14),1,背包!AS14)</f>
        <v>0</v>
      </c>
      <c r="F23" s="551">
        <f>背包!S38*IF(ISBLANK(背包!V38),1,背包!V38)</f>
        <v>0</v>
      </c>
      <c r="G23" s="493">
        <f>背包!AP38*IF(ISBLANK(背包!AS38),1,背包!AS38)</f>
        <v>0</v>
      </c>
      <c r="H23" s="493"/>
      <c r="K23" s="558" t="str" cm="1">
        <f t="array" ref="K23">IFERROR(INDEX($L$1:$L$45,SMALL(IF($L$1:$L$45&lt;&gt;"",ROW($L$1:$L$45),4^8),ROW($A24:$W24)))&amp;"","")</f>
        <v>纸牌</v>
      </c>
      <c r="L23" s="551" t="s">
        <v>5125</v>
      </c>
      <c r="M23" s="551" t="s">
        <v>119</v>
      </c>
      <c r="N23" s="493" t="s">
        <v>5126</v>
      </c>
      <c r="O23" s="493" t="s">
        <v>4935</v>
      </c>
      <c r="P23" s="551" t="s">
        <v>4946</v>
      </c>
      <c r="Q23" s="493">
        <v>0</v>
      </c>
      <c r="X23" s="551">
        <f>IF(主要!P35="O",1,0)</f>
        <v>0</v>
      </c>
      <c r="AC23" s="552" t="s">
        <v>121</v>
      </c>
      <c r="AD23" s="569" t="s">
        <v>5127</v>
      </c>
      <c r="AE23" s="568" t="s">
        <v>5128</v>
      </c>
      <c r="AF23" s="567"/>
      <c r="AG23" s="571" t="str" cm="1">
        <f t="array" ref="AG23">IFERROR(INDEX($AH$1:$AH$86,SMALL(IF($AH$1:$AH$86&lt;&gt;"",ROW($AH$1:$AH$86),4^8),ROW(AH22)))&amp;"","")</f>
        <v>指虎</v>
      </c>
      <c r="AH23" s="442" t="str">
        <f>IF(主要!$CO$16="O","手爪","")</f>
        <v>手爪</v>
      </c>
      <c r="AI23" s="442" t="s">
        <v>4953</v>
      </c>
      <c r="AJ23" s="442" t="s">
        <v>4990</v>
      </c>
      <c r="AK23" s="442" t="s">
        <v>5129</v>
      </c>
      <c r="AL23" s="442" t="s">
        <v>3685</v>
      </c>
      <c r="AM23" s="442">
        <v>2</v>
      </c>
      <c r="AN23" s="442" t="s">
        <v>5130</v>
      </c>
      <c r="AO23" s="578" t="str">
        <f>IF(主要!R13&gt;=主要!R14,"力量","敏捷")</f>
        <v>力量</v>
      </c>
      <c r="AP23" s="563" t="str">
        <f>IF(主要!$CD$21="O","自动侏儒","")</f>
        <v>自动侏儒</v>
      </c>
      <c r="AQ23" s="563">
        <v>13</v>
      </c>
      <c r="AR23" s="563">
        <f>主要!$R$14</f>
        <v>0</v>
      </c>
      <c r="AS23" s="563"/>
      <c r="AT23" s="563" t="s">
        <v>5107</v>
      </c>
      <c r="AV23" s="567"/>
      <c r="AW23" s="567"/>
      <c r="AX23" s="567"/>
      <c r="AZ23" s="571" t="str" cm="1">
        <f t="array" ref="AZ23">IFERROR(INDEX($AP$1:$AP$43,SMALL(IF($AP$1:$AP$43&lt;&gt;"",ROW($AP$1:$AP$43),4^8),ROW(22:22)))&amp;"","")</f>
        <v>猬族</v>
      </c>
    </row>
    <row r="24" customHeight="1" spans="1:52">
      <c r="A24" s="554" t="s">
        <v>5131</v>
      </c>
      <c r="B24" s="554" t="s">
        <v>5132</v>
      </c>
      <c r="C24" s="554" t="s">
        <v>5053</v>
      </c>
      <c r="D24" s="554">
        <v>2</v>
      </c>
      <c r="E24" s="493"/>
      <c r="G24" s="493"/>
      <c r="H24" s="493"/>
      <c r="K24" s="558" t="str" cm="1">
        <f t="array" ref="K24">IFERROR(INDEX($L$1:$L$45,SMALL(IF($L$1:$L$45&lt;&gt;"",ROW($L$1:$L$45),4^8),ROW($A25:$W25)))&amp;"","")</f>
        <v>三龙牌</v>
      </c>
      <c r="L24" s="551" t="s">
        <v>5133</v>
      </c>
      <c r="M24" s="551" t="s">
        <v>119</v>
      </c>
      <c r="N24" s="493" t="s">
        <v>5134</v>
      </c>
      <c r="O24" s="493" t="s">
        <v>4935</v>
      </c>
      <c r="P24" s="551" t="s">
        <v>5110</v>
      </c>
      <c r="Q24" s="493">
        <v>0</v>
      </c>
      <c r="X24" s="551">
        <f>IF(主要!P36="O",1,0)</f>
        <v>0</v>
      </c>
      <c r="AD24" s="569" t="s">
        <v>5135</v>
      </c>
      <c r="AE24" s="568" t="s">
        <v>5136</v>
      </c>
      <c r="AF24" s="567"/>
      <c r="AG24" s="571" t="str" cm="1">
        <f t="array" ref="AG24">IFERROR(INDEX($AH$1:$AH$86,SMALL(IF($AH$1:$AH$86&lt;&gt;"",ROW($AH$1:$AH$86),4^8),ROW(AH23)))&amp;"","")</f>
        <v>手爪</v>
      </c>
      <c r="AH24" s="573" t="str">
        <f>IF(主要!$CO$16="O","推刃匕首","")</f>
        <v>推刃匕首</v>
      </c>
      <c r="AI24" s="573" t="s">
        <v>4953</v>
      </c>
      <c r="AJ24" s="573" t="s">
        <v>4964</v>
      </c>
      <c r="AK24" s="573" t="s">
        <v>4935</v>
      </c>
      <c r="AL24" s="573" t="s">
        <v>5017</v>
      </c>
      <c r="AM24" s="573">
        <v>3</v>
      </c>
      <c r="AN24" s="573" t="s">
        <v>4967</v>
      </c>
      <c r="AO24" s="577" t="s">
        <v>104</v>
      </c>
      <c r="AP24" s="563" t="str">
        <f>IF(主要!$CO$7="O","猬族","")</f>
        <v>猬族</v>
      </c>
      <c r="AQ24" s="563">
        <v>14</v>
      </c>
      <c r="AR24" s="563">
        <f>主要!$R$14</f>
        <v>0</v>
      </c>
      <c r="AS24" s="563"/>
      <c r="AT24" s="563" t="s">
        <v>5137</v>
      </c>
      <c r="AV24" s="567"/>
      <c r="AW24" s="567"/>
      <c r="AX24" s="567"/>
      <c r="AZ24" s="571" t="str" cm="1">
        <f t="array" ref="AZ24">IFERROR(INDEX($AP$1:$AP$43,SMALL(IF($AP$1:$AP$43&lt;&gt;"",ROW($AP$1:$AP$43),4^8),ROW(23:23)))&amp;"","")</f>
        <v>熊民</v>
      </c>
    </row>
    <row r="25" customHeight="1" spans="1:52">
      <c r="A25" s="493" t="s">
        <v>5138</v>
      </c>
      <c r="B25" s="493" t="s">
        <v>5139</v>
      </c>
      <c r="C25" s="493" t="s">
        <v>5140</v>
      </c>
      <c r="D25" s="493">
        <v>2</v>
      </c>
      <c r="E25" s="493">
        <f>背包!AP16*IF(ISBLANK(背包!AS16),1,背包!AS16)</f>
        <v>0</v>
      </c>
      <c r="F25" s="551">
        <f>背包!S40*IF(ISBLANK(背包!V40),1,背包!V40)</f>
        <v>0</v>
      </c>
      <c r="G25" s="493">
        <f>背包!AP40*IF(ISBLANK(背包!AS40),1,背包!AS40)</f>
        <v>0</v>
      </c>
      <c r="H25" s="493"/>
      <c r="K25" s="558" t="str" cm="1">
        <f t="array" ref="K25">IFERROR(INDEX($L$1:$L$45,SMALL(IF($L$1:$L$45&lt;&gt;"",ROW($L$1:$L$45),4^8),ROW($A26:$W26)))&amp;"","")</f>
        <v>草药工具</v>
      </c>
      <c r="L25" s="551" t="s">
        <v>5141</v>
      </c>
      <c r="M25" s="551" t="s">
        <v>119</v>
      </c>
      <c r="N25" s="493" t="s">
        <v>5142</v>
      </c>
      <c r="O25" s="493" t="s">
        <v>4935</v>
      </c>
      <c r="P25" s="551" t="s">
        <v>4946</v>
      </c>
      <c r="Q25" s="493">
        <v>0</v>
      </c>
      <c r="X25" s="551">
        <f>IF(主要!P37="O",1,0)</f>
        <v>0</v>
      </c>
      <c r="AD25" s="569" t="s">
        <v>5143</v>
      </c>
      <c r="AE25" s="568" t="s">
        <v>5144</v>
      </c>
      <c r="AF25" s="567"/>
      <c r="AG25" s="571" t="str" cm="1">
        <f t="array" ref="AG25">IFERROR(INDEX($AH$1:$AH$86,SMALL(IF($AH$1:$AH$86&lt;&gt;"",ROW($AH$1:$AH$86),4^8),ROW(AH24)))&amp;"","")</f>
        <v>推刃匕首</v>
      </c>
      <c r="AH25" s="442" t="s">
        <v>5145</v>
      </c>
      <c r="AI25" s="442"/>
      <c r="AJ25" s="442"/>
      <c r="AK25" s="442"/>
      <c r="AL25" s="442"/>
      <c r="AM25" s="442"/>
      <c r="AN25" s="442"/>
      <c r="AO25" s="442"/>
      <c r="AP25" s="563" t="str">
        <f>IF(主要!$CO$8="O","熊民","")</f>
        <v>熊民</v>
      </c>
      <c r="AQ25" s="563">
        <v>13</v>
      </c>
      <c r="AR25" s="563">
        <f>主要!$R$14</f>
        <v>0</v>
      </c>
      <c r="AS25" s="563"/>
      <c r="AT25" s="563" t="s">
        <v>5107</v>
      </c>
      <c r="AU25" s="567"/>
      <c r="AV25" s="567"/>
      <c r="AZ25" s="571" t="str" cm="1">
        <f t="array" ref="AZ25">IFERROR(INDEX($AP$1:$AP$43,SMALL(IF($AP$1:$AP$43&lt;&gt;"",ROW($AP$1:$AP$43),4^8),ROW(24:24)))&amp;"","")</f>
        <v>—轻甲— </v>
      </c>
    </row>
    <row r="26" customHeight="1" spans="1:52">
      <c r="A26" s="554" t="s">
        <v>5146</v>
      </c>
      <c r="B26" s="554" t="s">
        <v>5147</v>
      </c>
      <c r="C26" s="554" t="s">
        <v>5148</v>
      </c>
      <c r="D26" s="554">
        <v>42</v>
      </c>
      <c r="E26" s="493">
        <f>背包!AP17*IF(ISBLANK(背包!AS17),1,背包!AS17)</f>
        <v>0</v>
      </c>
      <c r="F26" s="551">
        <f>背包!S41*IF(ISBLANK(背包!V41),1,背包!V41)</f>
        <v>0</v>
      </c>
      <c r="G26" s="493">
        <f>背包!AP41*IF(ISBLANK(背包!AS41),1,背包!AS41)</f>
        <v>0</v>
      </c>
      <c r="H26" s="493"/>
      <c r="I26" s="493"/>
      <c r="K26" s="558" t="str" cm="1">
        <f t="array" ref="K26">IFERROR(INDEX($L$1:$L$45,SMALL(IF($L$1:$L$45&lt;&gt;"",ROW($L$1:$L$45),4^8),ROW($A27:$W27)))&amp;"","")</f>
        <v>乐器（多类）</v>
      </c>
      <c r="L26" s="493" t="s">
        <v>5149</v>
      </c>
      <c r="M26" s="551" t="s">
        <v>116</v>
      </c>
      <c r="N26" s="493" t="s">
        <v>5150</v>
      </c>
      <c r="O26" s="493" t="s">
        <v>5151</v>
      </c>
      <c r="P26" s="551" t="s">
        <v>4987</v>
      </c>
      <c r="Q26" s="493">
        <v>3</v>
      </c>
      <c r="W26" s="551" t="s">
        <v>188</v>
      </c>
      <c r="X26" s="551">
        <f>IF(主要!P39="O",1,0)</f>
        <v>0</v>
      </c>
      <c r="AD26" s="569" t="s">
        <v>5152</v>
      </c>
      <c r="AE26" s="568" t="s">
        <v>4925</v>
      </c>
      <c r="AF26" s="567"/>
      <c r="AG26" s="571" t="str" cm="1">
        <f t="array" ref="AG26">IFERROR(INDEX($AH$1:$AH$86,SMALL(IF($AH$1:$AH$86&lt;&gt;"",ROW($AH$1:$AH$86),4^8),ROW(AH25)))&amp;"","")</f>
        <v>—简易远程—</v>
      </c>
      <c r="AH26" s="442" t="s">
        <v>5153</v>
      </c>
      <c r="AI26" s="442" t="s">
        <v>4953</v>
      </c>
      <c r="AJ26" s="442" t="s">
        <v>4964</v>
      </c>
      <c r="AK26" s="442" t="s">
        <v>5154</v>
      </c>
      <c r="AL26" s="442" t="s">
        <v>3685</v>
      </c>
      <c r="AM26" s="442">
        <v>0.25</v>
      </c>
      <c r="AN26" s="442" t="s">
        <v>5155</v>
      </c>
      <c r="AO26" s="578" t="str">
        <f>IF(主要!R13&gt;=主要!R14,"力量","敏捷")</f>
        <v>力量</v>
      </c>
      <c r="AP26" s="563" t="s">
        <v>5156</v>
      </c>
      <c r="AQ26" s="563">
        <v>10</v>
      </c>
      <c r="AR26" s="563">
        <f>主要!$R$14</f>
        <v>0</v>
      </c>
      <c r="AS26" s="563"/>
      <c r="AT26" s="563"/>
      <c r="AV26" s="567"/>
      <c r="AW26" s="567"/>
      <c r="AX26" s="567"/>
      <c r="AZ26" s="571" t="str" cm="1">
        <f t="array" ref="AZ26">IFERROR(INDEX($AP$1:$AP$43,SMALL(IF($AP$1:$AP$43&lt;&gt;"",ROW($AP$1:$AP$43),4^8),ROW(25:25)))&amp;"","")</f>
        <v>布甲</v>
      </c>
    </row>
    <row r="27" customHeight="1" spans="1:52">
      <c r="A27" s="493" t="s">
        <v>5157</v>
      </c>
      <c r="B27" s="493" t="s">
        <v>5158</v>
      </c>
      <c r="C27" s="493" t="s">
        <v>4946</v>
      </c>
      <c r="D27" s="493">
        <v>2</v>
      </c>
      <c r="E27" s="493">
        <f>背包!AP18*IF(ISBLANK(背包!AS18),1,背包!AS18)</f>
        <v>0</v>
      </c>
      <c r="F27" s="551">
        <f>背包!S42*IF(ISBLANK(背包!V42),1,背包!V42)</f>
        <v>0</v>
      </c>
      <c r="G27" s="493">
        <f>背包!AP42*IF(ISBLANK(背包!AS42),1,背包!AS42)</f>
        <v>0</v>
      </c>
      <c r="H27" s="493"/>
      <c r="I27" s="493"/>
      <c r="K27" s="558" t="str" cm="1">
        <f t="array" ref="K27">IFERROR(INDEX($L$1:$L$45,SMALL(IF($L$1:$L$45&lt;&gt;"",ROW($L$1:$L$45),4^8),ROW($A28:$W28)))&amp;"","")</f>
        <v>风笛</v>
      </c>
      <c r="L27" s="493" t="s">
        <v>5159</v>
      </c>
      <c r="M27" s="551" t="s">
        <v>121</v>
      </c>
      <c r="N27" s="493" t="s">
        <v>5160</v>
      </c>
      <c r="O27" s="493" t="s">
        <v>4935</v>
      </c>
      <c r="P27" s="551" t="s">
        <v>4935</v>
      </c>
      <c r="Q27" s="493">
        <v>0</v>
      </c>
      <c r="X27" s="551">
        <f>IF(主要!P40="O",1,0)</f>
        <v>0</v>
      </c>
      <c r="AD27" s="568" t="s">
        <v>5161</v>
      </c>
      <c r="AE27" s="567"/>
      <c r="AF27" s="567"/>
      <c r="AG27" s="571" t="str" cm="1">
        <f t="array" ref="AG27">IFERROR(INDEX($AH$1:$AH$86,SMALL(IF($AH$1:$AH$86&lt;&gt;"",ROW($AH$1:$AH$86),4^8),ROW(AH26)))&amp;"","")</f>
        <v>飞镖</v>
      </c>
      <c r="AH27" s="572" t="s">
        <v>5162</v>
      </c>
      <c r="AI27" s="572" t="s">
        <v>4977</v>
      </c>
      <c r="AJ27" s="572" t="s">
        <v>4964</v>
      </c>
      <c r="AK27" s="572" t="s">
        <v>5163</v>
      </c>
      <c r="AL27" s="572" t="s">
        <v>4955</v>
      </c>
      <c r="AM27" s="572">
        <v>5</v>
      </c>
      <c r="AN27" s="572" t="s">
        <v>5164</v>
      </c>
      <c r="AO27" s="577" t="s">
        <v>109</v>
      </c>
      <c r="AP27" s="580" t="s">
        <v>5165</v>
      </c>
      <c r="AQ27" s="580">
        <v>11</v>
      </c>
      <c r="AR27" s="563">
        <f>主要!$R$14</f>
        <v>0</v>
      </c>
      <c r="AS27" s="563">
        <v>8</v>
      </c>
      <c r="AT27" s="563" t="s">
        <v>5166</v>
      </c>
      <c r="AV27" s="567"/>
      <c r="AW27" s="567"/>
      <c r="AX27" s="567"/>
      <c r="AZ27" s="571" t="str" cm="1">
        <f t="array" ref="AZ27">IFERROR(INDEX($AP$1:$AP$43,SMALL(IF($AP$1:$AP$43&lt;&gt;"",ROW($AP$1:$AP$43),4^8),ROW(26:26)))&amp;"","")</f>
        <v>皮甲</v>
      </c>
    </row>
    <row r="28" customHeight="1" spans="1:52">
      <c r="A28" s="554" t="s">
        <v>5167</v>
      </c>
      <c r="B28" s="554" t="s">
        <v>5168</v>
      </c>
      <c r="C28" s="554" t="s">
        <v>5169</v>
      </c>
      <c r="D28" s="554">
        <v>0</v>
      </c>
      <c r="E28" s="493">
        <f>背包!AP19*IF(ISBLANK(背包!AS19),1,背包!AS19)</f>
        <v>0</v>
      </c>
      <c r="F28" s="551">
        <f>背包!S43*IF(ISBLANK(背包!V43),1,背包!V43)</f>
        <v>0</v>
      </c>
      <c r="G28" s="493">
        <f>背包!AP43*IF(ISBLANK(背包!AS43),1,背包!AS43)</f>
        <v>0</v>
      </c>
      <c r="H28" s="493"/>
      <c r="I28" s="493"/>
      <c r="K28" s="558" t="str" cm="1">
        <f t="array" ref="K28">IFERROR(INDEX($L$1:$L$45,SMALL(IF($L$1:$L$45&lt;&gt;"",ROW($L$1:$L$45),4^8),ROW($A29:$W29)))&amp;"","")</f>
        <v>鼓</v>
      </c>
      <c r="L28" s="551" t="s">
        <v>5170</v>
      </c>
      <c r="M28" s="551" t="s">
        <v>121</v>
      </c>
      <c r="N28" s="493" t="s">
        <v>5171</v>
      </c>
      <c r="O28" s="493" t="s">
        <v>4935</v>
      </c>
      <c r="P28" s="493" t="s">
        <v>5005</v>
      </c>
      <c r="Q28" s="551">
        <v>6</v>
      </c>
      <c r="X28" s="551">
        <f>IF(主要!P41="O",1,0)</f>
        <v>0</v>
      </c>
      <c r="AD28" s="568" t="s">
        <v>5172</v>
      </c>
      <c r="AE28" s="567"/>
      <c r="AF28" s="567"/>
      <c r="AG28" s="571" t="str" cm="1">
        <f t="array" ref="AG28">IFERROR(INDEX($AH$1:$AH$86,SMALL(IF($AH$1:$AH$86&lt;&gt;"",ROW($AH$1:$AH$86),4^8),ROW(AH27)))&amp;"","")</f>
        <v>轻弩</v>
      </c>
      <c r="AH28" s="442" t="s">
        <v>5173</v>
      </c>
      <c r="AI28" s="442" t="s">
        <v>4989</v>
      </c>
      <c r="AJ28" s="442" t="s">
        <v>4964</v>
      </c>
      <c r="AK28" s="442" t="s">
        <v>5174</v>
      </c>
      <c r="AL28" s="442" t="s">
        <v>3685</v>
      </c>
      <c r="AM28" s="442">
        <v>2</v>
      </c>
      <c r="AN28" s="442" t="s">
        <v>5164</v>
      </c>
      <c r="AO28" s="578" t="s">
        <v>109</v>
      </c>
      <c r="AP28" s="580" t="s">
        <v>5175</v>
      </c>
      <c r="AQ28" s="580">
        <v>11</v>
      </c>
      <c r="AR28" s="563">
        <f>主要!$R$14</f>
        <v>0</v>
      </c>
      <c r="AS28" s="563">
        <v>10</v>
      </c>
      <c r="AT28" s="563"/>
      <c r="AV28" s="567"/>
      <c r="AW28" s="567"/>
      <c r="AX28" s="567"/>
      <c r="AZ28" s="571" t="str" cm="1">
        <f t="array" ref="AZ28">IFERROR(INDEX($AP$1:$AP$43,SMALL(IF($AP$1:$AP$43&lt;&gt;"",ROW($AP$1:$AP$43),4^8),ROW(27:27)))&amp;"","")</f>
        <v>镶钉皮甲</v>
      </c>
    </row>
    <row r="29" customHeight="1" spans="1:52">
      <c r="A29" s="493" t="s">
        <v>5176</v>
      </c>
      <c r="B29" s="493" t="s">
        <v>5177</v>
      </c>
      <c r="C29" s="493" t="s">
        <v>4946</v>
      </c>
      <c r="D29" s="493">
        <v>1</v>
      </c>
      <c r="E29" s="493">
        <f>背包!AP20*IF(ISBLANK(背包!AS20),1,背包!AS20)</f>
        <v>0</v>
      </c>
      <c r="F29" s="551">
        <f>背包!S44*IF(ISBLANK(背包!V44),1,背包!V44)</f>
        <v>0</v>
      </c>
      <c r="G29" s="493">
        <f>背包!AP44*IF(ISBLANK(背包!AS44),1,背包!AS44)</f>
        <v>0</v>
      </c>
      <c r="H29" s="493"/>
      <c r="I29" s="493"/>
      <c r="K29" s="558" t="str" cm="1">
        <f t="array" ref="K29">IFERROR(INDEX($L$1:$L$45,SMALL(IF($L$1:$L$45&lt;&gt;"",ROW($L$1:$L$45),4^8),ROW($A30:$W30)))&amp;"","")</f>
        <v>扬琴</v>
      </c>
      <c r="L29" s="551" t="s">
        <v>5178</v>
      </c>
      <c r="M29" s="551" t="s">
        <v>121</v>
      </c>
      <c r="N29" s="493" t="s">
        <v>5179</v>
      </c>
      <c r="O29" s="493" t="s">
        <v>4935</v>
      </c>
      <c r="P29" s="493" t="s">
        <v>5180</v>
      </c>
      <c r="Q29" s="551">
        <v>3</v>
      </c>
      <c r="X29" s="551">
        <f>IF(主要!P42="O",1,0)</f>
        <v>0</v>
      </c>
      <c r="AD29" s="568" t="s">
        <v>4978</v>
      </c>
      <c r="AE29" s="567"/>
      <c r="AF29" s="567"/>
      <c r="AG29" s="571" t="str" cm="1">
        <f t="array" ref="AG29">IFERROR(INDEX($AH$1:$AH$86,SMALL(IF($AH$1:$AH$86&lt;&gt;"",ROW($AH$1:$AH$86),4^8),ROW(AH28)))&amp;"","")</f>
        <v>短弓</v>
      </c>
      <c r="AH29" s="572" t="s">
        <v>5181</v>
      </c>
      <c r="AI29" s="572" t="s">
        <v>4953</v>
      </c>
      <c r="AJ29" s="572" t="s">
        <v>4934</v>
      </c>
      <c r="AK29" s="572" t="s">
        <v>5182</v>
      </c>
      <c r="AL29" s="572" t="s">
        <v>4955</v>
      </c>
      <c r="AM29" s="572">
        <v>0</v>
      </c>
      <c r="AN29" s="572" t="s">
        <v>4956</v>
      </c>
      <c r="AO29" s="577" t="s">
        <v>109</v>
      </c>
      <c r="AP29" s="580" t="s">
        <v>5183</v>
      </c>
      <c r="AQ29" s="580">
        <v>12</v>
      </c>
      <c r="AR29" s="563">
        <f>主要!$R$14</f>
        <v>0</v>
      </c>
      <c r="AS29" s="563">
        <v>13</v>
      </c>
      <c r="AT29" s="563"/>
      <c r="AV29" s="567"/>
      <c r="AW29" s="567"/>
      <c r="AX29" s="567"/>
      <c r="AZ29" s="571" t="str" cm="1">
        <f t="array" ref="AZ29">IFERROR(INDEX($AP$1:$AP$43,SMALL(IF($AP$1:$AP$43&lt;&gt;"",ROW($AP$1:$AP$43),4^8),ROW(28:28)))&amp;"","")</f>
        <v>树皮甲</v>
      </c>
    </row>
    <row r="30" customHeight="1" spans="1:52">
      <c r="A30" s="554" t="s">
        <v>5184</v>
      </c>
      <c r="B30" s="554" t="s">
        <v>5185</v>
      </c>
      <c r="C30" s="554" t="s">
        <v>4946</v>
      </c>
      <c r="D30" s="554">
        <v>1</v>
      </c>
      <c r="E30" s="493">
        <f>背包!AP21*IF(ISBLANK(背包!AS21),1,背包!AS21)</f>
        <v>0</v>
      </c>
      <c r="F30" s="551">
        <f>背包!S45*IF(ISBLANK(背包!V45),1,背包!V45)</f>
        <v>0</v>
      </c>
      <c r="G30" s="493">
        <f>背包!AP45*IF(ISBLANK(背包!AS45),1,背包!AS45)</f>
        <v>0</v>
      </c>
      <c r="H30" s="493"/>
      <c r="I30" s="493"/>
      <c r="K30" s="558" t="str" cm="1">
        <f t="array" ref="K30">IFERROR(INDEX($L$1:$L$45,SMALL(IF($L$1:$L$45&lt;&gt;"",ROW($L$1:$L$45),4^8),ROW($A31:$W31)))&amp;"","")</f>
        <v>长笛</v>
      </c>
      <c r="L30" s="551" t="s">
        <v>5186</v>
      </c>
      <c r="M30" s="551" t="s">
        <v>121</v>
      </c>
      <c r="N30" s="493" t="s">
        <v>5187</v>
      </c>
      <c r="O30" s="493" t="s">
        <v>4935</v>
      </c>
      <c r="P30" s="551" t="s">
        <v>4927</v>
      </c>
      <c r="Q30" s="551">
        <v>10</v>
      </c>
      <c r="X30" s="551">
        <f>IF(主要!P43="O",1,0)</f>
        <v>0</v>
      </c>
      <c r="AD30" s="568" t="s">
        <v>5188</v>
      </c>
      <c r="AE30" s="567"/>
      <c r="AF30" s="567"/>
      <c r="AG30" s="571" t="str" cm="1">
        <f t="array" ref="AG30">IFERROR(INDEX($AH$1:$AH$86,SMALL(IF($AH$1:$AH$86&lt;&gt;"",ROW($AH$1:$AH$86),4^8),ROW(AH29)))&amp;"","")</f>
        <v>投石索</v>
      </c>
      <c r="AH30" s="493" t="str">
        <f>IF(主要!$CO$12="O","双管霰弹枪","")</f>
        <v>双管霰弹枪</v>
      </c>
      <c r="AI30" s="493" t="s">
        <v>5189</v>
      </c>
      <c r="AJ30" s="493" t="s">
        <v>4964</v>
      </c>
      <c r="AK30" s="493" t="s">
        <v>5190</v>
      </c>
      <c r="AL30" s="493" t="s">
        <v>5191</v>
      </c>
      <c r="AM30" s="493">
        <v>8</v>
      </c>
      <c r="AN30" s="493" t="s">
        <v>5192</v>
      </c>
      <c r="AO30" s="578" t="s">
        <v>109</v>
      </c>
      <c r="AP30" s="580" t="str">
        <f>IF(主要!$CO$11="O","树皮甲","")</f>
        <v>树皮甲</v>
      </c>
      <c r="AQ30" s="580">
        <v>11</v>
      </c>
      <c r="AR30" s="563">
        <f>主要!$R$14</f>
        <v>0</v>
      </c>
      <c r="AS30" s="563">
        <v>14</v>
      </c>
      <c r="AT30" s="563" t="s">
        <v>5193</v>
      </c>
      <c r="AV30" s="567"/>
      <c r="AW30" s="567"/>
      <c r="AX30" s="567"/>
      <c r="AZ30" s="571" t="str" cm="1">
        <f t="array" ref="AZ30">IFERROR(INDEX($AP$1:$AP$43,SMALL(IF($AP$1:$AP$43&lt;&gt;"",ROW($AP$1:$AP$43),4^8),ROW(29:29)))&amp;"","")</f>
        <v>—中甲—</v>
      </c>
    </row>
    <row r="31" customHeight="1" spans="1:52">
      <c r="A31" s="493" t="s">
        <v>5194</v>
      </c>
      <c r="B31" s="493" t="s">
        <v>5195</v>
      </c>
      <c r="C31" s="493" t="s">
        <v>4987</v>
      </c>
      <c r="D31" s="493">
        <v>10</v>
      </c>
      <c r="E31" s="493">
        <f>背包!AP22*IF(ISBLANK(背包!AS22),1,背包!AS22)</f>
        <v>0</v>
      </c>
      <c r="F31" s="551">
        <f>背包!S46*IF(ISBLANK(背包!V46),1,背包!V46)</f>
        <v>0</v>
      </c>
      <c r="G31" s="493">
        <f>背包!AP46*IF(ISBLANK(背包!AS46),1,背包!AS46)</f>
        <v>0</v>
      </c>
      <c r="H31" s="493"/>
      <c r="I31" s="493"/>
      <c r="K31" s="558" t="str" cm="1">
        <f t="array" ref="K31">IFERROR(INDEX($L$1:$L$45,SMALL(IF($L$1:$L$45&lt;&gt;"",ROW($L$1:$L$45),4^8),ROW($A32:$W32)))&amp;"","")</f>
        <v>号角</v>
      </c>
      <c r="L31" s="551" t="s">
        <v>5196</v>
      </c>
      <c r="M31" s="551" t="s">
        <v>121</v>
      </c>
      <c r="N31" s="493" t="s">
        <v>5197</v>
      </c>
      <c r="O31" s="493" t="s">
        <v>4935</v>
      </c>
      <c r="P31" s="551" t="s">
        <v>5053</v>
      </c>
      <c r="Q31" s="551">
        <v>1</v>
      </c>
      <c r="X31" s="551">
        <f>IF(主要!P44="O",1,0)</f>
        <v>0</v>
      </c>
      <c r="AD31" s="568" t="s">
        <v>5198</v>
      </c>
      <c r="AE31" s="567"/>
      <c r="AF31" s="567"/>
      <c r="AG31" s="571" t="str" cm="1">
        <f t="array" ref="AG31">IFERROR(INDEX($AH$1:$AH$86,SMALL(IF($AH$1:$AH$86&lt;&gt;"",ROW($AH$1:$AH$86),4^8),ROW(AH30)))&amp;"","")</f>
        <v>双管霰弹枪</v>
      </c>
      <c r="AH31" s="496" t="str">
        <f>IF(主要!$CO$12="O","狩猎步枪","")</f>
        <v>狩猎步枪</v>
      </c>
      <c r="AI31" s="496" t="s">
        <v>5189</v>
      </c>
      <c r="AJ31" s="496" t="s">
        <v>4964</v>
      </c>
      <c r="AK31" s="496" t="s">
        <v>5199</v>
      </c>
      <c r="AL31" s="496" t="s">
        <v>5200</v>
      </c>
      <c r="AM31" s="496">
        <v>8</v>
      </c>
      <c r="AN31" s="496" t="s">
        <v>5201</v>
      </c>
      <c r="AO31" s="577" t="s">
        <v>109</v>
      </c>
      <c r="AP31" s="563" t="s">
        <v>5202</v>
      </c>
      <c r="AQ31" s="563">
        <v>10</v>
      </c>
      <c r="AR31" s="563">
        <f>主要!$R$14</f>
        <v>0</v>
      </c>
      <c r="AS31" s="563"/>
      <c r="AT31" s="563"/>
      <c r="AV31" s="567"/>
      <c r="AW31" s="567"/>
      <c r="AX31" s="567"/>
      <c r="AZ31" s="571" t="str" cm="1">
        <f t="array" ref="AZ31">IFERROR(INDEX($AP$1:$AP$43,SMALL(IF($AP$1:$AP$43&lt;&gt;"",ROW($AP$1:$AP$43),4^8),ROW(30:30)))&amp;"","")</f>
        <v>兽皮甲</v>
      </c>
    </row>
    <row r="32" customHeight="1" spans="1:52">
      <c r="A32" s="554" t="s">
        <v>5203</v>
      </c>
      <c r="B32" s="554" t="s">
        <v>5204</v>
      </c>
      <c r="C32" s="554" t="s">
        <v>4987</v>
      </c>
      <c r="D32" s="554">
        <v>25</v>
      </c>
      <c r="E32" s="493">
        <f>背包!AP23*IF(ISBLANK(背包!AS23),1,背包!AS23)</f>
        <v>0</v>
      </c>
      <c r="F32" s="551">
        <f>背包!S47*IF(ISBLANK(背包!V47),1,背包!V47)</f>
        <v>0</v>
      </c>
      <c r="G32" s="493">
        <f>背包!AP47*IF(ISBLANK(背包!AS47),1,背包!AS47)</f>
        <v>0</v>
      </c>
      <c r="H32" s="493"/>
      <c r="I32" s="493"/>
      <c r="K32" s="558" t="str" cm="1">
        <f t="array" ref="K32">IFERROR(INDEX($L$1:$L$45,SMALL(IF($L$1:$L$45&lt;&gt;"",ROW($L$1:$L$45),4^8),ROW($A33:$W33)))&amp;"","")</f>
        <v>鲁特琴</v>
      </c>
      <c r="L32" s="551" t="s">
        <v>5205</v>
      </c>
      <c r="M32" s="551" t="s">
        <v>121</v>
      </c>
      <c r="N32" s="493" t="s">
        <v>5206</v>
      </c>
      <c r="O32" s="493" t="s">
        <v>4935</v>
      </c>
      <c r="P32" s="551" t="s">
        <v>4970</v>
      </c>
      <c r="Q32" s="551">
        <v>2</v>
      </c>
      <c r="X32" s="551">
        <f>IF(主要!P45="O",1,0)</f>
        <v>0</v>
      </c>
      <c r="AD32" s="568" t="s">
        <v>5207</v>
      </c>
      <c r="AE32" s="567"/>
      <c r="AF32" s="567"/>
      <c r="AG32" s="571" t="str" cm="1">
        <f t="array" ref="AG32">IFERROR(INDEX($AH$1:$AH$86,SMALL(IF($AH$1:$AH$86&lt;&gt;"",ROW($AH$1:$AH$86),4^8),ROW(AH31)))&amp;"","")</f>
        <v>狩猎步枪</v>
      </c>
      <c r="AH32" s="493" t="str">
        <f>IF(主要!$CO$12="O","袖珍手枪","")</f>
        <v>袖珍手枪</v>
      </c>
      <c r="AI32" s="493" t="s">
        <v>5098</v>
      </c>
      <c r="AJ32" s="493" t="s">
        <v>4964</v>
      </c>
      <c r="AK32" s="493" t="s">
        <v>5208</v>
      </c>
      <c r="AL32" s="493" t="s">
        <v>5209</v>
      </c>
      <c r="AM32" s="493">
        <v>1</v>
      </c>
      <c r="AN32" s="493" t="s">
        <v>5210</v>
      </c>
      <c r="AO32" s="578" t="s">
        <v>109</v>
      </c>
      <c r="AP32" s="580" t="s">
        <v>5211</v>
      </c>
      <c r="AQ32" s="580">
        <v>12</v>
      </c>
      <c r="AR32" s="563">
        <f>IF(主要!$R$14&gt;=2,2,主要!$R$14)</f>
        <v>0</v>
      </c>
      <c r="AS32" s="563">
        <v>12</v>
      </c>
      <c r="AT32" s="563"/>
      <c r="AU32" s="567"/>
      <c r="AV32" s="567"/>
      <c r="AW32" s="567"/>
      <c r="AZ32" s="571" t="str" cm="1">
        <f t="array" ref="AZ32">IFERROR(INDEX($AP$1:$AP$43,SMALL(IF($AP$1:$AP$43&lt;&gt;"",ROW($AP$1:$AP$43),4^8),ROW(31:31)))&amp;"","")</f>
        <v>链甲衫</v>
      </c>
    </row>
    <row r="33" customHeight="1" spans="1:52">
      <c r="A33" s="493" t="s">
        <v>4986</v>
      </c>
      <c r="B33" s="493" t="s">
        <v>5212</v>
      </c>
      <c r="C33" s="493" t="s">
        <v>4927</v>
      </c>
      <c r="D33" s="493">
        <v>12</v>
      </c>
      <c r="E33" s="493">
        <f>背包!AP24*IF(ISBLANK(背包!AS24),1,背包!AS24)</f>
        <v>0</v>
      </c>
      <c r="F33" s="551">
        <f>背包!S48*IF(ISBLANK(背包!V48),1,背包!V48)</f>
        <v>0</v>
      </c>
      <c r="G33" s="493">
        <f>背包!AP48*IF(ISBLANK(背包!AS48),1,背包!AS48)</f>
        <v>0</v>
      </c>
      <c r="H33" s="493"/>
      <c r="I33" s="493"/>
      <c r="K33" s="558" t="str" cm="1">
        <f t="array" ref="K33">IFERROR(INDEX($L$1:$L$45,SMALL(IF($L$1:$L$45&lt;&gt;"",ROW($L$1:$L$45),4^8),ROW($A34:$W34)))&amp;"","")</f>
        <v>里拉琴</v>
      </c>
      <c r="L33" s="551" t="s">
        <v>5213</v>
      </c>
      <c r="M33" s="551" t="s">
        <v>121</v>
      </c>
      <c r="N33" s="493" t="s">
        <v>5214</v>
      </c>
      <c r="O33" s="493" t="s">
        <v>4935</v>
      </c>
      <c r="P33" s="551" t="s">
        <v>5215</v>
      </c>
      <c r="Q33" s="551">
        <v>2</v>
      </c>
      <c r="X33" s="551">
        <f>IF(主要!P46="O",1,0)</f>
        <v>0</v>
      </c>
      <c r="AD33" s="564" t="s">
        <v>5216</v>
      </c>
      <c r="AE33" s="567"/>
      <c r="AF33" s="567"/>
      <c r="AG33" s="571" t="str" cm="1">
        <f t="array" ref="AG33">IFERROR(INDEX($AH$1:$AH$86,SMALL(IF($AH$1:$AH$86&lt;&gt;"",ROW($AH$1:$AH$86),4^8),ROW(AH32)))&amp;"","")</f>
        <v>袖珍手枪</v>
      </c>
      <c r="AH33" s="496" t="str">
        <f>IF(主要!$CO$12="O","左轮枪","")</f>
        <v>左轮枪</v>
      </c>
      <c r="AI33" s="496" t="s">
        <v>5189</v>
      </c>
      <c r="AJ33" s="496" t="s">
        <v>4964</v>
      </c>
      <c r="AK33" s="496" t="s">
        <v>5217</v>
      </c>
      <c r="AL33" s="496" t="s">
        <v>5218</v>
      </c>
      <c r="AM33" s="496">
        <v>3</v>
      </c>
      <c r="AN33" s="496" t="s">
        <v>5219</v>
      </c>
      <c r="AO33" s="577" t="s">
        <v>109</v>
      </c>
      <c r="AP33" s="580" t="s">
        <v>5220</v>
      </c>
      <c r="AQ33" s="580">
        <v>13</v>
      </c>
      <c r="AR33" s="563">
        <f>IF(主要!$R$14&gt;=2,2,主要!$R$14)</f>
        <v>0</v>
      </c>
      <c r="AS33" s="563">
        <v>20</v>
      </c>
      <c r="AT33" s="563"/>
      <c r="AZ33" s="571" t="str" cm="1">
        <f t="array" ref="AZ33">IFERROR(INDEX($AP$1:$AP$43,SMALL(IF($AP$1:$AP$43&lt;&gt;"",ROW($AP$1:$AP$43),4^8),ROW(32:32)))&amp;"","")</f>
        <v>鳞甲</v>
      </c>
    </row>
    <row r="34" customHeight="1" spans="1:52">
      <c r="A34" s="554" t="s">
        <v>5221</v>
      </c>
      <c r="B34" s="554" t="s">
        <v>5222</v>
      </c>
      <c r="C34" s="554" t="s">
        <v>4974</v>
      </c>
      <c r="D34" s="554">
        <v>6</v>
      </c>
      <c r="E34" s="493">
        <f>背包!AP25*IF(ISBLANK(背包!AS25),1,背包!AS25)</f>
        <v>0</v>
      </c>
      <c r="F34" s="551">
        <f>背包!S49*IF(ISBLANK(背包!V49),1,背包!V49)</f>
        <v>0</v>
      </c>
      <c r="G34" s="493">
        <f>背包!AP49*IF(ISBLANK(背包!AS49),1,背包!AS49)</f>
        <v>0</v>
      </c>
      <c r="H34" s="493"/>
      <c r="I34" s="493"/>
      <c r="K34" s="558" t="str" cm="1">
        <f t="array" ref="K34">IFERROR(INDEX($L$1:$L$45,SMALL(IF($L$1:$L$45&lt;&gt;"",ROW($L$1:$L$45),4^8),ROW($A35:$W35)))&amp;"","")</f>
        <v>排箫</v>
      </c>
      <c r="L34" s="493" t="s">
        <v>5223</v>
      </c>
      <c r="M34" s="551" t="s">
        <v>121</v>
      </c>
      <c r="N34" s="493" t="s">
        <v>5224</v>
      </c>
      <c r="O34" s="493" t="s">
        <v>4935</v>
      </c>
      <c r="P34" s="551" t="s">
        <v>5005</v>
      </c>
      <c r="Q34" s="551">
        <v>2</v>
      </c>
      <c r="X34" s="551">
        <f>IF(主要!P47="O",1,0)</f>
        <v>0</v>
      </c>
      <c r="AG34" s="571" t="str" cm="1">
        <f t="array" ref="AG34">IFERROR(INDEX($AH$1:$AH$86,SMALL(IF($AH$1:$AH$86&lt;&gt;"",ROW($AH$1:$AH$86),4^8),ROW(AH33)))&amp;"","")</f>
        <v>左轮枪</v>
      </c>
      <c r="AH34" s="493" t="str">
        <f>IF(主要!$CO$12="O","信号枪","")</f>
        <v>信号枪</v>
      </c>
      <c r="AI34" s="493" t="s">
        <v>5189</v>
      </c>
      <c r="AJ34" s="493" t="s">
        <v>5087</v>
      </c>
      <c r="AK34" s="493" t="s">
        <v>5225</v>
      </c>
      <c r="AL34" s="493" t="s">
        <v>4955</v>
      </c>
      <c r="AM34" s="493">
        <v>1</v>
      </c>
      <c r="AN34" s="493" t="s">
        <v>5226</v>
      </c>
      <c r="AO34" s="578" t="s">
        <v>109</v>
      </c>
      <c r="AP34" s="580" t="s">
        <v>5227</v>
      </c>
      <c r="AQ34" s="580">
        <v>14</v>
      </c>
      <c r="AR34" s="563">
        <f>IF(主要!$R$14&gt;=2,2,主要!$R$14)</f>
        <v>0</v>
      </c>
      <c r="AS34" s="563">
        <v>45</v>
      </c>
      <c r="AT34" s="563" t="s">
        <v>5166</v>
      </c>
      <c r="AZ34" s="571" t="str" cm="1">
        <f t="array" ref="AZ34">IFERROR(INDEX($AP$1:$AP$43,SMALL(IF($AP$1:$AP$43&lt;&gt;"",ROW($AP$1:$AP$43),4^8),ROW(33:33)))&amp;"","")</f>
        <v>胸甲</v>
      </c>
    </row>
    <row r="35" customHeight="1" spans="1:52">
      <c r="A35" s="493" t="s">
        <v>5228</v>
      </c>
      <c r="B35" s="493" t="s">
        <v>5229</v>
      </c>
      <c r="C35" s="493" t="s">
        <v>5053</v>
      </c>
      <c r="D35" s="493">
        <v>4</v>
      </c>
      <c r="E35" s="493"/>
      <c r="F35" s="493"/>
      <c r="G35" s="493"/>
      <c r="H35" s="493"/>
      <c r="I35" s="493"/>
      <c r="K35" s="558" t="str" cm="1">
        <f t="array" ref="K35">IFERROR(INDEX($L$1:$L$45,SMALL(IF($L$1:$L$45&lt;&gt;"",ROW($L$1:$L$45),4^8),ROW($A36:$W36)))&amp;"","")</f>
        <v>芦笛</v>
      </c>
      <c r="L35" s="493" t="s">
        <v>5230</v>
      </c>
      <c r="M35" s="551" t="s">
        <v>121</v>
      </c>
      <c r="N35" s="493" t="s">
        <v>5231</v>
      </c>
      <c r="O35" s="493" t="s">
        <v>4935</v>
      </c>
      <c r="P35" s="551" t="s">
        <v>5232</v>
      </c>
      <c r="Q35" s="551">
        <v>2</v>
      </c>
      <c r="X35" s="551">
        <f>IF(主要!P48="O",1,0)</f>
        <v>0</v>
      </c>
      <c r="AG35" s="571" t="str" cm="1">
        <f t="array" ref="AG35">IFERROR(INDEX($AH$1:$AH$86,SMALL(IF($AH$1:$AH$86&lt;&gt;"",ROW($AH$1:$AH$86),4^8),ROW(AH34)))&amp;"","")</f>
        <v>信号枪</v>
      </c>
      <c r="AH35" s="496" t="str">
        <f>IF(主要!$CO$12="O","手枪","")</f>
        <v>手枪</v>
      </c>
      <c r="AI35" s="496" t="s">
        <v>5098</v>
      </c>
      <c r="AJ35" s="496" t="s">
        <v>4964</v>
      </c>
      <c r="AK35" s="496" t="s">
        <v>5233</v>
      </c>
      <c r="AL35" s="496" t="s">
        <v>3685</v>
      </c>
      <c r="AM35" s="496">
        <v>3</v>
      </c>
      <c r="AN35" s="496" t="s">
        <v>5219</v>
      </c>
      <c r="AO35" s="577" t="s">
        <v>109</v>
      </c>
      <c r="AP35" s="580" t="s">
        <v>5234</v>
      </c>
      <c r="AQ35" s="580">
        <v>14</v>
      </c>
      <c r="AR35" s="563">
        <f>IF(主要!$R$14&gt;=2,2,主要!$R$14)</f>
        <v>0</v>
      </c>
      <c r="AS35" s="563">
        <v>20</v>
      </c>
      <c r="AT35" s="563"/>
      <c r="AZ35" s="571" t="str" cm="1">
        <f t="array" ref="AZ35">IFERROR(INDEX($AP$1:$AP$43,SMALL(IF($AP$1:$AP$43&lt;&gt;"",ROW($AP$1:$AP$43),4^8),ROW(34:34)))&amp;"","")</f>
        <v>半身板甲</v>
      </c>
    </row>
    <row r="36" customHeight="1" spans="1:52">
      <c r="A36" s="554" t="s">
        <v>5235</v>
      </c>
      <c r="B36" s="554" t="s">
        <v>5236</v>
      </c>
      <c r="C36" s="554" t="s">
        <v>4927</v>
      </c>
      <c r="D36" s="554">
        <v>2</v>
      </c>
      <c r="E36" s="493"/>
      <c r="F36" s="493"/>
      <c r="G36" s="493"/>
      <c r="H36" s="493"/>
      <c r="I36" s="493"/>
      <c r="K36" s="558" t="str" cm="1">
        <f t="array" ref="K36">IFERROR(INDEX($L$1:$L$45,SMALL(IF($L$1:$L$45&lt;&gt;"",ROW($L$1:$L$45),4^8),ROW($A37:$W37)))&amp;"","")</f>
        <v>提琴</v>
      </c>
      <c r="L36" s="493" t="s">
        <v>5237</v>
      </c>
      <c r="M36" s="551" t="s">
        <v>121</v>
      </c>
      <c r="N36" s="493" t="s">
        <v>5238</v>
      </c>
      <c r="O36" s="493" t="s">
        <v>4935</v>
      </c>
      <c r="P36" s="551" t="s">
        <v>5053</v>
      </c>
      <c r="Q36" s="551">
        <v>1</v>
      </c>
      <c r="W36" s="551" t="s">
        <v>167</v>
      </c>
      <c r="X36" s="551">
        <f>IF(主要!AJ31="O",1,0)</f>
        <v>0</v>
      </c>
      <c r="AG36" s="571" t="str" cm="1">
        <f t="array" ref="AG36">IFERROR(INDEX($AH$1:$AH$86,SMALL(IF($AH$1:$AH$86&lt;&gt;"",ROW($AH$1:$AH$86),4^8),ROW(AH35)))&amp;"","")</f>
        <v>手枪</v>
      </c>
      <c r="AH36" s="442" t="s">
        <v>5239</v>
      </c>
      <c r="AI36" s="442"/>
      <c r="AJ36" s="442"/>
      <c r="AK36" s="442"/>
      <c r="AL36" s="442"/>
      <c r="AM36" s="442"/>
      <c r="AN36" s="442"/>
      <c r="AO36" s="442"/>
      <c r="AP36" s="580" t="s">
        <v>5240</v>
      </c>
      <c r="AQ36" s="580">
        <v>15</v>
      </c>
      <c r="AR36" s="563">
        <f>IF(主要!$R$14&gt;=2,2,主要!$R$14)</f>
        <v>0</v>
      </c>
      <c r="AS36" s="563">
        <v>40</v>
      </c>
      <c r="AT36" s="563" t="s">
        <v>5166</v>
      </c>
      <c r="AZ36" s="571" t="str" cm="1">
        <f t="array" ref="AZ36">IFERROR(INDEX($AP$1:$AP$43,SMALL(IF($AP$1:$AP$43&lt;&gt;"",ROW($AP$1:$AP$43),4^8),ROW(35:35)))&amp;"","")</f>
        <v>海藻甲</v>
      </c>
    </row>
    <row r="37" customHeight="1" spans="1:52">
      <c r="A37" s="493" t="s">
        <v>5094</v>
      </c>
      <c r="B37" s="493" t="s">
        <v>5241</v>
      </c>
      <c r="C37" s="493" t="s">
        <v>4987</v>
      </c>
      <c r="D37" s="493">
        <v>4</v>
      </c>
      <c r="E37" s="493"/>
      <c r="F37" s="493"/>
      <c r="G37" s="493"/>
      <c r="H37" s="493"/>
      <c r="I37" s="493"/>
      <c r="K37" s="558" t="str" cm="1">
        <f t="array" ref="K37">IFERROR(INDEX($L$1:$L$45,SMALL(IF($L$1:$L$45&lt;&gt;"",ROW($L$1:$L$45),4^8),ROW($A38:$W38)))&amp;"","")</f>
        <v>班多里琴</v>
      </c>
      <c r="L37" s="493" t="s">
        <v>5242</v>
      </c>
      <c r="M37" s="551" t="s">
        <v>121</v>
      </c>
      <c r="N37" s="493" t="s">
        <v>5243</v>
      </c>
      <c r="O37" s="493" t="s">
        <v>4935</v>
      </c>
      <c r="P37" s="551" t="s">
        <v>5005</v>
      </c>
      <c r="Q37" s="551">
        <v>1</v>
      </c>
      <c r="AG37" s="571" t="str" cm="1">
        <f t="array" ref="AG37">IFERROR(INDEX($AH$1:$AH$86,SMALL(IF($AH$1:$AH$86&lt;&gt;"",ROW($AH$1:$AH$86),4^8),ROW(AH36)))&amp;"","")</f>
        <v>—军用近战—</v>
      </c>
      <c r="AH37" s="493" t="s">
        <v>5244</v>
      </c>
      <c r="AI37" s="493" t="s">
        <v>4977</v>
      </c>
      <c r="AJ37" s="493" t="s">
        <v>4990</v>
      </c>
      <c r="AK37" s="493" t="s">
        <v>5245</v>
      </c>
      <c r="AL37" s="493" t="s">
        <v>5025</v>
      </c>
      <c r="AM37" s="493">
        <v>4</v>
      </c>
      <c r="AN37" s="493" t="s">
        <v>5246</v>
      </c>
      <c r="AO37" s="578" t="s">
        <v>104</v>
      </c>
      <c r="AP37" s="580" t="str">
        <f>IF(主要!$CO$11="O","海藻甲","")</f>
        <v>海藻甲</v>
      </c>
      <c r="AQ37" s="580">
        <v>15</v>
      </c>
      <c r="AR37" s="563">
        <f>IF(主要!R13&gt;=1,1,主要!R13)</f>
        <v>0</v>
      </c>
      <c r="AS37" s="563">
        <v>22</v>
      </c>
      <c r="AT37" s="563"/>
      <c r="AZ37" s="571" t="str" cm="1">
        <f t="array" ref="AZ37">IFERROR(INDEX($AP$1:$AP$43,SMALL(IF($AP$1:$AP$43&lt;&gt;"",ROW($AP$1:$AP$43),4^8),ROW(36:36)))&amp;"","")</f>
        <v>—重甲—  </v>
      </c>
    </row>
    <row r="38" customHeight="1" spans="1:52">
      <c r="A38" s="554" t="s">
        <v>5247</v>
      </c>
      <c r="B38" s="554" t="s">
        <v>5248</v>
      </c>
      <c r="C38" s="554" t="s">
        <v>5053</v>
      </c>
      <c r="D38" s="554">
        <v>5</v>
      </c>
      <c r="E38" s="493"/>
      <c r="F38" s="493"/>
      <c r="G38" s="493"/>
      <c r="H38" s="493"/>
      <c r="I38" s="493"/>
      <c r="K38" s="558" t="str" cm="1">
        <f t="array" ref="K38">IFERROR(INDEX($L$1:$L$45,SMALL(IF($L$1:$L$45&lt;&gt;"",ROW($L$1:$L$45),4^8),ROW($A39:$W39)))&amp;"","")</f>
        <v>西特琴</v>
      </c>
      <c r="L38" s="493" t="str">
        <f>IF(主要!$CD$10="O","班多里琴","")</f>
        <v>班多里琴</v>
      </c>
      <c r="M38" s="551" t="s">
        <v>121</v>
      </c>
      <c r="N38" s="493" t="s">
        <v>5249</v>
      </c>
      <c r="O38" s="493" t="s">
        <v>4935</v>
      </c>
      <c r="P38" s="551" t="s">
        <v>5250</v>
      </c>
      <c r="Q38" s="551">
        <v>3</v>
      </c>
      <c r="AF38" s="567"/>
      <c r="AG38" s="571" t="str" cm="1">
        <f t="array" ref="AG38">IFERROR(INDEX($AH$1:$AH$86,SMALL(IF($AH$1:$AH$86&lt;&gt;"",ROW($AH$1:$AH$86),4^8),ROW(AH37)))&amp;"","")</f>
        <v>战斧</v>
      </c>
      <c r="AH38" s="572" t="s">
        <v>5251</v>
      </c>
      <c r="AI38" s="572" t="s">
        <v>4977</v>
      </c>
      <c r="AJ38" s="572" t="s">
        <v>4934</v>
      </c>
      <c r="AK38" s="572" t="s">
        <v>5016</v>
      </c>
      <c r="AL38" s="572" t="s">
        <v>5017</v>
      </c>
      <c r="AM38" s="572">
        <v>2</v>
      </c>
      <c r="AN38" s="572" t="s">
        <v>5246</v>
      </c>
      <c r="AO38" s="577" t="s">
        <v>104</v>
      </c>
      <c r="AP38" s="563" t="s">
        <v>5252</v>
      </c>
      <c r="AQ38" s="563">
        <v>10</v>
      </c>
      <c r="AR38" s="563">
        <f>主要!$R$14</f>
        <v>0</v>
      </c>
      <c r="AS38" s="563"/>
      <c r="AT38" s="563"/>
      <c r="AZ38" s="571" t="str" cm="1">
        <f t="array" ref="AZ38">IFERROR(INDEX($AP$1:$AP$43,SMALL(IF($AP$1:$AP$43&lt;&gt;"",ROW($AP$1:$AP$43),4^8),ROW(37:37)))&amp;"","")</f>
        <v>环甲</v>
      </c>
    </row>
    <row r="39" customHeight="1" spans="1:52">
      <c r="A39" s="493" t="s">
        <v>5253</v>
      </c>
      <c r="B39" s="493" t="s">
        <v>5254</v>
      </c>
      <c r="C39" s="493" t="s">
        <v>5255</v>
      </c>
      <c r="D39" s="493">
        <v>39</v>
      </c>
      <c r="E39" s="493"/>
      <c r="F39" s="493"/>
      <c r="G39" s="493"/>
      <c r="H39" s="493"/>
      <c r="I39" s="493"/>
      <c r="K39" s="558" t="str" cm="1">
        <f t="array" ref="K39">IFERROR(INDEX($L$1:$L$45,SMALL(IF($L$1:$L$45&lt;&gt;"",ROW($L$1:$L$45),4^8),ROW($A40:$W40)))&amp;"","")</f>
        <v>雅廷琴</v>
      </c>
      <c r="L39" s="493" t="str">
        <f>IF(主要!$CD$10="O","西特琴","")</f>
        <v>西特琴</v>
      </c>
      <c r="M39" s="551" t="s">
        <v>121</v>
      </c>
      <c r="N39" s="493" t="s">
        <v>5256</v>
      </c>
      <c r="O39" s="493" t="s">
        <v>4935</v>
      </c>
      <c r="P39" s="551" t="s">
        <v>5250</v>
      </c>
      <c r="Q39" s="551">
        <v>2</v>
      </c>
      <c r="AF39" s="567"/>
      <c r="AG39" s="571" t="str" cm="1">
        <f t="array" ref="AG39">IFERROR(INDEX($AH$1:$AH$86,SMALL(IF($AH$1:$AH$86&lt;&gt;"",ROW($AH$1:$AH$86),4^8),ROW(AH38)))&amp;"","")</f>
        <v>链枷</v>
      </c>
      <c r="AH39" s="442" t="s">
        <v>5257</v>
      </c>
      <c r="AI39" s="442" t="s">
        <v>5049</v>
      </c>
      <c r="AJ39" s="442" t="s">
        <v>4990</v>
      </c>
      <c r="AK39" s="442" t="s">
        <v>5258</v>
      </c>
      <c r="AL39" s="442" t="s">
        <v>5013</v>
      </c>
      <c r="AM39" s="442">
        <v>6</v>
      </c>
      <c r="AN39" s="442" t="s">
        <v>5259</v>
      </c>
      <c r="AO39" s="578" t="s">
        <v>104</v>
      </c>
      <c r="AP39" s="580" t="s">
        <v>5260</v>
      </c>
      <c r="AQ39" s="580">
        <v>14</v>
      </c>
      <c r="AR39" s="563">
        <v>0</v>
      </c>
      <c r="AS39" s="563">
        <v>40</v>
      </c>
      <c r="AT39" s="563" t="s">
        <v>5166</v>
      </c>
      <c r="AZ39" s="571" t="str" cm="1">
        <f t="array" ref="AZ39">IFERROR(INDEX($AP$1:$AP$43,SMALL(IF($AP$1:$AP$43&lt;&gt;"",ROW($AP$1:$AP$43),4^8),ROW(38:38)))&amp;"","")</f>
        <v>链甲</v>
      </c>
    </row>
    <row r="40" customHeight="1" spans="1:52">
      <c r="A40" s="554" t="s">
        <v>5261</v>
      </c>
      <c r="B40" s="554" t="s">
        <v>5262</v>
      </c>
      <c r="C40" s="554" t="s">
        <v>4946</v>
      </c>
      <c r="D40" s="554">
        <v>0</v>
      </c>
      <c r="E40" s="493"/>
      <c r="F40" s="493"/>
      <c r="G40" s="493"/>
      <c r="H40" s="493"/>
      <c r="I40" s="493"/>
      <c r="K40" s="558" t="str" cm="1">
        <f t="array" ref="K40">IFERROR(INDEX($L$1:$L$45,SMALL(IF($L$1:$L$45&lt;&gt;"",ROW($L$1:$L$45),4^8),ROW($A41:$W41)))&amp;"","")</f>
        <v>领航工具</v>
      </c>
      <c r="L40" s="493" t="str">
        <f>IF(主要!$CD$10="O","雅廷琴","")</f>
        <v>雅廷琴</v>
      </c>
      <c r="M40" s="551" t="s">
        <v>121</v>
      </c>
      <c r="N40" s="493" t="s">
        <v>5263</v>
      </c>
      <c r="O40" s="493" t="s">
        <v>4935</v>
      </c>
      <c r="P40" s="551" t="s">
        <v>5264</v>
      </c>
      <c r="Q40" s="551">
        <v>2</v>
      </c>
      <c r="AF40" s="567"/>
      <c r="AG40" s="571" t="str" cm="1">
        <f t="array" ref="AG40">IFERROR(INDEX($AH$1:$AH$86,SMALL(IF($AH$1:$AH$86&lt;&gt;"",ROW($AH$1:$AH$86),4^8),ROW(AH39)))&amp;"","")</f>
        <v>长柄刀</v>
      </c>
      <c r="AH40" s="572" t="s">
        <v>5265</v>
      </c>
      <c r="AI40" s="572" t="s">
        <v>5266</v>
      </c>
      <c r="AJ40" s="572" t="s">
        <v>4990</v>
      </c>
      <c r="AK40" s="572" t="s">
        <v>5267</v>
      </c>
      <c r="AL40" s="572" t="s">
        <v>5006</v>
      </c>
      <c r="AM40" s="572">
        <v>7</v>
      </c>
      <c r="AN40" s="572" t="s">
        <v>5268</v>
      </c>
      <c r="AO40" s="577" t="s">
        <v>104</v>
      </c>
      <c r="AP40" s="580" t="s">
        <v>5269</v>
      </c>
      <c r="AQ40" s="580">
        <v>16</v>
      </c>
      <c r="AR40" s="563">
        <v>0</v>
      </c>
      <c r="AS40" s="563">
        <v>55</v>
      </c>
      <c r="AT40" s="563" t="s">
        <v>5270</v>
      </c>
      <c r="AZ40" s="571" t="str" cm="1">
        <f t="array" ref="AZ40">IFERROR(INDEX($AP$1:$AP$43,SMALL(IF($AP$1:$AP$43&lt;&gt;"",ROW($AP$1:$AP$43),4^8),ROW(39:39)))&amp;"","")</f>
        <v>板条甲</v>
      </c>
    </row>
    <row r="41" customHeight="1" spans="1:52">
      <c r="A41" s="493" t="s">
        <v>5271</v>
      </c>
      <c r="B41" s="493" t="s">
        <v>5262</v>
      </c>
      <c r="C41" s="493" t="s">
        <v>4987</v>
      </c>
      <c r="D41" s="493">
        <v>4</v>
      </c>
      <c r="E41" s="493"/>
      <c r="F41" s="493"/>
      <c r="G41" s="493"/>
      <c r="H41" s="493"/>
      <c r="I41" s="493"/>
      <c r="K41" s="558" t="str" cm="1">
        <f t="array" ref="K41">IFERROR(INDEX($L$1:$L$45,SMALL(IF($L$1:$L$45&lt;&gt;"",ROW($L$1:$L$45),4^8),ROW($A42:$W42)))&amp;"","")</f>
        <v>毒药工具</v>
      </c>
      <c r="L41" s="493" t="s">
        <v>5272</v>
      </c>
      <c r="M41" s="551" t="s">
        <v>119</v>
      </c>
      <c r="N41" s="493" t="s">
        <v>5273</v>
      </c>
      <c r="O41" s="493" t="s">
        <v>4935</v>
      </c>
      <c r="P41" s="551" t="s">
        <v>4927</v>
      </c>
      <c r="Q41" s="493">
        <v>2</v>
      </c>
      <c r="AF41" s="567"/>
      <c r="AG41" s="571" t="str" cm="1">
        <f t="array" ref="AG41">IFERROR(INDEX($AH$1:$AH$86,SMALL(IF($AH$1:$AH$86&lt;&gt;"",ROW($AH$1:$AH$86),4^8),ROW(AH40)))&amp;"","")</f>
        <v>巨斧</v>
      </c>
      <c r="AH41" s="442" t="s">
        <v>5274</v>
      </c>
      <c r="AI41" s="442" t="s">
        <v>5189</v>
      </c>
      <c r="AJ41" s="442" t="s">
        <v>4990</v>
      </c>
      <c r="AK41" s="442" t="s">
        <v>5267</v>
      </c>
      <c r="AL41" s="442" t="s">
        <v>5013</v>
      </c>
      <c r="AM41" s="442">
        <v>6</v>
      </c>
      <c r="AN41" s="442" t="s">
        <v>5275</v>
      </c>
      <c r="AO41" s="578" t="s">
        <v>104</v>
      </c>
      <c r="AP41" s="580" t="s">
        <v>5276</v>
      </c>
      <c r="AQ41" s="580">
        <v>17</v>
      </c>
      <c r="AR41" s="563">
        <v>0</v>
      </c>
      <c r="AS41" s="563">
        <v>60</v>
      </c>
      <c r="AT41" s="563" t="s">
        <v>5277</v>
      </c>
      <c r="AZ41" s="571" t="str" cm="1">
        <f t="array" ref="AZ41">IFERROR(INDEX($AP$1:$AP$43,SMALL(IF($AP$1:$AP$43&lt;&gt;"",ROW($AP$1:$AP$43),4^8),ROW(40:40)))&amp;"","")</f>
        <v>潜水甲</v>
      </c>
    </row>
    <row r="42" customHeight="1" spans="1:52">
      <c r="A42" s="554" t="s">
        <v>5278</v>
      </c>
      <c r="B42" s="554" t="s">
        <v>5262</v>
      </c>
      <c r="C42" s="554" t="s">
        <v>4950</v>
      </c>
      <c r="D42" s="554">
        <v>1</v>
      </c>
      <c r="E42" s="493"/>
      <c r="F42" s="493"/>
      <c r="G42" s="493"/>
      <c r="H42" s="493"/>
      <c r="I42" s="493"/>
      <c r="K42" s="558" t="str" cm="1">
        <f t="array" ref="K42">IFERROR(INDEX($L$1:$L$45,SMALL(IF($L$1:$L$45&lt;&gt;"",ROW($L$1:$L$45),4^8),ROW($A43:$W43)))&amp;"","")</f>
        <v>盗贼工具</v>
      </c>
      <c r="L42" s="493" t="s">
        <v>5279</v>
      </c>
      <c r="M42" s="551" t="s">
        <v>116</v>
      </c>
      <c r="N42" s="493" t="s">
        <v>5280</v>
      </c>
      <c r="O42" s="493" t="s">
        <v>5281</v>
      </c>
      <c r="P42" s="551" t="s">
        <v>4931</v>
      </c>
      <c r="Q42" s="493">
        <v>2</v>
      </c>
      <c r="AF42" s="567"/>
      <c r="AG42" s="571" t="str" cm="1">
        <f t="array" ref="AG42">IFERROR(INDEX($AH$1:$AH$86,SMALL(IF($AH$1:$AH$86&lt;&gt;"",ROW($AH$1:$AH$86),4^8),ROW(AH41)))&amp;"","")</f>
        <v>巨剑</v>
      </c>
      <c r="AH42" s="572" t="s">
        <v>5282</v>
      </c>
      <c r="AI42" s="572" t="s">
        <v>5049</v>
      </c>
      <c r="AJ42" s="572" t="s">
        <v>4990</v>
      </c>
      <c r="AK42" s="572" t="s">
        <v>5258</v>
      </c>
      <c r="AL42" s="572" t="s">
        <v>5006</v>
      </c>
      <c r="AM42" s="572">
        <v>6</v>
      </c>
      <c r="AN42" s="572" t="s">
        <v>5259</v>
      </c>
      <c r="AO42" s="577" t="s">
        <v>104</v>
      </c>
      <c r="AP42" s="580" t="str">
        <f>IF(主要!$CO$11="O","潜水甲","")</f>
        <v>潜水甲</v>
      </c>
      <c r="AQ42" s="580">
        <v>17</v>
      </c>
      <c r="AR42" s="563">
        <v>0</v>
      </c>
      <c r="AS42" s="563">
        <v>100</v>
      </c>
      <c r="AT42" s="563" t="s">
        <v>5283</v>
      </c>
      <c r="AZ42" s="571" t="str" cm="1">
        <f t="array" ref="AZ42">IFERROR(INDEX($AP$1:$AP$43,SMALL(IF($AP$1:$AP$43&lt;&gt;"",ROW($AP$1:$AP$43),4^8),ROW(41:41)))&amp;"","")</f>
        <v>板甲</v>
      </c>
    </row>
    <row r="43" customHeight="1" spans="1:52">
      <c r="A43" s="493" t="s">
        <v>5284</v>
      </c>
      <c r="B43" s="493" t="s">
        <v>5285</v>
      </c>
      <c r="C43" s="493" t="s">
        <v>5232</v>
      </c>
      <c r="D43" s="493">
        <v>55</v>
      </c>
      <c r="E43" s="493"/>
      <c r="F43" s="493"/>
      <c r="G43" s="493"/>
      <c r="H43" s="493"/>
      <c r="I43" s="493"/>
      <c r="K43" s="558" t="str" cm="1">
        <f t="array" ref="K43">IFERROR(INDEX($L$1:$L$45,SMALL(IF($L$1:$L$45&lt;&gt;"",ROW($L$1:$L$45),4^8),ROW($A44:$W44)))&amp;"","")</f>
        <v>指纹采集工具</v>
      </c>
      <c r="L43" s="559" t="s">
        <v>5286</v>
      </c>
      <c r="M43" s="560" t="s">
        <v>109</v>
      </c>
      <c r="N43" s="559" t="s">
        <v>5287</v>
      </c>
      <c r="O43" s="559" t="s">
        <v>4935</v>
      </c>
      <c r="P43" s="559" t="s">
        <v>4927</v>
      </c>
      <c r="Q43" s="559">
        <v>1</v>
      </c>
      <c r="AF43" s="567"/>
      <c r="AG43" s="571" t="str" cm="1">
        <f t="array" ref="AG43">IFERROR(INDEX($AH$1:$AH$86,SMALL(IF($AH$1:$AH$86&lt;&gt;"",ROW($AH$1:$AH$86),4^8),ROW(AH42)))&amp;"","")</f>
        <v>戟</v>
      </c>
      <c r="AH43" s="442" t="s">
        <v>5288</v>
      </c>
      <c r="AI43" s="442" t="s">
        <v>5049</v>
      </c>
      <c r="AJ43" s="442" t="s">
        <v>4964</v>
      </c>
      <c r="AK43" s="442" t="s">
        <v>5289</v>
      </c>
      <c r="AL43" s="442" t="s">
        <v>5025</v>
      </c>
      <c r="AM43" s="442">
        <v>6</v>
      </c>
      <c r="AN43" s="442" t="s">
        <v>5246</v>
      </c>
      <c r="AO43" s="578" t="s">
        <v>104</v>
      </c>
      <c r="AP43" s="580" t="s">
        <v>5290</v>
      </c>
      <c r="AQ43" s="580">
        <v>18</v>
      </c>
      <c r="AR43" s="563">
        <v>0</v>
      </c>
      <c r="AS43" s="563">
        <v>65</v>
      </c>
      <c r="AT43" s="563" t="s">
        <v>5277</v>
      </c>
      <c r="AZ43" s="571" t="str" cm="1">
        <f t="array" ref="AZ43">IFERROR(INDEX($AP$1:$AP$43,SMALL(IF($AP$1:$AP$43&lt;&gt;"",ROW($AP$1:$AP$43),4^8),ROW(42:42)))&amp;"","")</f>
        <v/>
      </c>
    </row>
    <row r="44" customHeight="1" spans="1:52">
      <c r="A44" s="554" t="s">
        <v>5291</v>
      </c>
      <c r="B44" s="554" t="s">
        <v>5292</v>
      </c>
      <c r="C44" s="554" t="s">
        <v>5264</v>
      </c>
      <c r="D44" s="554">
        <v>58.5</v>
      </c>
      <c r="E44" s="493"/>
      <c r="F44" s="493"/>
      <c r="G44" s="493"/>
      <c r="H44" s="493"/>
      <c r="I44" s="493"/>
      <c r="K44" s="558" t="str" cm="1">
        <f t="array" ref="K44">IFERROR(INDEX($L$1:$L$45,SMALL(IF($L$1:$L$45&lt;&gt;"",ROW($L$1:$L$45),4^8),ROW($A45:$W45)))&amp;"","")</f>
        <v>通灵板</v>
      </c>
      <c r="L44" s="551" t="str">
        <f>IF(主要!$CO$14="O","指纹采集工具","")</f>
        <v>指纹采集工具</v>
      </c>
      <c r="M44" s="551" t="s">
        <v>116</v>
      </c>
      <c r="N44" s="493" t="s">
        <v>5293</v>
      </c>
      <c r="O44" s="493" t="s">
        <v>5294</v>
      </c>
      <c r="P44" s="551" t="s">
        <v>4927</v>
      </c>
      <c r="Q44" s="551">
        <v>1</v>
      </c>
      <c r="AF44" s="567"/>
      <c r="AG44" s="571" t="str" cm="1">
        <f t="array" ref="AG44">IFERROR(INDEX($AH$1:$AH$86,SMALL(IF($AH$1:$AH$86&lt;&gt;"",ROW($AH$1:$AH$86),4^8),ROW(AH43)))&amp;"","")</f>
        <v>骑枪</v>
      </c>
      <c r="AH44" s="572" t="s">
        <v>5295</v>
      </c>
      <c r="AI44" s="572" t="s">
        <v>4977</v>
      </c>
      <c r="AJ44" s="572" t="s">
        <v>4990</v>
      </c>
      <c r="AK44" s="572" t="s">
        <v>5245</v>
      </c>
      <c r="AL44" s="572" t="s">
        <v>5017</v>
      </c>
      <c r="AM44" s="572">
        <v>3</v>
      </c>
      <c r="AN44" s="572" t="s">
        <v>5296</v>
      </c>
      <c r="AO44" s="577" t="s">
        <v>104</v>
      </c>
      <c r="AZ44" s="571" t="str" cm="1">
        <f t="array" ref="AZ44">IFERROR(INDEX($AP$1:$AP$43,SMALL(IF($AP$1:$AP$43&lt;&gt;"",ROW($AP$1:$AP$43),4^8),ROW(43:43)))&amp;"","")</f>
        <v/>
      </c>
    </row>
    <row r="45" customHeight="1" spans="1:41">
      <c r="A45" s="493" t="s">
        <v>5297</v>
      </c>
      <c r="B45" s="493" t="s">
        <v>5298</v>
      </c>
      <c r="C45" s="493" t="s">
        <v>4950</v>
      </c>
      <c r="D45" s="493">
        <v>55</v>
      </c>
      <c r="E45" s="493"/>
      <c r="F45" s="493"/>
      <c r="G45" s="493"/>
      <c r="H45" s="493"/>
      <c r="I45" s="493"/>
      <c r="K45" s="558" t="str" cm="1">
        <f t="array" ref="K45">IFERROR(INDEX($L$1:$L$45,SMALL(IF($L$1:$L$45&lt;&gt;"",ROW($L$1:$L$45),4^8),ROW($A46:$W46)))&amp;"","")</f>
        <v/>
      </c>
      <c r="L45" s="551" t="str">
        <f>IF(主要!$CO$14="O","通灵板","")</f>
        <v>通灵板</v>
      </c>
      <c r="M45" s="551" t="s">
        <v>121</v>
      </c>
      <c r="N45" s="493" t="s">
        <v>5299</v>
      </c>
      <c r="O45" s="493" t="s">
        <v>5300</v>
      </c>
      <c r="P45" s="551" t="s">
        <v>4974</v>
      </c>
      <c r="Q45" s="551">
        <v>1</v>
      </c>
      <c r="AF45" s="567"/>
      <c r="AG45" s="571" t="str" cm="1">
        <f t="array" ref="AG45">IFERROR(INDEX($AH$1:$AH$86,SMALL(IF($AH$1:$AH$86&lt;&gt;"",ROW($AH$1:$AH$86),4^8),ROW(AH44)))&amp;"","")</f>
        <v>长剑</v>
      </c>
      <c r="AH45" s="442" t="s">
        <v>5301</v>
      </c>
      <c r="AI45" s="442" t="s">
        <v>5189</v>
      </c>
      <c r="AJ45" s="442" t="s">
        <v>4934</v>
      </c>
      <c r="AK45" s="442" t="s">
        <v>5267</v>
      </c>
      <c r="AL45" s="442" t="s">
        <v>5025</v>
      </c>
      <c r="AM45" s="442">
        <v>10</v>
      </c>
      <c r="AN45" s="442" t="s">
        <v>5246</v>
      </c>
      <c r="AO45" s="578" t="s">
        <v>104</v>
      </c>
    </row>
    <row r="46" customHeight="1" spans="1:41">
      <c r="A46" s="554" t="s">
        <v>5302</v>
      </c>
      <c r="B46" s="554" t="s">
        <v>5303</v>
      </c>
      <c r="C46" s="554" t="s">
        <v>5304</v>
      </c>
      <c r="D46" s="554">
        <v>1</v>
      </c>
      <c r="E46" s="493"/>
      <c r="F46" s="493"/>
      <c r="G46" s="493"/>
      <c r="H46" s="493"/>
      <c r="I46" s="493"/>
      <c r="AF46" s="567"/>
      <c r="AG46" s="571" t="str" cm="1">
        <f t="array" ref="AG46">IFERROR(INDEX($AH$1:$AH$86,SMALL(IF($AH$1:$AH$86&lt;&gt;"",ROW($AH$1:$AH$86),4^8),ROW(AH45)))&amp;"","")</f>
        <v>巨锤</v>
      </c>
      <c r="AH46" s="572" t="s">
        <v>5305</v>
      </c>
      <c r="AI46" s="572" t="s">
        <v>4977</v>
      </c>
      <c r="AJ46" s="572" t="s">
        <v>4964</v>
      </c>
      <c r="AK46" s="572" t="s">
        <v>5016</v>
      </c>
      <c r="AL46" s="572" t="s">
        <v>5017</v>
      </c>
      <c r="AM46" s="572">
        <v>4</v>
      </c>
      <c r="AN46" s="572" t="s">
        <v>5296</v>
      </c>
      <c r="AO46" s="577" t="s">
        <v>104</v>
      </c>
    </row>
    <row r="47" customHeight="1" spans="1:41">
      <c r="A47" s="493" t="s">
        <v>5306</v>
      </c>
      <c r="B47" s="493" t="s">
        <v>5307</v>
      </c>
      <c r="C47" s="493" t="s">
        <v>5053</v>
      </c>
      <c r="D47" s="493">
        <v>4</v>
      </c>
      <c r="E47" s="493"/>
      <c r="F47" s="493"/>
      <c r="G47" s="493"/>
      <c r="H47" s="493"/>
      <c r="I47" s="493"/>
      <c r="AF47" s="567"/>
      <c r="AG47" s="571" t="str" cm="1">
        <f t="array" ref="AG47">IFERROR(INDEX($AH$1:$AH$86,SMALL(IF($AH$1:$AH$86&lt;&gt;"",ROW($AH$1:$AH$86),4^8),ROW(AH46)))&amp;"","")</f>
        <v>钉头锤</v>
      </c>
      <c r="AH47" s="442" t="s">
        <v>5308</v>
      </c>
      <c r="AI47" s="442" t="s">
        <v>5049</v>
      </c>
      <c r="AJ47" s="442" t="s">
        <v>4964</v>
      </c>
      <c r="AK47" s="442" t="s">
        <v>5258</v>
      </c>
      <c r="AL47" s="442" t="s">
        <v>4979</v>
      </c>
      <c r="AM47" s="442">
        <v>18</v>
      </c>
      <c r="AN47" s="442" t="s">
        <v>4992</v>
      </c>
      <c r="AO47" s="578" t="s">
        <v>104</v>
      </c>
    </row>
    <row r="48" customHeight="1" spans="1:41">
      <c r="A48" s="554" t="s">
        <v>5309</v>
      </c>
      <c r="B48" s="554" t="s">
        <v>5310</v>
      </c>
      <c r="C48" s="554" t="s">
        <v>4987</v>
      </c>
      <c r="D48" s="554">
        <v>3</v>
      </c>
      <c r="E48" s="493"/>
      <c r="F48" s="493"/>
      <c r="G48" s="493"/>
      <c r="H48" s="493"/>
      <c r="I48" s="493"/>
      <c r="AF48" s="567"/>
      <c r="AG48" s="571" t="str" cm="1">
        <f t="array" ref="AG48">IFERROR(INDEX($AH$1:$AH$86,SMALL(IF($AH$1:$AH$86&lt;&gt;"",ROW($AH$1:$AH$86),4^8),ROW(AH47)))&amp;"","")</f>
        <v>长矛</v>
      </c>
      <c r="AH48" s="572" t="s">
        <v>5311</v>
      </c>
      <c r="AI48" s="572" t="s">
        <v>4977</v>
      </c>
      <c r="AJ48" s="572" t="s">
        <v>4964</v>
      </c>
      <c r="AK48" s="572" t="s">
        <v>5312</v>
      </c>
      <c r="AL48" s="572" t="s">
        <v>3685</v>
      </c>
      <c r="AM48" s="572">
        <v>2</v>
      </c>
      <c r="AN48" s="572" t="s">
        <v>5164</v>
      </c>
      <c r="AO48" s="577" t="str">
        <f>IF(主要!R13&gt;=主要!R14,"力量","敏捷")</f>
        <v>力量</v>
      </c>
    </row>
    <row r="49" customHeight="1" spans="1:41">
      <c r="A49" s="493" t="s">
        <v>5313</v>
      </c>
      <c r="B49" s="493" t="s">
        <v>5314</v>
      </c>
      <c r="C49" s="493" t="s">
        <v>4987</v>
      </c>
      <c r="D49" s="493">
        <v>1</v>
      </c>
      <c r="E49" s="493"/>
      <c r="F49" s="493"/>
      <c r="G49" s="493"/>
      <c r="H49" s="493"/>
      <c r="I49" s="493"/>
      <c r="R49" s="561"/>
      <c r="S49" s="561"/>
      <c r="T49" s="561"/>
      <c r="U49" s="561"/>
      <c r="V49" s="561"/>
      <c r="W49" s="561"/>
      <c r="X49" s="561"/>
      <c r="Y49" s="561"/>
      <c r="AG49" s="571" t="str" cm="1">
        <f t="array" ref="AG49">IFERROR(INDEX($AH$1:$AH$86,SMALL(IF($AH$1:$AH$86&lt;&gt;"",ROW($AH$1:$AH$86),4^8),ROW(AH48)))&amp;"","")</f>
        <v>刺剑</v>
      </c>
      <c r="AH49" s="442" t="s">
        <v>5315</v>
      </c>
      <c r="AI49" s="442" t="s">
        <v>4989</v>
      </c>
      <c r="AJ49" s="442" t="s">
        <v>4990</v>
      </c>
      <c r="AK49" s="442" t="s">
        <v>5129</v>
      </c>
      <c r="AL49" s="442" t="s">
        <v>4966</v>
      </c>
      <c r="AM49" s="442">
        <v>3</v>
      </c>
      <c r="AN49" s="442" t="s">
        <v>5164</v>
      </c>
      <c r="AO49" s="578" t="str">
        <f>IF(主要!R13&gt;=主要!R14,"力量","敏捷")</f>
        <v>力量</v>
      </c>
    </row>
    <row r="50" customHeight="1" spans="1:41">
      <c r="A50" s="554" t="s">
        <v>5316</v>
      </c>
      <c r="B50" s="554" t="s">
        <v>5314</v>
      </c>
      <c r="C50" s="554" t="s">
        <v>4987</v>
      </c>
      <c r="D50" s="554">
        <v>0</v>
      </c>
      <c r="E50" s="493"/>
      <c r="F50" s="493"/>
      <c r="G50" s="493"/>
      <c r="H50" s="493"/>
      <c r="I50" s="493"/>
      <c r="R50" s="562"/>
      <c r="S50" s="561"/>
      <c r="T50" s="561"/>
      <c r="U50" s="561"/>
      <c r="V50" s="561"/>
      <c r="W50" s="561"/>
      <c r="X50" s="561"/>
      <c r="Y50" s="561"/>
      <c r="AG50" s="571" t="str" cm="1">
        <f t="array" ref="AG50">IFERROR(INDEX($AH$1:$AH$86,SMALL(IF($AH$1:$AH$86&lt;&gt;"",ROW($AH$1:$AH$86),4^8),ROW(AH49)))&amp;"","")</f>
        <v>弯刀</v>
      </c>
      <c r="AH50" s="572" t="s">
        <v>5317</v>
      </c>
      <c r="AI50" s="572" t="s">
        <v>4989</v>
      </c>
      <c r="AJ50" s="572" t="s">
        <v>4964</v>
      </c>
      <c r="AK50" s="572" t="s">
        <v>5129</v>
      </c>
      <c r="AL50" s="572" t="s">
        <v>3685</v>
      </c>
      <c r="AM50" s="572">
        <v>2</v>
      </c>
      <c r="AN50" s="572" t="s">
        <v>5246</v>
      </c>
      <c r="AO50" s="577" t="str">
        <f>IF(主要!R13&gt;=主要!R14,"力量","敏捷")</f>
        <v>力量</v>
      </c>
    </row>
    <row r="51" customHeight="1" spans="1:41">
      <c r="A51" s="493" t="s">
        <v>5318</v>
      </c>
      <c r="B51" s="493" t="s">
        <v>5314</v>
      </c>
      <c r="C51" s="493" t="s">
        <v>4987</v>
      </c>
      <c r="D51" s="493">
        <v>2</v>
      </c>
      <c r="E51" s="493"/>
      <c r="F51" s="493"/>
      <c r="G51" s="493"/>
      <c r="H51" s="493"/>
      <c r="I51" s="493"/>
      <c r="N51" s="561"/>
      <c r="R51" s="561"/>
      <c r="S51" s="561"/>
      <c r="T51" s="561"/>
      <c r="U51" s="561"/>
      <c r="V51" s="561"/>
      <c r="W51" s="561"/>
      <c r="X51" s="561"/>
      <c r="Y51" s="561"/>
      <c r="AG51" s="571" t="str" cm="1">
        <f t="array" ref="AG51">IFERROR(INDEX($AH$1:$AH$86,SMALL(IF($AH$1:$AH$86&lt;&gt;"",ROW($AH$1:$AH$86),4^8),ROW(AH50)))&amp;"","")</f>
        <v>短剑</v>
      </c>
      <c r="AH51" s="442" t="s">
        <v>5319</v>
      </c>
      <c r="AI51" s="442" t="s">
        <v>4977</v>
      </c>
      <c r="AJ51" s="442" t="s">
        <v>4964</v>
      </c>
      <c r="AK51" s="442" t="s">
        <v>5320</v>
      </c>
      <c r="AL51" s="442" t="s">
        <v>5025</v>
      </c>
      <c r="AM51" s="442">
        <v>4</v>
      </c>
      <c r="AN51" s="442" t="s">
        <v>4992</v>
      </c>
      <c r="AO51" s="578" t="s">
        <v>104</v>
      </c>
    </row>
    <row r="52" customHeight="1" spans="1:41">
      <c r="A52" s="554" t="s">
        <v>5321</v>
      </c>
      <c r="B52" s="554" t="s">
        <v>5322</v>
      </c>
      <c r="C52" s="554" t="s">
        <v>4927</v>
      </c>
      <c r="D52" s="554">
        <v>1</v>
      </c>
      <c r="E52" s="493"/>
      <c r="F52" s="493"/>
      <c r="G52" s="493"/>
      <c r="H52" s="493"/>
      <c r="I52" s="493"/>
      <c r="N52" s="561"/>
      <c r="O52" s="561"/>
      <c r="P52" s="561"/>
      <c r="Q52" s="561"/>
      <c r="R52" s="562"/>
      <c r="S52" s="561"/>
      <c r="T52" s="561"/>
      <c r="U52" s="561"/>
      <c r="V52" s="561"/>
      <c r="W52" s="561"/>
      <c r="X52" s="561"/>
      <c r="Y52" s="561"/>
      <c r="AG52" s="571" t="str" cm="1">
        <f t="array" ref="AG52">IFERROR(INDEX($AH$1:$AH$86,SMALL(IF($AH$1:$AH$86&lt;&gt;"",ROW($AH$1:$AH$86),4^8),ROW(AH51)))&amp;"","")</f>
        <v>三叉戟</v>
      </c>
      <c r="AH52" s="572" t="s">
        <v>5323</v>
      </c>
      <c r="AI52" s="572" t="s">
        <v>4977</v>
      </c>
      <c r="AJ52" s="572" t="s">
        <v>4964</v>
      </c>
      <c r="AK52" s="572" t="s">
        <v>5245</v>
      </c>
      <c r="AL52" s="572" t="s">
        <v>5017</v>
      </c>
      <c r="AM52" s="572">
        <v>2</v>
      </c>
      <c r="AN52" s="572" t="s">
        <v>4992</v>
      </c>
      <c r="AO52" s="577" t="s">
        <v>104</v>
      </c>
    </row>
    <row r="53" customHeight="1" spans="1:41">
      <c r="A53" s="493" t="s">
        <v>5324</v>
      </c>
      <c r="B53" s="493" t="s">
        <v>5325</v>
      </c>
      <c r="C53" s="493" t="s">
        <v>4987</v>
      </c>
      <c r="D53" s="493">
        <v>25</v>
      </c>
      <c r="E53" s="493"/>
      <c r="F53" s="493"/>
      <c r="G53" s="493"/>
      <c r="H53" s="493"/>
      <c r="I53" s="493"/>
      <c r="N53" s="561"/>
      <c r="O53" s="561"/>
      <c r="P53" s="561"/>
      <c r="Q53" s="561"/>
      <c r="R53" s="561"/>
      <c r="S53" s="561"/>
      <c r="T53" s="561"/>
      <c r="U53" s="561"/>
      <c r="V53" s="561"/>
      <c r="W53" s="561"/>
      <c r="X53" s="561"/>
      <c r="Y53" s="561"/>
      <c r="AG53" s="571" t="str" cm="1">
        <f t="array" ref="AG53">IFERROR(INDEX($AH$1:$AH$86,SMALL(IF($AH$1:$AH$86&lt;&gt;"",ROW($AH$1:$AH$86),4^8),ROW(AH52)))&amp;"","")</f>
        <v>战镐</v>
      </c>
      <c r="AH53" s="442" t="s">
        <v>5326</v>
      </c>
      <c r="AI53" s="442" t="s">
        <v>4977</v>
      </c>
      <c r="AJ53" s="442" t="s">
        <v>4934</v>
      </c>
      <c r="AK53" s="442" t="s">
        <v>5245</v>
      </c>
      <c r="AL53" s="442" t="s">
        <v>4979</v>
      </c>
      <c r="AM53" s="442">
        <v>2</v>
      </c>
      <c r="AN53" s="442" t="s">
        <v>5296</v>
      </c>
      <c r="AO53" s="578" t="s">
        <v>104</v>
      </c>
    </row>
    <row r="54" customHeight="1" spans="1:41">
      <c r="A54" s="554" t="s">
        <v>5327</v>
      </c>
      <c r="B54" s="554" t="s">
        <v>5328</v>
      </c>
      <c r="C54" s="554" t="s">
        <v>4950</v>
      </c>
      <c r="D54" s="554">
        <v>0</v>
      </c>
      <c r="E54" s="493"/>
      <c r="F54" s="493"/>
      <c r="G54" s="493"/>
      <c r="H54" s="493"/>
      <c r="I54" s="493"/>
      <c r="N54" s="561"/>
      <c r="O54" s="561"/>
      <c r="P54" s="561"/>
      <c r="Q54" s="561"/>
      <c r="R54" s="562"/>
      <c r="S54" s="561"/>
      <c r="T54" s="561"/>
      <c r="U54" s="561"/>
      <c r="V54" s="561"/>
      <c r="W54" s="561"/>
      <c r="X54" s="561"/>
      <c r="Y54" s="561"/>
      <c r="AG54" s="571" t="str" cm="1">
        <f t="array" ref="AG54">IFERROR(INDEX($AH$1:$AH$86,SMALL(IF($AH$1:$AH$86&lt;&gt;"",ROW($AH$1:$AH$86),4^8),ROW(AH53)))&amp;"","")</f>
        <v>战锤</v>
      </c>
      <c r="AH54" s="572" t="s">
        <v>5329</v>
      </c>
      <c r="AI54" s="572" t="s">
        <v>4953</v>
      </c>
      <c r="AJ54" s="572" t="s">
        <v>4990</v>
      </c>
      <c r="AK54" s="572" t="s">
        <v>5330</v>
      </c>
      <c r="AL54" s="572" t="s">
        <v>4955</v>
      </c>
      <c r="AM54" s="572">
        <v>3</v>
      </c>
      <c r="AN54" s="572" t="s">
        <v>4967</v>
      </c>
      <c r="AO54" s="577" t="str">
        <f>IF(主要!R13&gt;=主要!R14,"力量","敏捷")</f>
        <v>力量</v>
      </c>
    </row>
    <row r="55" customHeight="1" spans="1:41">
      <c r="A55" s="554" t="s">
        <v>5331</v>
      </c>
      <c r="B55" s="554" t="s">
        <v>5332</v>
      </c>
      <c r="C55" s="554" t="s">
        <v>5304</v>
      </c>
      <c r="D55" s="554">
        <v>0</v>
      </c>
      <c r="E55" s="493"/>
      <c r="F55" s="493"/>
      <c r="G55" s="493"/>
      <c r="H55" s="493"/>
      <c r="I55" s="493"/>
      <c r="N55" s="561"/>
      <c r="O55" s="561"/>
      <c r="P55" s="561"/>
      <c r="Q55" s="561"/>
      <c r="R55" s="561"/>
      <c r="S55" s="561"/>
      <c r="T55" s="561"/>
      <c r="U55" s="561"/>
      <c r="V55" s="561"/>
      <c r="W55" s="561"/>
      <c r="X55" s="561"/>
      <c r="Y55" s="561"/>
      <c r="AG55" s="571" t="str" cm="1">
        <f t="array" ref="AG55">IFERROR(INDEX($AH$1:$AH$86,SMALL(IF($AH$1:$AH$86&lt;&gt;"",ROW($AH$1:$AH$86),4^8),ROW(AH54)))&amp;"","")</f>
        <v>鞭</v>
      </c>
      <c r="AH55" s="442" t="str">
        <f>IF(主要!$CO$11="O","风笛","")</f>
        <v>风笛</v>
      </c>
      <c r="AI55" s="442" t="s">
        <v>4989</v>
      </c>
      <c r="AJ55" s="442" t="s">
        <v>4934</v>
      </c>
      <c r="AK55" s="442" t="s">
        <v>5312</v>
      </c>
      <c r="AL55" s="442" t="s">
        <v>4935</v>
      </c>
      <c r="AM55" s="442">
        <v>0.5</v>
      </c>
      <c r="AN55" s="442" t="s">
        <v>5034</v>
      </c>
      <c r="AO55" s="578" t="str">
        <f>IF(主要!R14&gt;=主要!R15,"力量","敏捷")</f>
        <v>力量</v>
      </c>
    </row>
    <row r="56" customHeight="1" spans="1:41">
      <c r="A56" s="493" t="s">
        <v>5333</v>
      </c>
      <c r="B56" s="493" t="s">
        <v>5334</v>
      </c>
      <c r="C56" s="493" t="s">
        <v>5304</v>
      </c>
      <c r="D56" s="493">
        <v>4</v>
      </c>
      <c r="E56" s="493"/>
      <c r="F56" s="493"/>
      <c r="G56" s="493"/>
      <c r="H56" s="493"/>
      <c r="I56" s="493"/>
      <c r="N56" s="561"/>
      <c r="O56" s="561"/>
      <c r="P56" s="561"/>
      <c r="Q56" s="561"/>
      <c r="R56" s="562"/>
      <c r="S56" s="561"/>
      <c r="T56" s="561"/>
      <c r="U56" s="561"/>
      <c r="V56" s="561"/>
      <c r="W56" s="561"/>
      <c r="X56" s="561"/>
      <c r="Y56" s="561"/>
      <c r="AG56" s="571" t="str" cm="1">
        <f t="array" ref="AG56">IFERROR(INDEX($AH$1:$AH$86,SMALL(IF($AH$1:$AH$86&lt;&gt;"",ROW($AH$1:$AH$86),4^8),ROW(AH55)))&amp;"","")</f>
        <v>风笛</v>
      </c>
      <c r="AH56" s="572" t="str">
        <f>IF(主要!$CO$11="O","制烛人之棒","")</f>
        <v>制烛人之棒</v>
      </c>
      <c r="AI56" s="572" t="s">
        <v>5189</v>
      </c>
      <c r="AJ56" s="572" t="s">
        <v>4934</v>
      </c>
      <c r="AK56" s="572" t="s">
        <v>5335</v>
      </c>
      <c r="AL56" s="572" t="s">
        <v>4935</v>
      </c>
      <c r="AM56" s="572">
        <v>10</v>
      </c>
      <c r="AN56" s="572" t="s">
        <v>5336</v>
      </c>
      <c r="AO56" s="577" t="str">
        <f>IF(主要!R15&gt;=主要!R16,"力量","敏捷")</f>
        <v>力量</v>
      </c>
    </row>
    <row r="57" customHeight="1" spans="1:41">
      <c r="A57" s="554" t="s">
        <v>5337</v>
      </c>
      <c r="B57" s="554" t="s">
        <v>5338</v>
      </c>
      <c r="C57" s="554" t="s">
        <v>5119</v>
      </c>
      <c r="D57" s="554">
        <v>25</v>
      </c>
      <c r="E57" s="493"/>
      <c r="F57" s="493"/>
      <c r="G57" s="493"/>
      <c r="H57" s="493"/>
      <c r="I57" s="493"/>
      <c r="N57" s="561"/>
      <c r="O57" s="561"/>
      <c r="P57" s="561"/>
      <c r="Q57" s="561"/>
      <c r="R57" s="561"/>
      <c r="S57" s="561"/>
      <c r="T57" s="561"/>
      <c r="U57" s="561"/>
      <c r="V57" s="561"/>
      <c r="W57" s="561"/>
      <c r="X57" s="561"/>
      <c r="Y57" s="561"/>
      <c r="AG57" s="571" t="str" cm="1">
        <f t="array" ref="AG57">IFERROR(INDEX($AH$1:$AH$86,SMALL(IF($AH$1:$AH$86&lt;&gt;"",ROW($AH$1:$AH$86),4^8),ROW(AH56)))&amp;"","")</f>
        <v>制烛人之棒</v>
      </c>
      <c r="AH57" s="442" t="str">
        <f>IF(主要!$CO$11="O","蒲公英矛","")</f>
        <v>蒲公英矛</v>
      </c>
      <c r="AI57" s="442" t="s">
        <v>4977</v>
      </c>
      <c r="AJ57" s="442" t="s">
        <v>4964</v>
      </c>
      <c r="AK57" s="442" t="s">
        <v>5339</v>
      </c>
      <c r="AL57" s="442" t="s">
        <v>4935</v>
      </c>
      <c r="AM57" s="442">
        <v>6</v>
      </c>
      <c r="AN57" s="442" t="s">
        <v>4992</v>
      </c>
      <c r="AO57" s="578" t="str">
        <f>IF(主要!R16&gt;=主要!R17,"力量","敏捷")</f>
        <v>力量</v>
      </c>
    </row>
    <row r="58" customHeight="1" spans="1:41">
      <c r="A58" s="493" t="s">
        <v>5340</v>
      </c>
      <c r="B58" s="493" t="s">
        <v>5341</v>
      </c>
      <c r="C58" s="493" t="s">
        <v>5110</v>
      </c>
      <c r="D58" s="493">
        <v>1</v>
      </c>
      <c r="E58" s="493"/>
      <c r="F58" s="493"/>
      <c r="G58" s="493"/>
      <c r="H58" s="493"/>
      <c r="I58" s="493"/>
      <c r="N58" s="561"/>
      <c r="O58" s="561"/>
      <c r="P58" s="561"/>
      <c r="Q58" s="561"/>
      <c r="R58" s="562"/>
      <c r="S58" s="561"/>
      <c r="T58" s="561"/>
      <c r="U58" s="561"/>
      <c r="V58" s="561"/>
      <c r="W58" s="561"/>
      <c r="X58" s="561"/>
      <c r="Y58" s="561"/>
      <c r="AG58" s="571" t="str" cm="1">
        <f t="array" ref="AG58">IFERROR(INDEX($AH$1:$AH$86,SMALL(IF($AH$1:$AH$86&lt;&gt;"",ROW($AH$1:$AH$86),4^8),ROW(AH57)))&amp;"","")</f>
        <v>蒲公英矛</v>
      </c>
      <c r="AH58" s="572" t="str">
        <f>IF(主要!$CO$11="O","传动轴","")</f>
        <v>传动轴</v>
      </c>
      <c r="AI58" s="572" t="s">
        <v>5342</v>
      </c>
      <c r="AJ58" s="572" t="s">
        <v>4934</v>
      </c>
      <c r="AK58" s="572" t="s">
        <v>5267</v>
      </c>
      <c r="AL58" s="572" t="s">
        <v>4935</v>
      </c>
      <c r="AM58" s="572">
        <v>20</v>
      </c>
      <c r="AN58" s="572" t="s">
        <v>5226</v>
      </c>
      <c r="AO58" s="577" t="str">
        <f>IF(主要!R17&gt;=主要!R18,"力量","敏捷")</f>
        <v>力量</v>
      </c>
    </row>
    <row r="59" customHeight="1" spans="1:41">
      <c r="A59" s="554" t="s">
        <v>5343</v>
      </c>
      <c r="B59" s="554" t="s">
        <v>5344</v>
      </c>
      <c r="C59" s="554" t="s">
        <v>4950</v>
      </c>
      <c r="D59" s="554">
        <v>2</v>
      </c>
      <c r="E59" s="493"/>
      <c r="F59" s="493"/>
      <c r="G59" s="493"/>
      <c r="H59" s="493"/>
      <c r="I59" s="493"/>
      <c r="N59" s="561"/>
      <c r="O59" s="561"/>
      <c r="P59" s="561"/>
      <c r="Q59" s="561"/>
      <c r="R59" s="561"/>
      <c r="S59" s="561"/>
      <c r="T59" s="561"/>
      <c r="U59" s="561"/>
      <c r="V59" s="561"/>
      <c r="W59" s="561"/>
      <c r="X59" s="561"/>
      <c r="Y59" s="561"/>
      <c r="AG59" s="571" t="str" cm="1">
        <f t="array" ref="AG59">IFERROR(INDEX($AH$1:$AH$86,SMALL(IF($AH$1:$AH$86&lt;&gt;"",ROW($AH$1:$AH$86),4^8),ROW(AH58)))&amp;"","")</f>
        <v>传动轴</v>
      </c>
      <c r="AH59" s="442" t="str">
        <f>IF(主要!$CO$11="O","隆隆匕首","")</f>
        <v>隆隆匕首</v>
      </c>
      <c r="AI59" s="442" t="s">
        <v>4989</v>
      </c>
      <c r="AJ59" s="442" t="s">
        <v>4990</v>
      </c>
      <c r="AK59" s="442" t="s">
        <v>5345</v>
      </c>
      <c r="AL59" s="442" t="s">
        <v>4935</v>
      </c>
      <c r="AM59" s="442">
        <v>1</v>
      </c>
      <c r="AN59" s="442" t="s">
        <v>5296</v>
      </c>
      <c r="AO59" s="578" t="str">
        <f>IF(主要!R18&gt;=主要!R19,"力量","敏捷")</f>
        <v>力量</v>
      </c>
    </row>
    <row r="60" customHeight="1" spans="1:41">
      <c r="A60" s="493" t="s">
        <v>5346</v>
      </c>
      <c r="B60" s="493" t="s">
        <v>5347</v>
      </c>
      <c r="C60" s="493" t="s">
        <v>4987</v>
      </c>
      <c r="D60" s="493">
        <v>2</v>
      </c>
      <c r="E60" s="493"/>
      <c r="F60" s="493"/>
      <c r="G60" s="493"/>
      <c r="H60" s="493"/>
      <c r="I60" s="493"/>
      <c r="N60" s="561"/>
      <c r="O60" s="561"/>
      <c r="P60" s="561"/>
      <c r="Q60" s="561"/>
      <c r="R60" s="562"/>
      <c r="S60" s="561"/>
      <c r="T60" s="561"/>
      <c r="U60" s="561"/>
      <c r="V60" s="561"/>
      <c r="W60" s="561"/>
      <c r="X60" s="561"/>
      <c r="Y60" s="561"/>
      <c r="AG60" s="571" t="str" cm="1">
        <f t="array" ref="AG60">IFERROR(INDEX($AH$1:$AH$86,SMALL(IF($AH$1:$AH$86&lt;&gt;"",ROW($AH$1:$AH$86),4^8),ROW(AH59)))&amp;"","")</f>
        <v>隆隆匕首</v>
      </c>
      <c r="AH60" s="572" t="str">
        <f>IF(主要!$CO$11="O","秘石剑","")</f>
        <v>秘石剑</v>
      </c>
      <c r="AI60" s="572" t="s">
        <v>4989</v>
      </c>
      <c r="AJ60" s="572" t="s">
        <v>4934</v>
      </c>
      <c r="AK60" s="572" t="s">
        <v>5348</v>
      </c>
      <c r="AL60" s="572" t="s">
        <v>4935</v>
      </c>
      <c r="AM60" s="572">
        <v>1</v>
      </c>
      <c r="AN60" s="572" t="s">
        <v>5268</v>
      </c>
      <c r="AO60" s="577" t="s">
        <v>104</v>
      </c>
    </row>
    <row r="61" customHeight="1" spans="1:41">
      <c r="A61" s="554" t="s">
        <v>5349</v>
      </c>
      <c r="B61" s="554" t="s">
        <v>5350</v>
      </c>
      <c r="C61" s="554" t="s">
        <v>4950</v>
      </c>
      <c r="D61" s="554">
        <v>1</v>
      </c>
      <c r="E61" s="493"/>
      <c r="F61" s="493"/>
      <c r="G61" s="493"/>
      <c r="H61" s="493"/>
      <c r="I61" s="493"/>
      <c r="N61" s="561"/>
      <c r="O61" s="561"/>
      <c r="P61" s="561"/>
      <c r="Q61" s="561"/>
      <c r="R61" s="561"/>
      <c r="S61" s="561"/>
      <c r="T61" s="561"/>
      <c r="U61" s="561"/>
      <c r="V61" s="561"/>
      <c r="W61" s="561"/>
      <c r="X61" s="561"/>
      <c r="Y61" s="561"/>
      <c r="AG61" s="571" t="str" cm="1">
        <f t="array" ref="AG61">IFERROR(INDEX($AH$1:$AH$86,SMALL(IF($AH$1:$AH$86&lt;&gt;"",ROW($AH$1:$AH$86),4^8),ROW(AH60)))&amp;"","")</f>
        <v>秘石剑</v>
      </c>
      <c r="AH61" s="442" t="str">
        <f>IF(主要!$CO$11="O","牧羊钩","")</f>
        <v>牧羊钩</v>
      </c>
      <c r="AI61" s="442" t="s">
        <v>4989</v>
      </c>
      <c r="AJ61" s="442" t="s">
        <v>4934</v>
      </c>
      <c r="AK61" s="442" t="s">
        <v>5351</v>
      </c>
      <c r="AL61" s="442" t="s">
        <v>4935</v>
      </c>
      <c r="AM61" s="442">
        <v>4</v>
      </c>
      <c r="AN61" s="442" t="s">
        <v>5336</v>
      </c>
      <c r="AO61" s="578" t="s">
        <v>104</v>
      </c>
    </row>
    <row r="62" customHeight="1" spans="1:41">
      <c r="A62" s="493" t="s">
        <v>5352</v>
      </c>
      <c r="B62" s="493" t="s">
        <v>5353</v>
      </c>
      <c r="C62" s="493" t="s">
        <v>5354</v>
      </c>
      <c r="D62" s="493">
        <v>0</v>
      </c>
      <c r="E62" s="493"/>
      <c r="F62" s="493"/>
      <c r="G62" s="493"/>
      <c r="H62" s="493"/>
      <c r="I62" s="493"/>
      <c r="N62" s="561"/>
      <c r="O62" s="561"/>
      <c r="P62" s="561"/>
      <c r="Q62" s="561"/>
      <c r="R62" s="562"/>
      <c r="S62" s="561"/>
      <c r="T62" s="561"/>
      <c r="U62" s="561"/>
      <c r="V62" s="561"/>
      <c r="W62" s="561"/>
      <c r="X62" s="561"/>
      <c r="Y62" s="561"/>
      <c r="AG62" s="571" t="str" cm="1">
        <f t="array" ref="AG62">IFERROR(INDEX($AH$1:$AH$86,SMALL(IF($AH$1:$AH$86&lt;&gt;"",ROW($AH$1:$AH$86),4^8),ROW(AH61)))&amp;"","")</f>
        <v>牧羊钩</v>
      </c>
      <c r="AH62" s="572" t="str">
        <f>IF(主要!$CO$11="O","沙袋锤","")</f>
        <v>沙袋锤</v>
      </c>
      <c r="AI62" s="572" t="s">
        <v>4989</v>
      </c>
      <c r="AJ62" s="572" t="s">
        <v>4934</v>
      </c>
      <c r="AK62" s="572" t="s">
        <v>5355</v>
      </c>
      <c r="AL62" s="572" t="s">
        <v>4935</v>
      </c>
      <c r="AM62" s="572">
        <v>5</v>
      </c>
      <c r="AN62" s="572" t="s">
        <v>5034</v>
      </c>
      <c r="AO62" s="577" t="s">
        <v>104</v>
      </c>
    </row>
    <row r="63" customHeight="1" spans="1:41">
      <c r="A63" s="554" t="s">
        <v>5356</v>
      </c>
      <c r="B63" s="554" t="s">
        <v>5357</v>
      </c>
      <c r="C63" s="554" t="s">
        <v>5053</v>
      </c>
      <c r="D63" s="554">
        <v>6</v>
      </c>
      <c r="E63" s="493"/>
      <c r="F63" s="493"/>
      <c r="G63" s="493"/>
      <c r="H63" s="493"/>
      <c r="I63" s="493"/>
      <c r="N63" s="561"/>
      <c r="O63" s="561"/>
      <c r="P63" s="561"/>
      <c r="Q63" s="561"/>
      <c r="R63" s="561"/>
      <c r="S63" s="561"/>
      <c r="T63" s="561"/>
      <c r="U63" s="561"/>
      <c r="V63" s="561"/>
      <c r="W63" s="561"/>
      <c r="X63" s="561"/>
      <c r="Y63" s="561"/>
      <c r="AG63" s="571" t="str" cm="1">
        <f t="array" ref="AG63">IFERROR(INDEX($AH$1:$AH$86,SMALL(IF($AH$1:$AH$86&lt;&gt;"",ROW($AH$1:$AH$86),4^8),ROW(AH62)))&amp;"","")</f>
        <v>沙袋锤</v>
      </c>
      <c r="AH63" s="442" t="str">
        <f>IF(主要!$CO$11="O","脊骨剑","")</f>
        <v>脊骨剑</v>
      </c>
      <c r="AI63" s="442" t="s">
        <v>4977</v>
      </c>
      <c r="AJ63" s="442" t="s">
        <v>4964</v>
      </c>
      <c r="AK63" s="442" t="s">
        <v>368</v>
      </c>
      <c r="AL63" s="442" t="s">
        <v>4935</v>
      </c>
      <c r="AM63" s="442">
        <v>1</v>
      </c>
      <c r="AN63" s="442" t="s">
        <v>5358</v>
      </c>
      <c r="AO63" s="578" t="s">
        <v>104</v>
      </c>
    </row>
    <row r="64" customHeight="1" spans="1:41">
      <c r="A64" s="493" t="s">
        <v>4973</v>
      </c>
      <c r="B64" s="493" t="s">
        <v>5359</v>
      </c>
      <c r="C64" s="493" t="s">
        <v>4946</v>
      </c>
      <c r="D64" s="493">
        <v>0</v>
      </c>
      <c r="E64" s="493"/>
      <c r="F64" s="493"/>
      <c r="G64" s="493"/>
      <c r="H64" s="493"/>
      <c r="I64" s="493"/>
      <c r="N64" s="561"/>
      <c r="O64" s="561"/>
      <c r="P64" s="561"/>
      <c r="Q64" s="561"/>
      <c r="R64" s="562"/>
      <c r="S64" s="561"/>
      <c r="T64" s="561"/>
      <c r="U64" s="561"/>
      <c r="V64" s="561"/>
      <c r="W64" s="561"/>
      <c r="X64" s="561"/>
      <c r="Y64" s="561"/>
      <c r="AG64" s="571" t="str" cm="1">
        <f t="array" ref="AG64">IFERROR(INDEX($AH$1:$AH$86,SMALL(IF($AH$1:$AH$86&lt;&gt;"",ROW($AH$1:$AH$86),4^8),ROW(AH63)))&amp;"","")</f>
        <v>脊骨剑</v>
      </c>
      <c r="AH64" s="572" t="str">
        <f>IF(主要!$CO$11="O","跳马斧","")</f>
        <v>跳马斧</v>
      </c>
      <c r="AI64" s="572" t="s">
        <v>5049</v>
      </c>
      <c r="AJ64" s="572" t="s">
        <v>4990</v>
      </c>
      <c r="AK64" s="572" t="s">
        <v>5360</v>
      </c>
      <c r="AL64" s="572" t="s">
        <v>4935</v>
      </c>
      <c r="AM64" s="572">
        <v>15</v>
      </c>
      <c r="AN64" s="572" t="s">
        <v>4992</v>
      </c>
      <c r="AO64" s="577" t="s">
        <v>104</v>
      </c>
    </row>
    <row r="65" customHeight="1" spans="1:41">
      <c r="A65" s="496" t="s">
        <v>5361</v>
      </c>
      <c r="B65" s="496" t="s">
        <v>5362</v>
      </c>
      <c r="C65" s="496" t="s">
        <v>4987</v>
      </c>
      <c r="D65" s="496">
        <v>0</v>
      </c>
      <c r="E65" s="493"/>
      <c r="F65" s="493"/>
      <c r="G65" s="493"/>
      <c r="H65" s="493"/>
      <c r="I65" s="493"/>
      <c r="N65" s="561"/>
      <c r="O65" s="561"/>
      <c r="P65" s="561"/>
      <c r="Q65" s="561"/>
      <c r="R65" s="561"/>
      <c r="S65" s="561"/>
      <c r="T65" s="561"/>
      <c r="U65" s="561"/>
      <c r="V65" s="561"/>
      <c r="W65" s="561"/>
      <c r="X65" s="561"/>
      <c r="Y65" s="561"/>
      <c r="AG65" s="571" t="str" cm="1">
        <f t="array" ref="AG65">IFERROR(INDEX($AH$1:$AH$86,SMALL(IF($AH$1:$AH$86&lt;&gt;"",ROW($AH$1:$AH$86),4^8),ROW(AH64)))&amp;"","")</f>
        <v>跳马斧</v>
      </c>
      <c r="AH65" s="442" t="str">
        <f>IF(主要!$CO$11="O","野矛","")</f>
        <v>野矛</v>
      </c>
      <c r="AI65" s="442" t="s">
        <v>4989</v>
      </c>
      <c r="AJ65" s="442" t="s">
        <v>4990</v>
      </c>
      <c r="AK65" s="442" t="s">
        <v>5363</v>
      </c>
      <c r="AL65" s="442" t="s">
        <v>4935</v>
      </c>
      <c r="AM65" s="442">
        <v>1</v>
      </c>
      <c r="AN65" s="442" t="s">
        <v>4967</v>
      </c>
      <c r="AO65" s="578" t="s">
        <v>104</v>
      </c>
    </row>
    <row r="66" customHeight="1" spans="1:41">
      <c r="A66" s="493" t="s">
        <v>5364</v>
      </c>
      <c r="B66" s="493" t="s">
        <v>5365</v>
      </c>
      <c r="C66" s="493" t="s">
        <v>4946</v>
      </c>
      <c r="D66" s="493">
        <v>3</v>
      </c>
      <c r="E66" s="493"/>
      <c r="F66" s="493"/>
      <c r="G66" s="493"/>
      <c r="H66" s="493"/>
      <c r="I66" s="493"/>
      <c r="N66" s="561"/>
      <c r="O66" s="561"/>
      <c r="P66" s="561"/>
      <c r="Q66" s="561"/>
      <c r="R66" s="562"/>
      <c r="S66" s="561"/>
      <c r="T66" s="561"/>
      <c r="U66" s="561"/>
      <c r="V66" s="561"/>
      <c r="W66" s="561"/>
      <c r="X66" s="561"/>
      <c r="Y66" s="561"/>
      <c r="AG66" s="571" t="str" cm="1">
        <f t="array" ref="AG66">IFERROR(INDEX($AH$1:$AH$86,SMALL(IF($AH$1:$AH$86&lt;&gt;"",ROW($AH$1:$AH$86),4^8),ROW(AH65)))&amp;"","")</f>
        <v>野矛</v>
      </c>
      <c r="AH66" s="442" t="s">
        <v>5366</v>
      </c>
      <c r="AI66" s="442"/>
      <c r="AJ66" s="442"/>
      <c r="AK66" s="442"/>
      <c r="AL66" s="442"/>
      <c r="AM66" s="442"/>
      <c r="AN66" s="442"/>
      <c r="AO66" s="442"/>
    </row>
    <row r="67" customHeight="1" spans="1:41">
      <c r="A67" s="496" t="s">
        <v>5367</v>
      </c>
      <c r="B67" s="496" t="s">
        <v>5368</v>
      </c>
      <c r="C67" s="496" t="s">
        <v>5119</v>
      </c>
      <c r="D67" s="496">
        <v>1</v>
      </c>
      <c r="E67" s="493"/>
      <c r="F67" s="493"/>
      <c r="G67" s="493"/>
      <c r="H67" s="493"/>
      <c r="I67" s="493"/>
      <c r="N67" s="561"/>
      <c r="O67" s="561"/>
      <c r="P67" s="561"/>
      <c r="Q67" s="561"/>
      <c r="R67" s="561"/>
      <c r="S67" s="561"/>
      <c r="T67" s="561"/>
      <c r="U67" s="561"/>
      <c r="V67" s="561"/>
      <c r="W67" s="561"/>
      <c r="X67" s="561"/>
      <c r="Y67" s="561"/>
      <c r="AG67" s="571" t="str" cm="1">
        <f t="array" ref="AG67">IFERROR(INDEX($AH$1:$AH$86,SMALL(IF($AH$1:$AH$86&lt;&gt;"",ROW($AH$1:$AH$86),4^8),ROW(AH66)))&amp;"","")</f>
        <v>—军用远程—</v>
      </c>
      <c r="AH67" s="572" t="s">
        <v>5369</v>
      </c>
      <c r="AI67" s="572">
        <v>1</v>
      </c>
      <c r="AJ67" s="572" t="s">
        <v>4964</v>
      </c>
      <c r="AK67" s="572" t="s">
        <v>5370</v>
      </c>
      <c r="AL67" s="572" t="s">
        <v>3685</v>
      </c>
      <c r="AM67" s="572">
        <v>1</v>
      </c>
      <c r="AN67" s="572" t="s">
        <v>5246</v>
      </c>
      <c r="AO67" s="577" t="s">
        <v>109</v>
      </c>
    </row>
    <row r="68" customHeight="1" spans="1:41">
      <c r="A68" s="493" t="s">
        <v>5371</v>
      </c>
      <c r="B68" s="493" t="s">
        <v>5372</v>
      </c>
      <c r="C68" s="493" t="s">
        <v>5373</v>
      </c>
      <c r="D68" s="493">
        <v>0</v>
      </c>
      <c r="E68" s="493"/>
      <c r="F68" s="493"/>
      <c r="G68" s="493"/>
      <c r="H68" s="493"/>
      <c r="I68" s="493"/>
      <c r="N68" s="561"/>
      <c r="O68" s="561"/>
      <c r="P68" s="561"/>
      <c r="Q68" s="561"/>
      <c r="R68" s="561"/>
      <c r="S68" s="561"/>
      <c r="T68" s="561"/>
      <c r="U68" s="561"/>
      <c r="V68" s="561"/>
      <c r="W68" s="561"/>
      <c r="X68" s="561"/>
      <c r="Y68" s="561"/>
      <c r="AG68" s="571" t="str" cm="1">
        <f t="array" ref="AG68">IFERROR(INDEX($AH$1:$AH$86,SMALL(IF($AH$1:$AH$86&lt;&gt;"",ROW($AH$1:$AH$86),4^8),ROW(AH67)))&amp;"","")</f>
        <v>吹箭筒</v>
      </c>
      <c r="AH68" s="442" t="s">
        <v>5374</v>
      </c>
      <c r="AI68" s="442" t="s">
        <v>4989</v>
      </c>
      <c r="AJ68" s="442" t="s">
        <v>4964</v>
      </c>
      <c r="AK68" s="442" t="s">
        <v>5375</v>
      </c>
      <c r="AL68" s="442" t="s">
        <v>3685</v>
      </c>
      <c r="AM68" s="442">
        <v>3</v>
      </c>
      <c r="AN68" s="442" t="s">
        <v>5210</v>
      </c>
      <c r="AO68" s="578" t="s">
        <v>109</v>
      </c>
    </row>
    <row r="69" customHeight="1" spans="1:41">
      <c r="A69" s="496" t="s">
        <v>5376</v>
      </c>
      <c r="B69" s="496" t="s">
        <v>5377</v>
      </c>
      <c r="C69" s="496" t="s">
        <v>5119</v>
      </c>
      <c r="D69" s="496">
        <v>0</v>
      </c>
      <c r="E69" s="493"/>
      <c r="F69" s="493"/>
      <c r="G69" s="493"/>
      <c r="H69" s="493"/>
      <c r="I69" s="493"/>
      <c r="N69" s="561"/>
      <c r="O69" s="561"/>
      <c r="P69" s="561"/>
      <c r="Q69" s="561"/>
      <c r="AG69" s="571" t="str" cm="1">
        <f t="array" ref="AG69">IFERROR(INDEX($AH$1:$AH$86,SMALL(IF($AH$1:$AH$86&lt;&gt;"",ROW($AH$1:$AH$86),4^8),ROW(AH68)))&amp;"","")</f>
        <v>手弩</v>
      </c>
      <c r="AH69" s="572" t="s">
        <v>5378</v>
      </c>
      <c r="AI69" s="572" t="s">
        <v>5049</v>
      </c>
      <c r="AJ69" s="572" t="s">
        <v>4964</v>
      </c>
      <c r="AK69" s="572" t="s">
        <v>5379</v>
      </c>
      <c r="AL69" s="572" t="s">
        <v>4979</v>
      </c>
      <c r="AM69" s="572">
        <v>18</v>
      </c>
      <c r="AN69" s="572" t="s">
        <v>5275</v>
      </c>
      <c r="AO69" s="577" t="s">
        <v>109</v>
      </c>
    </row>
    <row r="70" customHeight="1" spans="1:41">
      <c r="A70" s="493" t="s">
        <v>5380</v>
      </c>
      <c r="B70" s="493" t="s">
        <v>5381</v>
      </c>
      <c r="C70" s="493" t="s">
        <v>4987</v>
      </c>
      <c r="D70" s="493">
        <v>0</v>
      </c>
      <c r="E70" s="493"/>
      <c r="F70" s="493"/>
      <c r="G70" s="493"/>
      <c r="H70" s="493"/>
      <c r="I70" s="493"/>
      <c r="N70" s="561"/>
      <c r="O70" s="561"/>
      <c r="P70" s="561"/>
      <c r="Q70" s="561"/>
      <c r="AG70" s="571" t="str" cm="1">
        <f t="array" ref="AG70">IFERROR(INDEX($AH$1:$AH$86,SMALL(IF($AH$1:$AH$86&lt;&gt;"",ROW($AH$1:$AH$86),4^8),ROW(AH69)))&amp;"","")</f>
        <v>重弩</v>
      </c>
      <c r="AH70" s="442" t="s">
        <v>5382</v>
      </c>
      <c r="AI70" s="442" t="s">
        <v>4977</v>
      </c>
      <c r="AJ70" s="442" t="s">
        <v>4964</v>
      </c>
      <c r="AK70" s="442" t="s">
        <v>5383</v>
      </c>
      <c r="AL70" s="442" t="s">
        <v>4955</v>
      </c>
      <c r="AM70" s="442">
        <v>2</v>
      </c>
      <c r="AN70" s="442" t="s">
        <v>5275</v>
      </c>
      <c r="AO70" s="578" t="s">
        <v>109</v>
      </c>
    </row>
    <row r="71" customHeight="1" spans="1:41">
      <c r="A71" s="496" t="s">
        <v>5281</v>
      </c>
      <c r="B71" s="496" t="s">
        <v>5384</v>
      </c>
      <c r="C71" s="496" t="s">
        <v>5354</v>
      </c>
      <c r="D71" s="496">
        <v>0</v>
      </c>
      <c r="E71" s="493"/>
      <c r="F71" s="493"/>
      <c r="G71" s="493"/>
      <c r="H71" s="493"/>
      <c r="I71" s="493"/>
      <c r="N71" s="561"/>
      <c r="O71" s="561"/>
      <c r="P71" s="561"/>
      <c r="Q71" s="561"/>
      <c r="AG71" s="571" t="str" cm="1">
        <f t="array" ref="AG71">IFERROR(INDEX($AH$1:$AH$86,SMALL(IF($AH$1:$AH$86&lt;&gt;"",ROW($AH$1:$AH$86),4^8),ROW(AH70)))&amp;"","")</f>
        <v>长弓</v>
      </c>
      <c r="AH71" s="572" t="s">
        <v>5385</v>
      </c>
      <c r="AI71" s="572" t="s">
        <v>5266</v>
      </c>
      <c r="AJ71" s="572" t="s">
        <v>4964</v>
      </c>
      <c r="AK71" s="572" t="s">
        <v>5386</v>
      </c>
      <c r="AL71" s="572" t="s">
        <v>4955</v>
      </c>
      <c r="AM71" s="572">
        <v>10</v>
      </c>
      <c r="AN71" s="572" t="s">
        <v>5387</v>
      </c>
      <c r="AO71" s="577" t="s">
        <v>109</v>
      </c>
    </row>
    <row r="72" customHeight="1" spans="1:41">
      <c r="A72" s="493" t="s">
        <v>5388</v>
      </c>
      <c r="B72" s="493" t="s">
        <v>5389</v>
      </c>
      <c r="C72" s="493" t="s">
        <v>5140</v>
      </c>
      <c r="D72" s="493">
        <v>7</v>
      </c>
      <c r="E72" s="493"/>
      <c r="F72" s="493"/>
      <c r="G72" s="493"/>
      <c r="H72" s="493"/>
      <c r="I72" s="493"/>
      <c r="AG72" s="571" t="str" cm="1">
        <f t="array" ref="AG72">IFERROR(INDEX($AH$1:$AH$86,SMALL(IF($AH$1:$AH$86&lt;&gt;"",ROW($AH$1:$AH$86),4^8),ROW(AH71)))&amp;"","")</f>
        <v>火铳</v>
      </c>
      <c r="AH72" s="442" t="s">
        <v>5390</v>
      </c>
      <c r="AI72" s="442" t="s">
        <v>5049</v>
      </c>
      <c r="AJ72" s="442" t="s">
        <v>4964</v>
      </c>
      <c r="AK72" s="442" t="s">
        <v>5391</v>
      </c>
      <c r="AL72" s="442" t="s">
        <v>3685</v>
      </c>
      <c r="AM72" s="442">
        <v>3</v>
      </c>
      <c r="AN72" s="442" t="s">
        <v>5392</v>
      </c>
      <c r="AO72" s="578" t="s">
        <v>109</v>
      </c>
    </row>
    <row r="73" customHeight="1" spans="1:41">
      <c r="A73" s="496" t="s">
        <v>5393</v>
      </c>
      <c r="B73" s="496" t="s">
        <v>5394</v>
      </c>
      <c r="C73" s="496" t="s">
        <v>5053</v>
      </c>
      <c r="D73" s="496">
        <v>10</v>
      </c>
      <c r="E73" s="493"/>
      <c r="F73" s="493"/>
      <c r="G73" s="493"/>
      <c r="H73" s="493"/>
      <c r="I73" s="493"/>
      <c r="AG73" s="571" t="str" cm="1">
        <f t="array" ref="AG73">IFERROR(INDEX($AH$1:$AH$86,SMALL(IF($AH$1:$AH$86&lt;&gt;"",ROW($AH$1:$AH$86),4^8),ROW(AH72)))&amp;"","")</f>
        <v>手铳</v>
      </c>
      <c r="AH73" s="496" t="str">
        <f>IF(主要!$CO$12="O","喇叭铳","")</f>
        <v>喇叭铳</v>
      </c>
      <c r="AI73" s="496" t="s">
        <v>5266</v>
      </c>
      <c r="AJ73" s="496" t="s">
        <v>4964</v>
      </c>
      <c r="AK73" s="496" t="s">
        <v>5395</v>
      </c>
      <c r="AL73" s="496" t="s">
        <v>5191</v>
      </c>
      <c r="AM73" s="496">
        <v>15</v>
      </c>
      <c r="AN73" s="496" t="s">
        <v>5396</v>
      </c>
      <c r="AO73" s="577" t="s">
        <v>109</v>
      </c>
    </row>
    <row r="74" customHeight="1" spans="1:41">
      <c r="A74" s="493" t="s">
        <v>5397</v>
      </c>
      <c r="B74" s="493" t="s">
        <v>5398</v>
      </c>
      <c r="C74" s="493" t="s">
        <v>4931</v>
      </c>
      <c r="D74" s="493">
        <v>0.5</v>
      </c>
      <c r="E74" s="493"/>
      <c r="F74" s="493"/>
      <c r="G74" s="493"/>
      <c r="H74" s="493"/>
      <c r="I74" s="493"/>
      <c r="AG74" s="571" t="str" cm="1">
        <f t="array" ref="AG74">IFERROR(INDEX($AH$1:$AH$86,SMALL(IF($AH$1:$AH$86&lt;&gt;"",ROW($AH$1:$AH$86),4^8),ROW(AH73)))&amp;"","")</f>
        <v>喇叭铳</v>
      </c>
      <c r="AH74" s="493" t="str">
        <f>IF(主要!$CO$12="O","火铳","")</f>
        <v>火铳</v>
      </c>
      <c r="AI74" s="493" t="s">
        <v>5266</v>
      </c>
      <c r="AJ74" s="493" t="s">
        <v>4964</v>
      </c>
      <c r="AK74" s="493" t="s">
        <v>5399</v>
      </c>
      <c r="AL74" s="493" t="s">
        <v>4955</v>
      </c>
      <c r="AM74" s="493">
        <v>10</v>
      </c>
      <c r="AN74" s="493" t="s">
        <v>5387</v>
      </c>
      <c r="AO74" s="578" t="s">
        <v>109</v>
      </c>
    </row>
    <row r="75" customHeight="1" spans="1:41">
      <c r="A75" s="496" t="s">
        <v>5400</v>
      </c>
      <c r="B75" s="496" t="s">
        <v>5401</v>
      </c>
      <c r="C75" s="496" t="s">
        <v>5110</v>
      </c>
      <c r="D75" s="496">
        <v>1</v>
      </c>
      <c r="E75" s="493"/>
      <c r="F75" s="493"/>
      <c r="G75" s="493"/>
      <c r="H75" s="493"/>
      <c r="I75" s="493"/>
      <c r="AG75" s="571" t="str" cm="1">
        <f t="array" ref="AG75">IFERROR(INDEX($AH$1:$AH$86,SMALL(IF($AH$1:$AH$86&lt;&gt;"",ROW($AH$1:$AH$86),4^8),ROW(AH74)))&amp;"","")</f>
        <v>火铳</v>
      </c>
      <c r="AH75" s="496" t="str">
        <f>IF(主要!$CO$12="O","手铳","")</f>
        <v>手铳</v>
      </c>
      <c r="AI75" s="496" t="s">
        <v>5049</v>
      </c>
      <c r="AJ75" s="496" t="s">
        <v>4964</v>
      </c>
      <c r="AK75" s="496" t="s">
        <v>5402</v>
      </c>
      <c r="AL75" s="496" t="s">
        <v>3685</v>
      </c>
      <c r="AM75" s="496">
        <v>3</v>
      </c>
      <c r="AN75" s="496" t="s">
        <v>5392</v>
      </c>
      <c r="AO75" s="577" t="s">
        <v>109</v>
      </c>
    </row>
    <row r="76" customHeight="1" spans="1:41">
      <c r="A76" s="493" t="s">
        <v>5403</v>
      </c>
      <c r="B76" s="493" t="s">
        <v>5404</v>
      </c>
      <c r="C76" s="493" t="s">
        <v>5405</v>
      </c>
      <c r="D76" s="493">
        <v>29</v>
      </c>
      <c r="E76" s="493"/>
      <c r="F76" s="493"/>
      <c r="G76" s="493"/>
      <c r="H76" s="493"/>
      <c r="I76" s="493"/>
      <c r="AG76" s="571" t="str" cm="1">
        <f t="array" ref="AG76">IFERROR(INDEX($AH$1:$AH$86,SMALL(IF($AH$1:$AH$86&lt;&gt;"",ROW($AH$1:$AH$86),4^8),ROW(AH75)))&amp;"","")</f>
        <v>手铳</v>
      </c>
      <c r="AH76" s="493" t="str">
        <f>IF(主要!$CO$12="O","加农炮","")</f>
        <v>加农炮</v>
      </c>
      <c r="AI76" s="493" t="s">
        <v>5406</v>
      </c>
      <c r="AJ76" s="493" t="s">
        <v>5087</v>
      </c>
      <c r="AK76" s="493" t="s">
        <v>5407</v>
      </c>
      <c r="AL76" s="493" t="s">
        <v>5408</v>
      </c>
      <c r="AM76" s="493">
        <v>225</v>
      </c>
      <c r="AN76" s="493" t="s">
        <v>5409</v>
      </c>
      <c r="AO76" s="578" t="s">
        <v>109</v>
      </c>
    </row>
    <row r="77" customHeight="1" spans="1:41">
      <c r="A77" s="496" t="s">
        <v>5410</v>
      </c>
      <c r="B77" s="496" t="s">
        <v>5411</v>
      </c>
      <c r="C77" s="496" t="s">
        <v>4946</v>
      </c>
      <c r="D77" s="496">
        <v>1</v>
      </c>
      <c r="E77" s="493"/>
      <c r="F77" s="493"/>
      <c r="G77" s="493"/>
      <c r="H77" s="493"/>
      <c r="I77" s="493"/>
      <c r="AG77" s="571" t="str" cm="1">
        <f t="array" ref="AG77">IFERROR(INDEX($AH$1:$AH$86,SMALL(IF($AH$1:$AH$86&lt;&gt;"",ROW($AH$1:$AH$86),4^8),ROW(AH76)))&amp;"","")</f>
        <v>加农炮</v>
      </c>
      <c r="AH77" s="496" t="str">
        <f>IF(主要!$CO$12="O","加特林机枪","")</f>
        <v>加特林机枪</v>
      </c>
      <c r="AI77" s="496" t="s">
        <v>5189</v>
      </c>
      <c r="AJ77" s="496" t="s">
        <v>4964</v>
      </c>
      <c r="AK77" s="496" t="s">
        <v>5412</v>
      </c>
      <c r="AL77" s="496" t="s">
        <v>5413</v>
      </c>
      <c r="AM77" s="496">
        <v>125</v>
      </c>
      <c r="AN77" s="496" t="s">
        <v>5396</v>
      </c>
      <c r="AO77" s="577" t="s">
        <v>109</v>
      </c>
    </row>
    <row r="78" customHeight="1" spans="1:41">
      <c r="A78" s="493" t="s">
        <v>5414</v>
      </c>
      <c r="B78" s="493" t="s">
        <v>5415</v>
      </c>
      <c r="C78" s="493" t="s">
        <v>5416</v>
      </c>
      <c r="D78" s="493">
        <v>35</v>
      </c>
      <c r="E78" s="493"/>
      <c r="F78" s="493"/>
      <c r="G78" s="493"/>
      <c r="H78" s="493"/>
      <c r="I78" s="493"/>
      <c r="AG78" s="571" t="str" cm="1">
        <f t="array" ref="AG78">IFERROR(INDEX($AH$1:$AH$86,SMALL(IF($AH$1:$AH$86&lt;&gt;"",ROW($AH$1:$AH$86),4^8),ROW(AH77)))&amp;"","")</f>
        <v>加特林机枪</v>
      </c>
      <c r="AH78" s="493" t="str">
        <f>IF(主要!$CO$12="O","马格南","")</f>
        <v>马格南</v>
      </c>
      <c r="AI78" s="493" t="s">
        <v>5406</v>
      </c>
      <c r="AJ78" s="493" t="s">
        <v>4964</v>
      </c>
      <c r="AK78" s="493" t="s">
        <v>5417</v>
      </c>
      <c r="AL78" s="493" t="s">
        <v>4955</v>
      </c>
      <c r="AM78" s="493">
        <v>6</v>
      </c>
      <c r="AN78" s="493" t="s">
        <v>5418</v>
      </c>
      <c r="AO78" s="578" t="s">
        <v>109</v>
      </c>
    </row>
    <row r="79" customHeight="1" spans="1:41">
      <c r="A79" s="496" t="s">
        <v>4997</v>
      </c>
      <c r="B79" s="496" t="s">
        <v>5419</v>
      </c>
      <c r="C79" s="496" t="s">
        <v>5110</v>
      </c>
      <c r="D79" s="496">
        <v>2</v>
      </c>
      <c r="E79" s="493"/>
      <c r="F79" s="493"/>
      <c r="G79" s="493"/>
      <c r="H79" s="493"/>
      <c r="I79" s="493"/>
      <c r="AG79" s="571" t="str" cm="1">
        <f t="array" ref="AG79">IFERROR(INDEX($AH$1:$AH$86,SMALL(IF($AH$1:$AH$86&lt;&gt;"",ROW($AH$1:$AH$86),4^8),ROW(AH78)))&amp;"","")</f>
        <v>马格南</v>
      </c>
      <c r="AH79" s="496" t="str">
        <f>IF(主要!$CO$12="O","突击步枪","")</f>
        <v>突击步枪</v>
      </c>
      <c r="AI79" s="496" t="s">
        <v>5189</v>
      </c>
      <c r="AJ79" s="496" t="s">
        <v>4964</v>
      </c>
      <c r="AK79" s="496" t="s">
        <v>5420</v>
      </c>
      <c r="AL79" s="496" t="s">
        <v>5413</v>
      </c>
      <c r="AM79" s="496">
        <v>7</v>
      </c>
      <c r="AN79" s="496" t="s">
        <v>5421</v>
      </c>
      <c r="AO79" s="577" t="s">
        <v>109</v>
      </c>
    </row>
    <row r="80" customHeight="1" spans="1:41">
      <c r="A80" s="493" t="s">
        <v>5422</v>
      </c>
      <c r="B80" s="493" t="s">
        <v>5423</v>
      </c>
      <c r="C80" s="493" t="s">
        <v>4946</v>
      </c>
      <c r="D80" s="493">
        <v>4</v>
      </c>
      <c r="E80" s="493"/>
      <c r="F80" s="493"/>
      <c r="G80" s="493"/>
      <c r="H80" s="493"/>
      <c r="I80" s="493"/>
      <c r="AG80" s="571" t="str" cm="1">
        <f t="array" ref="AG80">IFERROR(INDEX($AH$1:$AH$86,SMALL(IF($AH$1:$AH$86&lt;&gt;"",ROW($AH$1:$AH$86),4^8),ROW(AH79)))&amp;"","")</f>
        <v>突击步枪</v>
      </c>
      <c r="AH80" s="493" t="str">
        <f>IF(主要!$CO$12="O","泵动式霰弹枪","")</f>
        <v>泵动式霰弹枪</v>
      </c>
      <c r="AI80" s="493" t="s">
        <v>5406</v>
      </c>
      <c r="AJ80" s="493" t="s">
        <v>4964</v>
      </c>
      <c r="AK80" s="493" t="s">
        <v>5424</v>
      </c>
      <c r="AL80" s="493" t="s">
        <v>5191</v>
      </c>
      <c r="AM80" s="493">
        <v>7</v>
      </c>
      <c r="AN80" s="493" t="s">
        <v>5425</v>
      </c>
      <c r="AO80" s="578" t="s">
        <v>109</v>
      </c>
    </row>
    <row r="81" customHeight="1" spans="1:41">
      <c r="A81" s="496" t="s">
        <v>5426</v>
      </c>
      <c r="B81" s="496" t="s">
        <v>5427</v>
      </c>
      <c r="C81" s="496" t="s">
        <v>4946</v>
      </c>
      <c r="D81" s="496">
        <v>5</v>
      </c>
      <c r="E81" s="493"/>
      <c r="F81" s="493"/>
      <c r="G81" s="493"/>
      <c r="H81" s="493"/>
      <c r="I81" s="493"/>
      <c r="AG81" s="571" t="str" cm="1">
        <f t="array" ref="AG81">IFERROR(INDEX($AH$1:$AH$86,SMALL(IF($AH$1:$AH$86&lt;&gt;"",ROW($AH$1:$AH$86),4^8),ROW(AH80)))&amp;"","")</f>
        <v>泵动式霰弹枪</v>
      </c>
      <c r="AH81" s="496" t="str">
        <f>IF(主要!$CO$12="O","狙击步枪","")</f>
        <v>狙击步枪</v>
      </c>
      <c r="AI81" s="496" t="s">
        <v>5406</v>
      </c>
      <c r="AJ81" s="496" t="s">
        <v>4964</v>
      </c>
      <c r="AK81" s="496" t="s">
        <v>5428</v>
      </c>
      <c r="AL81" s="496" t="s">
        <v>5200</v>
      </c>
      <c r="AM81" s="496">
        <v>8</v>
      </c>
      <c r="AN81" s="496" t="s">
        <v>5429</v>
      </c>
      <c r="AO81" s="577" t="s">
        <v>109</v>
      </c>
    </row>
    <row r="82" customHeight="1" spans="1:41">
      <c r="A82" s="493" t="s">
        <v>5430</v>
      </c>
      <c r="B82" s="493" t="s">
        <v>5431</v>
      </c>
      <c r="C82" s="493" t="s">
        <v>5169</v>
      </c>
      <c r="D82" s="493">
        <v>0.5</v>
      </c>
      <c r="E82" s="493"/>
      <c r="F82" s="493"/>
      <c r="G82" s="493"/>
      <c r="H82" s="493"/>
      <c r="I82" s="493"/>
      <c r="AG82" s="571" t="str" cm="1">
        <f t="array" ref="AG82">IFERROR(INDEX($AH$1:$AH$86,SMALL(IF($AH$1:$AH$86&lt;&gt;"",ROW($AH$1:$AH$86),4^8),ROW(AH81)))&amp;"","")</f>
        <v>狙击步枪</v>
      </c>
      <c r="AH82" s="493" t="str">
        <f>IF(主要!$CO$12="O","冲锋枪","")</f>
        <v>冲锋枪</v>
      </c>
      <c r="AI82" s="493" t="s">
        <v>5098</v>
      </c>
      <c r="AJ82" s="493" t="s">
        <v>4964</v>
      </c>
      <c r="AK82" s="493" t="s">
        <v>5432</v>
      </c>
      <c r="AL82" s="493" t="s">
        <v>5413</v>
      </c>
      <c r="AM82" s="493">
        <v>6</v>
      </c>
      <c r="AN82" s="493" t="s">
        <v>5392</v>
      </c>
      <c r="AO82" s="578" t="s">
        <v>109</v>
      </c>
    </row>
    <row r="83" customHeight="1" spans="1:41">
      <c r="A83" s="496" t="s">
        <v>5433</v>
      </c>
      <c r="B83" s="496" t="s">
        <v>5434</v>
      </c>
      <c r="C83" s="496" t="s">
        <v>5264</v>
      </c>
      <c r="D83" s="496">
        <v>22</v>
      </c>
      <c r="E83" s="493"/>
      <c r="F83" s="493"/>
      <c r="G83" s="493"/>
      <c r="H83" s="493"/>
      <c r="I83" s="493"/>
      <c r="AG83" s="571" t="str" cm="1">
        <f t="array" ref="AG83">IFERROR(INDEX($AH$1:$AH$86,SMALL(IF($AH$1:$AH$86&lt;&gt;"",ROW($AH$1:$AH$86),4^8),ROW(AH82)))&amp;"","")</f>
        <v>冲锋枪</v>
      </c>
      <c r="AH83" s="496" t="str">
        <f>IF(主要!$CO$11="O","鸣玉泡泡杖","")</f>
        <v>鸣玉泡泡杖</v>
      </c>
      <c r="AI83" s="496" t="s">
        <v>5098</v>
      </c>
      <c r="AJ83" s="496" t="s">
        <v>4934</v>
      </c>
      <c r="AK83" s="496" t="s">
        <v>5435</v>
      </c>
      <c r="AL83" s="496" t="s">
        <v>4935</v>
      </c>
      <c r="AM83" s="496">
        <v>1</v>
      </c>
      <c r="AN83" s="496" t="s">
        <v>5436</v>
      </c>
      <c r="AO83" s="577" t="s">
        <v>109</v>
      </c>
    </row>
    <row r="84" customHeight="1" spans="1:41">
      <c r="A84" s="493" t="s">
        <v>5437</v>
      </c>
      <c r="B84" s="493" t="s">
        <v>5438</v>
      </c>
      <c r="C84" s="493" t="s">
        <v>5053</v>
      </c>
      <c r="D84" s="493">
        <v>5</v>
      </c>
      <c r="E84" s="493"/>
      <c r="F84" s="493"/>
      <c r="G84" s="493"/>
      <c r="H84" s="493"/>
      <c r="I84" s="493"/>
      <c r="AG84" s="571" t="str" cm="1">
        <f t="array" ref="AG84">IFERROR(INDEX($AH$1:$AH$86,SMALL(IF($AH$1:$AH$86&lt;&gt;"",ROW($AH$1:$AH$86),4^8),ROW(AH83)))&amp;"","")</f>
        <v>鸣玉泡泡杖</v>
      </c>
      <c r="AH84" s="581" t="str">
        <f>自定义调整栏!Q3</f>
        <v>自定义武器1</v>
      </c>
      <c r="AI84" s="581" t="str">
        <f>IF(自定义调整栏!S3="","",自定义调整栏!S3)</f>
        <v/>
      </c>
      <c r="AJ84" s="581" t="str">
        <f>IF(自定义调整栏!T3="","",自定义调整栏!T3)</f>
        <v/>
      </c>
      <c r="AK84" s="581" t="str">
        <f>IF(自定义调整栏!U3="","",自定义调整栏!U3)</f>
        <v/>
      </c>
      <c r="AL84" s="581" t="str">
        <f>IF(自定义调整栏!V3="","",自定义调整栏!V3)</f>
        <v/>
      </c>
      <c r="AM84" s="581" t="str">
        <f>IF(自定义调整栏!W3="","",自定义调整栏!W3)</f>
        <v/>
      </c>
      <c r="AN84" s="581" t="s">
        <v>4935</v>
      </c>
      <c r="AO84" s="583" t="str">
        <f>IF(自定义调整栏!X3="","",自定义调整栏!X3)</f>
        <v>力量</v>
      </c>
    </row>
    <row r="85" customHeight="1" spans="1:41">
      <c r="A85" s="496" t="s">
        <v>5439</v>
      </c>
      <c r="B85" s="496" t="s">
        <v>5440</v>
      </c>
      <c r="C85" s="496" t="s">
        <v>5140</v>
      </c>
      <c r="D85" s="496">
        <v>0</v>
      </c>
      <c r="E85" s="493"/>
      <c r="F85" s="493"/>
      <c r="G85" s="493"/>
      <c r="H85" s="493"/>
      <c r="I85" s="493"/>
      <c r="AG85" s="571" t="str" cm="1">
        <f t="array" ref="AG85">IFERROR(INDEX($AH$1:$AH$86,SMALL(IF($AH$1:$AH$86&lt;&gt;"",ROW($AH$1:$AH$86),4^8),ROW(AH84)))&amp;"","")</f>
        <v>自定义武器1</v>
      </c>
      <c r="AH85" s="552" t="str">
        <f>自定义调整栏!Q4</f>
        <v>自定义武器2</v>
      </c>
      <c r="AI85" s="552" t="str">
        <f>IF(自定义调整栏!S4="","",自定义调整栏!S4)</f>
        <v/>
      </c>
      <c r="AJ85" s="552" t="str">
        <f>IF(自定义调整栏!T4="","",自定义调整栏!T4)</f>
        <v/>
      </c>
      <c r="AK85" s="552" t="str">
        <f>IF(自定义调整栏!U4="","",自定义调整栏!U4)</f>
        <v/>
      </c>
      <c r="AL85" s="552" t="str">
        <f>IF(自定义调整栏!V4="","",自定义调整栏!V4)</f>
        <v/>
      </c>
      <c r="AM85" s="552" t="str">
        <f>IF(自定义调整栏!W4="","",自定义调整栏!W4)</f>
        <v/>
      </c>
      <c r="AN85" s="552" t="s">
        <v>4935</v>
      </c>
      <c r="AO85" s="584" t="str">
        <f>IF(自定义调整栏!X4="","",自定义调整栏!X4)</f>
        <v>力量</v>
      </c>
    </row>
    <row r="86" customHeight="1" spans="1:41">
      <c r="A86" s="493" t="s">
        <v>5441</v>
      </c>
      <c r="B86" s="493" t="s">
        <v>5442</v>
      </c>
      <c r="C86" s="493" t="s">
        <v>5005</v>
      </c>
      <c r="D86" s="493">
        <v>0</v>
      </c>
      <c r="E86" s="493"/>
      <c r="F86" s="493"/>
      <c r="G86" s="493"/>
      <c r="H86" s="493"/>
      <c r="I86" s="493"/>
      <c r="AG86" s="571" t="str" cm="1">
        <f t="array" ref="AG86">IFERROR(INDEX($AH$1:$AH$86,SMALL(IF($AH$1:$AH$86&lt;&gt;"",ROW($AH$1:$AH$86),4^8),ROW(AH85)))&amp;"","")</f>
        <v>自定义武器2</v>
      </c>
      <c r="AH86" s="582" t="str">
        <f>自定义调整栏!Q5</f>
        <v>自定义武器3</v>
      </c>
      <c r="AI86" s="582" t="str">
        <f>IF(自定义调整栏!S5="","",自定义调整栏!S5)</f>
        <v/>
      </c>
      <c r="AJ86" s="582" t="str">
        <f>IF(自定义调整栏!T5="","",自定义调整栏!T5)</f>
        <v/>
      </c>
      <c r="AK86" s="582" t="str">
        <f>IF(自定义调整栏!U5="","",自定义调整栏!U5)</f>
        <v/>
      </c>
      <c r="AL86" s="582" t="str">
        <f>IF(自定义调整栏!V5="","",自定义调整栏!V5)</f>
        <v/>
      </c>
      <c r="AM86" s="582" t="str">
        <f>IF(自定义调整栏!W5="","",自定义调整栏!W5)</f>
        <v/>
      </c>
      <c r="AN86" s="582" t="s">
        <v>4935</v>
      </c>
      <c r="AO86" s="585" t="str">
        <f>IF(自定义调整栏!X5="","",自定义调整栏!X5)</f>
        <v>力量</v>
      </c>
    </row>
    <row r="87" customHeight="1" spans="1:33">
      <c r="A87" s="496" t="s">
        <v>5443</v>
      </c>
      <c r="B87" s="496" t="s">
        <v>5444</v>
      </c>
      <c r="C87" s="496" t="s">
        <v>4931</v>
      </c>
      <c r="D87" s="496">
        <v>0</v>
      </c>
      <c r="E87" s="493"/>
      <c r="F87" s="493"/>
      <c r="G87" s="493"/>
      <c r="H87" s="493"/>
      <c r="I87" s="493"/>
      <c r="AG87" s="571" t="str" cm="1">
        <f t="array" ref="AG87">IFERROR(INDEX($AH$1:$AH$86,SMALL(IF($AH$1:$AH$86&lt;&gt;"",ROW($AH$1:$AH$86),4^8),ROW(AH86)))&amp;"","")</f>
        <v>自定义武器3</v>
      </c>
    </row>
    <row r="88" customHeight="1" spans="1:33">
      <c r="A88" s="493" t="s">
        <v>5445</v>
      </c>
      <c r="B88" s="493" t="s">
        <v>5446</v>
      </c>
      <c r="C88" s="493" t="s">
        <v>4946</v>
      </c>
      <c r="D88" s="493">
        <v>5</v>
      </c>
      <c r="E88" s="493"/>
      <c r="F88" s="493"/>
      <c r="G88" s="493"/>
      <c r="H88" s="493"/>
      <c r="I88" s="493"/>
      <c r="AG88" s="571" t="str" cm="1">
        <f t="array" ref="AG88">IFERROR(INDEX($AH$1:$AH$86,SMALL(IF($AH$1:$AH$86&lt;&gt;"",ROW($AH$1:$AH$86),4^8),ROW(AH87)))&amp;"","")</f>
        <v/>
      </c>
    </row>
    <row r="89" customHeight="1" spans="1:9">
      <c r="A89" s="496" t="s">
        <v>5447</v>
      </c>
      <c r="B89" s="496" t="s">
        <v>5448</v>
      </c>
      <c r="C89" s="496" t="s">
        <v>5449</v>
      </c>
      <c r="D89" s="496">
        <v>1</v>
      </c>
      <c r="E89" s="493"/>
      <c r="F89" s="493"/>
      <c r="G89" s="493"/>
      <c r="H89" s="493"/>
      <c r="I89" s="493"/>
    </row>
    <row r="90" customHeight="1" spans="1:9">
      <c r="A90" s="493" t="s">
        <v>5450</v>
      </c>
      <c r="B90" s="493" t="s">
        <v>5451</v>
      </c>
      <c r="C90" s="493" t="s">
        <v>5119</v>
      </c>
      <c r="D90" s="493">
        <v>0</v>
      </c>
      <c r="E90" s="493"/>
      <c r="F90" s="493"/>
      <c r="G90" s="493"/>
      <c r="H90" s="493"/>
      <c r="I90" s="493"/>
    </row>
    <row r="91" customHeight="1" spans="1:9">
      <c r="A91" s="496" t="s">
        <v>5452</v>
      </c>
      <c r="B91" s="496" t="s">
        <v>5453</v>
      </c>
      <c r="C91" s="496" t="s">
        <v>5053</v>
      </c>
      <c r="D91" s="496">
        <v>20</v>
      </c>
      <c r="E91" s="493"/>
      <c r="F91" s="493"/>
      <c r="G91" s="493"/>
      <c r="H91" s="493"/>
      <c r="I91" s="493"/>
    </row>
    <row r="92" customHeight="1" spans="1:9">
      <c r="A92" s="493" t="s">
        <v>5454</v>
      </c>
      <c r="B92" s="493" t="s">
        <v>5455</v>
      </c>
      <c r="C92" s="493" t="s">
        <v>5110</v>
      </c>
      <c r="D92" s="493">
        <v>1</v>
      </c>
      <c r="F92" s="493"/>
      <c r="G92" s="493"/>
      <c r="H92" s="493"/>
      <c r="I92" s="493"/>
    </row>
    <row r="93" customHeight="1" spans="1:9">
      <c r="A93" s="496" t="s">
        <v>5456</v>
      </c>
      <c r="B93" s="496" t="s">
        <v>5457</v>
      </c>
      <c r="C93" s="496" t="s">
        <v>5169</v>
      </c>
      <c r="D93" s="496">
        <v>1</v>
      </c>
      <c r="F93" s="493"/>
      <c r="G93" s="493"/>
      <c r="H93" s="493"/>
      <c r="I93" s="493"/>
    </row>
    <row r="94" customHeight="1" spans="1:9">
      <c r="A94" s="493" t="s">
        <v>5458</v>
      </c>
      <c r="B94" s="493" t="s">
        <v>5459</v>
      </c>
      <c r="C94" s="493" t="s">
        <v>4946</v>
      </c>
      <c r="D94" s="493">
        <v>0</v>
      </c>
      <c r="F94" s="493"/>
      <c r="G94" s="493"/>
      <c r="H94" s="493"/>
      <c r="I94" s="493"/>
    </row>
    <row r="95" customHeight="1" spans="1:9">
      <c r="A95" s="496" t="s">
        <v>5460</v>
      </c>
      <c r="B95" s="496" t="s">
        <v>5461</v>
      </c>
      <c r="C95" s="496" t="s">
        <v>5373</v>
      </c>
      <c r="D95" s="496">
        <v>5</v>
      </c>
      <c r="F95" s="493"/>
      <c r="G95" s="493"/>
      <c r="H95" s="493"/>
      <c r="I95" s="493"/>
    </row>
    <row r="96" customHeight="1" spans="1:9">
      <c r="A96" s="554" t="s">
        <v>5146</v>
      </c>
      <c r="F96" s="493"/>
      <c r="G96" s="493"/>
      <c r="H96" s="493"/>
      <c r="I96" s="493"/>
    </row>
    <row r="97" customHeight="1" spans="1:9">
      <c r="A97" s="493" t="s">
        <v>5253</v>
      </c>
      <c r="F97" s="493"/>
      <c r="G97" s="493"/>
      <c r="H97" s="493"/>
      <c r="I97" s="493"/>
    </row>
    <row r="98" customHeight="1" spans="1:9">
      <c r="A98" s="554" t="s">
        <v>5291</v>
      </c>
      <c r="F98" s="493"/>
      <c r="G98" s="493"/>
      <c r="H98" s="493"/>
      <c r="I98" s="493"/>
    </row>
    <row r="99" customHeight="1" spans="1:9">
      <c r="A99" s="493" t="s">
        <v>5297</v>
      </c>
      <c r="F99" s="493"/>
      <c r="G99" s="493"/>
      <c r="H99" s="493"/>
      <c r="I99" s="493"/>
    </row>
    <row r="100" customHeight="1" spans="1:9">
      <c r="A100" s="493" t="s">
        <v>5403</v>
      </c>
      <c r="F100" s="493"/>
      <c r="G100" s="493"/>
      <c r="H100" s="493"/>
      <c r="I100" s="493"/>
    </row>
    <row r="101" customHeight="1" spans="1:9">
      <c r="A101" s="496" t="s">
        <v>5433</v>
      </c>
      <c r="F101" s="493"/>
      <c r="G101" s="493"/>
      <c r="H101" s="493"/>
      <c r="I101" s="493"/>
    </row>
    <row r="102" customHeight="1" spans="6:9">
      <c r="F102" s="493"/>
      <c r="G102" s="493"/>
      <c r="H102" s="493"/>
      <c r="I102" s="493"/>
    </row>
    <row r="103" customHeight="1" spans="6:9">
      <c r="F103" s="493"/>
      <c r="G103" s="493"/>
      <c r="H103" s="493"/>
      <c r="I103" s="493"/>
    </row>
    <row r="104" customHeight="1" spans="6:9">
      <c r="F104" s="493"/>
      <c r="G104" s="493"/>
      <c r="H104" s="493"/>
      <c r="I104" s="493"/>
    </row>
    <row r="105" customHeight="1" spans="6:9">
      <c r="F105" s="493"/>
      <c r="G105" s="493"/>
      <c r="H105" s="493"/>
      <c r="I105" s="493"/>
    </row>
    <row r="106" customHeight="1" spans="6:9">
      <c r="F106" s="493"/>
      <c r="G106" s="493"/>
      <c r="H106" s="493"/>
      <c r="I106" s="493"/>
    </row>
    <row r="107" customHeight="1" spans="6:9">
      <c r="F107" s="493"/>
      <c r="G107" s="493"/>
      <c r="H107" s="493"/>
      <c r="I107" s="493"/>
    </row>
    <row r="108" customHeight="1" spans="6:9">
      <c r="F108" s="493"/>
      <c r="G108" s="493"/>
      <c r="H108" s="493"/>
      <c r="I108" s="493"/>
    </row>
    <row r="109" customHeight="1" spans="6:9">
      <c r="F109" s="493"/>
      <c r="G109" s="493"/>
      <c r="H109" s="493"/>
      <c r="I109" s="493"/>
    </row>
    <row r="110" customHeight="1" spans="6:9">
      <c r="F110" s="493"/>
      <c r="G110" s="493"/>
      <c r="H110" s="493"/>
      <c r="I110" s="493"/>
    </row>
    <row r="111" customHeight="1" spans="6:9">
      <c r="F111" s="493"/>
      <c r="G111" s="493"/>
      <c r="H111" s="493"/>
      <c r="I111" s="493"/>
    </row>
    <row r="112" customHeight="1" spans="6:9">
      <c r="F112" s="493"/>
      <c r="G112" s="493"/>
      <c r="H112" s="493"/>
      <c r="I112" s="493"/>
    </row>
    <row r="113" customHeight="1" spans="6:9">
      <c r="F113" s="493"/>
      <c r="G113" s="493"/>
      <c r="H113" s="493"/>
      <c r="I113" s="493"/>
    </row>
    <row r="114" customHeight="1" spans="6:9">
      <c r="F114" s="493"/>
      <c r="G114" s="493"/>
      <c r="H114" s="493"/>
      <c r="I114" s="493"/>
    </row>
    <row r="115" customHeight="1" spans="6:9">
      <c r="F115" s="493"/>
      <c r="G115" s="493"/>
      <c r="H115" s="493"/>
      <c r="I115" s="493"/>
    </row>
    <row r="116" customHeight="1" spans="6:9">
      <c r="F116" s="493"/>
      <c r="G116" s="493"/>
      <c r="H116" s="493"/>
      <c r="I116" s="493"/>
    </row>
    <row r="117" customHeight="1" spans="6:9">
      <c r="F117" s="493"/>
      <c r="G117" s="493"/>
      <c r="H117" s="493"/>
      <c r="I117" s="493"/>
    </row>
    <row r="118" customHeight="1" spans="6:9">
      <c r="F118" s="493"/>
      <c r="G118" s="493"/>
      <c r="H118" s="493"/>
      <c r="I118" s="493"/>
    </row>
    <row r="119" customHeight="1" spans="6:9">
      <c r="F119" s="493"/>
      <c r="G119" s="493"/>
      <c r="H119" s="493"/>
      <c r="I119" s="493"/>
    </row>
    <row r="120" customHeight="1" spans="6:9">
      <c r="F120" s="493"/>
      <c r="G120" s="493"/>
      <c r="H120" s="493"/>
      <c r="I120" s="493"/>
    </row>
    <row r="121" customHeight="1" spans="6:9">
      <c r="F121" s="493"/>
      <c r="G121" s="493"/>
      <c r="H121" s="493"/>
      <c r="I121" s="493"/>
    </row>
    <row r="122" customHeight="1" spans="6:9">
      <c r="F122" s="493"/>
      <c r="G122" s="493"/>
      <c r="H122" s="493"/>
      <c r="I122" s="493"/>
    </row>
    <row r="123" customHeight="1" spans="6:9">
      <c r="F123" s="493"/>
      <c r="G123" s="493"/>
      <c r="H123" s="493"/>
      <c r="I123" s="493"/>
    </row>
    <row r="124" customHeight="1" spans="6:9">
      <c r="F124" s="493"/>
      <c r="G124" s="493"/>
      <c r="H124" s="493"/>
      <c r="I124" s="493"/>
    </row>
    <row r="125" customHeight="1" spans="6:9">
      <c r="F125" s="493"/>
      <c r="G125" s="493"/>
      <c r="H125" s="493"/>
      <c r="I125" s="493"/>
    </row>
    <row r="126" customHeight="1" spans="6:9">
      <c r="F126" s="493"/>
      <c r="G126" s="493"/>
      <c r="H126" s="493"/>
      <c r="I126" s="493"/>
    </row>
    <row r="127" customHeight="1" spans="6:9">
      <c r="F127" s="493"/>
      <c r="G127" s="493"/>
      <c r="H127" s="493"/>
      <c r="I127" s="493"/>
    </row>
    <row r="128" customHeight="1" spans="6:9">
      <c r="F128" s="493"/>
      <c r="G128" s="493"/>
      <c r="H128" s="493"/>
      <c r="I128" s="493"/>
    </row>
    <row r="129" customHeight="1" spans="6:9">
      <c r="F129" s="493"/>
      <c r="G129" s="493"/>
      <c r="H129" s="493"/>
      <c r="I129" s="493"/>
    </row>
    <row r="130" customHeight="1" spans="6:9">
      <c r="F130" s="493"/>
      <c r="G130" s="493"/>
      <c r="H130" s="493"/>
      <c r="I130" s="493"/>
    </row>
    <row r="131" customHeight="1" spans="6:9">
      <c r="F131" s="493"/>
      <c r="G131" s="493"/>
      <c r="H131" s="493"/>
      <c r="I131" s="493"/>
    </row>
    <row r="132" customHeight="1" spans="6:9">
      <c r="F132" s="493"/>
      <c r="G132" s="493"/>
      <c r="H132" s="493"/>
      <c r="I132" s="493"/>
    </row>
    <row r="133" customHeight="1" spans="6:9">
      <c r="F133" s="493"/>
      <c r="G133" s="493"/>
      <c r="H133" s="493"/>
      <c r="I133" s="493"/>
    </row>
    <row r="134" customHeight="1" spans="6:9">
      <c r="F134" s="493"/>
      <c r="G134" s="493"/>
      <c r="H134" s="493"/>
      <c r="I134" s="493"/>
    </row>
    <row r="135" customHeight="1" spans="6:9">
      <c r="F135" s="493"/>
      <c r="G135" s="493"/>
      <c r="H135" s="493"/>
      <c r="I135" s="493"/>
    </row>
    <row r="136" customHeight="1" spans="6:9">
      <c r="F136" s="493"/>
      <c r="G136" s="493"/>
      <c r="H136" s="493"/>
      <c r="I136" s="493"/>
    </row>
    <row r="137" customHeight="1" spans="6:9">
      <c r="F137" s="493"/>
      <c r="G137" s="493"/>
      <c r="H137" s="493"/>
      <c r="I137" s="493"/>
    </row>
    <row r="138" customHeight="1" spans="6:9">
      <c r="F138" s="493"/>
      <c r="G138" s="493"/>
      <c r="H138" s="493"/>
      <c r="I138" s="493"/>
    </row>
    <row r="139" customHeight="1" spans="6:9">
      <c r="F139" s="493"/>
      <c r="G139" s="493"/>
      <c r="H139" s="493"/>
      <c r="I139" s="493"/>
    </row>
    <row r="140" customHeight="1" spans="6:9">
      <c r="F140" s="493"/>
      <c r="G140" s="493"/>
      <c r="H140" s="493"/>
      <c r="I140" s="493"/>
    </row>
    <row r="141" customHeight="1" spans="6:9">
      <c r="F141" s="493"/>
      <c r="G141" s="493"/>
      <c r="H141" s="493"/>
      <c r="I141" s="493"/>
    </row>
    <row r="142" customHeight="1" spans="6:9">
      <c r="F142" s="493"/>
      <c r="G142" s="493"/>
      <c r="H142" s="493"/>
      <c r="I142" s="493"/>
    </row>
    <row r="143" customHeight="1" spans="6:9">
      <c r="F143" s="493"/>
      <c r="G143" s="493"/>
      <c r="H143" s="493"/>
      <c r="I143" s="493"/>
    </row>
    <row r="144" customHeight="1" spans="6:9">
      <c r="F144" s="493"/>
      <c r="G144" s="493"/>
      <c r="H144" s="493"/>
      <c r="I144" s="493"/>
    </row>
    <row r="145" customHeight="1" spans="6:9">
      <c r="F145" s="493"/>
      <c r="G145" s="493"/>
      <c r="H145" s="493"/>
      <c r="I145" s="493"/>
    </row>
    <row r="146" customHeight="1" spans="6:9">
      <c r="F146" s="493"/>
      <c r="G146" s="493"/>
      <c r="H146" s="493"/>
      <c r="I146" s="493"/>
    </row>
    <row r="147" customHeight="1" spans="6:9">
      <c r="F147" s="493"/>
      <c r="G147" s="493"/>
      <c r="H147" s="493"/>
      <c r="I147" s="493"/>
    </row>
    <row r="148" customHeight="1" spans="6:9">
      <c r="F148" s="493"/>
      <c r="G148" s="493"/>
      <c r="H148" s="493"/>
      <c r="I148" s="493"/>
    </row>
  </sheetData>
  <mergeCells count="6">
    <mergeCell ref="Z1:AA1"/>
    <mergeCell ref="AV1:AW1"/>
    <mergeCell ref="AH3:AO3"/>
    <mergeCell ref="AH25:AO25"/>
    <mergeCell ref="AH36:AO36"/>
    <mergeCell ref="AH66:AO66"/>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CE231"/>
  <sheetViews>
    <sheetView zoomScale="70" zoomScaleNormal="70" workbookViewId="0">
      <pane ySplit="1" topLeftCell="A140" activePane="bottomLeft" state="frozen"/>
      <selection/>
      <selection pane="bottomLeft" activeCell="D165" sqref="D165"/>
    </sheetView>
  </sheetViews>
  <sheetFormatPr defaultColWidth="8.89090909090909" defaultRowHeight="14.4" customHeight="1"/>
  <cols>
    <col min="1" max="1" width="19.3363636363636" style="511" customWidth="1"/>
    <col min="2" max="2" width="5.66363636363636" style="511" customWidth="1"/>
    <col min="3" max="4" width="8" style="511" customWidth="1"/>
    <col min="5" max="8" width="8.89090909090909" style="512"/>
    <col min="9" max="9" width="8.89090909090909" style="513"/>
    <col min="10" max="24" width="8.89090909090909" style="514"/>
    <col min="25" max="31" width="8.89090909090909" style="514" customWidth="1"/>
    <col min="32" max="40" width="8.89090909090909" style="514" hidden="1" customWidth="1"/>
    <col min="41" max="47" width="8.89090909090909" style="512" hidden="1" customWidth="1"/>
    <col min="48" max="58" width="8.89090909090909" style="512"/>
    <col min="59" max="60" width="8.89090909090909" style="512" customWidth="1"/>
    <col min="61" max="66" width="8.89090909090909" style="512" hidden="1" customWidth="1"/>
    <col min="67" max="16384" width="8.89090909090909" style="512"/>
  </cols>
  <sheetData>
    <row r="1" customHeight="1" spans="1:81">
      <c r="A1" s="515" t="s">
        <v>67</v>
      </c>
      <c r="B1" s="515" t="s">
        <v>5462</v>
      </c>
      <c r="C1" s="515" t="s">
        <v>5463</v>
      </c>
      <c r="D1" s="514" t="s">
        <v>5464</v>
      </c>
      <c r="E1" s="516" t="s">
        <v>5465</v>
      </c>
      <c r="F1" s="517" t="s">
        <v>153</v>
      </c>
      <c r="G1" s="516" t="s">
        <v>144</v>
      </c>
      <c r="H1" s="516" t="s">
        <v>146</v>
      </c>
      <c r="J1" s="520"/>
      <c r="K1" s="521"/>
      <c r="L1" s="521">
        <v>1</v>
      </c>
      <c r="M1" s="521">
        <v>2</v>
      </c>
      <c r="N1" s="521">
        <v>3</v>
      </c>
      <c r="O1" s="521">
        <v>4</v>
      </c>
      <c r="P1" s="521">
        <v>5</v>
      </c>
      <c r="Q1" s="521">
        <v>6</v>
      </c>
      <c r="R1" s="521">
        <v>7</v>
      </c>
      <c r="S1" s="521">
        <v>8</v>
      </c>
      <c r="T1" s="521">
        <v>9</v>
      </c>
      <c r="U1" s="521">
        <v>10</v>
      </c>
      <c r="V1" s="521">
        <v>11</v>
      </c>
      <c r="W1" s="521">
        <v>12</v>
      </c>
      <c r="X1" s="521">
        <v>13</v>
      </c>
      <c r="Y1" s="521">
        <v>14</v>
      </c>
      <c r="Z1" s="521">
        <v>15</v>
      </c>
      <c r="AA1" s="521">
        <v>16</v>
      </c>
      <c r="AB1" s="521">
        <v>17</v>
      </c>
      <c r="AC1" s="521">
        <v>18</v>
      </c>
      <c r="AD1" s="521">
        <v>19</v>
      </c>
      <c r="AE1" s="521">
        <v>20</v>
      </c>
      <c r="AF1" s="521">
        <v>21</v>
      </c>
      <c r="AG1" s="521">
        <v>22</v>
      </c>
      <c r="AH1" s="521">
        <v>23</v>
      </c>
      <c r="AI1" s="521">
        <v>24</v>
      </c>
      <c r="AJ1" s="521">
        <v>25</v>
      </c>
      <c r="AK1" s="521">
        <v>26</v>
      </c>
      <c r="AL1" s="521">
        <v>27</v>
      </c>
      <c r="AM1" s="521">
        <v>28</v>
      </c>
      <c r="AN1" s="521">
        <v>29</v>
      </c>
      <c r="AO1" s="521">
        <v>30</v>
      </c>
      <c r="AP1" s="521">
        <v>31</v>
      </c>
      <c r="AQ1" s="521">
        <v>32</v>
      </c>
      <c r="AR1" s="521">
        <v>33</v>
      </c>
      <c r="AS1" s="521">
        <v>34</v>
      </c>
      <c r="AT1" s="521">
        <v>35</v>
      </c>
      <c r="AU1" s="521">
        <v>36</v>
      </c>
      <c r="AV1" s="521">
        <v>37</v>
      </c>
      <c r="AW1" s="524"/>
      <c r="AX1" s="524"/>
      <c r="AY1" s="526" t="s">
        <v>67</v>
      </c>
      <c r="AZ1" s="515" t="s">
        <v>74</v>
      </c>
      <c r="BA1" s="515"/>
      <c r="BB1" s="515"/>
      <c r="BC1" s="515"/>
      <c r="BD1" s="515"/>
      <c r="BE1" s="515"/>
      <c r="BF1" s="515"/>
      <c r="BG1" s="515"/>
      <c r="BH1" s="515"/>
      <c r="BI1" s="515"/>
      <c r="BJ1" s="515"/>
      <c r="BK1" s="515"/>
      <c r="BL1" s="515"/>
      <c r="BM1" s="515"/>
      <c r="BN1" s="515"/>
      <c r="BO1" s="531"/>
      <c r="BP1" s="515" t="s">
        <v>144</v>
      </c>
      <c r="BQ1" s="532" t="s">
        <v>5466</v>
      </c>
      <c r="BR1" s="515" t="s">
        <v>5467</v>
      </c>
      <c r="BS1" s="531"/>
      <c r="BT1" s="533" t="s">
        <v>148</v>
      </c>
      <c r="BU1" s="515"/>
      <c r="BV1" s="515"/>
      <c r="BW1" s="531"/>
      <c r="BX1" s="515" t="s">
        <v>5468</v>
      </c>
      <c r="BY1" s="515"/>
      <c r="BZ1" s="539" t="s">
        <v>5469</v>
      </c>
      <c r="CA1" s="516"/>
      <c r="CB1" s="540"/>
      <c r="CC1" s="516"/>
    </row>
    <row r="2" customHeight="1" spans="1:83">
      <c r="A2" s="518" t="s">
        <v>5470</v>
      </c>
      <c r="B2" s="518">
        <v>1</v>
      </c>
      <c r="C2" s="518">
        <v>1</v>
      </c>
      <c r="D2" s="518">
        <v>8</v>
      </c>
      <c r="E2" s="512" t="s">
        <v>5470</v>
      </c>
      <c r="F2" s="512" t="s">
        <v>5471</v>
      </c>
      <c r="G2" s="512" t="s">
        <v>5472</v>
      </c>
      <c r="H2" s="512" t="s">
        <v>333</v>
      </c>
      <c r="J2" s="522">
        <v>1</v>
      </c>
      <c r="K2" s="523" t="s">
        <v>5470</v>
      </c>
      <c r="L2" s="512" t="s">
        <v>5473</v>
      </c>
      <c r="M2" s="512" t="s">
        <v>5474</v>
      </c>
      <c r="N2" s="512" t="s">
        <v>5475</v>
      </c>
      <c r="O2" s="512" t="s">
        <v>5476</v>
      </c>
      <c r="P2" s="512" t="s">
        <v>5477</v>
      </c>
      <c r="Q2" s="512" t="s">
        <v>5478</v>
      </c>
      <c r="R2" s="512" t="s">
        <v>5479</v>
      </c>
      <c r="S2" s="512" t="s">
        <v>5480</v>
      </c>
      <c r="T2" s="512"/>
      <c r="U2" s="512"/>
      <c r="V2" s="512"/>
      <c r="W2" s="512"/>
      <c r="X2" s="512"/>
      <c r="Y2" s="524"/>
      <c r="Z2" s="524"/>
      <c r="AA2" s="524"/>
      <c r="AB2" s="524"/>
      <c r="AC2" s="524"/>
      <c r="AD2" s="524"/>
      <c r="AE2" s="524"/>
      <c r="AF2" s="524"/>
      <c r="AG2" s="524"/>
      <c r="AH2" s="524"/>
      <c r="AI2" s="524"/>
      <c r="AJ2" s="524"/>
      <c r="AK2" s="524"/>
      <c r="AL2" s="524"/>
      <c r="AM2" s="524"/>
      <c r="AN2" s="524"/>
      <c r="AO2" s="524"/>
      <c r="AV2" s="525"/>
      <c r="AY2" s="527" t="s">
        <v>5470</v>
      </c>
      <c r="BD2" s="514"/>
      <c r="BE2" s="514"/>
      <c r="BF2" s="514"/>
      <c r="BG2" s="514"/>
      <c r="BH2" s="514"/>
      <c r="BI2" s="514" t="str">
        <f t="shared" ref="BI2:BO2" si="0">""</f>
        <v/>
      </c>
      <c r="BJ2" s="514" t="str">
        <f t="shared" si="0"/>
        <v/>
      </c>
      <c r="BK2" s="514" t="str">
        <f t="shared" si="0"/>
        <v/>
      </c>
      <c r="BL2" s="514" t="str">
        <f t="shared" si="0"/>
        <v/>
      </c>
      <c r="BM2" s="514" t="str">
        <f t="shared" si="0"/>
        <v/>
      </c>
      <c r="BN2" s="514" t="str">
        <f t="shared" si="0"/>
        <v/>
      </c>
      <c r="BO2" s="534" t="str">
        <f t="shared" si="0"/>
        <v/>
      </c>
      <c r="BP2" s="514" t="s">
        <v>302</v>
      </c>
      <c r="BQ2" s="535" t="str" cm="1">
        <f t="array" ref="BQ2">IFERROR(INDEX($AY$1:$AY$112,SMALL(IF($AY$1:$AY$112&lt;&gt;"",ROW($AY$1:$AY$112),4^8),ROW(2:2)))&amp;"","")</f>
        <v>阿斯莫</v>
      </c>
      <c r="BR2" s="514" t="e">
        <f>VLOOKUP(BT3,$A$2:$B$143,2,0)</f>
        <v>#N/A</v>
      </c>
      <c r="BS2" s="514" t="e" cm="1">
        <f t="array" ref="BS2">INDEX(BR:BR,SMALL(IF($BR$3:$BR$15&lt;&gt;"",ROW(3:15),16),ROW(BR1)))&amp;""</f>
        <v>#N/A</v>
      </c>
      <c r="BT2" s="536">
        <f>主要!O6</f>
        <v>1</v>
      </c>
      <c r="BU2" s="514" t="s">
        <v>5462</v>
      </c>
      <c r="BV2" s="514" t="s">
        <v>5463</v>
      </c>
      <c r="BW2" s="534" t="s">
        <v>5464</v>
      </c>
      <c r="BX2" s="514" t="str">
        <f>IFERROR(IF(COUNTIF(BZ2:BZ15,BU6),"",BU6),"")</f>
        <v/>
      </c>
      <c r="BY2" s="514" t="str" cm="1">
        <f t="array" ref="BY2">INDEX(BX:BX,SMALL(IF(BX2:BX17&lt;&gt;"",ROW(2:17),17),ROW(BX1)))&amp;""</f>
        <v/>
      </c>
      <c r="BZ2" s="527" t="str">
        <f>IF(主要!BT27="",0,主要!BT27)</f>
        <v>生物种类</v>
      </c>
      <c r="CA2" s="512" t="str">
        <f>IFERROR(VLOOKUP(BZ2,$BU$6:$BV$21,2,0),"")</f>
        <v/>
      </c>
      <c r="CB2" s="525">
        <f>IF(BZ2=0,"",COUNTIF(BZ2:BZ15,BZ2))</f>
        <v>1</v>
      </c>
      <c r="CE2" s="514"/>
    </row>
    <row r="3" customHeight="1" spans="1:83">
      <c r="A3" s="518" t="s">
        <v>5481</v>
      </c>
      <c r="B3" s="518">
        <v>2</v>
      </c>
      <c r="C3" s="518">
        <v>1</v>
      </c>
      <c r="D3" s="518">
        <v>5</v>
      </c>
      <c r="E3" s="512" t="s">
        <v>5481</v>
      </c>
      <c r="F3" s="512" t="s">
        <v>5471</v>
      </c>
      <c r="G3" s="512" t="s">
        <v>5482</v>
      </c>
      <c r="H3" s="512" t="s">
        <v>333</v>
      </c>
      <c r="J3" s="522"/>
      <c r="K3" s="523"/>
      <c r="L3" s="512" t="s">
        <v>5483</v>
      </c>
      <c r="M3" s="512" t="s">
        <v>5484</v>
      </c>
      <c r="N3" s="512" t="s">
        <v>5485</v>
      </c>
      <c r="O3" s="512" t="s">
        <v>5486</v>
      </c>
      <c r="P3" s="512" t="s">
        <v>5487</v>
      </c>
      <c r="Q3" s="512" t="s">
        <v>5488</v>
      </c>
      <c r="R3" s="512" t="s">
        <v>5489</v>
      </c>
      <c r="S3" s="512" t="s">
        <v>5490</v>
      </c>
      <c r="T3" s="512"/>
      <c r="U3" s="512"/>
      <c r="V3" s="512"/>
      <c r="W3" s="512"/>
      <c r="X3" s="512"/>
      <c r="Y3" s="524"/>
      <c r="Z3" s="524"/>
      <c r="AA3" s="524"/>
      <c r="AB3" s="524"/>
      <c r="AC3" s="524"/>
      <c r="AD3" s="524"/>
      <c r="AE3" s="524"/>
      <c r="AF3" s="524"/>
      <c r="AG3" s="524"/>
      <c r="AH3" s="524"/>
      <c r="AI3" s="524"/>
      <c r="AJ3" s="524"/>
      <c r="AK3" s="524"/>
      <c r="AL3" s="524"/>
      <c r="AM3" s="524"/>
      <c r="AN3" s="524"/>
      <c r="AO3" s="524"/>
      <c r="AV3" s="525"/>
      <c r="AY3" s="527" t="s">
        <v>5481</v>
      </c>
      <c r="BH3" s="442"/>
      <c r="BI3" s="514" t="str">
        <f t="shared" ref="BI3:BO3" si="1">""</f>
        <v/>
      </c>
      <c r="BJ3" s="514" t="str">
        <f t="shared" si="1"/>
        <v/>
      </c>
      <c r="BK3" s="514" t="str">
        <f t="shared" si="1"/>
        <v/>
      </c>
      <c r="BL3" s="514" t="str">
        <f t="shared" si="1"/>
        <v/>
      </c>
      <c r="BM3" s="514" t="str">
        <f t="shared" si="1"/>
        <v/>
      </c>
      <c r="BN3" s="514" t="str">
        <f t="shared" si="1"/>
        <v/>
      </c>
      <c r="BO3" s="534" t="str">
        <f t="shared" si="1"/>
        <v/>
      </c>
      <c r="BP3" s="514" t="s">
        <v>305</v>
      </c>
      <c r="BQ3" s="535" t="str" cm="1">
        <f t="array" ref="BQ3">IFERROR(INDEX($AY$1:$AY$112,SMALL(IF($AY$1:$AY$112&lt;&gt;"",ROW($AY$1:$AY$112),4^8),ROW(3:3)))&amp;"","")</f>
        <v>龙裔</v>
      </c>
      <c r="BR3" s="514" t="e">
        <f>INDEX($AZ$2:$BO$112,$BR$2,1)&amp;""</f>
        <v>#N/A</v>
      </c>
      <c r="BS3" s="514" t="e" cm="1">
        <f t="array" ref="BS3">INDEX(BR:BR,SMALL(IF($BR$3:$BR$15&lt;&gt;"",ROW(3:15),16),ROW(BR2)))&amp;""</f>
        <v>#N/A</v>
      </c>
      <c r="BT3" s="536">
        <f>IF(主要!T6="",0,主要!T6)</f>
        <v>0</v>
      </c>
      <c r="BU3" s="514" t="e">
        <f>IF(COUNTIF(BR13:BR15,BT4)=0,VLOOKUP(BT3,A:B,2,0)*2,VLOOKUP(BT4,A:B,2,0)*2)</f>
        <v>#N/A</v>
      </c>
      <c r="BV3" s="514"/>
      <c r="BW3" s="534" t="e">
        <f>IF(COUNTIF(BR13:BR15,BT4)=0,VLOOKUP(BT3,A:D,4,0),VLOOKUP(BT4,A:D,4,0))</f>
        <v>#N/A</v>
      </c>
      <c r="BX3" s="514" t="str">
        <f>IFERROR(IF(COUNTIF(BZ2:BZ15,BU7),"",BU7),"")</f>
        <v/>
      </c>
      <c r="BY3" s="514" t="str" cm="1">
        <f t="array" ref="BY3">INDEX(BX:BX,SMALL(IF(BX2:BX17&lt;&gt;"",ROW(2:17),17),ROW(BX2)))&amp;""</f>
        <v/>
      </c>
      <c r="BZ3" s="527" t="str">
        <f>IF(主要!BT28="",0,主要!BT28)</f>
        <v>体型</v>
      </c>
      <c r="CA3" s="512" t="str">
        <f t="shared" ref="CA3:CA14" si="2">IFERROR(VLOOKUP(BZ3,$BU$6:$BV$21,2,0),"")</f>
        <v/>
      </c>
      <c r="CB3" s="525">
        <f>IF(BZ3=0,"",COUNTIF(BZ2:BZ15,BZ3))</f>
        <v>1</v>
      </c>
      <c r="CE3" s="514"/>
    </row>
    <row r="4" customHeight="1" spans="1:83">
      <c r="A4" s="518" t="s">
        <v>5491</v>
      </c>
      <c r="B4" s="518">
        <v>3</v>
      </c>
      <c r="C4" s="518">
        <v>1</v>
      </c>
      <c r="D4" s="518">
        <v>4</v>
      </c>
      <c r="E4" s="512" t="s">
        <v>5491</v>
      </c>
      <c r="F4" s="512" t="s">
        <v>5471</v>
      </c>
      <c r="G4" s="512" t="s">
        <v>5492</v>
      </c>
      <c r="H4" s="512" t="s">
        <v>333</v>
      </c>
      <c r="J4" s="522">
        <v>2</v>
      </c>
      <c r="K4" s="523" t="s">
        <v>5481</v>
      </c>
      <c r="L4" s="512" t="s">
        <v>5473</v>
      </c>
      <c r="M4" s="524" t="s">
        <v>5493</v>
      </c>
      <c r="N4" s="524" t="s">
        <v>5494</v>
      </c>
      <c r="O4" s="524" t="s">
        <v>5495</v>
      </c>
      <c r="P4" s="512" t="s">
        <v>5496</v>
      </c>
      <c r="Q4" s="524"/>
      <c r="R4" s="524"/>
      <c r="S4" s="512"/>
      <c r="T4" s="512"/>
      <c r="U4" s="512"/>
      <c r="V4" s="512"/>
      <c r="W4" s="512"/>
      <c r="X4" s="512"/>
      <c r="Y4" s="512"/>
      <c r="Z4" s="512"/>
      <c r="AA4" s="512"/>
      <c r="AB4" s="512"/>
      <c r="AC4" s="512"/>
      <c r="AD4" s="512"/>
      <c r="AE4" s="512"/>
      <c r="AF4" s="512"/>
      <c r="AG4" s="512"/>
      <c r="AH4" s="512"/>
      <c r="AI4" s="512"/>
      <c r="AJ4" s="512"/>
      <c r="AK4" s="512"/>
      <c r="AL4" s="512"/>
      <c r="AM4" s="512"/>
      <c r="AN4" s="512"/>
      <c r="AQ4" s="524"/>
      <c r="AR4" s="524"/>
      <c r="AS4" s="524"/>
      <c r="AV4" s="525"/>
      <c r="AY4" s="527" t="s">
        <v>5491</v>
      </c>
      <c r="BF4" s="514"/>
      <c r="BG4" s="514"/>
      <c r="BH4" s="514"/>
      <c r="BI4" s="514" t="str">
        <f t="shared" ref="BI4:BO4" si="3">""</f>
        <v/>
      </c>
      <c r="BJ4" s="514" t="str">
        <f t="shared" si="3"/>
        <v/>
      </c>
      <c r="BK4" s="514" t="str">
        <f t="shared" si="3"/>
        <v/>
      </c>
      <c r="BL4" s="514" t="str">
        <f t="shared" si="3"/>
        <v/>
      </c>
      <c r="BM4" s="514" t="str">
        <f t="shared" si="3"/>
        <v/>
      </c>
      <c r="BN4" s="514" t="str">
        <f t="shared" si="3"/>
        <v/>
      </c>
      <c r="BO4" s="534" t="str">
        <f t="shared" si="3"/>
        <v/>
      </c>
      <c r="BP4" s="514" t="s">
        <v>145</v>
      </c>
      <c r="BQ4" s="535" t="str" cm="1">
        <f t="array" ref="BQ4">IFERROR(INDEX($AY$1:$AY$112,SMALL(IF($AY$1:$AY$112&lt;&gt;"",ROW($AY$1:$AY$112),4^8),ROW(4:4)))&amp;"","")</f>
        <v>矮人</v>
      </c>
      <c r="BR4" s="514" t="e">
        <f>INDEX($AZ$2:$BO$112,$BR$2,2)&amp;""</f>
        <v>#N/A</v>
      </c>
      <c r="BS4" s="514" t="e" cm="1">
        <f t="array" ref="BS4">INDEX(BR:BR,SMALL(IF($BR$3:$BR$15&lt;&gt;"",ROW(3:15),16),ROW(BR3)))&amp;""</f>
        <v>#N/A</v>
      </c>
      <c r="BT4" s="536">
        <f>IF(主要!T7="",0,主要!T7)</f>
        <v>0</v>
      </c>
      <c r="BU4" s="514" t="e">
        <f>BU3-1</f>
        <v>#N/A</v>
      </c>
      <c r="BV4" s="514" t="e">
        <f>IF(COUNTIF(BR13:BR15,BT4)=0,VLOOKUP(BT4,A:C,3,0),0/0)</f>
        <v>#N/A</v>
      </c>
      <c r="BW4" s="534" t="e">
        <f>VLOOKUP(BT4,A:D,4,0)</f>
        <v>#N/A</v>
      </c>
      <c r="BX4" s="514" t="str">
        <f>IFERROR(IF(COUNTIF(BZ2:BZ15,BU8),"",BU8),"")</f>
        <v/>
      </c>
      <c r="BY4" s="514" t="str" cm="1">
        <f t="array" ref="BY4">INDEX(BX:BX,SMALL(IF(BX2:BX17&lt;&gt;"",ROW(2:17),17),ROW(BX3)))&amp;""</f>
        <v/>
      </c>
      <c r="BZ4" s="527" t="str">
        <f>IF(主要!BT29="",0,主要!BT29)</f>
        <v>速度</v>
      </c>
      <c r="CA4" s="512" t="str">
        <f t="shared" si="2"/>
        <v/>
      </c>
      <c r="CB4" s="525">
        <f>IF(BZ4=0,"",COUNTIF(BZ2:BZ15,BZ4))</f>
        <v>1</v>
      </c>
      <c r="CE4" s="514"/>
    </row>
    <row r="5" customHeight="1" spans="1:83">
      <c r="A5" s="518" t="s">
        <v>5497</v>
      </c>
      <c r="B5" s="518">
        <v>4</v>
      </c>
      <c r="C5" s="518">
        <v>1</v>
      </c>
      <c r="D5" s="518">
        <v>5</v>
      </c>
      <c r="E5" s="512" t="s">
        <v>5497</v>
      </c>
      <c r="F5" s="512" t="s">
        <v>5471</v>
      </c>
      <c r="G5" s="512" t="s">
        <v>5498</v>
      </c>
      <c r="H5" s="512" t="s">
        <v>333</v>
      </c>
      <c r="J5" s="522"/>
      <c r="K5" s="523"/>
      <c r="L5" s="512" t="s">
        <v>5483</v>
      </c>
      <c r="M5" s="524" t="s">
        <v>5499</v>
      </c>
      <c r="N5" s="524" t="s">
        <v>5500</v>
      </c>
      <c r="O5" s="524" t="s">
        <v>5501</v>
      </c>
      <c r="P5" s="512" t="s">
        <v>5502</v>
      </c>
      <c r="Q5" s="524"/>
      <c r="R5" s="524"/>
      <c r="S5" s="512"/>
      <c r="T5" s="512"/>
      <c r="U5" s="512"/>
      <c r="V5" s="512"/>
      <c r="W5" s="512"/>
      <c r="X5" s="512"/>
      <c r="Y5" s="512"/>
      <c r="Z5" s="512"/>
      <c r="AA5" s="512"/>
      <c r="AB5" s="512"/>
      <c r="AC5" s="512"/>
      <c r="AD5" s="512"/>
      <c r="AE5" s="512"/>
      <c r="AF5" s="512"/>
      <c r="AG5" s="512"/>
      <c r="AH5" s="512"/>
      <c r="AI5" s="512"/>
      <c r="AJ5" s="512"/>
      <c r="AK5" s="512"/>
      <c r="AL5" s="512"/>
      <c r="AM5" s="512"/>
      <c r="AN5" s="512"/>
      <c r="AQ5" s="524"/>
      <c r="AR5" s="524"/>
      <c r="AS5" s="524"/>
      <c r="AV5" s="525"/>
      <c r="AY5" s="527" t="s">
        <v>5497</v>
      </c>
      <c r="AZ5" s="512" t="s">
        <v>5503</v>
      </c>
      <c r="BA5" s="512" t="s">
        <v>5504</v>
      </c>
      <c r="BB5" s="512" t="s">
        <v>5505</v>
      </c>
      <c r="BC5" s="512" t="str">
        <f>IF(主要!$CO$8="O","影妖精","")</f>
        <v>影妖精</v>
      </c>
      <c r="BD5" s="512" t="str">
        <f>IF(主要!$CO$8="O","月精灵","")</f>
        <v>月精灵</v>
      </c>
      <c r="BE5" s="512" t="str">
        <f>IF(主要!$CO$8="O","暗精灵","")</f>
        <v>暗精灵</v>
      </c>
      <c r="BF5" s="512" t="str">
        <f>IF(主要!$CD$11="O","洛温精灵","")</f>
        <v>洛温精灵</v>
      </c>
      <c r="BG5" s="512" t="str">
        <f>IF(主要!$CD$11="O","暗影荒原精灵","")</f>
        <v>暗影荒原精灵</v>
      </c>
      <c r="BI5" s="512" t="str">
        <f t="shared" ref="BI5:BO5" si="4">""</f>
        <v/>
      </c>
      <c r="BJ5" s="512" t="str">
        <f t="shared" si="4"/>
        <v/>
      </c>
      <c r="BK5" s="512" t="str">
        <f t="shared" si="4"/>
        <v/>
      </c>
      <c r="BL5" s="512" t="str">
        <f t="shared" si="4"/>
        <v/>
      </c>
      <c r="BM5" s="512" t="str">
        <f t="shared" si="4"/>
        <v/>
      </c>
      <c r="BN5" s="512" t="str">
        <f t="shared" si="4"/>
        <v/>
      </c>
      <c r="BO5" s="534" t="str">
        <f t="shared" si="4"/>
        <v/>
      </c>
      <c r="BP5" s="514" t="s">
        <v>310</v>
      </c>
      <c r="BQ5" s="535" t="str" cm="1">
        <f t="array" ref="BQ5">IFERROR(INDEX($AY$1:$AY$112,SMALL(IF($AY$1:$AY$112&lt;&gt;"",ROW($AY$1:$AY$112),4^8),ROW(5:5)))&amp;"","")</f>
        <v>精灵</v>
      </c>
      <c r="BR5" s="514" t="e">
        <f>INDEX($AZ$2:$BO$112,$BR$2,3)&amp;""</f>
        <v>#N/A</v>
      </c>
      <c r="BS5" s="514" t="e" cm="1">
        <f t="array" ref="BS5">INDEX(BR:BR,SMALL(IF($BR$3:$BR$15&lt;&gt;"",ROW(3:15),16),ROW(BR4)))&amp;""</f>
        <v>#N/A</v>
      </c>
      <c r="BT5" s="529" t="s">
        <v>5506</v>
      </c>
      <c r="BU5" s="514" t="s">
        <v>88</v>
      </c>
      <c r="BV5" s="514" t="s">
        <v>89</v>
      </c>
      <c r="BW5" s="534" t="s">
        <v>5507</v>
      </c>
      <c r="BX5" s="514" t="str">
        <f>IFERROR(IF(COUNTIF(BZ2:BZ15,BU9),"",BU9),"")</f>
        <v/>
      </c>
      <c r="BY5" s="514" t="str" cm="1">
        <f t="array" ref="BY5">INDEX(BX:BX,SMALL(IF(BX2:BX17&lt;&gt;"",ROW(2:17),17),ROW(BX4)))&amp;""</f>
        <v/>
      </c>
      <c r="BZ5" s="527">
        <f>IF(主要!BT30="",0,主要!BT30)</f>
        <v>0</v>
      </c>
      <c r="CA5" s="512" t="str">
        <f t="shared" si="2"/>
        <v/>
      </c>
      <c r="CB5" s="525" t="str">
        <f>IF(BZ5=0,"",COUNTIF(BZ2:BZ15,BZ5))</f>
        <v/>
      </c>
      <c r="CE5" s="514"/>
    </row>
    <row r="6" customHeight="1" spans="1:83">
      <c r="A6" s="512" t="s">
        <v>5503</v>
      </c>
      <c r="B6" s="512"/>
      <c r="C6" s="512">
        <v>6</v>
      </c>
      <c r="D6" s="512">
        <v>6</v>
      </c>
      <c r="E6" s="512" t="s">
        <v>5508</v>
      </c>
      <c r="F6" s="512" t="s">
        <v>5471</v>
      </c>
      <c r="G6" s="512" t="s">
        <v>5509</v>
      </c>
      <c r="H6" s="512" t="s">
        <v>333</v>
      </c>
      <c r="J6" s="522">
        <v>3</v>
      </c>
      <c r="K6" s="523" t="s">
        <v>5491</v>
      </c>
      <c r="L6" s="524" t="s">
        <v>5473</v>
      </c>
      <c r="M6" s="524" t="s">
        <v>5510</v>
      </c>
      <c r="N6" s="524" t="s">
        <v>5511</v>
      </c>
      <c r="O6" s="512" t="s">
        <v>5512</v>
      </c>
      <c r="P6" s="512"/>
      <c r="Q6" s="524"/>
      <c r="R6" s="512"/>
      <c r="S6" s="512"/>
      <c r="T6" s="512"/>
      <c r="U6" s="512"/>
      <c r="V6" s="512"/>
      <c r="W6" s="512"/>
      <c r="X6" s="512"/>
      <c r="Y6" s="512"/>
      <c r="Z6" s="524"/>
      <c r="AA6" s="524"/>
      <c r="AB6" s="524"/>
      <c r="AC6" s="524"/>
      <c r="AD6" s="524"/>
      <c r="AE6" s="524"/>
      <c r="AF6" s="524"/>
      <c r="AG6" s="524"/>
      <c r="AH6" s="524"/>
      <c r="AI6" s="524"/>
      <c r="AJ6" s="524"/>
      <c r="AK6" s="524"/>
      <c r="AL6" s="524"/>
      <c r="AM6" s="524"/>
      <c r="AN6" s="524"/>
      <c r="AO6" s="524"/>
      <c r="AV6" s="525"/>
      <c r="AY6" s="527" t="s">
        <v>5508</v>
      </c>
      <c r="AZ6" s="512" t="s">
        <v>5513</v>
      </c>
      <c r="BA6" s="512" t="s">
        <v>5514</v>
      </c>
      <c r="BB6" s="512" t="str">
        <f>IF(主要!$CO$8="O","玄命侏儒","")</f>
        <v>玄命侏儒</v>
      </c>
      <c r="BE6" s="514"/>
      <c r="BF6" s="514"/>
      <c r="BG6" s="514"/>
      <c r="BH6" s="514"/>
      <c r="BI6" s="514" t="str">
        <f t="shared" ref="BI6:BO6" si="5">""</f>
        <v/>
      </c>
      <c r="BJ6" s="514" t="str">
        <f t="shared" si="5"/>
        <v/>
      </c>
      <c r="BK6" s="514" t="str">
        <f t="shared" si="5"/>
        <v/>
      </c>
      <c r="BL6" s="514" t="str">
        <f t="shared" si="5"/>
        <v/>
      </c>
      <c r="BM6" s="514" t="str">
        <f t="shared" si="5"/>
        <v/>
      </c>
      <c r="BN6" s="514" t="str">
        <f t="shared" si="5"/>
        <v/>
      </c>
      <c r="BO6" s="534" t="str">
        <f t="shared" si="5"/>
        <v/>
      </c>
      <c r="BP6" s="514" t="s">
        <v>314</v>
      </c>
      <c r="BQ6" s="535" t="str" cm="1">
        <f t="array" ref="BQ6">IFERROR(INDEX($AY$1:$AY$112,SMALL(IF($AY$1:$AY$112&lt;&gt;"",ROW($AY$1:$AY$112),4^8),ROW(6:6)))&amp;"","")</f>
        <v>侏儒</v>
      </c>
      <c r="BR6" s="514" t="e">
        <f>INDEX($AZ$2:$BO$112,$BR$2,4)&amp;""</f>
        <v>#N/A</v>
      </c>
      <c r="BS6" s="514" t="e" cm="1">
        <f t="array" ref="BS6">INDEX(BR:BR,SMALL(IF($BR$3:$BR$15&lt;&gt;"",ROW(3:15),16),ROW(BR5)))&amp;""</f>
        <v>#N/A</v>
      </c>
      <c r="BT6" s="529"/>
      <c r="BU6" s="442" t="s">
        <v>153</v>
      </c>
      <c r="BV6" s="514" t="e">
        <f>IF(BR18=0,"",VLOOKUP(BT3,E:F,2,0))</f>
        <v>#N/A</v>
      </c>
      <c r="BW6" s="534"/>
      <c r="BX6" s="514" t="str">
        <f>IFERROR(IF(COUNTIF(BZ2:BZ15,BU10),"",BU10),"")</f>
        <v/>
      </c>
      <c r="BY6" s="514" t="str" cm="1">
        <f t="array" ref="BY6">INDEX(BX:BX,SMALL(IF(BX2:BX17&lt;&gt;"",ROW(2:17),17),ROW(BX5)))&amp;""</f>
        <v/>
      </c>
      <c r="BZ6" s="527">
        <f>IF(主要!BT31="",0,主要!BT31)</f>
        <v>0</v>
      </c>
      <c r="CA6" s="512" t="str">
        <f t="shared" si="2"/>
        <v/>
      </c>
      <c r="CB6" s="525" t="str">
        <f>IF(BZ6=0,"",COUNTIF(BZ2:BZ15,BZ6))</f>
        <v/>
      </c>
      <c r="CE6" s="514"/>
    </row>
    <row r="7" customHeight="1" spans="1:83">
      <c r="A7" s="512" t="s">
        <v>5504</v>
      </c>
      <c r="B7" s="512"/>
      <c r="C7" s="512">
        <v>7</v>
      </c>
      <c r="D7" s="512">
        <v>7</v>
      </c>
      <c r="E7" s="512" t="s">
        <v>5515</v>
      </c>
      <c r="F7" s="512" t="s">
        <v>5471</v>
      </c>
      <c r="G7" s="512" t="s">
        <v>5516</v>
      </c>
      <c r="H7" s="512" t="s">
        <v>5517</v>
      </c>
      <c r="J7" s="522"/>
      <c r="K7" s="523"/>
      <c r="L7" s="524" t="s">
        <v>5518</v>
      </c>
      <c r="M7" s="524" t="s">
        <v>5519</v>
      </c>
      <c r="N7" s="512" t="s">
        <v>5520</v>
      </c>
      <c r="O7" s="524" t="s">
        <v>5521</v>
      </c>
      <c r="P7" s="512"/>
      <c r="Q7" s="524"/>
      <c r="R7" s="512"/>
      <c r="S7" s="512"/>
      <c r="T7" s="512"/>
      <c r="U7" s="512"/>
      <c r="V7" s="512"/>
      <c r="W7" s="512"/>
      <c r="X7" s="512"/>
      <c r="Y7" s="512"/>
      <c r="Z7" s="524"/>
      <c r="AA7" s="524"/>
      <c r="AB7" s="524"/>
      <c r="AC7" s="524"/>
      <c r="AD7" s="524"/>
      <c r="AE7" s="524"/>
      <c r="AF7" s="524"/>
      <c r="AG7" s="524"/>
      <c r="AH7" s="524"/>
      <c r="AI7" s="524"/>
      <c r="AJ7" s="524"/>
      <c r="AK7" s="524"/>
      <c r="AL7" s="524"/>
      <c r="AM7" s="524"/>
      <c r="AN7" s="524"/>
      <c r="AO7" s="524"/>
      <c r="AV7" s="525"/>
      <c r="AY7" s="527" t="s">
        <v>5515</v>
      </c>
      <c r="AZ7" s="512" t="s">
        <v>5522</v>
      </c>
      <c r="BA7" s="512" t="s">
        <v>5523</v>
      </c>
      <c r="BB7" s="512" t="s">
        <v>5524</v>
      </c>
      <c r="BC7" s="512" t="s">
        <v>5525</v>
      </c>
      <c r="BD7" s="442" t="s">
        <v>5526</v>
      </c>
      <c r="BE7" s="442" t="s">
        <v>5527</v>
      </c>
      <c r="BF7" s="514"/>
      <c r="BG7" s="514"/>
      <c r="BH7" s="514"/>
      <c r="BI7" s="514" t="str">
        <f t="shared" ref="BI7:BO7" si="6">""</f>
        <v/>
      </c>
      <c r="BJ7" s="514" t="str">
        <f t="shared" si="6"/>
        <v/>
      </c>
      <c r="BK7" s="514" t="str">
        <f t="shared" si="6"/>
        <v/>
      </c>
      <c r="BL7" s="514" t="str">
        <f t="shared" si="6"/>
        <v/>
      </c>
      <c r="BM7" s="514" t="str">
        <f t="shared" si="6"/>
        <v/>
      </c>
      <c r="BN7" s="514" t="str">
        <f t="shared" si="6"/>
        <v/>
      </c>
      <c r="BO7" s="534" t="str">
        <f t="shared" si="6"/>
        <v/>
      </c>
      <c r="BP7" s="537" t="s">
        <v>316</v>
      </c>
      <c r="BQ7" s="535" t="str" cm="1">
        <f t="array" ref="BQ7">IFERROR(INDEX($AY$1:$AY$112,SMALL(IF($AY$1:$AY$112&lt;&gt;"",ROW($AY$1:$AY$112),4^8),ROW(7:7)))&amp;"","")</f>
        <v>歌利亚</v>
      </c>
      <c r="BR7" s="514" t="e">
        <f>INDEX($AZ$2:$BO$112,$BR$2,5)&amp;""</f>
        <v>#N/A</v>
      </c>
      <c r="BS7" s="514" t="e" cm="1">
        <f t="array" ref="BS7">INDEX(BR:BR,SMALL(IF($BR$3:$BR$15&lt;&gt;"",ROW(3:15),16),ROW(BR6)))&amp;""</f>
        <v>#N/A</v>
      </c>
      <c r="BT7" s="529"/>
      <c r="BU7" s="514" t="s">
        <v>144</v>
      </c>
      <c r="BV7" s="514" t="e">
        <f>IF(BR18=0,"",VLOOKUP(BT3,E:H,3,0))</f>
        <v>#N/A</v>
      </c>
      <c r="BW7" s="534"/>
      <c r="BX7" s="514" t="str">
        <f>IFERROR(IF(OR(BU11="",COUNTIF(BZ2:BZ15,BU11)),"",BU11),"")</f>
        <v/>
      </c>
      <c r="BY7" s="514" t="str" cm="1">
        <f t="array" ref="BY7">INDEX(BX:BX,SMALL(IF(BX2:BX17&lt;&gt;"",ROW(2:17),17),ROW(BX6)))&amp;""</f>
        <v/>
      </c>
      <c r="BZ7" s="527">
        <f>IF(主要!BT32="",0,主要!BT32)</f>
        <v>0</v>
      </c>
      <c r="CA7" s="512" t="str">
        <f t="shared" si="2"/>
        <v/>
      </c>
      <c r="CB7" s="525" t="str">
        <f>IF(BZ7=0,"",COUNTIF(BZ2:BZ15,BZ7))</f>
        <v/>
      </c>
      <c r="CE7" s="514"/>
    </row>
    <row r="8" customHeight="1" spans="1:80">
      <c r="A8" s="512" t="s">
        <v>5505</v>
      </c>
      <c r="B8" s="512"/>
      <c r="C8" s="512">
        <v>8</v>
      </c>
      <c r="D8" s="512">
        <v>8</v>
      </c>
      <c r="E8" s="512" t="s">
        <v>5528</v>
      </c>
      <c r="F8" s="512" t="s">
        <v>5471</v>
      </c>
      <c r="G8" s="512" t="s">
        <v>5529</v>
      </c>
      <c r="H8" s="512" t="s">
        <v>333</v>
      </c>
      <c r="J8" s="522">
        <v>4</v>
      </c>
      <c r="K8" s="523" t="s">
        <v>5497</v>
      </c>
      <c r="L8" s="524" t="s">
        <v>5473</v>
      </c>
      <c r="M8" s="524" t="s">
        <v>5530</v>
      </c>
      <c r="N8" s="512" t="s">
        <v>5531</v>
      </c>
      <c r="O8" s="512" t="s">
        <v>5532</v>
      </c>
      <c r="P8" s="524" t="s">
        <v>5533</v>
      </c>
      <c r="Q8" s="524" t="s">
        <v>5503</v>
      </c>
      <c r="R8" s="512" t="s">
        <v>5504</v>
      </c>
      <c r="S8" s="512" t="s">
        <v>5505</v>
      </c>
      <c r="T8" s="512" t="s">
        <v>5534</v>
      </c>
      <c r="U8" s="512" t="s">
        <v>5535</v>
      </c>
      <c r="V8" s="512" t="s">
        <v>5536</v>
      </c>
      <c r="W8" s="512" t="s">
        <v>5537</v>
      </c>
      <c r="X8" s="512" t="s">
        <v>5538</v>
      </c>
      <c r="Y8" s="512" t="s">
        <v>5539</v>
      </c>
      <c r="Z8" s="512" t="s">
        <v>5534</v>
      </c>
      <c r="AA8" s="512" t="s">
        <v>5536</v>
      </c>
      <c r="AB8" s="512" t="s">
        <v>5540</v>
      </c>
      <c r="AC8" s="512" t="s">
        <v>5541</v>
      </c>
      <c r="AD8" s="512" t="s">
        <v>5542</v>
      </c>
      <c r="AE8" s="512"/>
      <c r="AF8" s="512"/>
      <c r="AG8" s="512"/>
      <c r="AH8" s="512"/>
      <c r="AI8" s="512"/>
      <c r="AJ8" s="512"/>
      <c r="AK8" s="512"/>
      <c r="AL8" s="512"/>
      <c r="AM8" s="512"/>
      <c r="AN8" s="512"/>
      <c r="AV8" s="525"/>
      <c r="AY8" s="527" t="s">
        <v>5528</v>
      </c>
      <c r="BG8" s="514"/>
      <c r="BH8" s="514"/>
      <c r="BI8" s="514" t="str">
        <f t="shared" ref="BI8:BO8" si="7">""</f>
        <v/>
      </c>
      <c r="BJ8" s="514" t="str">
        <f t="shared" si="7"/>
        <v/>
      </c>
      <c r="BK8" s="514" t="str">
        <f t="shared" si="7"/>
        <v/>
      </c>
      <c r="BL8" s="514" t="str">
        <f t="shared" si="7"/>
        <v/>
      </c>
      <c r="BM8" s="514" t="str">
        <f t="shared" si="7"/>
        <v/>
      </c>
      <c r="BN8" s="514" t="str">
        <f t="shared" si="7"/>
        <v/>
      </c>
      <c r="BO8" s="534" t="str">
        <f t="shared" si="7"/>
        <v/>
      </c>
      <c r="BP8" s="514"/>
      <c r="BQ8" s="535" t="str" cm="1">
        <f t="array" ref="BQ8">IFERROR(INDEX($AY$1:$AY$112,SMALL(IF($AY$1:$AY$112&lt;&gt;"",ROW($AY$1:$AY$112),4^8),ROW(8:8)))&amp;"","")</f>
        <v>半身人</v>
      </c>
      <c r="BR8" s="514" t="e">
        <f>INDEX($AZ$2:$BO$112,$BR$2,6)&amp;""</f>
        <v>#N/A</v>
      </c>
      <c r="BS8" s="514" t="e" cm="1">
        <f t="array" ref="BS8">INDEX(BR:BR,SMALL(IF($BR$3:$BR$15&lt;&gt;"",ROW(3:15),16),ROW(BR7)))&amp;""</f>
        <v>#N/A</v>
      </c>
      <c r="BT8" s="529"/>
      <c r="BU8" s="514" t="s">
        <v>146</v>
      </c>
      <c r="BV8" s="514" t="e">
        <f>IF(BR18=0,"",VLOOKUP(BT3,E:H,4,0))</f>
        <v>#N/A</v>
      </c>
      <c r="BW8" s="534"/>
      <c r="BX8" s="514" t="str">
        <f>IFERROR(IF(OR(BU12="",COUNTIF(BZ2:BZ15,BU12)),"",BU12),"")</f>
        <v/>
      </c>
      <c r="BY8" s="514" t="str" cm="1">
        <f t="array" ref="BY8">INDEX(BX:BX,SMALL(IF(BX2:BX17&lt;&gt;"",ROW(2:17),17),ROW(BX7)))&amp;""</f>
        <v/>
      </c>
      <c r="BZ8" s="527">
        <f>IF(主要!BT33="",0,主要!BT33)</f>
        <v>0</v>
      </c>
      <c r="CA8" s="512" t="str">
        <f t="shared" si="2"/>
        <v/>
      </c>
      <c r="CB8" s="525" t="str">
        <f>IF(BZ8=0,"",COUNTIF(BZ2:BZ15,BZ8))</f>
        <v/>
      </c>
    </row>
    <row r="9" customHeight="1" spans="1:80">
      <c r="A9" s="512" t="s">
        <v>5543</v>
      </c>
      <c r="B9" s="512"/>
      <c r="C9" s="512">
        <v>9</v>
      </c>
      <c r="D9" s="512">
        <v>12</v>
      </c>
      <c r="E9" s="512" t="s">
        <v>5544</v>
      </c>
      <c r="F9" s="512" t="s">
        <v>5471</v>
      </c>
      <c r="G9" s="512" t="s">
        <v>5545</v>
      </c>
      <c r="H9" s="512" t="s">
        <v>333</v>
      </c>
      <c r="J9" s="522"/>
      <c r="K9" s="523"/>
      <c r="L9" s="524" t="s">
        <v>5483</v>
      </c>
      <c r="M9" s="524" t="s">
        <v>5546</v>
      </c>
      <c r="N9" s="512" t="s">
        <v>5547</v>
      </c>
      <c r="O9" s="512" t="s">
        <v>5548</v>
      </c>
      <c r="P9" s="524" t="s">
        <v>5549</v>
      </c>
      <c r="Q9" s="524" t="s">
        <v>5550</v>
      </c>
      <c r="R9" s="512" t="s">
        <v>5551</v>
      </c>
      <c r="S9" s="512" t="s">
        <v>5552</v>
      </c>
      <c r="T9" s="512" t="s">
        <v>5553</v>
      </c>
      <c r="U9" s="512" t="s">
        <v>5554</v>
      </c>
      <c r="V9" s="512" t="s">
        <v>5555</v>
      </c>
      <c r="W9" s="512" t="s">
        <v>5556</v>
      </c>
      <c r="X9" s="512" t="s">
        <v>5557</v>
      </c>
      <c r="Y9" s="512" t="s">
        <v>5558</v>
      </c>
      <c r="Z9" s="512" t="s">
        <v>5553</v>
      </c>
      <c r="AA9" s="512" t="s">
        <v>5555</v>
      </c>
      <c r="AB9" s="512" t="s">
        <v>5559</v>
      </c>
      <c r="AC9" s="442" t="s">
        <v>5560</v>
      </c>
      <c r="AD9" s="512" t="s">
        <v>5561</v>
      </c>
      <c r="AE9" s="512"/>
      <c r="AF9" s="512"/>
      <c r="AG9" s="512"/>
      <c r="AH9" s="512"/>
      <c r="AI9" s="512"/>
      <c r="AJ9" s="512"/>
      <c r="AK9" s="512"/>
      <c r="AL9" s="512"/>
      <c r="AM9" s="512"/>
      <c r="AN9" s="512"/>
      <c r="AV9" s="525"/>
      <c r="AY9" s="527" t="s">
        <v>5544</v>
      </c>
      <c r="BI9" s="512" t="str">
        <f t="shared" ref="BI9:BO9" si="8">""</f>
        <v/>
      </c>
      <c r="BJ9" s="512" t="str">
        <f t="shared" si="8"/>
        <v/>
      </c>
      <c r="BK9" s="512" t="str">
        <f t="shared" si="8"/>
        <v/>
      </c>
      <c r="BL9" s="512" t="str">
        <f t="shared" si="8"/>
        <v/>
      </c>
      <c r="BM9" s="512" t="str">
        <f t="shared" si="8"/>
        <v/>
      </c>
      <c r="BN9" s="512" t="str">
        <f t="shared" si="8"/>
        <v/>
      </c>
      <c r="BO9" s="534" t="str">
        <f t="shared" si="8"/>
        <v/>
      </c>
      <c r="BP9" s="514"/>
      <c r="BQ9" s="535" t="str" cm="1">
        <f t="array" ref="BQ9">IFERROR(INDEX($AY$1:$AY$112,SMALL(IF($AY$1:$AY$112&lt;&gt;"",ROW($AY$1:$AY$112),4^8),ROW(9:9)))&amp;"","")</f>
        <v>人类</v>
      </c>
      <c r="BR9" s="514" t="e">
        <f>INDEX($AZ$2:$BO$112,$BR$2,7)&amp;""</f>
        <v>#N/A</v>
      </c>
      <c r="BS9" s="514" t="e" cm="1">
        <f t="array" ref="BS9">INDEX(BR:BR,SMALL(IF($BR$3:$BR$15&lt;&gt;"",ROW(3:15),16),ROW(BR8)))&amp;""</f>
        <v>#N/A</v>
      </c>
      <c r="BT9" s="529" t="e">
        <f t="shared" ref="BT9:BT21" si="9">IF(BT8+1&gt;$BW$3,IF($BV$4+BW8&gt;$BW$4,"",$BV$4+BW8),BT8+1)</f>
        <v>#N/A</v>
      </c>
      <c r="BU9" s="514" t="e">
        <f t="shared" ref="BU9:BU21" si="10">INDEX($L$2:$AV$231,$BU$4,BT9)</f>
        <v>#N/A</v>
      </c>
      <c r="BV9" s="514" t="e">
        <f t="shared" ref="BV9:BV21" si="11">INDEX($L$2:$AV$231,$BU$3,BT9)</f>
        <v>#N/A</v>
      </c>
      <c r="BW9" s="534" t="e">
        <f t="shared" ref="BW9:BW21" si="12">IF(BT8+1&gt;$BW$3,BW8+1,0)</f>
        <v>#N/A</v>
      </c>
      <c r="BX9" s="514" t="str">
        <f>IFERROR(IF(OR(BU13="",COUNTIF(BZ2:BZ15,BU13)),"",BU13),"")</f>
        <v/>
      </c>
      <c r="BY9" s="514" t="str" cm="1">
        <f t="array" ref="BY9">INDEX(BX:BX,SMALL(IF(BX2:BX17&lt;&gt;"",ROW(2:17),17),ROW(BX8)))&amp;""</f>
        <v/>
      </c>
      <c r="BZ9" s="527">
        <f>IF(主要!BT34="",0,主要!BT34)</f>
        <v>0</v>
      </c>
      <c r="CA9" s="512" t="str">
        <f t="shared" si="2"/>
        <v/>
      </c>
      <c r="CB9" s="525" t="str">
        <f>IF(BZ9=0,"",COUNTIF(BZ2:BZ15,BZ9))</f>
        <v/>
      </c>
    </row>
    <row r="10" customHeight="1" spans="1:80">
      <c r="A10" s="512" t="s">
        <v>5562</v>
      </c>
      <c r="B10" s="512"/>
      <c r="C10" s="512">
        <v>13</v>
      </c>
      <c r="D10" s="512">
        <v>16</v>
      </c>
      <c r="E10" s="512" t="s">
        <v>5563</v>
      </c>
      <c r="F10" s="512" t="s">
        <v>5471</v>
      </c>
      <c r="G10" s="512" t="s">
        <v>5564</v>
      </c>
      <c r="H10" s="512" t="s">
        <v>333</v>
      </c>
      <c r="J10" s="522">
        <v>5</v>
      </c>
      <c r="K10" s="523" t="s">
        <v>5508</v>
      </c>
      <c r="L10" s="524" t="s">
        <v>5473</v>
      </c>
      <c r="M10" s="524" t="s">
        <v>5565</v>
      </c>
      <c r="N10" s="524" t="s">
        <v>5566</v>
      </c>
      <c r="O10" s="524" t="s">
        <v>5513</v>
      </c>
      <c r="P10" s="512" t="s">
        <v>5514</v>
      </c>
      <c r="Q10" s="512" t="s">
        <v>5567</v>
      </c>
      <c r="R10" s="512" t="s">
        <v>5568</v>
      </c>
      <c r="S10" s="512"/>
      <c r="T10" s="512"/>
      <c r="U10" s="512"/>
      <c r="V10" s="512"/>
      <c r="W10" s="512"/>
      <c r="X10" s="512"/>
      <c r="Y10" s="512"/>
      <c r="Z10" s="524"/>
      <c r="AA10" s="524"/>
      <c r="AB10" s="524"/>
      <c r="AC10" s="524"/>
      <c r="AD10" s="524"/>
      <c r="AE10" s="524"/>
      <c r="AF10" s="524"/>
      <c r="AG10" s="524"/>
      <c r="AH10" s="524"/>
      <c r="AI10" s="524"/>
      <c r="AJ10" s="524"/>
      <c r="AK10" s="524"/>
      <c r="AL10" s="524"/>
      <c r="AM10" s="524"/>
      <c r="AN10" s="524"/>
      <c r="AO10" s="524"/>
      <c r="AV10" s="525"/>
      <c r="AY10" s="527" t="s">
        <v>5563</v>
      </c>
      <c r="BI10" s="514" t="str">
        <f t="shared" ref="BI10:BO10" si="13">""</f>
        <v/>
      </c>
      <c r="BJ10" s="514" t="str">
        <f t="shared" si="13"/>
        <v/>
      </c>
      <c r="BK10" s="514" t="str">
        <f t="shared" si="13"/>
        <v/>
      </c>
      <c r="BL10" s="514" t="str">
        <f t="shared" si="13"/>
        <v/>
      </c>
      <c r="BM10" s="514" t="str">
        <f t="shared" si="13"/>
        <v/>
      </c>
      <c r="BN10" s="514" t="str">
        <f t="shared" si="13"/>
        <v/>
      </c>
      <c r="BO10" s="534" t="str">
        <f t="shared" si="13"/>
        <v/>
      </c>
      <c r="BP10" s="514"/>
      <c r="BQ10" s="535" t="str" cm="1">
        <f t="array" ref="BQ10">IFERROR(INDEX($AY$1:$AY$112,SMALL(IF($AY$1:$AY$112&lt;&gt;"",ROW($AY$1:$AY$112),4^8),ROW(10:10)))&amp;"","")</f>
        <v>兽人</v>
      </c>
      <c r="BR10" s="514" t="e">
        <f>INDEX($AZ$2:$BO$112,$BR$2,8)&amp;""</f>
        <v>#N/A</v>
      </c>
      <c r="BS10" s="514" t="e" cm="1">
        <f t="array" ref="BS10">INDEX(BR:BR,SMALL(IF($BR$3:$BR$15&lt;&gt;"",ROW(3:15),16),ROW(BR9)))&amp;""</f>
        <v>#N/A</v>
      </c>
      <c r="BT10" s="529" t="e">
        <f t="shared" si="9"/>
        <v>#N/A</v>
      </c>
      <c r="BU10" s="514" t="e">
        <f t="shared" si="10"/>
        <v>#N/A</v>
      </c>
      <c r="BV10" s="514" t="e">
        <f t="shared" si="11"/>
        <v>#N/A</v>
      </c>
      <c r="BW10" s="534" t="e">
        <f t="shared" si="12"/>
        <v>#N/A</v>
      </c>
      <c r="BX10" s="514" t="str">
        <f>IFERROR(IF(OR(BU14="",COUNTIF(BZ2:BZ15,BU14)),"",BU14),"")</f>
        <v/>
      </c>
      <c r="BY10" s="514" t="str" cm="1">
        <f t="array" ref="BY10">INDEX(BX:BX,SMALL(IF(BX2:BX17&lt;&gt;"",ROW(2:17),17),ROW(BX9)))&amp;""</f>
        <v/>
      </c>
      <c r="BZ10" s="527">
        <f>IF(主要!BT35="",0,主要!BT35)</f>
        <v>0</v>
      </c>
      <c r="CA10" s="512" t="str">
        <f t="shared" si="2"/>
        <v/>
      </c>
      <c r="CB10" s="525" t="str">
        <f>IF(BZ10=0,"",COUNTIF(BZ2:BZ15,BZ10))</f>
        <v/>
      </c>
    </row>
    <row r="11" customHeight="1" spans="1:80">
      <c r="A11" s="512" t="s">
        <v>5569</v>
      </c>
      <c r="B11" s="512"/>
      <c r="C11" s="512">
        <v>17</v>
      </c>
      <c r="D11" s="512">
        <v>17</v>
      </c>
      <c r="E11" s="512" t="s">
        <v>5570</v>
      </c>
      <c r="F11" s="512" t="s">
        <v>5471</v>
      </c>
      <c r="G11" s="512" t="s">
        <v>5571</v>
      </c>
      <c r="H11" s="512" t="s">
        <v>333</v>
      </c>
      <c r="J11" s="522"/>
      <c r="K11" s="523"/>
      <c r="L11" s="524" t="s">
        <v>5483</v>
      </c>
      <c r="M11" s="512" t="s">
        <v>5572</v>
      </c>
      <c r="N11" s="524" t="s">
        <v>5573</v>
      </c>
      <c r="O11" s="524" t="s">
        <v>5574</v>
      </c>
      <c r="P11" s="512" t="s">
        <v>5575</v>
      </c>
      <c r="Q11" s="512" t="s">
        <v>5576</v>
      </c>
      <c r="R11" s="512" t="s">
        <v>5577</v>
      </c>
      <c r="S11" s="512"/>
      <c r="T11" s="512"/>
      <c r="U11" s="512"/>
      <c r="V11" s="512"/>
      <c r="W11" s="512"/>
      <c r="X11" s="512"/>
      <c r="Y11" s="512"/>
      <c r="Z11" s="524"/>
      <c r="AA11" s="524"/>
      <c r="AB11" s="524"/>
      <c r="AC11" s="524"/>
      <c r="AD11" s="524"/>
      <c r="AE11" s="524"/>
      <c r="AF11" s="524"/>
      <c r="AG11" s="524"/>
      <c r="AH11" s="524"/>
      <c r="AI11" s="524"/>
      <c r="AJ11" s="524"/>
      <c r="AK11" s="524"/>
      <c r="AL11" s="524"/>
      <c r="AM11" s="524"/>
      <c r="AN11" s="524"/>
      <c r="AO11" s="524"/>
      <c r="AV11" s="525"/>
      <c r="AY11" s="527" t="s">
        <v>5570</v>
      </c>
      <c r="AZ11" s="442" t="s">
        <v>5578</v>
      </c>
      <c r="BA11" s="442" t="s">
        <v>5579</v>
      </c>
      <c r="BB11" s="442" t="s">
        <v>5580</v>
      </c>
      <c r="BC11" s="514"/>
      <c r="BD11" s="514"/>
      <c r="BE11" s="514"/>
      <c r="BF11" s="514"/>
      <c r="BG11" s="514"/>
      <c r="BH11" s="514"/>
      <c r="BI11" s="514" t="str">
        <f t="shared" ref="BI11:BO11" si="14">""</f>
        <v/>
      </c>
      <c r="BJ11" s="514" t="str">
        <f t="shared" si="14"/>
        <v/>
      </c>
      <c r="BK11" s="514" t="str">
        <f t="shared" si="14"/>
        <v/>
      </c>
      <c r="BL11" s="514" t="str">
        <f t="shared" si="14"/>
        <v/>
      </c>
      <c r="BM11" s="514" t="str">
        <f t="shared" si="14"/>
        <v/>
      </c>
      <c r="BN11" s="514" t="str">
        <f t="shared" si="14"/>
        <v/>
      </c>
      <c r="BO11" s="534" t="str">
        <f t="shared" si="14"/>
        <v/>
      </c>
      <c r="BP11" s="514"/>
      <c r="BQ11" s="535" t="str" cm="1">
        <f t="array" ref="BQ11">IFERROR(INDEX($AY$1:$AY$112,SMALL(IF($AY$1:$AY$112&lt;&gt;"",ROW($AY$1:$AY$112),4^8),ROW(11:11)))&amp;"","")</f>
        <v>提夫林</v>
      </c>
      <c r="BR11" s="514" t="e">
        <f>INDEX($AZ$2:$BO$112,$BR$2,9)&amp;""</f>
        <v>#N/A</v>
      </c>
      <c r="BS11" s="514" t="e" cm="1">
        <f t="array" ref="BS11">INDEX(BR:BR,SMALL(IF($BR$3:$BR$15&lt;&gt;"",ROW(3:15),16),ROW(BR10)))&amp;""</f>
        <v>#N/A</v>
      </c>
      <c r="BT11" s="529" t="e">
        <f t="shared" si="9"/>
        <v>#N/A</v>
      </c>
      <c r="BU11" s="514" t="e">
        <f t="shared" si="10"/>
        <v>#N/A</v>
      </c>
      <c r="BV11" s="514" t="e">
        <f t="shared" si="11"/>
        <v>#N/A</v>
      </c>
      <c r="BW11" s="534" t="e">
        <f t="shared" si="12"/>
        <v>#N/A</v>
      </c>
      <c r="BX11" s="514" t="str">
        <f>IFERROR(IF(OR(BU15="",COUNTIF(BZ2:BZ15,BU15)),"",BU15),"")</f>
        <v/>
      </c>
      <c r="BY11" s="514" t="str" cm="1">
        <f t="array" ref="BY11">INDEX(BX:BX,SMALL(IF(BX2:BX17&lt;&gt;"",ROW(2:17),17),ROW(BX10)))&amp;""</f>
        <v/>
      </c>
      <c r="BZ11" s="527">
        <f>IF(主要!BT36="",0,主要!BT36)</f>
        <v>0</v>
      </c>
      <c r="CA11" s="512" t="str">
        <f t="shared" si="2"/>
        <v/>
      </c>
      <c r="CB11" s="525" t="str">
        <f>IF(BZ11=0,"",COUNTIF(BZ2:BZ15,BZ11))</f>
        <v/>
      </c>
    </row>
    <row r="12" customHeight="1" spans="1:80">
      <c r="A12" s="512" t="s">
        <v>5541</v>
      </c>
      <c r="B12" s="512"/>
      <c r="C12" s="512">
        <v>18</v>
      </c>
      <c r="D12" s="512">
        <v>18</v>
      </c>
      <c r="E12" s="512" t="s">
        <v>5581</v>
      </c>
      <c r="F12" s="512" t="s">
        <v>5471</v>
      </c>
      <c r="G12" s="512" t="s">
        <v>5582</v>
      </c>
      <c r="H12" s="512" t="s">
        <v>333</v>
      </c>
      <c r="J12" s="522">
        <v>6</v>
      </c>
      <c r="K12" s="523" t="s">
        <v>5515</v>
      </c>
      <c r="L12" s="512" t="s">
        <v>5583</v>
      </c>
      <c r="M12" s="512" t="s">
        <v>5584</v>
      </c>
      <c r="N12" s="524" t="s">
        <v>5585</v>
      </c>
      <c r="O12" s="524" t="s">
        <v>5586</v>
      </c>
      <c r="P12" s="512" t="s">
        <v>5587</v>
      </c>
      <c r="Q12" s="512" t="s">
        <v>5588</v>
      </c>
      <c r="R12" s="512" t="s">
        <v>5589</v>
      </c>
      <c r="S12" s="512" t="s">
        <v>5590</v>
      </c>
      <c r="T12" s="512" t="s">
        <v>5591</v>
      </c>
      <c r="U12" s="512"/>
      <c r="V12" s="512"/>
      <c r="W12" s="512"/>
      <c r="X12" s="524"/>
      <c r="Y12" s="524"/>
      <c r="Z12" s="524"/>
      <c r="AA12" s="524"/>
      <c r="AB12" s="524"/>
      <c r="AC12" s="524"/>
      <c r="AD12" s="524"/>
      <c r="AE12" s="524"/>
      <c r="AF12" s="524"/>
      <c r="AG12" s="524"/>
      <c r="AH12" s="524"/>
      <c r="AI12" s="524"/>
      <c r="AJ12" s="524"/>
      <c r="AK12" s="524"/>
      <c r="AL12" s="524"/>
      <c r="AM12" s="524"/>
      <c r="AN12" s="524"/>
      <c r="AO12" s="524"/>
      <c r="AV12" s="525"/>
      <c r="AY12" s="528" t="str">
        <f>IF(主要!$CD$15="O","象族","")</f>
        <v>象族</v>
      </c>
      <c r="AZ12" s="514"/>
      <c r="BA12" s="514"/>
      <c r="BB12" s="514"/>
      <c r="BC12" s="514"/>
      <c r="BD12" s="514"/>
      <c r="BE12" s="514"/>
      <c r="BF12" s="514"/>
      <c r="BG12" s="514"/>
      <c r="BH12" s="514"/>
      <c r="BI12" s="514" t="str">
        <f t="shared" ref="BI12:BO12" si="15">""</f>
        <v/>
      </c>
      <c r="BJ12" s="514" t="str">
        <f t="shared" si="15"/>
        <v/>
      </c>
      <c r="BK12" s="514" t="str">
        <f t="shared" si="15"/>
        <v/>
      </c>
      <c r="BL12" s="514" t="str">
        <f t="shared" si="15"/>
        <v/>
      </c>
      <c r="BM12" s="514" t="str">
        <f t="shared" si="15"/>
        <v/>
      </c>
      <c r="BN12" s="514" t="str">
        <f t="shared" si="15"/>
        <v/>
      </c>
      <c r="BO12" s="534" t="str">
        <f t="shared" si="15"/>
        <v/>
      </c>
      <c r="BP12" s="514"/>
      <c r="BQ12" s="535" t="str" cm="1">
        <f t="array" ref="BQ12">IFERROR(INDEX($AY$1:$AY$112,SMALL(IF($AY$1:$AY$112&lt;&gt;"",ROW($AY$1:$AY$112),4^8),ROW(12:12)))&amp;"","")</f>
        <v>象族</v>
      </c>
      <c r="BR12" s="514" t="e">
        <f>INDEX($AZ$2:$BO$112,$BR$2,10)&amp;""</f>
        <v>#N/A</v>
      </c>
      <c r="BS12" s="514" t="e" cm="1">
        <f t="array" ref="BS12">INDEX(BR:BR,SMALL(IF($BR$3:$BR$15&lt;&gt;"",ROW(3:15),16),ROW(BR11)))&amp;""</f>
        <v>#N/A</v>
      </c>
      <c r="BT12" s="529" t="e">
        <f t="shared" si="9"/>
        <v>#N/A</v>
      </c>
      <c r="BU12" s="514" t="e">
        <f t="shared" si="10"/>
        <v>#N/A</v>
      </c>
      <c r="BV12" s="514" t="e">
        <f t="shared" si="11"/>
        <v>#N/A</v>
      </c>
      <c r="BW12" s="534" t="e">
        <f t="shared" si="12"/>
        <v>#N/A</v>
      </c>
      <c r="BX12" s="514" t="str">
        <f>IFERROR(IF(OR(BU16="",COUNTIF(BZ2:BZ15,BU16)),"",BU16),"")</f>
        <v/>
      </c>
      <c r="BY12" s="514" t="str" cm="1">
        <f t="array" ref="BY12">INDEX(BX:BX,SMALL(IF(BX2:BX17&lt;&gt;"",ROW(2:17),17),ROW(BX11)))&amp;""</f>
        <v/>
      </c>
      <c r="BZ12" s="527">
        <f>IF(主要!BT37="",0,主要!BT37)</f>
        <v>0</v>
      </c>
      <c r="CA12" s="512" t="str">
        <f t="shared" si="2"/>
        <v/>
      </c>
      <c r="CB12" s="525" t="str">
        <f>IF(BZ12=0,"",COUNTIF(BZ2:BZ15,BZ12))</f>
        <v/>
      </c>
    </row>
    <row r="13" customHeight="1" spans="1:80">
      <c r="A13" s="512" t="s">
        <v>5542</v>
      </c>
      <c r="B13" s="512"/>
      <c r="C13" s="512">
        <v>19</v>
      </c>
      <c r="D13" s="512">
        <v>19</v>
      </c>
      <c r="E13" s="512" t="s">
        <v>5592</v>
      </c>
      <c r="F13" s="512" t="s">
        <v>5471</v>
      </c>
      <c r="G13" s="512" t="s">
        <v>5593</v>
      </c>
      <c r="H13" s="512" t="s">
        <v>333</v>
      </c>
      <c r="J13" s="522"/>
      <c r="K13" s="523"/>
      <c r="L13" s="512" t="s">
        <v>5594</v>
      </c>
      <c r="M13" s="512" t="s">
        <v>5595</v>
      </c>
      <c r="N13" s="524" t="s">
        <v>5596</v>
      </c>
      <c r="O13" s="524" t="s">
        <v>5597</v>
      </c>
      <c r="P13" s="512" t="s">
        <v>5598</v>
      </c>
      <c r="Q13" s="512" t="s">
        <v>5599</v>
      </c>
      <c r="R13" s="512" t="s">
        <v>5600</v>
      </c>
      <c r="S13" s="512" t="s">
        <v>5601</v>
      </c>
      <c r="T13" s="512" t="s">
        <v>5602</v>
      </c>
      <c r="U13" s="512"/>
      <c r="V13" s="512"/>
      <c r="W13" s="512"/>
      <c r="X13" s="524"/>
      <c r="Y13" s="524"/>
      <c r="Z13" s="524"/>
      <c r="AA13" s="524"/>
      <c r="AB13" s="524"/>
      <c r="AC13" s="524"/>
      <c r="AD13" s="524"/>
      <c r="AE13" s="524"/>
      <c r="AF13" s="524"/>
      <c r="AG13" s="524"/>
      <c r="AH13" s="524"/>
      <c r="AI13" s="524"/>
      <c r="AJ13" s="524"/>
      <c r="AK13" s="524"/>
      <c r="AL13" s="524"/>
      <c r="AM13" s="524"/>
      <c r="AN13" s="524"/>
      <c r="AO13" s="524"/>
      <c r="AV13" s="525"/>
      <c r="AY13" s="527" t="str">
        <f>IF(主要!$CD$15="O","析米克混生体","")</f>
        <v>析米克混生体</v>
      </c>
      <c r="AZ13" s="514"/>
      <c r="BA13" s="514"/>
      <c r="BB13" s="514"/>
      <c r="BC13" s="514"/>
      <c r="BD13" s="514"/>
      <c r="BE13" s="514"/>
      <c r="BF13" s="514"/>
      <c r="BG13" s="514"/>
      <c r="BH13" s="514"/>
      <c r="BI13" s="514" t="str">
        <f t="shared" ref="BI13:BO13" si="16">""</f>
        <v/>
      </c>
      <c r="BJ13" s="514" t="str">
        <f t="shared" si="16"/>
        <v/>
      </c>
      <c r="BK13" s="514" t="str">
        <f t="shared" si="16"/>
        <v/>
      </c>
      <c r="BL13" s="514" t="str">
        <f t="shared" si="16"/>
        <v/>
      </c>
      <c r="BM13" s="514" t="str">
        <f t="shared" si="16"/>
        <v/>
      </c>
      <c r="BN13" s="514" t="str">
        <f t="shared" si="16"/>
        <v/>
      </c>
      <c r="BO13" s="534" t="str">
        <f t="shared" si="16"/>
        <v/>
      </c>
      <c r="BP13" s="514"/>
      <c r="BQ13" s="535" t="str" cm="1">
        <f t="array" ref="BQ13">IFERROR(INDEX($AY$1:$AY$112,SMALL(IF($AY$1:$AY$112&lt;&gt;"",ROW($AY$1:$AY$112),4^8),ROW(13:13)))&amp;"","")</f>
        <v>析米克混生体</v>
      </c>
      <c r="BR13" s="442" t="str">
        <f>IF(主要!$CD$19="O","半血裔","")</f>
        <v>半血裔</v>
      </c>
      <c r="BS13" s="514" t="e" cm="1">
        <f t="array" ref="BS13">INDEX(BR:BR,SMALL(IF($BR$3:$BR$15&lt;&gt;"",ROW(3:15),16),ROW(BR12)))&amp;""</f>
        <v>#N/A</v>
      </c>
      <c r="BT13" s="529" t="e">
        <f t="shared" si="9"/>
        <v>#N/A</v>
      </c>
      <c r="BU13" s="514" t="e">
        <f t="shared" si="10"/>
        <v>#N/A</v>
      </c>
      <c r="BV13" s="514" t="e">
        <f t="shared" si="11"/>
        <v>#N/A</v>
      </c>
      <c r="BW13" s="534" t="e">
        <f t="shared" si="12"/>
        <v>#N/A</v>
      </c>
      <c r="BX13" s="514" t="str">
        <f>IFERROR(IF(OR(BU17="",COUNTIF(BZ2:BZ15,BU17)),"",BU17),"")</f>
        <v/>
      </c>
      <c r="BY13" s="514" t="str" cm="1">
        <f t="array" ref="BY13">INDEX(BX:BX,SMALL(IF(BX2:BX17&lt;&gt;"",ROW(2:17),17),ROW(BX12)))&amp;""</f>
        <v/>
      </c>
      <c r="BZ13" s="527">
        <f>IF(主要!BT38="",0,主要!BT38)</f>
        <v>0</v>
      </c>
      <c r="CA13" s="512" t="str">
        <f t="shared" si="2"/>
        <v/>
      </c>
      <c r="CB13" s="525" t="str">
        <f>IF(BZ13=0,"",COUNTIF(BZ2:BZ15,BZ13))</f>
        <v/>
      </c>
    </row>
    <row r="14" customHeight="1" spans="1:80">
      <c r="A14" s="518" t="s">
        <v>5508</v>
      </c>
      <c r="B14" s="518">
        <v>5</v>
      </c>
      <c r="C14" s="518">
        <v>1</v>
      </c>
      <c r="D14" s="518">
        <v>3</v>
      </c>
      <c r="E14" s="512" t="s">
        <v>5603</v>
      </c>
      <c r="F14" s="512" t="s">
        <v>5471</v>
      </c>
      <c r="G14" s="512" t="s">
        <v>5604</v>
      </c>
      <c r="H14" s="512" t="s">
        <v>333</v>
      </c>
      <c r="J14" s="522">
        <v>7</v>
      </c>
      <c r="K14" s="523" t="s">
        <v>5528</v>
      </c>
      <c r="L14" s="512" t="s">
        <v>5605</v>
      </c>
      <c r="M14" s="512" t="s">
        <v>5606</v>
      </c>
      <c r="N14" s="512" t="s">
        <v>5607</v>
      </c>
      <c r="O14" s="512" t="s">
        <v>5608</v>
      </c>
      <c r="P14" s="524"/>
      <c r="Q14" s="524"/>
      <c r="R14" s="524"/>
      <c r="S14" s="524"/>
      <c r="T14" s="524"/>
      <c r="U14" s="524"/>
      <c r="V14" s="512"/>
      <c r="W14" s="512"/>
      <c r="X14" s="512"/>
      <c r="Y14" s="512"/>
      <c r="Z14" s="512"/>
      <c r="AA14" s="512"/>
      <c r="AB14" s="512"/>
      <c r="AC14" s="524"/>
      <c r="AD14" s="524"/>
      <c r="AE14" s="524"/>
      <c r="AF14" s="524"/>
      <c r="AG14" s="524"/>
      <c r="AH14" s="524"/>
      <c r="AI14" s="524"/>
      <c r="AJ14" s="524"/>
      <c r="AK14" s="524"/>
      <c r="AL14" s="524"/>
      <c r="AM14" s="524"/>
      <c r="AN14" s="524"/>
      <c r="AO14" s="524"/>
      <c r="AV14" s="525"/>
      <c r="AY14" s="528" t="str">
        <f>IF(主要!$CD$15="O","维多肯","")</f>
        <v>维多肯</v>
      </c>
      <c r="AZ14" s="514"/>
      <c r="BB14" s="514"/>
      <c r="BC14" s="514"/>
      <c r="BD14" s="514"/>
      <c r="BE14" s="514"/>
      <c r="BF14" s="514"/>
      <c r="BG14" s="514"/>
      <c r="BH14" s="514"/>
      <c r="BI14" s="514" t="str">
        <f t="shared" ref="BI14:BO14" si="17">""</f>
        <v/>
      </c>
      <c r="BJ14" s="514" t="str">
        <f t="shared" si="17"/>
        <v/>
      </c>
      <c r="BK14" s="514" t="str">
        <f t="shared" si="17"/>
        <v/>
      </c>
      <c r="BL14" s="514" t="str">
        <f t="shared" si="17"/>
        <v/>
      </c>
      <c r="BM14" s="514" t="str">
        <f t="shared" si="17"/>
        <v/>
      </c>
      <c r="BN14" s="514" t="str">
        <f t="shared" si="17"/>
        <v/>
      </c>
      <c r="BO14" s="534" t="str">
        <f t="shared" si="17"/>
        <v/>
      </c>
      <c r="BP14" s="514"/>
      <c r="BQ14" s="535" t="str" cm="1">
        <f t="array" ref="BQ14">IFERROR(INDEX($AY$1:$AY$112,SMALL(IF($AY$1:$AY$112&lt;&gt;"",ROW($AY$1:$AY$112),4^8),ROW(14:14)))&amp;"","")</f>
        <v>维多肯</v>
      </c>
      <c r="BR14" s="442" t="str">
        <f>IF(主要!$CD$19="O","巫咒之子","")</f>
        <v>巫咒之子</v>
      </c>
      <c r="BS14" s="514" t="e" cm="1">
        <f t="array" ref="BS14">INDEX(BR:BR,SMALL(IF($BR$3:$BR$15&lt;&gt;"",ROW(3:15),16),ROW(BR13)))&amp;""</f>
        <v>#N/A</v>
      </c>
      <c r="BT14" s="529" t="e">
        <f t="shared" si="9"/>
        <v>#N/A</v>
      </c>
      <c r="BU14" s="514" t="e">
        <f t="shared" si="10"/>
        <v>#N/A</v>
      </c>
      <c r="BV14" s="514" t="e">
        <f t="shared" si="11"/>
        <v>#N/A</v>
      </c>
      <c r="BW14" s="534" t="e">
        <f t="shared" si="12"/>
        <v>#N/A</v>
      </c>
      <c r="BX14" s="514" t="str">
        <f>IFERROR(IF(OR(BU18="",COUNTIF(BZ2:BZ15,BU18)),"",BU18),"")</f>
        <v/>
      </c>
      <c r="BY14" s="514" t="str" cm="1">
        <f t="array" ref="BY14">INDEX(BX:BX,SMALL(IF(BX2:BX17&lt;&gt;"",ROW(2:17),17),ROW(BX13)))&amp;""</f>
        <v/>
      </c>
      <c r="BZ14" s="527">
        <f>IF(主要!BT39="",0,主要!BT39)</f>
        <v>0</v>
      </c>
      <c r="CA14" s="512" t="str">
        <f t="shared" si="2"/>
        <v/>
      </c>
      <c r="CB14" s="525" t="str">
        <f>IF(BZ14=0,"",COUNTIF(BZ2:BZ15,BZ14))</f>
        <v/>
      </c>
    </row>
    <row r="15" customHeight="1" spans="1:80">
      <c r="A15" s="512" t="s">
        <v>5513</v>
      </c>
      <c r="B15" s="512"/>
      <c r="C15" s="512">
        <v>4</v>
      </c>
      <c r="D15" s="512">
        <v>4</v>
      </c>
      <c r="E15" s="512" t="s">
        <v>5609</v>
      </c>
      <c r="F15" s="512" t="s">
        <v>5471</v>
      </c>
      <c r="G15" s="512" t="s">
        <v>5610</v>
      </c>
      <c r="H15" s="512" t="s">
        <v>333</v>
      </c>
      <c r="J15" s="522"/>
      <c r="K15" s="523"/>
      <c r="L15" s="512" t="s">
        <v>5611</v>
      </c>
      <c r="M15" s="512" t="s">
        <v>5612</v>
      </c>
      <c r="N15" s="512" t="s">
        <v>5613</v>
      </c>
      <c r="O15" s="512" t="s">
        <v>5614</v>
      </c>
      <c r="P15" s="524"/>
      <c r="Q15" s="524"/>
      <c r="R15" s="524"/>
      <c r="S15" s="524"/>
      <c r="T15" s="524"/>
      <c r="U15" s="524"/>
      <c r="V15" s="512"/>
      <c r="W15" s="512"/>
      <c r="X15" s="512"/>
      <c r="Y15" s="512"/>
      <c r="Z15" s="512"/>
      <c r="AA15" s="512"/>
      <c r="AB15" s="512"/>
      <c r="AC15" s="524"/>
      <c r="AD15" s="524"/>
      <c r="AE15" s="524"/>
      <c r="AF15" s="524"/>
      <c r="AG15" s="524"/>
      <c r="AH15" s="524"/>
      <c r="AI15" s="524"/>
      <c r="AJ15" s="524"/>
      <c r="AK15" s="524"/>
      <c r="AL15" s="524"/>
      <c r="AM15" s="524"/>
      <c r="AN15" s="524"/>
      <c r="AO15" s="524"/>
      <c r="AV15" s="525"/>
      <c r="AY15" s="529" t="str">
        <f>IF(主要!$CD$17="O","佛丹人","")</f>
        <v>佛丹人</v>
      </c>
      <c r="AZ15" s="514"/>
      <c r="BB15" s="514"/>
      <c r="BC15" s="514"/>
      <c r="BD15" s="514"/>
      <c r="BE15" s="514"/>
      <c r="BF15" s="514"/>
      <c r="BG15" s="514"/>
      <c r="BH15" s="514"/>
      <c r="BI15" s="514" t="str">
        <f t="shared" ref="BI15:BO15" si="18">""</f>
        <v/>
      </c>
      <c r="BJ15" s="514" t="str">
        <f t="shared" si="18"/>
        <v/>
      </c>
      <c r="BK15" s="514" t="str">
        <f t="shared" si="18"/>
        <v/>
      </c>
      <c r="BL15" s="514" t="str">
        <f t="shared" si="18"/>
        <v/>
      </c>
      <c r="BM15" s="514" t="str">
        <f t="shared" si="18"/>
        <v/>
      </c>
      <c r="BN15" s="514" t="str">
        <f t="shared" si="18"/>
        <v/>
      </c>
      <c r="BO15" s="534" t="str">
        <f t="shared" si="18"/>
        <v/>
      </c>
      <c r="BP15" s="514"/>
      <c r="BQ15" s="535" t="str" cm="1">
        <f t="array" ref="BQ15">IFERROR(INDEX($AY$1:$AY$112,SMALL(IF($AY$1:$AY$112&lt;&gt;"",ROW($AY$1:$AY$112),4^8),ROW(15:15)))&amp;"","")</f>
        <v>佛丹人</v>
      </c>
      <c r="BR15" s="442" t="str">
        <f>IF(主要!$CD$19="O","复生者","")</f>
        <v>复生者</v>
      </c>
      <c r="BS15" s="514"/>
      <c r="BT15" s="529" t="e">
        <f t="shared" si="9"/>
        <v>#N/A</v>
      </c>
      <c r="BU15" s="514" t="e">
        <f t="shared" si="10"/>
        <v>#N/A</v>
      </c>
      <c r="BV15" s="514" t="e">
        <f t="shared" si="11"/>
        <v>#N/A</v>
      </c>
      <c r="BW15" s="534" t="e">
        <f t="shared" si="12"/>
        <v>#N/A</v>
      </c>
      <c r="BX15" s="514" t="str">
        <f>IFERROR(IF(OR(BU19="",COUNTIF(BZ2:BZ15,BU19)),"",BU19),"")</f>
        <v/>
      </c>
      <c r="BY15" s="514" t="str" cm="1">
        <f t="array" ref="BY15">INDEX(BX:BX,SMALL(IF(BX2:BX17&lt;&gt;"",ROW(2:17),17),ROW(BX14)))&amp;""</f>
        <v/>
      </c>
      <c r="BZ15" s="541"/>
      <c r="CA15" s="542"/>
      <c r="CB15" s="543"/>
    </row>
    <row r="16" customHeight="1" spans="1:77">
      <c r="A16" s="512" t="s">
        <v>5514</v>
      </c>
      <c r="B16" s="512"/>
      <c r="C16" s="512">
        <v>5</v>
      </c>
      <c r="D16" s="512">
        <v>5</v>
      </c>
      <c r="E16" s="512" t="s">
        <v>5615</v>
      </c>
      <c r="F16" s="512" t="s">
        <v>5471</v>
      </c>
      <c r="G16" s="512" t="s">
        <v>5616</v>
      </c>
      <c r="H16" s="512" t="s">
        <v>5517</v>
      </c>
      <c r="J16" s="522">
        <v>8</v>
      </c>
      <c r="K16" s="523" t="s">
        <v>5544</v>
      </c>
      <c r="L16" s="514" t="s">
        <v>5617</v>
      </c>
      <c r="M16" s="514" t="s">
        <v>154</v>
      </c>
      <c r="N16" s="514" t="s">
        <v>5618</v>
      </c>
      <c r="O16" s="524"/>
      <c r="P16" s="524"/>
      <c r="Q16" s="524"/>
      <c r="R16" s="524"/>
      <c r="S16" s="512"/>
      <c r="T16" s="524"/>
      <c r="U16" s="524"/>
      <c r="V16" s="524"/>
      <c r="W16" s="524"/>
      <c r="X16" s="524"/>
      <c r="Y16" s="524"/>
      <c r="Z16" s="524"/>
      <c r="AA16" s="524"/>
      <c r="AB16" s="524"/>
      <c r="AC16" s="524"/>
      <c r="AD16" s="524"/>
      <c r="AE16" s="524"/>
      <c r="AF16" s="524"/>
      <c r="AG16" s="524"/>
      <c r="AH16" s="524"/>
      <c r="AI16" s="524"/>
      <c r="AJ16" s="524"/>
      <c r="AK16" s="524"/>
      <c r="AL16" s="524"/>
      <c r="AM16" s="524"/>
      <c r="AN16" s="524"/>
      <c r="AO16" s="524"/>
      <c r="AV16" s="525"/>
      <c r="AY16" s="529" t="str">
        <f>IF(主要!$CD$18="O","狮族","")</f>
        <v>狮族</v>
      </c>
      <c r="AZ16" s="514"/>
      <c r="BA16" s="514"/>
      <c r="BB16" s="514"/>
      <c r="BC16" s="514"/>
      <c r="BD16" s="514"/>
      <c r="BI16" s="512" t="str">
        <f t="shared" ref="BI16:BO16" si="19">""</f>
        <v/>
      </c>
      <c r="BJ16" s="512" t="str">
        <f t="shared" si="19"/>
        <v/>
      </c>
      <c r="BK16" s="512" t="str">
        <f t="shared" si="19"/>
        <v/>
      </c>
      <c r="BL16" s="512" t="str">
        <f t="shared" si="19"/>
        <v/>
      </c>
      <c r="BM16" s="512" t="str">
        <f t="shared" si="19"/>
        <v/>
      </c>
      <c r="BN16" s="512" t="str">
        <f t="shared" si="19"/>
        <v/>
      </c>
      <c r="BO16" s="534" t="str">
        <f t="shared" si="19"/>
        <v/>
      </c>
      <c r="BP16" s="514"/>
      <c r="BQ16" s="535" t="str" cm="1">
        <f t="array" ref="BQ16">IFERROR(INDEX($AY$1:$AY$112,SMALL(IF($AY$1:$AY$112&lt;&gt;"",ROW($AY$1:$AY$112),4^8),ROW(16:16)))&amp;"","")</f>
        <v>狮族</v>
      </c>
      <c r="BR16" s="514"/>
      <c r="BS16" s="514"/>
      <c r="BT16" s="529" t="e">
        <f t="shared" si="9"/>
        <v>#N/A</v>
      </c>
      <c r="BU16" s="514" t="e">
        <f t="shared" si="10"/>
        <v>#N/A</v>
      </c>
      <c r="BV16" s="514" t="e">
        <f t="shared" si="11"/>
        <v>#N/A</v>
      </c>
      <c r="BW16" s="534" t="e">
        <f t="shared" si="12"/>
        <v>#N/A</v>
      </c>
      <c r="BX16" s="514" t="str">
        <f>IFERROR(IF(OR(BU20="",COUNTIF(BZ2:BZ15,BU20)),"",BU20),"")</f>
        <v/>
      </c>
      <c r="BY16" s="534" t="str" cm="1">
        <f t="array" ref="BY16">INDEX(BX:BX,SMALL(IF(BX2:BX17&lt;&gt;"",ROW(2:17),17),ROW(BX15)))&amp;""</f>
        <v/>
      </c>
    </row>
    <row r="17" customHeight="1" spans="1:77">
      <c r="A17" s="512" t="s">
        <v>5619</v>
      </c>
      <c r="B17" s="512"/>
      <c r="C17" s="512">
        <v>6</v>
      </c>
      <c r="D17" s="512">
        <v>7</v>
      </c>
      <c r="E17" s="512" t="s">
        <v>5620</v>
      </c>
      <c r="F17" s="512" t="s">
        <v>5471</v>
      </c>
      <c r="G17" s="512" t="s">
        <v>5621</v>
      </c>
      <c r="H17" s="512" t="s">
        <v>333</v>
      </c>
      <c r="J17" s="522"/>
      <c r="K17" s="523"/>
      <c r="L17" s="514" t="s">
        <v>5622</v>
      </c>
      <c r="M17" s="514" t="s">
        <v>5623</v>
      </c>
      <c r="N17" s="514" t="s">
        <v>5624</v>
      </c>
      <c r="O17" s="524"/>
      <c r="P17" s="524"/>
      <c r="Q17" s="524"/>
      <c r="R17" s="524"/>
      <c r="S17" s="512"/>
      <c r="T17" s="524"/>
      <c r="U17" s="524"/>
      <c r="V17" s="524"/>
      <c r="W17" s="524"/>
      <c r="X17" s="524"/>
      <c r="Y17" s="524"/>
      <c r="Z17" s="524"/>
      <c r="AA17" s="524"/>
      <c r="AB17" s="524"/>
      <c r="AC17" s="512"/>
      <c r="AD17" s="512"/>
      <c r="AE17" s="524"/>
      <c r="AF17" s="524"/>
      <c r="AG17" s="524"/>
      <c r="AH17" s="524"/>
      <c r="AI17" s="524"/>
      <c r="AJ17" s="524"/>
      <c r="AK17" s="524"/>
      <c r="AL17" s="524"/>
      <c r="AM17" s="524"/>
      <c r="AN17" s="524"/>
      <c r="AO17" s="524"/>
      <c r="AV17" s="525"/>
      <c r="AY17" s="529" t="str">
        <f>IF(主要!$CD$20="O","枭人","")</f>
        <v>枭人</v>
      </c>
      <c r="AZ17" s="514"/>
      <c r="BA17" s="514"/>
      <c r="BB17" s="514"/>
      <c r="BC17" s="514"/>
      <c r="BD17" s="514"/>
      <c r="BE17" s="514"/>
      <c r="BF17" s="514"/>
      <c r="BG17" s="514"/>
      <c r="BH17" s="514"/>
      <c r="BI17" s="514" t="str">
        <f t="shared" ref="BI17:BO17" si="20">""</f>
        <v/>
      </c>
      <c r="BJ17" s="514" t="str">
        <f t="shared" si="20"/>
        <v/>
      </c>
      <c r="BK17" s="514" t="str">
        <f t="shared" si="20"/>
        <v/>
      </c>
      <c r="BL17" s="514" t="str">
        <f t="shared" si="20"/>
        <v/>
      </c>
      <c r="BM17" s="514" t="str">
        <f t="shared" si="20"/>
        <v/>
      </c>
      <c r="BN17" s="514" t="str">
        <f t="shared" si="20"/>
        <v/>
      </c>
      <c r="BO17" s="534" t="str">
        <f t="shared" si="20"/>
        <v/>
      </c>
      <c r="BP17" s="514"/>
      <c r="BQ17" s="535" t="str" cm="1">
        <f t="array" ref="BQ17">IFERROR(INDEX($AY$1:$AY$112,SMALL(IF($AY$1:$AY$112&lt;&gt;"",ROW($AY$1:$AY$112),4^8),ROW(17:17)))&amp;"","")</f>
        <v>枭人</v>
      </c>
      <c r="BR17" s="442" t="s">
        <v>5625</v>
      </c>
      <c r="BS17" s="514" t="s">
        <v>5626</v>
      </c>
      <c r="BT17" s="529" t="e">
        <f t="shared" si="9"/>
        <v>#N/A</v>
      </c>
      <c r="BU17" s="514" t="e">
        <f t="shared" si="10"/>
        <v>#N/A</v>
      </c>
      <c r="BV17" s="514" t="e">
        <f t="shared" si="11"/>
        <v>#N/A</v>
      </c>
      <c r="BW17" s="534" t="e">
        <f t="shared" si="12"/>
        <v>#N/A</v>
      </c>
      <c r="BX17" s="537" t="str">
        <f>IFERROR(IF(OR(BU21="",COUNTIF(BZ2:BZ15,BU21)),"",BU21),"")</f>
        <v/>
      </c>
      <c r="BY17" s="544" t="str" cm="1">
        <f t="array" ref="BY17">INDEX(BX:BX,SMALL(IF(BX2:BX17&lt;&gt;"",ROW(2:17),17),ROW(BX16)))&amp;""</f>
        <v/>
      </c>
    </row>
    <row r="18" customHeight="1" spans="1:78">
      <c r="A18" s="518" t="s">
        <v>5515</v>
      </c>
      <c r="B18" s="518">
        <v>6</v>
      </c>
      <c r="C18" s="518">
        <v>1</v>
      </c>
      <c r="D18" s="518">
        <v>3</v>
      </c>
      <c r="E18" s="512" t="s">
        <v>5627</v>
      </c>
      <c r="F18" s="512" t="s">
        <v>5471</v>
      </c>
      <c r="G18" s="512" t="s">
        <v>145</v>
      </c>
      <c r="H18" s="512" t="s">
        <v>333</v>
      </c>
      <c r="J18" s="522">
        <v>9</v>
      </c>
      <c r="K18" s="523" t="s">
        <v>5563</v>
      </c>
      <c r="L18" s="514" t="s">
        <v>5473</v>
      </c>
      <c r="M18" s="514" t="s">
        <v>5628</v>
      </c>
      <c r="N18" s="512" t="s">
        <v>5629</v>
      </c>
      <c r="O18" s="524"/>
      <c r="P18" s="524"/>
      <c r="Q18" s="524"/>
      <c r="R18" s="512"/>
      <c r="S18" s="512"/>
      <c r="T18" s="512"/>
      <c r="U18" s="512"/>
      <c r="V18" s="512"/>
      <c r="W18" s="512"/>
      <c r="X18" s="512"/>
      <c r="Y18" s="512"/>
      <c r="Z18" s="524"/>
      <c r="AA18" s="524"/>
      <c r="AB18" s="524"/>
      <c r="AC18" s="524"/>
      <c r="AD18" s="524"/>
      <c r="AE18" s="524"/>
      <c r="AF18" s="524"/>
      <c r="AG18" s="524"/>
      <c r="AH18" s="524"/>
      <c r="AI18" s="524"/>
      <c r="AJ18" s="524"/>
      <c r="AK18" s="524"/>
      <c r="AL18" s="524"/>
      <c r="AM18" s="524"/>
      <c r="AN18" s="524"/>
      <c r="AO18" s="524"/>
      <c r="AV18" s="525"/>
      <c r="AY18" s="527" t="str">
        <f>IF(主要!$CD$5="O","鸟羽人","")</f>
        <v>鸟羽人</v>
      </c>
      <c r="AZ18" s="514"/>
      <c r="BA18" s="514"/>
      <c r="BB18" s="514"/>
      <c r="BC18" s="514"/>
      <c r="BD18" s="514"/>
      <c r="BE18" s="514"/>
      <c r="BF18" s="514"/>
      <c r="BG18" s="514"/>
      <c r="BH18" s="514"/>
      <c r="BI18" s="514" t="str">
        <f t="shared" ref="BI18:BO18" si="21">""</f>
        <v/>
      </c>
      <c r="BJ18" s="514" t="str">
        <f t="shared" si="21"/>
        <v/>
      </c>
      <c r="BK18" s="514" t="str">
        <f t="shared" si="21"/>
        <v/>
      </c>
      <c r="BL18" s="514" t="str">
        <f t="shared" si="21"/>
        <v/>
      </c>
      <c r="BM18" s="514" t="str">
        <f t="shared" si="21"/>
        <v/>
      </c>
      <c r="BN18" s="514" t="str">
        <f t="shared" si="21"/>
        <v/>
      </c>
      <c r="BO18" s="534" t="str">
        <f t="shared" si="21"/>
        <v/>
      </c>
      <c r="BP18" s="514"/>
      <c r="BQ18" s="535" t="str" cm="1">
        <f t="array" ref="BQ18">IFERROR(INDEX($AY$1:$AY$112,SMALL(IF($AY$1:$AY$112&lt;&gt;"",ROW($AY$1:$AY$112),4^8),ROW(18:18)))&amp;"","")</f>
        <v>鸟羽人</v>
      </c>
      <c r="BR18" s="537" t="str">
        <f>IF(BT4=0,"",COUNTIF(BR3:BR15,BT4))</f>
        <v/>
      </c>
      <c r="BS18" s="537" t="str">
        <f>IF(AND(BT4=0,OR(BT3=AY2,BT3=AY3,BT3=AY4,BT3=AY7,BT3=AY21,BT3=AY32,BT3=AY46,BT3=AY47)),1,"")</f>
        <v/>
      </c>
      <c r="BT18" s="529" t="e">
        <f t="shared" si="9"/>
        <v>#N/A</v>
      </c>
      <c r="BU18" s="514" t="e">
        <f t="shared" si="10"/>
        <v>#N/A</v>
      </c>
      <c r="BV18" s="514" t="e">
        <f t="shared" si="11"/>
        <v>#N/A</v>
      </c>
      <c r="BW18" s="534" t="e">
        <f t="shared" si="12"/>
        <v>#N/A</v>
      </c>
      <c r="BX18" s="514"/>
      <c r="BY18" s="514"/>
      <c r="BZ18" s="545"/>
    </row>
    <row r="19" customHeight="1" spans="1:77">
      <c r="A19" s="512" t="s">
        <v>5522</v>
      </c>
      <c r="B19" s="512"/>
      <c r="C19" s="512">
        <v>4</v>
      </c>
      <c r="D19" s="512">
        <v>4</v>
      </c>
      <c r="E19" s="512" t="s">
        <v>5630</v>
      </c>
      <c r="F19" s="512" t="s">
        <v>5631</v>
      </c>
      <c r="G19" s="512" t="s">
        <v>145</v>
      </c>
      <c r="H19" s="512" t="s">
        <v>333</v>
      </c>
      <c r="J19" s="522"/>
      <c r="K19" s="523"/>
      <c r="L19" s="442" t="s">
        <v>5518</v>
      </c>
      <c r="M19" s="442" t="s">
        <v>5632</v>
      </c>
      <c r="N19" s="512" t="s">
        <v>5633</v>
      </c>
      <c r="O19" s="524"/>
      <c r="P19" s="524"/>
      <c r="Q19" s="524"/>
      <c r="R19" s="512"/>
      <c r="S19" s="512"/>
      <c r="T19" s="512"/>
      <c r="U19" s="512"/>
      <c r="V19" s="512"/>
      <c r="W19" s="512"/>
      <c r="X19" s="512"/>
      <c r="Y19" s="512"/>
      <c r="Z19" s="524"/>
      <c r="AA19" s="524"/>
      <c r="AB19" s="524"/>
      <c r="AC19" s="512"/>
      <c r="AD19" s="512"/>
      <c r="AE19" s="524"/>
      <c r="AF19" s="524"/>
      <c r="AG19" s="524"/>
      <c r="AH19" s="524"/>
      <c r="AI19" s="524"/>
      <c r="AJ19" s="524"/>
      <c r="AK19" s="524"/>
      <c r="AL19" s="524"/>
      <c r="AM19" s="524"/>
      <c r="AN19" s="524"/>
      <c r="AO19" s="524"/>
      <c r="AV19" s="525"/>
      <c r="AY19" s="527" t="str">
        <f>IF(主要!$CD$5="O","熊地精","")</f>
        <v>熊地精</v>
      </c>
      <c r="AZ19" s="514"/>
      <c r="BA19" s="514"/>
      <c r="BB19" s="514"/>
      <c r="BC19" s="514"/>
      <c r="BD19" s="514"/>
      <c r="BE19" s="514"/>
      <c r="BF19" s="514"/>
      <c r="BG19" s="514"/>
      <c r="BH19" s="514"/>
      <c r="BI19" s="514" t="str">
        <f t="shared" ref="BI19:BO19" si="22">""</f>
        <v/>
      </c>
      <c r="BJ19" s="514" t="str">
        <f t="shared" si="22"/>
        <v/>
      </c>
      <c r="BK19" s="514" t="str">
        <f t="shared" si="22"/>
        <v/>
      </c>
      <c r="BL19" s="514" t="str">
        <f t="shared" si="22"/>
        <v/>
      </c>
      <c r="BM19" s="514" t="str">
        <f t="shared" si="22"/>
        <v/>
      </c>
      <c r="BN19" s="514" t="str">
        <f t="shared" si="22"/>
        <v/>
      </c>
      <c r="BO19" s="534" t="str">
        <f t="shared" si="22"/>
        <v/>
      </c>
      <c r="BP19" s="514"/>
      <c r="BQ19" s="535" t="str" cm="1">
        <f t="array" ref="BQ19">IFERROR(INDEX($AY$1:$AY$112,SMALL(IF($AY$1:$AY$112&lt;&gt;"",ROW($AY$1:$AY$112),4^8),ROW(19:19)))&amp;"","")</f>
        <v>熊地精</v>
      </c>
      <c r="BR19" s="514"/>
      <c r="BS19" s="514"/>
      <c r="BT19" s="529" t="e">
        <f t="shared" si="9"/>
        <v>#N/A</v>
      </c>
      <c r="BU19" s="514" t="e">
        <f t="shared" si="10"/>
        <v>#N/A</v>
      </c>
      <c r="BV19" s="514" t="e">
        <f t="shared" si="11"/>
        <v>#N/A</v>
      </c>
      <c r="BW19" s="534" t="e">
        <f t="shared" si="12"/>
        <v>#N/A</v>
      </c>
      <c r="BX19" s="514"/>
      <c r="BY19" s="514"/>
    </row>
    <row r="20" customHeight="1" spans="1:77">
      <c r="A20" s="512" t="s">
        <v>5523</v>
      </c>
      <c r="B20" s="442"/>
      <c r="C20" s="442">
        <v>5</v>
      </c>
      <c r="D20" s="442">
        <v>5</v>
      </c>
      <c r="E20" s="512" t="s">
        <v>5634</v>
      </c>
      <c r="F20" s="512" t="s">
        <v>5631</v>
      </c>
      <c r="G20" s="512" t="s">
        <v>145</v>
      </c>
      <c r="H20" s="512" t="s">
        <v>5635</v>
      </c>
      <c r="J20" s="522">
        <v>10</v>
      </c>
      <c r="K20" s="523" t="s">
        <v>5570</v>
      </c>
      <c r="L20" s="514" t="s">
        <v>5473</v>
      </c>
      <c r="M20" s="512" t="s">
        <v>5636</v>
      </c>
      <c r="N20" s="512" t="s">
        <v>5637</v>
      </c>
      <c r="O20" s="524" t="s">
        <v>5578</v>
      </c>
      <c r="P20" s="442" t="s">
        <v>5579</v>
      </c>
      <c r="Q20" s="442" t="s">
        <v>5580</v>
      </c>
      <c r="R20" s="512"/>
      <c r="S20" s="512"/>
      <c r="T20" s="524"/>
      <c r="U20" s="524"/>
      <c r="V20" s="524"/>
      <c r="W20" s="524"/>
      <c r="X20" s="524"/>
      <c r="Y20" s="524"/>
      <c r="Z20" s="524"/>
      <c r="AA20" s="524"/>
      <c r="AB20" s="524"/>
      <c r="AC20" s="524"/>
      <c r="AD20" s="524"/>
      <c r="AE20" s="524"/>
      <c r="AF20" s="524"/>
      <c r="AG20" s="524"/>
      <c r="AH20" s="524"/>
      <c r="AI20" s="524"/>
      <c r="AJ20" s="524"/>
      <c r="AK20" s="524"/>
      <c r="AL20" s="524"/>
      <c r="AM20" s="524"/>
      <c r="AN20" s="524"/>
      <c r="AO20" s="524"/>
      <c r="AV20" s="525"/>
      <c r="AY20" s="527" t="str">
        <f>IF(主要!$CD$5="O","人马","")</f>
        <v>人马</v>
      </c>
      <c r="AZ20" s="514"/>
      <c r="BA20" s="514"/>
      <c r="BB20" s="514"/>
      <c r="BC20" s="514"/>
      <c r="BD20" s="514"/>
      <c r="BE20" s="514"/>
      <c r="BF20" s="514"/>
      <c r="BG20" s="514"/>
      <c r="BH20" s="514"/>
      <c r="BI20" s="514" t="str">
        <f t="shared" ref="BI20:BO20" si="23">""</f>
        <v/>
      </c>
      <c r="BJ20" s="514" t="str">
        <f t="shared" si="23"/>
        <v/>
      </c>
      <c r="BK20" s="514" t="str">
        <f t="shared" si="23"/>
        <v/>
      </c>
      <c r="BL20" s="514" t="str">
        <f t="shared" si="23"/>
        <v/>
      </c>
      <c r="BM20" s="514" t="str">
        <f t="shared" si="23"/>
        <v/>
      </c>
      <c r="BN20" s="514" t="str">
        <f t="shared" si="23"/>
        <v/>
      </c>
      <c r="BO20" s="534" t="str">
        <f t="shared" si="23"/>
        <v/>
      </c>
      <c r="BP20" s="514"/>
      <c r="BQ20" s="535" t="str" cm="1">
        <f t="array" ref="BQ20">IFERROR(INDEX($AY$1:$AY$112,SMALL(IF($AY$1:$AY$112&lt;&gt;"",ROW($AY$1:$AY$112),4^8),ROW(20:20)))&amp;"","")</f>
        <v>人马</v>
      </c>
      <c r="BR20" s="514"/>
      <c r="BS20" s="514"/>
      <c r="BT20" s="529" t="e">
        <f t="shared" si="9"/>
        <v>#N/A</v>
      </c>
      <c r="BU20" s="514" t="e">
        <f t="shared" si="10"/>
        <v>#N/A</v>
      </c>
      <c r="BV20" s="514" t="e">
        <f t="shared" si="11"/>
        <v>#N/A</v>
      </c>
      <c r="BW20" s="534" t="e">
        <f t="shared" si="12"/>
        <v>#N/A</v>
      </c>
      <c r="BX20" s="514"/>
      <c r="BY20" s="514"/>
    </row>
    <row r="21" customHeight="1" spans="1:77">
      <c r="A21" s="512" t="s">
        <v>5524</v>
      </c>
      <c r="B21" s="442"/>
      <c r="C21" s="442">
        <v>6</v>
      </c>
      <c r="D21" s="442">
        <v>6</v>
      </c>
      <c r="E21" s="512" t="s">
        <v>5638</v>
      </c>
      <c r="F21" s="512" t="s">
        <v>5639</v>
      </c>
      <c r="G21" s="512" t="s">
        <v>305</v>
      </c>
      <c r="H21" s="512" t="s">
        <v>333</v>
      </c>
      <c r="J21" s="522"/>
      <c r="K21" s="523"/>
      <c r="L21" s="514" t="s">
        <v>5483</v>
      </c>
      <c r="M21" s="512" t="s">
        <v>5640</v>
      </c>
      <c r="N21" s="512" t="s">
        <v>5641</v>
      </c>
      <c r="O21" s="524" t="s">
        <v>5642</v>
      </c>
      <c r="P21" s="524" t="s">
        <v>5643</v>
      </c>
      <c r="Q21" s="512" t="s">
        <v>5644</v>
      </c>
      <c r="R21" s="512"/>
      <c r="S21" s="512"/>
      <c r="T21" s="524"/>
      <c r="U21" s="524"/>
      <c r="V21" s="524"/>
      <c r="W21" s="524"/>
      <c r="X21" s="524"/>
      <c r="Y21" s="524"/>
      <c r="Z21" s="524"/>
      <c r="AA21" s="524"/>
      <c r="AB21" s="524"/>
      <c r="AC21" s="512"/>
      <c r="AD21" s="512"/>
      <c r="AE21" s="524"/>
      <c r="AF21" s="524"/>
      <c r="AG21" s="524"/>
      <c r="AH21" s="524"/>
      <c r="AI21" s="524"/>
      <c r="AJ21" s="524"/>
      <c r="AK21" s="524"/>
      <c r="AL21" s="524"/>
      <c r="AM21" s="524"/>
      <c r="AN21" s="524"/>
      <c r="AO21" s="524"/>
      <c r="AV21" s="525"/>
      <c r="AY21" s="527" t="str">
        <f>IF(主要!$CD$5="O","地底侏儒","")</f>
        <v>地底侏儒</v>
      </c>
      <c r="BB21" s="514"/>
      <c r="BC21" s="514"/>
      <c r="BD21" s="514"/>
      <c r="BE21" s="514"/>
      <c r="BF21" s="514"/>
      <c r="BG21" s="514"/>
      <c r="BH21" s="514"/>
      <c r="BI21" s="514" t="str">
        <f t="shared" ref="BI21:BO21" si="24">""</f>
        <v/>
      </c>
      <c r="BJ21" s="514" t="str">
        <f t="shared" si="24"/>
        <v/>
      </c>
      <c r="BK21" s="514" t="str">
        <f t="shared" si="24"/>
        <v/>
      </c>
      <c r="BL21" s="514" t="str">
        <f t="shared" si="24"/>
        <v/>
      </c>
      <c r="BM21" s="514" t="str">
        <f t="shared" si="24"/>
        <v/>
      </c>
      <c r="BN21" s="514" t="str">
        <f t="shared" si="24"/>
        <v/>
      </c>
      <c r="BO21" s="534" t="str">
        <f t="shared" si="24"/>
        <v/>
      </c>
      <c r="BP21" s="514"/>
      <c r="BQ21" s="535" t="str" cm="1">
        <f t="array" ref="BQ21">IFERROR(INDEX($AY$1:$AY$112,SMALL(IF($AY$1:$AY$112&lt;&gt;"",ROW($AY$1:$AY$112),4^8),ROW(21:21)))&amp;"","")</f>
        <v>地底侏儒</v>
      </c>
      <c r="BR21" s="514"/>
      <c r="BS21" s="514"/>
      <c r="BT21" s="538" t="e">
        <f t="shared" si="9"/>
        <v>#N/A</v>
      </c>
      <c r="BU21" s="537" t="e">
        <f t="shared" si="10"/>
        <v>#N/A</v>
      </c>
      <c r="BV21" s="537" t="e">
        <f t="shared" si="11"/>
        <v>#N/A</v>
      </c>
      <c r="BW21" s="544" t="e">
        <f t="shared" si="12"/>
        <v>#N/A</v>
      </c>
      <c r="BX21" s="514"/>
      <c r="BY21" s="514"/>
    </row>
    <row r="22" customHeight="1" spans="1:77">
      <c r="A22" s="512" t="s">
        <v>5525</v>
      </c>
      <c r="B22" s="442"/>
      <c r="C22" s="442">
        <v>7</v>
      </c>
      <c r="D22" s="442">
        <v>7</v>
      </c>
      <c r="E22" s="512" t="s">
        <v>5645</v>
      </c>
      <c r="F22" s="512" t="s">
        <v>5646</v>
      </c>
      <c r="G22" s="512" t="s">
        <v>145</v>
      </c>
      <c r="H22" s="512" t="s">
        <v>333</v>
      </c>
      <c r="J22" s="522">
        <v>11</v>
      </c>
      <c r="K22" s="523" t="s">
        <v>5581</v>
      </c>
      <c r="L22" s="512" t="s">
        <v>5584</v>
      </c>
      <c r="M22" s="512" t="s">
        <v>5647</v>
      </c>
      <c r="N22" s="512" t="s">
        <v>5648</v>
      </c>
      <c r="O22" s="524" t="s">
        <v>5649</v>
      </c>
      <c r="P22" s="524" t="s">
        <v>5650</v>
      </c>
      <c r="Q22" s="524"/>
      <c r="R22" s="524"/>
      <c r="S22" s="524"/>
      <c r="T22" s="524"/>
      <c r="U22" s="524"/>
      <c r="V22" s="524"/>
      <c r="W22" s="524"/>
      <c r="X22" s="524"/>
      <c r="Y22" s="524"/>
      <c r="Z22" s="524"/>
      <c r="AA22" s="524"/>
      <c r="AB22" s="524"/>
      <c r="AC22" s="524"/>
      <c r="AD22" s="524"/>
      <c r="AE22" s="524"/>
      <c r="AF22" s="524"/>
      <c r="AG22" s="524"/>
      <c r="AH22" s="524"/>
      <c r="AI22" s="524"/>
      <c r="AJ22" s="524"/>
      <c r="AK22" s="524"/>
      <c r="AL22" s="524"/>
      <c r="AM22" s="524"/>
      <c r="AN22" s="524"/>
      <c r="AO22" s="524"/>
      <c r="AV22" s="525"/>
      <c r="AY22" s="527" t="str">
        <f>IF(主要!$CD$5="O","灰矮人","")</f>
        <v>灰矮人</v>
      </c>
      <c r="AZ22" s="514"/>
      <c r="BA22" s="514"/>
      <c r="BB22" s="514"/>
      <c r="BC22" s="514"/>
      <c r="BD22" s="514"/>
      <c r="BE22" s="514"/>
      <c r="BF22" s="514"/>
      <c r="BG22" s="514"/>
      <c r="BH22" s="514"/>
      <c r="BI22" s="514" t="str">
        <f t="shared" ref="BI22:BO22" si="25">""</f>
        <v/>
      </c>
      <c r="BJ22" s="514" t="str">
        <f t="shared" si="25"/>
        <v/>
      </c>
      <c r="BK22" s="514" t="str">
        <f t="shared" si="25"/>
        <v/>
      </c>
      <c r="BL22" s="514" t="str">
        <f t="shared" si="25"/>
        <v/>
      </c>
      <c r="BM22" s="514" t="str">
        <f t="shared" si="25"/>
        <v/>
      </c>
      <c r="BN22" s="514" t="str">
        <f t="shared" si="25"/>
        <v/>
      </c>
      <c r="BO22" s="534" t="str">
        <f t="shared" si="25"/>
        <v/>
      </c>
      <c r="BP22" s="514"/>
      <c r="BQ22" s="535" t="str" cm="1">
        <f t="array" ref="BQ22">IFERROR(INDEX($AY$1:$AY$112,SMALL(IF($AY$1:$AY$112&lt;&gt;"",ROW($AY$1:$AY$112),4^8),ROW(22:22)))&amp;"","")</f>
        <v>灰矮人</v>
      </c>
      <c r="BR22" s="514"/>
      <c r="BS22" s="514"/>
      <c r="BT22" s="514"/>
      <c r="BU22" s="514"/>
      <c r="BV22" s="514"/>
      <c r="BW22" s="514"/>
      <c r="BX22" s="514"/>
      <c r="BY22" s="514"/>
    </row>
    <row r="23" customHeight="1" spans="1:78">
      <c r="A23" s="442" t="s">
        <v>5526</v>
      </c>
      <c r="B23" s="442"/>
      <c r="C23" s="442">
        <v>8</v>
      </c>
      <c r="D23" s="442">
        <v>8</v>
      </c>
      <c r="E23" s="512" t="s">
        <v>5651</v>
      </c>
      <c r="F23" s="512" t="s">
        <v>5652</v>
      </c>
      <c r="G23" s="512" t="s">
        <v>145</v>
      </c>
      <c r="H23" s="512" t="s">
        <v>333</v>
      </c>
      <c r="J23" s="522"/>
      <c r="K23" s="523"/>
      <c r="L23" s="512" t="s">
        <v>5653</v>
      </c>
      <c r="M23" s="512" t="s">
        <v>5654</v>
      </c>
      <c r="N23" s="512" t="s">
        <v>5655</v>
      </c>
      <c r="O23" s="524" t="s">
        <v>5656</v>
      </c>
      <c r="P23" s="524" t="s">
        <v>5657</v>
      </c>
      <c r="Q23" s="524"/>
      <c r="R23" s="524"/>
      <c r="S23" s="524"/>
      <c r="T23" s="524"/>
      <c r="U23" s="524"/>
      <c r="V23" s="524"/>
      <c r="W23" s="524"/>
      <c r="X23" s="524"/>
      <c r="Y23" s="524"/>
      <c r="Z23" s="524"/>
      <c r="AA23" s="524"/>
      <c r="AB23" s="524"/>
      <c r="AC23" s="512"/>
      <c r="AD23" s="512"/>
      <c r="AE23" s="524"/>
      <c r="AF23" s="524"/>
      <c r="AG23" s="524"/>
      <c r="AH23" s="524"/>
      <c r="AI23" s="524"/>
      <c r="AJ23" s="524"/>
      <c r="AK23" s="524"/>
      <c r="AL23" s="524"/>
      <c r="AM23" s="524"/>
      <c r="AN23" s="524"/>
      <c r="AO23" s="524"/>
      <c r="AV23" s="525"/>
      <c r="AY23" s="527" t="str">
        <f>IF(主要!$CD$5="O","雅灵","")</f>
        <v>雅灵</v>
      </c>
      <c r="AZ23" s="514"/>
      <c r="BA23" s="514"/>
      <c r="BB23" s="514"/>
      <c r="BC23" s="514"/>
      <c r="BD23" s="514"/>
      <c r="BE23" s="514"/>
      <c r="BF23" s="514"/>
      <c r="BG23" s="514"/>
      <c r="BH23" s="514"/>
      <c r="BI23" s="514" t="str">
        <f t="shared" ref="BI23:BO23" si="26">""</f>
        <v/>
      </c>
      <c r="BJ23" s="514" t="str">
        <f t="shared" si="26"/>
        <v/>
      </c>
      <c r="BK23" s="514" t="str">
        <f t="shared" si="26"/>
        <v/>
      </c>
      <c r="BL23" s="514" t="str">
        <f t="shared" si="26"/>
        <v/>
      </c>
      <c r="BM23" s="514" t="str">
        <f t="shared" si="26"/>
        <v/>
      </c>
      <c r="BN23" s="514" t="str">
        <f t="shared" si="26"/>
        <v/>
      </c>
      <c r="BO23" s="534" t="str">
        <f t="shared" si="26"/>
        <v/>
      </c>
      <c r="BP23" s="514"/>
      <c r="BQ23" s="535" t="str" cm="1">
        <f t="array" ref="BQ23">IFERROR(INDEX($AY$1:$AY$112,SMALL(IF($AY$1:$AY$112&lt;&gt;"",ROW($AY$1:$AY$112),4^8),ROW(23:23)))&amp;"","")</f>
        <v>雅灵</v>
      </c>
      <c r="BR23" s="514"/>
      <c r="BS23" s="514"/>
      <c r="BT23" s="514"/>
      <c r="BU23" s="514"/>
      <c r="BV23" s="514"/>
      <c r="BW23" s="514"/>
      <c r="BX23" s="514"/>
      <c r="BY23" s="514"/>
      <c r="BZ23" s="514"/>
    </row>
    <row r="24" customHeight="1" spans="1:78">
      <c r="A24" s="442" t="s">
        <v>5527</v>
      </c>
      <c r="B24" s="442"/>
      <c r="C24" s="442">
        <v>9</v>
      </c>
      <c r="D24" s="442">
        <v>9</v>
      </c>
      <c r="E24" s="512" t="s">
        <v>5658</v>
      </c>
      <c r="F24" s="512" t="s">
        <v>5631</v>
      </c>
      <c r="G24" s="512" t="s">
        <v>305</v>
      </c>
      <c r="H24" s="512" t="s">
        <v>333</v>
      </c>
      <c r="J24" s="522">
        <v>12</v>
      </c>
      <c r="K24" s="523" t="s">
        <v>5592</v>
      </c>
      <c r="L24" s="512" t="s">
        <v>5473</v>
      </c>
      <c r="M24" s="512" t="s">
        <v>5659</v>
      </c>
      <c r="N24" s="512" t="s">
        <v>5660</v>
      </c>
      <c r="O24" s="524" t="s">
        <v>5661</v>
      </c>
      <c r="P24" s="524" t="s">
        <v>5662</v>
      </c>
      <c r="Q24" s="524" t="s">
        <v>5663</v>
      </c>
      <c r="R24" s="524" t="s">
        <v>5664</v>
      </c>
      <c r="S24" s="524" t="s">
        <v>5665</v>
      </c>
      <c r="T24" s="524"/>
      <c r="U24" s="524"/>
      <c r="V24" s="524"/>
      <c r="W24" s="524"/>
      <c r="X24" s="524"/>
      <c r="Y24" s="524"/>
      <c r="Z24" s="524"/>
      <c r="AA24" s="524"/>
      <c r="AB24" s="524"/>
      <c r="AC24" s="524"/>
      <c r="AD24" s="524"/>
      <c r="AE24" s="524"/>
      <c r="AF24" s="524"/>
      <c r="AG24" s="524"/>
      <c r="AH24" s="524"/>
      <c r="AI24" s="524"/>
      <c r="AJ24" s="524"/>
      <c r="AK24" s="524"/>
      <c r="AL24" s="524"/>
      <c r="AM24" s="524"/>
      <c r="AN24" s="524"/>
      <c r="AO24" s="524"/>
      <c r="AV24" s="525"/>
      <c r="AY24" s="527" t="str">
        <f>IF(主要!$CD$5="O","仙灵","")</f>
        <v>仙灵</v>
      </c>
      <c r="AZ24" s="514"/>
      <c r="BA24" s="514"/>
      <c r="BB24" s="514"/>
      <c r="BC24" s="514"/>
      <c r="BD24" s="514"/>
      <c r="BE24" s="514"/>
      <c r="BF24" s="514"/>
      <c r="BG24" s="514"/>
      <c r="BH24" s="514"/>
      <c r="BI24" s="514" t="str">
        <f t="shared" ref="BI24:BO24" si="27">""</f>
        <v/>
      </c>
      <c r="BJ24" s="514" t="str">
        <f t="shared" si="27"/>
        <v/>
      </c>
      <c r="BK24" s="514" t="str">
        <f t="shared" si="27"/>
        <v/>
      </c>
      <c r="BL24" s="514" t="str">
        <f t="shared" si="27"/>
        <v/>
      </c>
      <c r="BM24" s="514" t="str">
        <f t="shared" si="27"/>
        <v/>
      </c>
      <c r="BN24" s="514" t="str">
        <f t="shared" si="27"/>
        <v/>
      </c>
      <c r="BO24" s="534" t="str">
        <f t="shared" si="27"/>
        <v/>
      </c>
      <c r="BP24" s="514"/>
      <c r="BQ24" s="535" t="str" cm="1">
        <f t="array" ref="BQ24">IFERROR(INDEX($AY$1:$AY$112,SMALL(IF($AY$1:$AY$112&lt;&gt;"",ROW($AY$1:$AY$112),4^8),ROW(24:24)))&amp;"","")</f>
        <v>仙灵</v>
      </c>
      <c r="BR24" s="514"/>
      <c r="BS24" s="514"/>
      <c r="BT24" s="514"/>
      <c r="BU24" s="514"/>
      <c r="BV24" s="514"/>
      <c r="BW24" s="514"/>
      <c r="BX24" s="514"/>
      <c r="BY24" s="514"/>
      <c r="BZ24" s="514"/>
    </row>
    <row r="25" customHeight="1" spans="1:78">
      <c r="A25" s="518" t="s">
        <v>5528</v>
      </c>
      <c r="B25" s="518">
        <v>7</v>
      </c>
      <c r="C25" s="518">
        <v>1</v>
      </c>
      <c r="D25" s="518">
        <v>4</v>
      </c>
      <c r="E25" s="512" t="s">
        <v>5666</v>
      </c>
      <c r="F25" s="512" t="s">
        <v>5471</v>
      </c>
      <c r="G25" s="512" t="s">
        <v>145</v>
      </c>
      <c r="H25" s="512" t="s">
        <v>333</v>
      </c>
      <c r="J25" s="522"/>
      <c r="K25" s="523"/>
      <c r="L25" s="512" t="s">
        <v>5483</v>
      </c>
      <c r="M25" s="512" t="s">
        <v>5667</v>
      </c>
      <c r="N25" s="512" t="s">
        <v>5668</v>
      </c>
      <c r="O25" s="524" t="s">
        <v>5549</v>
      </c>
      <c r="P25" s="524" t="s">
        <v>5669</v>
      </c>
      <c r="Q25" s="524" t="s">
        <v>5670</v>
      </c>
      <c r="R25" s="524" t="s">
        <v>5671</v>
      </c>
      <c r="S25" s="524" t="s">
        <v>5672</v>
      </c>
      <c r="T25" s="524"/>
      <c r="U25" s="524"/>
      <c r="V25" s="524"/>
      <c r="W25" s="524"/>
      <c r="X25" s="524"/>
      <c r="Y25" s="524"/>
      <c r="Z25" s="524"/>
      <c r="AA25" s="524"/>
      <c r="AB25" s="524"/>
      <c r="AC25" s="512"/>
      <c r="AD25" s="512"/>
      <c r="AE25" s="524"/>
      <c r="AF25" s="524"/>
      <c r="AG25" s="524"/>
      <c r="AH25" s="524"/>
      <c r="AI25" s="524"/>
      <c r="AJ25" s="524"/>
      <c r="AK25" s="524"/>
      <c r="AL25" s="524"/>
      <c r="AM25" s="524"/>
      <c r="AN25" s="524"/>
      <c r="AO25" s="524"/>
      <c r="AV25" s="525"/>
      <c r="AY25" s="527" t="str">
        <f>IF(主要!$CD$5="O","费尔伯格人","")</f>
        <v>费尔伯格人</v>
      </c>
      <c r="AZ25" s="514"/>
      <c r="BA25" s="514"/>
      <c r="BB25" s="514"/>
      <c r="BC25" s="514"/>
      <c r="BD25" s="514"/>
      <c r="BE25" s="514"/>
      <c r="BF25" s="514"/>
      <c r="BG25" s="514"/>
      <c r="BH25" s="514"/>
      <c r="BI25" s="514" t="str">
        <f t="shared" ref="BI25:BO25" si="28">""</f>
        <v/>
      </c>
      <c r="BJ25" s="514" t="str">
        <f t="shared" si="28"/>
        <v/>
      </c>
      <c r="BK25" s="514" t="str">
        <f t="shared" si="28"/>
        <v/>
      </c>
      <c r="BL25" s="514" t="str">
        <f t="shared" si="28"/>
        <v/>
      </c>
      <c r="BM25" s="514" t="str">
        <f t="shared" si="28"/>
        <v/>
      </c>
      <c r="BN25" s="514" t="str">
        <f t="shared" si="28"/>
        <v/>
      </c>
      <c r="BO25" s="534" t="str">
        <f t="shared" si="28"/>
        <v/>
      </c>
      <c r="BP25" s="514"/>
      <c r="BQ25" s="535" t="str" cm="1">
        <f t="array" ref="BQ25">IFERROR(INDEX($AY$1:$AY$112,SMALL(IF($AY$1:$AY$112&lt;&gt;"",ROW($AY$1:$AY$112),4^8),ROW(25:25)))&amp;"","")</f>
        <v>费尔伯格人</v>
      </c>
      <c r="BR25" s="514"/>
      <c r="BS25" s="514"/>
      <c r="BT25" s="514"/>
      <c r="BU25" s="514"/>
      <c r="BV25" s="514"/>
      <c r="BW25" s="514"/>
      <c r="BX25" s="514"/>
      <c r="BY25" s="514"/>
      <c r="BZ25" s="514"/>
    </row>
    <row r="26" customHeight="1" spans="1:81">
      <c r="A26" s="518" t="s">
        <v>5544</v>
      </c>
      <c r="B26" s="518">
        <v>8</v>
      </c>
      <c r="C26" s="518">
        <v>1</v>
      </c>
      <c r="D26" s="518">
        <v>3</v>
      </c>
      <c r="E26" s="512" t="s">
        <v>5673</v>
      </c>
      <c r="F26" s="512" t="s">
        <v>5471</v>
      </c>
      <c r="G26" s="512" t="s">
        <v>5674</v>
      </c>
      <c r="H26" s="512" t="s">
        <v>5517</v>
      </c>
      <c r="J26" s="522">
        <v>13</v>
      </c>
      <c r="K26" s="523" t="s">
        <v>5603</v>
      </c>
      <c r="L26" s="512" t="s">
        <v>5675</v>
      </c>
      <c r="M26" s="512" t="s">
        <v>5676</v>
      </c>
      <c r="N26" s="512" t="s">
        <v>5677</v>
      </c>
      <c r="O26" s="524"/>
      <c r="P26" s="524"/>
      <c r="Q26" s="524"/>
      <c r="R26" s="524"/>
      <c r="S26" s="524"/>
      <c r="T26" s="524"/>
      <c r="U26" s="524"/>
      <c r="V26" s="524"/>
      <c r="W26" s="524"/>
      <c r="X26" s="524"/>
      <c r="Y26" s="524"/>
      <c r="Z26" s="524"/>
      <c r="AA26" s="524"/>
      <c r="AB26" s="524"/>
      <c r="AC26" s="524"/>
      <c r="AD26" s="524"/>
      <c r="AE26" s="524"/>
      <c r="AF26" s="524"/>
      <c r="AG26" s="524"/>
      <c r="AH26" s="524"/>
      <c r="AI26" s="524"/>
      <c r="AJ26" s="524"/>
      <c r="AK26" s="524"/>
      <c r="AL26" s="524"/>
      <c r="AM26" s="524"/>
      <c r="AN26" s="524"/>
      <c r="AO26" s="524"/>
      <c r="AV26" s="525"/>
      <c r="AY26" s="527" t="str">
        <f>IF(主要!$CD$5="O","元素裔","")</f>
        <v>元素裔</v>
      </c>
      <c r="AZ26" s="514" t="s">
        <v>5678</v>
      </c>
      <c r="BA26" s="514" t="s">
        <v>5679</v>
      </c>
      <c r="BB26" s="514" t="s">
        <v>5680</v>
      </c>
      <c r="BC26" s="514" t="s">
        <v>5681</v>
      </c>
      <c r="BD26" s="514"/>
      <c r="BE26" s="514"/>
      <c r="BF26" s="514"/>
      <c r="BG26" s="514"/>
      <c r="BH26" s="514"/>
      <c r="BI26" s="514" t="str">
        <f t="shared" ref="BI26:BO26" si="29">""</f>
        <v/>
      </c>
      <c r="BJ26" s="514" t="str">
        <f t="shared" si="29"/>
        <v/>
      </c>
      <c r="BK26" s="514" t="str">
        <f t="shared" si="29"/>
        <v/>
      </c>
      <c r="BL26" s="514" t="str">
        <f t="shared" si="29"/>
        <v/>
      </c>
      <c r="BM26" s="514" t="str">
        <f t="shared" si="29"/>
        <v/>
      </c>
      <c r="BN26" s="514" t="str">
        <f t="shared" si="29"/>
        <v/>
      </c>
      <c r="BO26" s="534" t="str">
        <f t="shared" si="29"/>
        <v/>
      </c>
      <c r="BP26" s="514"/>
      <c r="BQ26" s="535" t="str" cm="1">
        <f t="array" ref="BQ26">IFERROR(INDEX($AY$1:$AY$112,SMALL(IF($AY$1:$AY$112&lt;&gt;"",ROW($AY$1:$AY$112),4^8),ROW(26:26)))&amp;"","")</f>
        <v>元素裔</v>
      </c>
      <c r="BR26" s="514"/>
      <c r="BS26" s="514"/>
      <c r="BT26" s="514"/>
      <c r="BU26" s="514"/>
      <c r="BV26" s="514"/>
      <c r="BW26" s="514"/>
      <c r="BX26" s="514"/>
      <c r="BY26" s="514"/>
      <c r="BZ26" s="514"/>
      <c r="CA26" s="514"/>
      <c r="CB26" s="514"/>
      <c r="CC26" s="514"/>
    </row>
    <row r="27" customHeight="1" spans="1:81">
      <c r="A27" s="518" t="s">
        <v>5563</v>
      </c>
      <c r="B27" s="518">
        <v>9</v>
      </c>
      <c r="C27" s="518">
        <v>1</v>
      </c>
      <c r="D27" s="518">
        <v>3</v>
      </c>
      <c r="E27" s="512" t="s">
        <v>5682</v>
      </c>
      <c r="F27" s="512" t="s">
        <v>5683</v>
      </c>
      <c r="G27" s="512" t="s">
        <v>145</v>
      </c>
      <c r="H27" s="512" t="s">
        <v>333</v>
      </c>
      <c r="J27" s="522"/>
      <c r="K27" s="523"/>
      <c r="L27" s="512" t="s">
        <v>5684</v>
      </c>
      <c r="M27" s="512" t="s">
        <v>5685</v>
      </c>
      <c r="N27" s="512" t="s">
        <v>5686</v>
      </c>
      <c r="O27" s="524"/>
      <c r="P27" s="524"/>
      <c r="Q27" s="524"/>
      <c r="R27" s="524"/>
      <c r="S27" s="524"/>
      <c r="T27" s="524"/>
      <c r="U27" s="524"/>
      <c r="V27" s="524"/>
      <c r="W27" s="524"/>
      <c r="X27" s="524"/>
      <c r="Y27" s="524"/>
      <c r="Z27" s="524"/>
      <c r="AA27" s="524"/>
      <c r="AB27" s="524"/>
      <c r="AC27" s="512"/>
      <c r="AD27" s="512"/>
      <c r="AE27" s="524"/>
      <c r="AF27" s="524"/>
      <c r="AG27" s="524"/>
      <c r="AH27" s="524"/>
      <c r="AI27" s="524"/>
      <c r="AJ27" s="524"/>
      <c r="AK27" s="524"/>
      <c r="AL27" s="524"/>
      <c r="AM27" s="524"/>
      <c r="AN27" s="524"/>
      <c r="AO27" s="524"/>
      <c r="AV27" s="525"/>
      <c r="AY27" s="527" t="str">
        <f>IF(主要!$CD$5="O","吉斯洋基人","")</f>
        <v>吉斯洋基人</v>
      </c>
      <c r="AZ27" s="514"/>
      <c r="BA27" s="514"/>
      <c r="BB27" s="514"/>
      <c r="BC27" s="514"/>
      <c r="BD27" s="514"/>
      <c r="BE27" s="514"/>
      <c r="BF27" s="514"/>
      <c r="BG27" s="514"/>
      <c r="BH27" s="514"/>
      <c r="BI27" s="514" t="str">
        <f t="shared" ref="BI27:BO27" si="30">""</f>
        <v/>
      </c>
      <c r="BJ27" s="514" t="str">
        <f t="shared" si="30"/>
        <v/>
      </c>
      <c r="BK27" s="514" t="str">
        <f t="shared" si="30"/>
        <v/>
      </c>
      <c r="BL27" s="514" t="str">
        <f t="shared" si="30"/>
        <v/>
      </c>
      <c r="BM27" s="514" t="str">
        <f t="shared" si="30"/>
        <v/>
      </c>
      <c r="BN27" s="514" t="str">
        <f t="shared" si="30"/>
        <v/>
      </c>
      <c r="BO27" s="534" t="str">
        <f t="shared" si="30"/>
        <v/>
      </c>
      <c r="BP27" s="514"/>
      <c r="BQ27" s="535" t="str" cm="1">
        <f t="array" ref="BQ27">IFERROR(INDEX($AY$1:$AY$112,SMALL(IF($AY$1:$AY$112&lt;&gt;"",ROW($AY$1:$AY$112),4^8),ROW(27:27)))&amp;"","")</f>
        <v>吉斯洋基人</v>
      </c>
      <c r="BR27" s="514"/>
      <c r="BS27" s="514"/>
      <c r="BT27" s="514"/>
      <c r="BU27" s="514"/>
      <c r="BV27" s="514"/>
      <c r="BW27" s="514"/>
      <c r="BX27" s="514"/>
      <c r="BY27" s="514"/>
      <c r="BZ27" s="514"/>
      <c r="CA27" s="514"/>
      <c r="CB27" s="514"/>
      <c r="CC27" s="514"/>
    </row>
    <row r="28" customHeight="1" spans="1:81">
      <c r="A28" s="518" t="s">
        <v>5570</v>
      </c>
      <c r="B28" s="518">
        <v>10</v>
      </c>
      <c r="C28" s="518">
        <v>1</v>
      </c>
      <c r="D28" s="518">
        <v>3</v>
      </c>
      <c r="E28" s="512" t="s">
        <v>5687</v>
      </c>
      <c r="F28" s="512" t="s">
        <v>5683</v>
      </c>
      <c r="G28" s="512" t="s">
        <v>145</v>
      </c>
      <c r="H28" s="512" t="s">
        <v>333</v>
      </c>
      <c r="J28" s="522">
        <v>14</v>
      </c>
      <c r="K28" s="523" t="s">
        <v>5609</v>
      </c>
      <c r="L28" s="512" t="s">
        <v>5688</v>
      </c>
      <c r="M28" s="512" t="s">
        <v>5689</v>
      </c>
      <c r="N28" s="512" t="s">
        <v>5690</v>
      </c>
      <c r="O28" s="512" t="s">
        <v>5691</v>
      </c>
      <c r="P28" s="512"/>
      <c r="Q28" s="524"/>
      <c r="R28" s="524"/>
      <c r="S28" s="524"/>
      <c r="T28" s="524"/>
      <c r="U28" s="524"/>
      <c r="V28" s="524"/>
      <c r="W28" s="524"/>
      <c r="X28" s="524"/>
      <c r="Y28" s="524"/>
      <c r="Z28" s="524"/>
      <c r="AA28" s="524"/>
      <c r="AB28" s="524"/>
      <c r="AC28" s="524"/>
      <c r="AD28" s="524"/>
      <c r="AE28" s="524"/>
      <c r="AF28" s="524"/>
      <c r="AG28" s="524"/>
      <c r="AH28" s="524"/>
      <c r="AI28" s="524"/>
      <c r="AJ28" s="524"/>
      <c r="AK28" s="524"/>
      <c r="AL28" s="524"/>
      <c r="AM28" s="524"/>
      <c r="AN28" s="524"/>
      <c r="AO28" s="524"/>
      <c r="AV28" s="525"/>
      <c r="AY28" s="527" t="str">
        <f>IF(主要!$CD$5="O","吉斯泽莱人","")</f>
        <v>吉斯泽莱人</v>
      </c>
      <c r="AZ28" s="514"/>
      <c r="BA28" s="514"/>
      <c r="BB28" s="514"/>
      <c r="BC28" s="514"/>
      <c r="BD28" s="514"/>
      <c r="BE28" s="514"/>
      <c r="BF28" s="514"/>
      <c r="BG28" s="514"/>
      <c r="BH28" s="514"/>
      <c r="BI28" s="514" t="str">
        <f t="shared" ref="BI28:BO28" si="31">""</f>
        <v/>
      </c>
      <c r="BJ28" s="514" t="str">
        <f t="shared" si="31"/>
        <v/>
      </c>
      <c r="BK28" s="514" t="str">
        <f t="shared" si="31"/>
        <v/>
      </c>
      <c r="BL28" s="514" t="str">
        <f t="shared" si="31"/>
        <v/>
      </c>
      <c r="BM28" s="514" t="str">
        <f t="shared" si="31"/>
        <v/>
      </c>
      <c r="BN28" s="514" t="str">
        <f t="shared" si="31"/>
        <v/>
      </c>
      <c r="BO28" s="534" t="str">
        <f t="shared" si="31"/>
        <v/>
      </c>
      <c r="BP28" s="514"/>
      <c r="BQ28" s="535" t="str" cm="1">
        <f t="array" ref="BQ28">IFERROR(INDEX($AY$1:$AY$112,SMALL(IF($AY$1:$AY$112&lt;&gt;"",ROW($AY$1:$AY$112),4^8),ROW(28:28)))&amp;"","")</f>
        <v>吉斯泽莱人</v>
      </c>
      <c r="BR28" s="514"/>
      <c r="BS28" s="514"/>
      <c r="BT28" s="514"/>
      <c r="BU28" s="514"/>
      <c r="BV28" s="514"/>
      <c r="BW28" s="514"/>
      <c r="BX28" s="514"/>
      <c r="BY28" s="514"/>
      <c r="BZ28" s="514"/>
      <c r="CA28" s="514"/>
      <c r="CB28" s="514"/>
      <c r="CC28" s="514"/>
    </row>
    <row r="29" customHeight="1" spans="1:81">
      <c r="A29" s="442" t="s">
        <v>5578</v>
      </c>
      <c r="B29" s="512"/>
      <c r="C29" s="512">
        <v>4</v>
      </c>
      <c r="D29" s="512">
        <v>4</v>
      </c>
      <c r="E29" s="512" t="s">
        <v>5692</v>
      </c>
      <c r="F29" s="512" t="s">
        <v>5631</v>
      </c>
      <c r="G29" s="512" t="s">
        <v>305</v>
      </c>
      <c r="H29" s="512" t="s">
        <v>333</v>
      </c>
      <c r="J29" s="522"/>
      <c r="K29" s="523"/>
      <c r="L29" s="512" t="s">
        <v>5693</v>
      </c>
      <c r="M29" s="512" t="s">
        <v>5694</v>
      </c>
      <c r="N29" s="512" t="s">
        <v>5695</v>
      </c>
      <c r="O29" s="512" t="s">
        <v>5696</v>
      </c>
      <c r="P29" s="512"/>
      <c r="Q29" s="524"/>
      <c r="R29" s="524"/>
      <c r="S29" s="524"/>
      <c r="T29" s="524"/>
      <c r="U29" s="524"/>
      <c r="V29" s="524"/>
      <c r="W29" s="524"/>
      <c r="X29" s="524"/>
      <c r="Y29" s="524"/>
      <c r="Z29" s="524"/>
      <c r="AA29" s="524"/>
      <c r="AB29" s="524"/>
      <c r="AC29" s="512"/>
      <c r="AD29" s="512"/>
      <c r="AE29" s="512"/>
      <c r="AF29" s="512"/>
      <c r="AG29" s="524"/>
      <c r="AH29" s="524"/>
      <c r="AI29" s="524"/>
      <c r="AJ29" s="524"/>
      <c r="AK29" s="524"/>
      <c r="AL29" s="524"/>
      <c r="AM29" s="524"/>
      <c r="AN29" s="524"/>
      <c r="AO29" s="524"/>
      <c r="AV29" s="525"/>
      <c r="AY29" s="527" t="str">
        <f>IF(主要!$CD$5="O","地精","")</f>
        <v>地精</v>
      </c>
      <c r="AZ29" s="514"/>
      <c r="BA29" s="514"/>
      <c r="BB29" s="514"/>
      <c r="BC29" s="514"/>
      <c r="BD29" s="514"/>
      <c r="BE29" s="514"/>
      <c r="BF29" s="514"/>
      <c r="BG29" s="514"/>
      <c r="BH29" s="514"/>
      <c r="BI29" s="514" t="str">
        <f t="shared" ref="BI29:BO29" si="32">""</f>
        <v/>
      </c>
      <c r="BJ29" s="514" t="str">
        <f t="shared" si="32"/>
        <v/>
      </c>
      <c r="BK29" s="514" t="str">
        <f t="shared" si="32"/>
        <v/>
      </c>
      <c r="BL29" s="514" t="str">
        <f t="shared" si="32"/>
        <v/>
      </c>
      <c r="BM29" s="514" t="str">
        <f t="shared" si="32"/>
        <v/>
      </c>
      <c r="BN29" s="514" t="str">
        <f t="shared" si="32"/>
        <v/>
      </c>
      <c r="BO29" s="534" t="str">
        <f t="shared" si="32"/>
        <v/>
      </c>
      <c r="BP29" s="514"/>
      <c r="BQ29" s="535" t="str" cm="1">
        <f t="array" ref="BQ29">IFERROR(INDEX($AY$1:$AY$112,SMALL(IF($AY$1:$AY$112&lt;&gt;"",ROW($AY$1:$AY$112),4^8),ROW(29:29)))&amp;"","")</f>
        <v>地精</v>
      </c>
      <c r="BR29" s="514"/>
      <c r="BS29" s="514"/>
      <c r="BT29" s="514"/>
      <c r="BU29" s="514"/>
      <c r="BV29" s="514"/>
      <c r="BW29" s="514"/>
      <c r="BX29" s="514"/>
      <c r="BY29" s="514"/>
      <c r="BZ29" s="514"/>
      <c r="CA29" s="514"/>
      <c r="CB29" s="514"/>
      <c r="CC29" s="514"/>
    </row>
    <row r="30" customHeight="1" spans="1:81">
      <c r="A30" s="442" t="s">
        <v>5579</v>
      </c>
      <c r="B30" s="512"/>
      <c r="C30" s="512">
        <v>5</v>
      </c>
      <c r="D30" s="512">
        <v>5</v>
      </c>
      <c r="E30" s="512" t="s">
        <v>5697</v>
      </c>
      <c r="F30" s="512" t="s">
        <v>5471</v>
      </c>
      <c r="G30" s="512" t="s">
        <v>5674</v>
      </c>
      <c r="H30" s="512" t="s">
        <v>333</v>
      </c>
      <c r="J30" s="522">
        <v>15</v>
      </c>
      <c r="K30" s="523" t="s">
        <v>5615</v>
      </c>
      <c r="L30" s="512" t="s">
        <v>5473</v>
      </c>
      <c r="M30" s="524" t="s">
        <v>5698</v>
      </c>
      <c r="N30" s="512" t="s">
        <v>5699</v>
      </c>
      <c r="O30" s="512" t="s">
        <v>5700</v>
      </c>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V30" s="525"/>
      <c r="AY30" s="527" t="str">
        <f>IF(主要!$CD$5="O","兔人","")</f>
        <v>兔人</v>
      </c>
      <c r="AZ30" s="514"/>
      <c r="BA30" s="514"/>
      <c r="BB30" s="514"/>
      <c r="BC30" s="514"/>
      <c r="BD30" s="514"/>
      <c r="BE30" s="514"/>
      <c r="BF30" s="514"/>
      <c r="BG30" s="514"/>
      <c r="BH30" s="514"/>
      <c r="BI30" s="514" t="str">
        <f t="shared" ref="BI30:BO30" si="33">""</f>
        <v/>
      </c>
      <c r="BJ30" s="514" t="str">
        <f t="shared" si="33"/>
        <v/>
      </c>
      <c r="BK30" s="514" t="str">
        <f t="shared" si="33"/>
        <v/>
      </c>
      <c r="BL30" s="514" t="str">
        <f t="shared" si="33"/>
        <v/>
      </c>
      <c r="BM30" s="514" t="str">
        <f t="shared" si="33"/>
        <v/>
      </c>
      <c r="BN30" s="514" t="str">
        <f t="shared" si="33"/>
        <v/>
      </c>
      <c r="BO30" s="534" t="str">
        <f t="shared" si="33"/>
        <v/>
      </c>
      <c r="BP30" s="514"/>
      <c r="BQ30" s="535" t="str" cm="1">
        <f t="array" ref="BQ30">IFERROR(INDEX($AY$1:$AY$112,SMALL(IF($AY$1:$AY$112&lt;&gt;"",ROW($AY$1:$AY$112),4^8),ROW(30:30)))&amp;"","")</f>
        <v>兔人</v>
      </c>
      <c r="BR30" s="514"/>
      <c r="BS30" s="514"/>
      <c r="BT30" s="514"/>
      <c r="BU30" s="514"/>
      <c r="BV30" s="514"/>
      <c r="BW30" s="514"/>
      <c r="BX30" s="514"/>
      <c r="BY30" s="514"/>
      <c r="BZ30" s="514"/>
      <c r="CA30" s="514"/>
      <c r="CB30" s="514"/>
      <c r="CC30" s="514"/>
    </row>
    <row r="31" customHeight="1" spans="1:81">
      <c r="A31" s="442" t="s">
        <v>5580</v>
      </c>
      <c r="B31" s="512"/>
      <c r="C31" s="512">
        <v>6</v>
      </c>
      <c r="D31" s="512">
        <v>6</v>
      </c>
      <c r="E31" s="512" t="s">
        <v>5701</v>
      </c>
      <c r="F31" s="512" t="s">
        <v>5631</v>
      </c>
      <c r="G31" s="512" t="s">
        <v>145</v>
      </c>
      <c r="H31" s="512" t="s">
        <v>333</v>
      </c>
      <c r="J31" s="522"/>
      <c r="K31" s="523"/>
      <c r="L31" s="512" t="s">
        <v>5483</v>
      </c>
      <c r="M31" s="512" t="s">
        <v>5702</v>
      </c>
      <c r="N31" s="512" t="s">
        <v>5703</v>
      </c>
      <c r="O31" s="512" t="s">
        <v>5704</v>
      </c>
      <c r="P31" s="524"/>
      <c r="Q31" s="524"/>
      <c r="R31" s="524"/>
      <c r="S31" s="524"/>
      <c r="T31" s="524"/>
      <c r="U31" s="524"/>
      <c r="V31" s="524"/>
      <c r="W31" s="524"/>
      <c r="X31" s="524"/>
      <c r="Y31" s="524"/>
      <c r="Z31" s="524"/>
      <c r="AA31" s="524"/>
      <c r="AB31" s="524"/>
      <c r="AC31" s="512"/>
      <c r="AD31" s="512"/>
      <c r="AE31" s="512"/>
      <c r="AF31" s="512"/>
      <c r="AG31" s="524"/>
      <c r="AH31" s="524"/>
      <c r="AI31" s="524"/>
      <c r="AJ31" s="524"/>
      <c r="AK31" s="524"/>
      <c r="AL31" s="524"/>
      <c r="AM31" s="524"/>
      <c r="AN31" s="524"/>
      <c r="AO31" s="524"/>
      <c r="AV31" s="525"/>
      <c r="AY31" s="527" t="str">
        <f>IF(主要!$CD$5="O","大地精","")</f>
        <v>大地精</v>
      </c>
      <c r="AZ31" s="514"/>
      <c r="BA31" s="514"/>
      <c r="BB31" s="514"/>
      <c r="BC31" s="514"/>
      <c r="BD31" s="514"/>
      <c r="BE31" s="514"/>
      <c r="BF31" s="514"/>
      <c r="BG31" s="514"/>
      <c r="BH31" s="514"/>
      <c r="BI31" s="514" t="str">
        <f t="shared" ref="BI31:BO31" si="34">""</f>
        <v/>
      </c>
      <c r="BJ31" s="514" t="str">
        <f t="shared" si="34"/>
        <v/>
      </c>
      <c r="BK31" s="514" t="str">
        <f t="shared" si="34"/>
        <v/>
      </c>
      <c r="BL31" s="514" t="str">
        <f t="shared" si="34"/>
        <v/>
      </c>
      <c r="BM31" s="514" t="str">
        <f t="shared" si="34"/>
        <v/>
      </c>
      <c r="BN31" s="514" t="str">
        <f t="shared" si="34"/>
        <v/>
      </c>
      <c r="BO31" s="534" t="str">
        <f t="shared" si="34"/>
        <v/>
      </c>
      <c r="BP31" s="514"/>
      <c r="BQ31" s="535" t="str" cm="1">
        <f t="array" ref="BQ31">IFERROR(INDEX($AY$1:$AY$112,SMALL(IF($AY$1:$AY$112&lt;&gt;"",ROW($AY$1:$AY$112),4^8),ROW(31:31)))&amp;"","")</f>
        <v>大地精</v>
      </c>
      <c r="BR31" s="514"/>
      <c r="BS31" s="514"/>
      <c r="BT31" s="514"/>
      <c r="BU31" s="514"/>
      <c r="BV31" s="514"/>
      <c r="BW31" s="514"/>
      <c r="BX31" s="514"/>
      <c r="BY31" s="514"/>
      <c r="BZ31" s="514"/>
      <c r="CA31" s="514"/>
      <c r="CB31" s="514"/>
      <c r="CC31" s="514"/>
    </row>
    <row r="32" customHeight="1" spans="1:81">
      <c r="A32" s="519" t="s">
        <v>5581</v>
      </c>
      <c r="B32" s="511">
        <v>11</v>
      </c>
      <c r="C32" s="511">
        <v>1</v>
      </c>
      <c r="D32" s="511">
        <v>5</v>
      </c>
      <c r="E32" s="512" t="s">
        <v>5705</v>
      </c>
      <c r="F32" s="512" t="s">
        <v>5471</v>
      </c>
      <c r="G32" s="512" t="s">
        <v>5674</v>
      </c>
      <c r="H32" s="512" t="s">
        <v>333</v>
      </c>
      <c r="J32" s="522">
        <v>16</v>
      </c>
      <c r="K32" s="523" t="s">
        <v>5620</v>
      </c>
      <c r="L32" s="512" t="s">
        <v>5473</v>
      </c>
      <c r="M32" s="524" t="s">
        <v>5706</v>
      </c>
      <c r="N32" s="512" t="s">
        <v>5707</v>
      </c>
      <c r="O32" s="512"/>
      <c r="P32" s="512"/>
      <c r="Q32" s="512"/>
      <c r="R32" s="524"/>
      <c r="S32" s="524"/>
      <c r="T32" s="524"/>
      <c r="U32" s="524"/>
      <c r="V32" s="524"/>
      <c r="W32" s="524"/>
      <c r="X32" s="524"/>
      <c r="Y32" s="524"/>
      <c r="Z32" s="524"/>
      <c r="AA32" s="524"/>
      <c r="AB32" s="524"/>
      <c r="AC32" s="524"/>
      <c r="AD32" s="524"/>
      <c r="AE32" s="524"/>
      <c r="AF32" s="524"/>
      <c r="AG32" s="524"/>
      <c r="AH32" s="524"/>
      <c r="AI32" s="524"/>
      <c r="AJ32" s="524"/>
      <c r="AK32" s="524"/>
      <c r="AL32" s="524"/>
      <c r="AM32" s="524"/>
      <c r="AN32" s="524"/>
      <c r="AO32" s="524"/>
      <c r="AV32" s="525"/>
      <c r="AY32" s="527" t="str">
        <f>IF(主要!$CD$5="O","天狗","")</f>
        <v>天狗</v>
      </c>
      <c r="BD32" s="514"/>
      <c r="BE32" s="514"/>
      <c r="BF32" s="514"/>
      <c r="BG32" s="514"/>
      <c r="BH32" s="514"/>
      <c r="BI32" s="514" t="str">
        <f t="shared" ref="BI32:BO32" si="35">""</f>
        <v/>
      </c>
      <c r="BJ32" s="514" t="str">
        <f t="shared" si="35"/>
        <v/>
      </c>
      <c r="BK32" s="514" t="str">
        <f t="shared" si="35"/>
        <v/>
      </c>
      <c r="BL32" s="514" t="str">
        <f t="shared" si="35"/>
        <v/>
      </c>
      <c r="BM32" s="514" t="str">
        <f t="shared" si="35"/>
        <v/>
      </c>
      <c r="BN32" s="514" t="str">
        <f t="shared" si="35"/>
        <v/>
      </c>
      <c r="BO32" s="534" t="str">
        <f t="shared" si="35"/>
        <v/>
      </c>
      <c r="BP32" s="514"/>
      <c r="BQ32" s="535" t="str" cm="1">
        <f t="array" ref="BQ32">IFERROR(INDEX($AY$1:$AY$112,SMALL(IF($AY$1:$AY$112&lt;&gt;"",ROW($AY$1:$AY$112),4^8),ROW(32:32)))&amp;"","")</f>
        <v>天狗</v>
      </c>
      <c r="BR32" s="514"/>
      <c r="BS32" s="514"/>
      <c r="BT32" s="514"/>
      <c r="BU32" s="514"/>
      <c r="BV32" s="514"/>
      <c r="BW32" s="514"/>
      <c r="BX32" s="514"/>
      <c r="BY32" s="514"/>
      <c r="BZ32" s="514"/>
      <c r="CA32" s="514"/>
      <c r="CB32" s="514"/>
      <c r="CC32" s="514"/>
    </row>
    <row r="33" customHeight="1" spans="1:81">
      <c r="A33" s="519" t="s">
        <v>5592</v>
      </c>
      <c r="B33" s="511">
        <v>12</v>
      </c>
      <c r="C33" s="511">
        <v>1</v>
      </c>
      <c r="D33" s="511">
        <v>8</v>
      </c>
      <c r="E33" s="512" t="s">
        <v>5708</v>
      </c>
      <c r="F33" s="512" t="s">
        <v>5471</v>
      </c>
      <c r="G33" s="512" t="s">
        <v>305</v>
      </c>
      <c r="H33" s="512" t="s">
        <v>333</v>
      </c>
      <c r="J33" s="522"/>
      <c r="K33" s="523"/>
      <c r="L33" s="512" t="s">
        <v>5483</v>
      </c>
      <c r="M33" s="512" t="s">
        <v>5709</v>
      </c>
      <c r="N33" s="512" t="s">
        <v>5710</v>
      </c>
      <c r="O33" s="512"/>
      <c r="P33" s="512"/>
      <c r="Q33" s="512"/>
      <c r="R33" s="524"/>
      <c r="S33" s="524"/>
      <c r="T33" s="524"/>
      <c r="U33" s="524"/>
      <c r="V33" s="524"/>
      <c r="W33" s="524"/>
      <c r="X33" s="524"/>
      <c r="Y33" s="524"/>
      <c r="Z33" s="524"/>
      <c r="AA33" s="524"/>
      <c r="AB33" s="524"/>
      <c r="AC33" s="524"/>
      <c r="AD33" s="524"/>
      <c r="AE33" s="524"/>
      <c r="AF33" s="524"/>
      <c r="AG33" s="524"/>
      <c r="AH33" s="524"/>
      <c r="AI33" s="524"/>
      <c r="AJ33" s="524"/>
      <c r="AK33" s="524"/>
      <c r="AL33" s="524"/>
      <c r="AM33" s="524"/>
      <c r="AN33" s="524"/>
      <c r="AO33" s="524"/>
      <c r="AV33" s="525"/>
      <c r="AY33" s="527" t="str">
        <f>IF(主要!$CD$5="O","狗头人","")</f>
        <v>狗头人</v>
      </c>
      <c r="AZ33" s="514"/>
      <c r="BA33" s="514"/>
      <c r="BB33" s="514"/>
      <c r="BC33" s="514"/>
      <c r="BD33" s="514"/>
      <c r="BE33" s="514"/>
      <c r="BF33" s="514"/>
      <c r="BG33" s="514"/>
      <c r="BH33" s="514"/>
      <c r="BI33" s="514" t="str">
        <f t="shared" ref="BI33:BO33" si="36">""</f>
        <v/>
      </c>
      <c r="BJ33" s="514" t="str">
        <f t="shared" si="36"/>
        <v/>
      </c>
      <c r="BK33" s="514" t="str">
        <f t="shared" si="36"/>
        <v/>
      </c>
      <c r="BL33" s="514" t="str">
        <f t="shared" si="36"/>
        <v/>
      </c>
      <c r="BM33" s="514" t="str">
        <f t="shared" si="36"/>
        <v/>
      </c>
      <c r="BN33" s="514" t="str">
        <f t="shared" si="36"/>
        <v/>
      </c>
      <c r="BO33" s="534" t="str">
        <f t="shared" si="36"/>
        <v/>
      </c>
      <c r="BP33" s="514"/>
      <c r="BQ33" s="535" t="str" cm="1">
        <f t="array" ref="BQ33">IFERROR(INDEX($AY$1:$AY$112,SMALL(IF($AY$1:$AY$112&lt;&gt;"",ROW($AY$1:$AY$112),4^8),ROW(33:33)))&amp;"","")</f>
        <v>狗头人</v>
      </c>
      <c r="BR33" s="514"/>
      <c r="BS33" s="514"/>
      <c r="BT33" s="514"/>
      <c r="BU33" s="514"/>
      <c r="BV33" s="514"/>
      <c r="BW33" s="514"/>
      <c r="BX33" s="514"/>
      <c r="BY33" s="514"/>
      <c r="BZ33" s="514"/>
      <c r="CA33" s="514"/>
      <c r="CB33" s="514"/>
      <c r="CC33" s="514"/>
    </row>
    <row r="34" customHeight="1" spans="1:81">
      <c r="A34" s="519" t="s">
        <v>5603</v>
      </c>
      <c r="B34" s="511">
        <v>13</v>
      </c>
      <c r="C34" s="511">
        <v>1</v>
      </c>
      <c r="D34" s="511">
        <v>3</v>
      </c>
      <c r="E34" s="512" t="s">
        <v>5711</v>
      </c>
      <c r="F34" s="512" t="s">
        <v>5471</v>
      </c>
      <c r="G34" s="512" t="s">
        <v>145</v>
      </c>
      <c r="H34" s="512" t="s">
        <v>5712</v>
      </c>
      <c r="J34" s="522">
        <v>17</v>
      </c>
      <c r="K34" s="523" t="s">
        <v>5627</v>
      </c>
      <c r="L34" s="512" t="s">
        <v>5706</v>
      </c>
      <c r="M34" s="524" t="s">
        <v>5713</v>
      </c>
      <c r="N34" s="512" t="s">
        <v>5714</v>
      </c>
      <c r="O34" s="512"/>
      <c r="P34" s="524"/>
      <c r="Q34" s="524"/>
      <c r="R34" s="524"/>
      <c r="S34" s="524"/>
      <c r="T34" s="524"/>
      <c r="U34" s="524"/>
      <c r="V34" s="524"/>
      <c r="W34" s="524"/>
      <c r="X34" s="524"/>
      <c r="Y34" s="524"/>
      <c r="Z34" s="524"/>
      <c r="AA34" s="524"/>
      <c r="AB34" s="524"/>
      <c r="AC34" s="524"/>
      <c r="AD34" s="524"/>
      <c r="AE34" s="524"/>
      <c r="AF34" s="524"/>
      <c r="AG34" s="524"/>
      <c r="AH34" s="524"/>
      <c r="AI34" s="524"/>
      <c r="AJ34" s="524"/>
      <c r="AK34" s="524"/>
      <c r="AL34" s="524"/>
      <c r="AM34" s="524"/>
      <c r="AN34" s="524"/>
      <c r="AO34" s="524"/>
      <c r="AV34" s="525"/>
      <c r="AY34" s="527" t="str">
        <f>IF(主要!$CD$5="O","蜥蜴人","")</f>
        <v>蜥蜴人</v>
      </c>
      <c r="AZ34" s="514"/>
      <c r="BA34" s="514"/>
      <c r="BB34" s="514"/>
      <c r="BC34" s="514"/>
      <c r="BD34" s="514"/>
      <c r="BE34" s="514"/>
      <c r="BF34" s="514"/>
      <c r="BG34" s="514"/>
      <c r="BH34" s="514"/>
      <c r="BI34" s="514" t="str">
        <f t="shared" ref="BI34:BO34" si="37">""</f>
        <v/>
      </c>
      <c r="BJ34" s="514" t="str">
        <f t="shared" si="37"/>
        <v/>
      </c>
      <c r="BK34" s="514" t="str">
        <f t="shared" si="37"/>
        <v/>
      </c>
      <c r="BL34" s="514" t="str">
        <f t="shared" si="37"/>
        <v/>
      </c>
      <c r="BM34" s="514" t="str">
        <f t="shared" si="37"/>
        <v/>
      </c>
      <c r="BN34" s="514" t="str">
        <f t="shared" si="37"/>
        <v/>
      </c>
      <c r="BO34" s="534" t="str">
        <f t="shared" si="37"/>
        <v/>
      </c>
      <c r="BP34" s="514"/>
      <c r="BQ34" s="535" t="str" cm="1">
        <f t="array" ref="BQ34">IFERROR(INDEX($AY$1:$AY$112,SMALL(IF($AY$1:$AY$112&lt;&gt;"",ROW($AY$1:$AY$112),4^8),ROW(34:34)))&amp;"","")</f>
        <v>蜥蜴人</v>
      </c>
      <c r="BR34" s="514"/>
      <c r="BS34" s="514"/>
      <c r="BT34" s="514"/>
      <c r="BU34" s="514"/>
      <c r="BV34" s="514"/>
      <c r="BW34" s="514"/>
      <c r="BX34" s="514"/>
      <c r="BY34" s="514"/>
      <c r="BZ34" s="514"/>
      <c r="CA34" s="514"/>
      <c r="CB34" s="514"/>
      <c r="CC34" s="514"/>
    </row>
    <row r="35" customHeight="1" spans="1:81">
      <c r="A35" s="519" t="s">
        <v>5609</v>
      </c>
      <c r="B35" s="511">
        <v>14</v>
      </c>
      <c r="C35" s="511">
        <v>1</v>
      </c>
      <c r="D35" s="511">
        <v>4</v>
      </c>
      <c r="E35" s="512" t="s">
        <v>5715</v>
      </c>
      <c r="F35" s="512" t="s">
        <v>5471</v>
      </c>
      <c r="G35" s="512" t="s">
        <v>145</v>
      </c>
      <c r="H35" s="512" t="s">
        <v>333</v>
      </c>
      <c r="J35" s="522"/>
      <c r="K35" s="523"/>
      <c r="L35" s="512" t="s">
        <v>5716</v>
      </c>
      <c r="M35" s="512" t="s">
        <v>5717</v>
      </c>
      <c r="N35" s="512" t="s">
        <v>5718</v>
      </c>
      <c r="O35" s="512"/>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V35" s="525"/>
      <c r="AY35" s="527" t="str">
        <f>IF(主要!$CD$5="O","牛头人","")</f>
        <v>牛头人</v>
      </c>
      <c r="AZ35" s="514"/>
      <c r="BA35" s="514"/>
      <c r="BB35" s="514"/>
      <c r="BC35" s="514"/>
      <c r="BD35" s="514"/>
      <c r="BE35" s="514"/>
      <c r="BF35" s="514"/>
      <c r="BG35" s="514"/>
      <c r="BH35" s="514"/>
      <c r="BI35" s="514" t="str">
        <f t="shared" ref="BI35:BO35" si="38">""</f>
        <v/>
      </c>
      <c r="BJ35" s="514" t="str">
        <f t="shared" si="38"/>
        <v/>
      </c>
      <c r="BK35" s="514" t="str">
        <f t="shared" si="38"/>
        <v/>
      </c>
      <c r="BL35" s="514" t="str">
        <f t="shared" si="38"/>
        <v/>
      </c>
      <c r="BM35" s="514" t="str">
        <f t="shared" si="38"/>
        <v/>
      </c>
      <c r="BN35" s="514" t="str">
        <f t="shared" si="38"/>
        <v/>
      </c>
      <c r="BO35" s="534" t="str">
        <f t="shared" si="38"/>
        <v/>
      </c>
      <c r="BP35" s="514"/>
      <c r="BQ35" s="535" t="str" cm="1">
        <f t="array" ref="BQ35">IFERROR(INDEX($AY$1:$AY$112,SMALL(IF($AY$1:$AY$112&lt;&gt;"",ROW($AY$1:$AY$112),4^8),ROW(35:35)))&amp;"","")</f>
        <v>牛头人</v>
      </c>
      <c r="BS35" s="514"/>
      <c r="BT35" s="514"/>
      <c r="BU35" s="514"/>
      <c r="BV35" s="514"/>
      <c r="BW35" s="514"/>
      <c r="BX35" s="514"/>
      <c r="BY35" s="514"/>
      <c r="BZ35" s="514"/>
      <c r="CA35" s="514"/>
      <c r="CB35" s="514"/>
      <c r="CC35" s="514"/>
    </row>
    <row r="36" customHeight="1" spans="1:81">
      <c r="A36" s="519" t="s">
        <v>5615</v>
      </c>
      <c r="B36" s="511">
        <v>15</v>
      </c>
      <c r="C36" s="511">
        <v>1</v>
      </c>
      <c r="D36" s="511">
        <v>4</v>
      </c>
      <c r="E36" s="512" t="s">
        <v>5719</v>
      </c>
      <c r="F36" s="512" t="s">
        <v>5631</v>
      </c>
      <c r="G36" s="512" t="s">
        <v>145</v>
      </c>
      <c r="H36" s="512" t="s">
        <v>5517</v>
      </c>
      <c r="J36" s="522">
        <v>18</v>
      </c>
      <c r="K36" s="523" t="s">
        <v>5630</v>
      </c>
      <c r="L36" s="512" t="s">
        <v>5473</v>
      </c>
      <c r="M36" s="512" t="s">
        <v>5720</v>
      </c>
      <c r="N36" s="512" t="s">
        <v>5721</v>
      </c>
      <c r="O36" s="512" t="s">
        <v>5584</v>
      </c>
      <c r="P36" s="512" t="s">
        <v>5722</v>
      </c>
      <c r="Q36" s="524" t="s">
        <v>5723</v>
      </c>
      <c r="R36" s="524"/>
      <c r="S36" s="524"/>
      <c r="T36" s="524"/>
      <c r="U36" s="524"/>
      <c r="V36" s="524"/>
      <c r="W36" s="524"/>
      <c r="X36" s="524"/>
      <c r="Y36" s="524"/>
      <c r="Z36" s="524"/>
      <c r="AA36" s="524"/>
      <c r="AB36" s="524"/>
      <c r="AC36" s="524"/>
      <c r="AD36" s="524"/>
      <c r="AE36" s="524"/>
      <c r="AF36" s="524"/>
      <c r="AG36" s="524"/>
      <c r="AH36" s="524"/>
      <c r="AI36" s="524"/>
      <c r="AJ36" s="524"/>
      <c r="AK36" s="524"/>
      <c r="AL36" s="524"/>
      <c r="AM36" s="524"/>
      <c r="AN36" s="524"/>
      <c r="AO36" s="524"/>
      <c r="AV36" s="525"/>
      <c r="AY36" s="527" t="str">
        <f>IF(主要!$CD$5="O","半羊人","")</f>
        <v>半羊人</v>
      </c>
      <c r="AZ36" s="514"/>
      <c r="BA36" s="514"/>
      <c r="BB36" s="514"/>
      <c r="BC36" s="514"/>
      <c r="BD36" s="514"/>
      <c r="BE36" s="514"/>
      <c r="BF36" s="514"/>
      <c r="BG36" s="514"/>
      <c r="BH36" s="514"/>
      <c r="BI36" s="514" t="str">
        <f t="shared" ref="BI36:BO36" si="39">""</f>
        <v/>
      </c>
      <c r="BJ36" s="514" t="str">
        <f t="shared" si="39"/>
        <v/>
      </c>
      <c r="BK36" s="514" t="str">
        <f t="shared" si="39"/>
        <v/>
      </c>
      <c r="BL36" s="514" t="str">
        <f t="shared" si="39"/>
        <v/>
      </c>
      <c r="BM36" s="514" t="str">
        <f t="shared" si="39"/>
        <v/>
      </c>
      <c r="BN36" s="514" t="str">
        <f t="shared" si="39"/>
        <v/>
      </c>
      <c r="BO36" s="534" t="str">
        <f t="shared" si="39"/>
        <v/>
      </c>
      <c r="BP36" s="514"/>
      <c r="BQ36" s="535" t="str" cm="1">
        <f t="array" ref="BQ36">IFERROR(INDEX($AY$1:$AY$112,SMALL(IF($AY$1:$AY$112&lt;&gt;"",ROW($AY$1:$AY$112),4^8),ROW(36:36)))&amp;"","")</f>
        <v>半羊人</v>
      </c>
      <c r="BS36" s="514"/>
      <c r="BT36" s="514"/>
      <c r="BU36" s="514"/>
      <c r="BV36" s="514"/>
      <c r="BW36" s="514"/>
      <c r="BX36" s="514"/>
      <c r="BY36" s="514"/>
      <c r="BZ36" s="514"/>
      <c r="CA36" s="514"/>
      <c r="CB36" s="514"/>
      <c r="CC36" s="514"/>
    </row>
    <row r="37" customHeight="1" spans="1:81">
      <c r="A37" s="519" t="s">
        <v>5620</v>
      </c>
      <c r="B37" s="511">
        <v>16</v>
      </c>
      <c r="C37" s="511">
        <v>1</v>
      </c>
      <c r="D37" s="511">
        <v>3</v>
      </c>
      <c r="E37" s="512" t="s">
        <v>5724</v>
      </c>
      <c r="F37" s="512" t="s">
        <v>5652</v>
      </c>
      <c r="G37" s="512" t="s">
        <v>145</v>
      </c>
      <c r="H37" s="512" t="s">
        <v>5712</v>
      </c>
      <c r="J37" s="522"/>
      <c r="K37" s="523"/>
      <c r="L37" s="512" t="s">
        <v>5483</v>
      </c>
      <c r="M37" s="512" t="s">
        <v>5725</v>
      </c>
      <c r="N37" s="512" t="s">
        <v>5726</v>
      </c>
      <c r="O37" s="512" t="s">
        <v>5727</v>
      </c>
      <c r="P37" s="512" t="s">
        <v>5728</v>
      </c>
      <c r="Q37" s="524" t="s">
        <v>5729</v>
      </c>
      <c r="R37" s="524"/>
      <c r="S37" s="524"/>
      <c r="T37" s="524"/>
      <c r="U37" s="524"/>
      <c r="V37" s="524"/>
      <c r="W37" s="524"/>
      <c r="X37" s="524"/>
      <c r="Y37" s="524"/>
      <c r="Z37" s="524"/>
      <c r="AA37" s="524"/>
      <c r="AB37" s="524"/>
      <c r="AC37" s="512"/>
      <c r="AD37" s="512"/>
      <c r="AE37" s="512"/>
      <c r="AF37" s="512"/>
      <c r="AG37" s="524"/>
      <c r="AH37" s="524"/>
      <c r="AI37" s="524"/>
      <c r="AJ37" s="524"/>
      <c r="AK37" s="524"/>
      <c r="AL37" s="524"/>
      <c r="AM37" s="524"/>
      <c r="AN37" s="524"/>
      <c r="AO37" s="524"/>
      <c r="AV37" s="525"/>
      <c r="AY37" s="527" t="str">
        <f>IF(主要!$CD$5="O","海精灵","")</f>
        <v>海精灵</v>
      </c>
      <c r="AZ37" s="514"/>
      <c r="BA37" s="514"/>
      <c r="BB37" s="514"/>
      <c r="BC37" s="514"/>
      <c r="BD37" s="514"/>
      <c r="BE37" s="514"/>
      <c r="BF37" s="514"/>
      <c r="BG37" s="514"/>
      <c r="BH37" s="514"/>
      <c r="BI37" s="514" t="str">
        <f t="shared" ref="BI37:BO37" si="40">""</f>
        <v/>
      </c>
      <c r="BJ37" s="514" t="str">
        <f t="shared" si="40"/>
        <v/>
      </c>
      <c r="BK37" s="514" t="str">
        <f t="shared" si="40"/>
        <v/>
      </c>
      <c r="BL37" s="514" t="str">
        <f t="shared" si="40"/>
        <v/>
      </c>
      <c r="BM37" s="514" t="str">
        <f t="shared" si="40"/>
        <v/>
      </c>
      <c r="BN37" s="514" t="str">
        <f t="shared" si="40"/>
        <v/>
      </c>
      <c r="BO37" s="534" t="str">
        <f t="shared" si="40"/>
        <v/>
      </c>
      <c r="BP37" s="514"/>
      <c r="BQ37" s="535" t="str" cm="1">
        <f t="array" ref="BQ37">IFERROR(INDEX($AY$1:$AY$112,SMALL(IF($AY$1:$AY$112&lt;&gt;"",ROW($AY$1:$AY$112),4^8),ROW(37:37)))&amp;"","")</f>
        <v>海精灵</v>
      </c>
      <c r="BS37" s="514"/>
      <c r="BT37" s="514"/>
      <c r="BU37" s="514"/>
      <c r="BV37" s="514"/>
      <c r="BW37" s="514"/>
      <c r="BX37" s="514"/>
      <c r="BY37" s="514"/>
      <c r="BZ37" s="514"/>
      <c r="CA37" s="514"/>
      <c r="CB37" s="514"/>
      <c r="CC37" s="514"/>
    </row>
    <row r="38" customHeight="1" spans="1:81">
      <c r="A38" s="519" t="s">
        <v>5627</v>
      </c>
      <c r="B38" s="511">
        <v>17</v>
      </c>
      <c r="C38" s="511">
        <v>1</v>
      </c>
      <c r="D38" s="511">
        <v>3</v>
      </c>
      <c r="E38" s="512" t="s">
        <v>5730</v>
      </c>
      <c r="F38" s="512" t="s">
        <v>5652</v>
      </c>
      <c r="G38" s="512" t="s">
        <v>145</v>
      </c>
      <c r="H38" s="512" t="s">
        <v>333</v>
      </c>
      <c r="J38" s="522">
        <v>19</v>
      </c>
      <c r="K38" s="523" t="s">
        <v>5634</v>
      </c>
      <c r="L38" s="512" t="s">
        <v>5731</v>
      </c>
      <c r="M38" s="512" t="s">
        <v>5732</v>
      </c>
      <c r="N38" s="512" t="s">
        <v>5733</v>
      </c>
      <c r="O38" s="512" t="s">
        <v>5734</v>
      </c>
      <c r="P38" s="524"/>
      <c r="Q38" s="524"/>
      <c r="R38" s="524"/>
      <c r="S38" s="524"/>
      <c r="T38" s="524"/>
      <c r="U38" s="524"/>
      <c r="V38" s="524"/>
      <c r="W38" s="524"/>
      <c r="X38" s="524"/>
      <c r="Y38" s="524"/>
      <c r="Z38" s="524"/>
      <c r="AA38" s="524"/>
      <c r="AB38" s="524"/>
      <c r="AC38" s="524"/>
      <c r="AD38" s="524"/>
      <c r="AE38" s="524"/>
      <c r="AF38" s="524"/>
      <c r="AG38" s="524"/>
      <c r="AH38" s="524"/>
      <c r="AI38" s="524"/>
      <c r="AJ38" s="524"/>
      <c r="AK38" s="524"/>
      <c r="AL38" s="524"/>
      <c r="AM38" s="524"/>
      <c r="AN38" s="524"/>
      <c r="AO38" s="524"/>
      <c r="AV38" s="525"/>
      <c r="AY38" s="527" t="str">
        <f>IF(主要!$CD$5="O","影灵","")</f>
        <v>影灵</v>
      </c>
      <c r="AZ38" s="514"/>
      <c r="BA38" s="514"/>
      <c r="BB38" s="514"/>
      <c r="BC38" s="514"/>
      <c r="BD38" s="514"/>
      <c r="BE38" s="514"/>
      <c r="BF38" s="514"/>
      <c r="BG38" s="514"/>
      <c r="BH38" s="514"/>
      <c r="BI38" s="514" t="str">
        <f t="shared" ref="BI38:BO38" si="41">""</f>
        <v/>
      </c>
      <c r="BJ38" s="514" t="str">
        <f t="shared" si="41"/>
        <v/>
      </c>
      <c r="BK38" s="514" t="str">
        <f t="shared" si="41"/>
        <v/>
      </c>
      <c r="BL38" s="514" t="str">
        <f t="shared" si="41"/>
        <v/>
      </c>
      <c r="BM38" s="514" t="str">
        <f t="shared" si="41"/>
        <v/>
      </c>
      <c r="BN38" s="514" t="str">
        <f t="shared" si="41"/>
        <v/>
      </c>
      <c r="BO38" s="534" t="str">
        <f t="shared" si="41"/>
        <v/>
      </c>
      <c r="BP38" s="514"/>
      <c r="BQ38" s="535" t="str" cm="1">
        <f t="array" ref="BQ38">IFERROR(INDEX($AY$1:$AY$112,SMALL(IF($AY$1:$AY$112&lt;&gt;"",ROW($AY$1:$AY$112),4^8),ROW(38:38)))&amp;"","")</f>
        <v>影灵</v>
      </c>
      <c r="BS38" s="514"/>
      <c r="BT38" s="514"/>
      <c r="BU38" s="514"/>
      <c r="BV38" s="514"/>
      <c r="BW38" s="514"/>
      <c r="BX38" s="514"/>
      <c r="BY38" s="514"/>
      <c r="BZ38" s="514"/>
      <c r="CA38" s="514"/>
      <c r="CB38" s="514"/>
      <c r="CC38" s="514"/>
    </row>
    <row r="39" customHeight="1" spans="1:81">
      <c r="A39" s="519" t="s">
        <v>5630</v>
      </c>
      <c r="B39" s="511">
        <v>18</v>
      </c>
      <c r="C39" s="511">
        <v>1</v>
      </c>
      <c r="D39" s="511">
        <v>6</v>
      </c>
      <c r="E39" s="512" t="s">
        <v>5735</v>
      </c>
      <c r="F39" s="512" t="s">
        <v>5471</v>
      </c>
      <c r="G39" s="512" t="s">
        <v>5736</v>
      </c>
      <c r="H39" s="512" t="s">
        <v>5737</v>
      </c>
      <c r="J39" s="522"/>
      <c r="K39" s="523"/>
      <c r="L39" s="512" t="s">
        <v>5738</v>
      </c>
      <c r="M39" s="512" t="s">
        <v>5739</v>
      </c>
      <c r="N39" s="512" t="s">
        <v>5740</v>
      </c>
      <c r="O39" s="512" t="s">
        <v>5741</v>
      </c>
      <c r="P39" s="524"/>
      <c r="Q39" s="524"/>
      <c r="R39" s="524"/>
      <c r="S39" s="524"/>
      <c r="T39" s="524"/>
      <c r="U39" s="524"/>
      <c r="V39" s="524"/>
      <c r="W39" s="524"/>
      <c r="X39" s="524"/>
      <c r="Y39" s="524"/>
      <c r="Z39" s="524"/>
      <c r="AA39" s="524"/>
      <c r="AB39" s="524"/>
      <c r="AC39" s="512"/>
      <c r="AD39" s="512"/>
      <c r="AE39" s="512"/>
      <c r="AF39" s="512"/>
      <c r="AG39" s="524"/>
      <c r="AH39" s="524"/>
      <c r="AI39" s="524"/>
      <c r="AJ39" s="524"/>
      <c r="AK39" s="524"/>
      <c r="AL39" s="524"/>
      <c r="AM39" s="524"/>
      <c r="AN39" s="524"/>
      <c r="AO39" s="524"/>
      <c r="AV39" s="525"/>
      <c r="AY39" s="527" t="str">
        <f>IF(主要!$CD$5="O","斑猫人","")</f>
        <v>斑猫人</v>
      </c>
      <c r="AZ39" s="514"/>
      <c r="BA39" s="514"/>
      <c r="BB39" s="514"/>
      <c r="BC39" s="514"/>
      <c r="BD39" s="514"/>
      <c r="BE39" s="514"/>
      <c r="BF39" s="514"/>
      <c r="BG39" s="514"/>
      <c r="BH39" s="514"/>
      <c r="BI39" s="514" t="str">
        <f t="shared" ref="BI39:BO39" si="42">""</f>
        <v/>
      </c>
      <c r="BJ39" s="514" t="str">
        <f t="shared" si="42"/>
        <v/>
      </c>
      <c r="BK39" s="514" t="str">
        <f t="shared" si="42"/>
        <v/>
      </c>
      <c r="BL39" s="514" t="str">
        <f t="shared" si="42"/>
        <v/>
      </c>
      <c r="BM39" s="514" t="str">
        <f t="shared" si="42"/>
        <v/>
      </c>
      <c r="BN39" s="514" t="str">
        <f t="shared" si="42"/>
        <v/>
      </c>
      <c r="BO39" s="534" t="str">
        <f t="shared" si="42"/>
        <v/>
      </c>
      <c r="BP39" s="514"/>
      <c r="BQ39" s="535" t="str" cm="1">
        <f t="array" ref="BQ39">IFERROR(INDEX($AY$1:$AY$112,SMALL(IF($AY$1:$AY$112&lt;&gt;"",ROW($AY$1:$AY$112),4^8),ROW(39:39)))&amp;"","")</f>
        <v>斑猫人</v>
      </c>
      <c r="BS39" s="514"/>
      <c r="BT39" s="514"/>
      <c r="BU39" s="514"/>
      <c r="BV39" s="514"/>
      <c r="BW39" s="514"/>
      <c r="BX39" s="514"/>
      <c r="BY39" s="514"/>
      <c r="BZ39" s="514"/>
      <c r="CA39" s="514"/>
      <c r="CB39" s="514"/>
      <c r="CC39" s="514"/>
    </row>
    <row r="40" customHeight="1" spans="1:81">
      <c r="A40" s="519" t="s">
        <v>5634</v>
      </c>
      <c r="B40" s="511">
        <v>19</v>
      </c>
      <c r="C40" s="511">
        <v>1</v>
      </c>
      <c r="D40" s="511">
        <v>4</v>
      </c>
      <c r="E40" s="512" t="s">
        <v>5742</v>
      </c>
      <c r="F40" s="512" t="s">
        <v>5471</v>
      </c>
      <c r="G40" s="512" t="s">
        <v>145</v>
      </c>
      <c r="H40" s="512" t="s">
        <v>333</v>
      </c>
      <c r="J40" s="522">
        <v>20</v>
      </c>
      <c r="K40" s="523" t="s">
        <v>5638</v>
      </c>
      <c r="L40" s="524" t="s">
        <v>5473</v>
      </c>
      <c r="M40" s="512" t="s">
        <v>5743</v>
      </c>
      <c r="N40" s="512" t="s">
        <v>5744</v>
      </c>
      <c r="O40" s="512" t="s">
        <v>5745</v>
      </c>
      <c r="P40" s="512"/>
      <c r="Q40" s="524"/>
      <c r="R40" s="524"/>
      <c r="S40" s="524"/>
      <c r="T40" s="524"/>
      <c r="U40" s="524"/>
      <c r="V40" s="524"/>
      <c r="W40" s="524"/>
      <c r="X40" s="524"/>
      <c r="Y40" s="524"/>
      <c r="Z40" s="524"/>
      <c r="AA40" s="524"/>
      <c r="AB40" s="524"/>
      <c r="AC40" s="524"/>
      <c r="AD40" s="524"/>
      <c r="AE40" s="524"/>
      <c r="AF40" s="524"/>
      <c r="AG40" s="524"/>
      <c r="AH40" s="524"/>
      <c r="AI40" s="524"/>
      <c r="AJ40" s="524"/>
      <c r="AK40" s="524"/>
      <c r="AL40" s="524"/>
      <c r="AM40" s="524"/>
      <c r="AN40" s="524"/>
      <c r="AO40" s="524"/>
      <c r="AV40" s="525"/>
      <c r="AY40" s="527" t="str">
        <f>IF(主要!$CD$5="O","龟人","")</f>
        <v>龟人</v>
      </c>
      <c r="AZ40" s="514"/>
      <c r="BA40" s="514"/>
      <c r="BB40" s="514"/>
      <c r="BC40" s="514"/>
      <c r="BD40" s="514"/>
      <c r="BE40" s="514"/>
      <c r="BF40" s="514"/>
      <c r="BG40" s="514"/>
      <c r="BH40" s="514"/>
      <c r="BI40" s="514" t="str">
        <f t="shared" ref="BI40:BO40" si="43">""</f>
        <v/>
      </c>
      <c r="BJ40" s="514" t="str">
        <f t="shared" si="43"/>
        <v/>
      </c>
      <c r="BK40" s="514" t="str">
        <f t="shared" si="43"/>
        <v/>
      </c>
      <c r="BL40" s="514" t="str">
        <f t="shared" si="43"/>
        <v/>
      </c>
      <c r="BM40" s="514" t="str">
        <f t="shared" si="43"/>
        <v/>
      </c>
      <c r="BN40" s="514" t="str">
        <f t="shared" si="43"/>
        <v/>
      </c>
      <c r="BO40" s="534" t="str">
        <f t="shared" si="43"/>
        <v/>
      </c>
      <c r="BP40" s="514"/>
      <c r="BQ40" s="535" t="str" cm="1">
        <f t="array" ref="BQ40">IFERROR(INDEX($AY$1:$AY$112,SMALL(IF($AY$1:$AY$112&lt;&gt;"",ROW($AY$1:$AY$112),4^8),ROW(40:40)))&amp;"","")</f>
        <v>龟人</v>
      </c>
      <c r="BS40" s="514"/>
      <c r="BT40" s="514"/>
      <c r="BU40" s="514"/>
      <c r="BV40" s="514"/>
      <c r="BW40" s="514"/>
      <c r="BX40" s="514"/>
      <c r="BY40" s="514"/>
      <c r="BZ40" s="514"/>
      <c r="CA40" s="514"/>
      <c r="CB40" s="514"/>
      <c r="CC40" s="514"/>
    </row>
    <row r="41" customHeight="1" spans="1:81">
      <c r="A41" s="519" t="s">
        <v>5638</v>
      </c>
      <c r="B41" s="511">
        <v>20</v>
      </c>
      <c r="C41" s="511">
        <v>1</v>
      </c>
      <c r="D41" s="511">
        <v>4</v>
      </c>
      <c r="E41" s="512" t="s">
        <v>5746</v>
      </c>
      <c r="F41" s="512" t="s">
        <v>5471</v>
      </c>
      <c r="G41" s="512" t="s">
        <v>145</v>
      </c>
      <c r="H41" s="512" t="s">
        <v>5747</v>
      </c>
      <c r="J41" s="522"/>
      <c r="K41" s="523"/>
      <c r="L41" s="512" t="s">
        <v>5483</v>
      </c>
      <c r="M41" s="512" t="s">
        <v>5748</v>
      </c>
      <c r="N41" s="512" t="s">
        <v>5749</v>
      </c>
      <c r="O41" s="512" t="s">
        <v>5750</v>
      </c>
      <c r="P41" s="512"/>
      <c r="Q41" s="524"/>
      <c r="R41" s="524"/>
      <c r="S41" s="524"/>
      <c r="T41" s="524"/>
      <c r="U41" s="524"/>
      <c r="V41" s="524"/>
      <c r="W41" s="524"/>
      <c r="X41" s="524"/>
      <c r="Y41" s="512"/>
      <c r="Z41" s="512"/>
      <c r="AA41" s="512"/>
      <c r="AB41" s="524"/>
      <c r="AC41" s="512"/>
      <c r="AD41" s="512"/>
      <c r="AE41" s="512"/>
      <c r="AF41" s="512"/>
      <c r="AG41" s="524"/>
      <c r="AH41" s="524"/>
      <c r="AI41" s="524"/>
      <c r="AJ41" s="524"/>
      <c r="AK41" s="524"/>
      <c r="AL41" s="524"/>
      <c r="AM41" s="524"/>
      <c r="AN41" s="524"/>
      <c r="AO41" s="524"/>
      <c r="AV41" s="525"/>
      <c r="AY41" s="527" t="str">
        <f>IF(主要!$CD$5="O","梭螺鱼人","")</f>
        <v>梭螺鱼人</v>
      </c>
      <c r="AZ41" s="514"/>
      <c r="BA41" s="514"/>
      <c r="BB41" s="514"/>
      <c r="BC41" s="514"/>
      <c r="BD41" s="514"/>
      <c r="BE41" s="514"/>
      <c r="BF41" s="514"/>
      <c r="BG41" s="514"/>
      <c r="BH41" s="514"/>
      <c r="BI41" s="514" t="str">
        <f t="shared" ref="BI41:BO41" si="44">""</f>
        <v/>
      </c>
      <c r="BJ41" s="514" t="str">
        <f t="shared" si="44"/>
        <v/>
      </c>
      <c r="BK41" s="514" t="str">
        <f t="shared" si="44"/>
        <v/>
      </c>
      <c r="BL41" s="514" t="str">
        <f t="shared" si="44"/>
        <v/>
      </c>
      <c r="BM41" s="514" t="str">
        <f t="shared" si="44"/>
        <v/>
      </c>
      <c r="BN41" s="514" t="str">
        <f t="shared" si="44"/>
        <v/>
      </c>
      <c r="BO41" s="534" t="str">
        <f t="shared" si="44"/>
        <v/>
      </c>
      <c r="BP41" s="514"/>
      <c r="BQ41" s="535" t="str" cm="1">
        <f t="array" ref="BQ41">IFERROR(INDEX($AY$1:$AY$112,SMALL(IF($AY$1:$AY$112&lt;&gt;"",ROW($AY$1:$AY$112),4^8),ROW(41:41)))&amp;"","")</f>
        <v>梭螺鱼人</v>
      </c>
      <c r="BS41" s="514"/>
      <c r="BT41" s="514"/>
      <c r="BU41" s="514"/>
      <c r="BV41" s="514"/>
      <c r="BW41" s="514"/>
      <c r="BX41" s="514"/>
      <c r="BY41" s="514"/>
      <c r="BZ41" s="514"/>
      <c r="CA41" s="514"/>
      <c r="CB41" s="514"/>
      <c r="CC41" s="514"/>
    </row>
    <row r="42" customHeight="1" spans="1:81">
      <c r="A42" s="519" t="s">
        <v>5645</v>
      </c>
      <c r="B42" s="511">
        <v>21</v>
      </c>
      <c r="C42" s="511">
        <v>1</v>
      </c>
      <c r="D42" s="511">
        <v>4</v>
      </c>
      <c r="E42" s="512" t="s">
        <v>5751</v>
      </c>
      <c r="F42" s="512" t="s">
        <v>5471</v>
      </c>
      <c r="G42" s="512" t="s">
        <v>5674</v>
      </c>
      <c r="H42" s="512" t="s">
        <v>333</v>
      </c>
      <c r="J42" s="522">
        <v>21</v>
      </c>
      <c r="K42" s="523" t="s">
        <v>5645</v>
      </c>
      <c r="L42" s="512" t="s">
        <v>5473</v>
      </c>
      <c r="M42" s="512" t="s">
        <v>5752</v>
      </c>
      <c r="N42" s="512" t="s">
        <v>5753</v>
      </c>
      <c r="O42" s="512" t="s">
        <v>5754</v>
      </c>
      <c r="P42" s="524"/>
      <c r="Q42" s="524"/>
      <c r="R42" s="524"/>
      <c r="S42" s="524"/>
      <c r="T42" s="524"/>
      <c r="U42" s="524"/>
      <c r="V42" s="524"/>
      <c r="W42" s="524"/>
      <c r="X42" s="524"/>
      <c r="Y42" s="524"/>
      <c r="Z42" s="524"/>
      <c r="AA42" s="524"/>
      <c r="AB42" s="524"/>
      <c r="AC42" s="524"/>
      <c r="AD42" s="524"/>
      <c r="AE42" s="524"/>
      <c r="AF42" s="524"/>
      <c r="AG42" s="524"/>
      <c r="AH42" s="524"/>
      <c r="AI42" s="524"/>
      <c r="AJ42" s="524"/>
      <c r="AK42" s="524"/>
      <c r="AL42" s="524"/>
      <c r="AM42" s="524"/>
      <c r="AN42" s="524"/>
      <c r="AO42" s="524"/>
      <c r="AV42" s="525"/>
      <c r="AY42" s="529" t="str">
        <f>IF(主要!$CD$5="O","原体蛇人","")</f>
        <v>原体蛇人</v>
      </c>
      <c r="AZ42" s="514"/>
      <c r="BA42" s="514"/>
      <c r="BB42" s="514"/>
      <c r="BC42" s="514"/>
      <c r="BD42" s="514"/>
      <c r="BE42" s="514"/>
      <c r="BF42" s="514"/>
      <c r="BG42" s="514"/>
      <c r="BH42" s="514"/>
      <c r="BI42" s="514" t="str">
        <f t="shared" ref="BI42:BO42" si="45">""</f>
        <v/>
      </c>
      <c r="BJ42" s="514" t="str">
        <f t="shared" si="45"/>
        <v/>
      </c>
      <c r="BK42" s="514" t="str">
        <f t="shared" si="45"/>
        <v/>
      </c>
      <c r="BL42" s="514" t="str">
        <f t="shared" si="45"/>
        <v/>
      </c>
      <c r="BM42" s="514" t="str">
        <f t="shared" si="45"/>
        <v/>
      </c>
      <c r="BN42" s="514" t="str">
        <f t="shared" si="45"/>
        <v/>
      </c>
      <c r="BO42" s="534" t="str">
        <f t="shared" si="45"/>
        <v/>
      </c>
      <c r="BP42" s="514"/>
      <c r="BQ42" s="535" t="str" cm="1">
        <f t="array" ref="BQ42">IFERROR(INDEX($AY$1:$AY$112,SMALL(IF($AY$1:$AY$112&lt;&gt;"",ROW($AY$1:$AY$112),4^8),ROW(42:42)))&amp;"","")</f>
        <v>原体蛇人</v>
      </c>
      <c r="BS42" s="514"/>
      <c r="BT42" s="514"/>
      <c r="BU42" s="514"/>
      <c r="BV42" s="514"/>
      <c r="BW42" s="514"/>
      <c r="BX42" s="514"/>
      <c r="BY42" s="514"/>
      <c r="BZ42" s="514"/>
      <c r="CA42" s="514"/>
      <c r="CB42" s="514"/>
      <c r="CC42" s="514"/>
    </row>
    <row r="43" customHeight="1" spans="1:81">
      <c r="A43" s="519" t="s">
        <v>5651</v>
      </c>
      <c r="B43" s="511">
        <v>22</v>
      </c>
      <c r="C43" s="511">
        <v>1</v>
      </c>
      <c r="D43" s="511">
        <v>5</v>
      </c>
      <c r="E43" s="512" t="s">
        <v>5755</v>
      </c>
      <c r="F43" s="512" t="s">
        <v>5756</v>
      </c>
      <c r="G43" s="512" t="s">
        <v>5757</v>
      </c>
      <c r="H43" s="512" t="s">
        <v>333</v>
      </c>
      <c r="J43" s="522"/>
      <c r="K43" s="523"/>
      <c r="L43" s="512" t="s">
        <v>5483</v>
      </c>
      <c r="M43" s="512" t="s">
        <v>5758</v>
      </c>
      <c r="N43" s="512" t="s">
        <v>5759</v>
      </c>
      <c r="O43" s="512" t="s">
        <v>5760</v>
      </c>
      <c r="P43" s="524"/>
      <c r="Q43" s="524"/>
      <c r="R43" s="524"/>
      <c r="S43" s="524"/>
      <c r="T43" s="524"/>
      <c r="U43" s="524"/>
      <c r="V43" s="524"/>
      <c r="W43" s="524"/>
      <c r="X43" s="524"/>
      <c r="Y43" s="512"/>
      <c r="Z43" s="512"/>
      <c r="AA43" s="512"/>
      <c r="AB43" s="524"/>
      <c r="AC43" s="512"/>
      <c r="AD43" s="512"/>
      <c r="AE43" s="512"/>
      <c r="AF43" s="512"/>
      <c r="AG43" s="524"/>
      <c r="AH43" s="524"/>
      <c r="AI43" s="524"/>
      <c r="AJ43" s="524"/>
      <c r="AK43" s="524"/>
      <c r="AL43" s="524"/>
      <c r="AM43" s="524"/>
      <c r="AN43" s="524"/>
      <c r="AO43" s="524"/>
      <c r="AV43" s="525"/>
      <c r="AY43" s="529" t="str">
        <f>IF(主要!$CD$21="O","星界精灵","")</f>
        <v>星界精灵</v>
      </c>
      <c r="AZ43" s="514"/>
      <c r="BA43" s="514"/>
      <c r="BB43" s="514"/>
      <c r="BC43" s="514"/>
      <c r="BD43" s="514"/>
      <c r="BE43" s="514"/>
      <c r="BF43" s="514"/>
      <c r="BG43" s="514"/>
      <c r="BH43" s="514"/>
      <c r="BI43" s="514" t="str">
        <f t="shared" ref="BI43:BO43" si="46">""</f>
        <v/>
      </c>
      <c r="BJ43" s="514" t="str">
        <f t="shared" si="46"/>
        <v/>
      </c>
      <c r="BK43" s="514" t="str">
        <f t="shared" si="46"/>
        <v/>
      </c>
      <c r="BL43" s="514" t="str">
        <f t="shared" si="46"/>
        <v/>
      </c>
      <c r="BM43" s="514" t="str">
        <f t="shared" si="46"/>
        <v/>
      </c>
      <c r="BN43" s="514" t="str">
        <f t="shared" si="46"/>
        <v/>
      </c>
      <c r="BO43" s="534" t="str">
        <f t="shared" si="46"/>
        <v/>
      </c>
      <c r="BP43" s="514"/>
      <c r="BQ43" s="535" t="str" cm="1">
        <f t="array" ref="BQ43">IFERROR(INDEX($AY$1:$AY$112,SMALL(IF($AY$1:$AY$112&lt;&gt;"",ROW($AY$1:$AY$112),4^8),ROW(43:43)))&amp;"","")</f>
        <v>星界精灵</v>
      </c>
      <c r="BR43" s="514"/>
      <c r="BS43" s="514"/>
      <c r="BU43" s="514"/>
      <c r="BV43" s="514"/>
      <c r="BW43" s="514"/>
      <c r="BX43" s="514"/>
      <c r="BY43" s="514"/>
      <c r="BZ43" s="514"/>
      <c r="CA43" s="514"/>
      <c r="CB43" s="514"/>
      <c r="CC43" s="514"/>
    </row>
    <row r="44" customHeight="1" spans="1:81">
      <c r="A44" s="519" t="s">
        <v>5658</v>
      </c>
      <c r="B44" s="511">
        <v>23</v>
      </c>
      <c r="C44" s="511">
        <v>1</v>
      </c>
      <c r="D44" s="511">
        <v>2</v>
      </c>
      <c r="E44" s="512" t="s">
        <v>5761</v>
      </c>
      <c r="F44" s="512" t="s">
        <v>5762</v>
      </c>
      <c r="G44" s="512" t="s">
        <v>305</v>
      </c>
      <c r="H44" s="512" t="s">
        <v>333</v>
      </c>
      <c r="J44" s="522">
        <v>22</v>
      </c>
      <c r="K44" s="523" t="s">
        <v>5651</v>
      </c>
      <c r="L44" s="512" t="s">
        <v>5473</v>
      </c>
      <c r="M44" s="512" t="s">
        <v>5720</v>
      </c>
      <c r="N44" s="512" t="s">
        <v>5763</v>
      </c>
      <c r="O44" s="512" t="s">
        <v>5531</v>
      </c>
      <c r="P44" s="524" t="s">
        <v>5532</v>
      </c>
      <c r="Q44" s="524"/>
      <c r="R44" s="524"/>
      <c r="S44" s="524"/>
      <c r="T44" s="524"/>
      <c r="U44" s="524"/>
      <c r="V44" s="524"/>
      <c r="W44" s="524"/>
      <c r="X44" s="524"/>
      <c r="Y44" s="524"/>
      <c r="Z44" s="524"/>
      <c r="AA44" s="524"/>
      <c r="AB44" s="524"/>
      <c r="AC44" s="524"/>
      <c r="AD44" s="524"/>
      <c r="AE44" s="524"/>
      <c r="AF44" s="524"/>
      <c r="AG44" s="524"/>
      <c r="AH44" s="524"/>
      <c r="AI44" s="524"/>
      <c r="AJ44" s="524"/>
      <c r="AK44" s="524"/>
      <c r="AL44" s="524"/>
      <c r="AM44" s="524"/>
      <c r="AN44" s="524"/>
      <c r="AO44" s="524"/>
      <c r="AV44" s="525"/>
      <c r="AY44" s="529" t="str">
        <f>IF(主要!$CD$21="O","自动侏儒","")</f>
        <v>自动侏儒</v>
      </c>
      <c r="AZ44" s="514" t="s">
        <v>233</v>
      </c>
      <c r="BA44" s="514" t="s">
        <v>233</v>
      </c>
      <c r="BB44" s="514" t="s">
        <v>233</v>
      </c>
      <c r="BC44" s="514" t="s">
        <v>233</v>
      </c>
      <c r="BD44" s="514" t="str">
        <f t="shared" ref="BD44:BO44" si="47">""</f>
        <v/>
      </c>
      <c r="BE44" s="514" t="str">
        <f t="shared" si="47"/>
        <v/>
      </c>
      <c r="BF44" s="514" t="str">
        <f t="shared" si="47"/>
        <v/>
      </c>
      <c r="BG44" s="514" t="str">
        <f t="shared" si="47"/>
        <v/>
      </c>
      <c r="BH44" s="514" t="str">
        <f t="shared" si="47"/>
        <v/>
      </c>
      <c r="BI44" s="514" t="str">
        <f t="shared" si="47"/>
        <v/>
      </c>
      <c r="BJ44" s="514" t="str">
        <f t="shared" si="47"/>
        <v/>
      </c>
      <c r="BK44" s="514" t="str">
        <f t="shared" si="47"/>
        <v/>
      </c>
      <c r="BL44" s="514" t="str">
        <f t="shared" si="47"/>
        <v/>
      </c>
      <c r="BM44" s="514" t="str">
        <f t="shared" si="47"/>
        <v/>
      </c>
      <c r="BN44" s="514" t="str">
        <f t="shared" si="47"/>
        <v/>
      </c>
      <c r="BO44" s="534" t="str">
        <f t="shared" si="47"/>
        <v/>
      </c>
      <c r="BP44" s="514"/>
      <c r="BQ44" s="535" t="str" cm="1">
        <f t="array" ref="BQ44">IFERROR(INDEX($AY$1:$AY$112,SMALL(IF($AY$1:$AY$112&lt;&gt;"",ROW($AY$1:$AY$112),4^8),ROW(44:44)))&amp;"","")</f>
        <v>自动侏儒</v>
      </c>
      <c r="BR44" s="514"/>
      <c r="BS44" s="514"/>
      <c r="BT44" s="514"/>
      <c r="BU44" s="514"/>
      <c r="BV44" s="514"/>
      <c r="BW44" s="514"/>
      <c r="BX44" s="514"/>
      <c r="BY44" s="514"/>
      <c r="BZ44" s="514"/>
      <c r="CA44" s="514"/>
      <c r="CB44" s="514"/>
      <c r="CC44" s="514"/>
    </row>
    <row r="45" customHeight="1" spans="1:81">
      <c r="A45" s="519" t="s">
        <v>5666</v>
      </c>
      <c r="B45" s="511">
        <v>24</v>
      </c>
      <c r="C45" s="511">
        <v>1</v>
      </c>
      <c r="D45" s="511">
        <v>4</v>
      </c>
      <c r="E45" s="512" t="s">
        <v>5764</v>
      </c>
      <c r="F45" s="512" t="s">
        <v>5471</v>
      </c>
      <c r="G45" s="512" t="s">
        <v>145</v>
      </c>
      <c r="H45" s="512" t="s">
        <v>5765</v>
      </c>
      <c r="J45" s="522"/>
      <c r="K45" s="523"/>
      <c r="L45" s="512" t="s">
        <v>5483</v>
      </c>
      <c r="M45" s="512" t="s">
        <v>5725</v>
      </c>
      <c r="N45" s="512" t="s">
        <v>5766</v>
      </c>
      <c r="O45" s="524" t="s">
        <v>5767</v>
      </c>
      <c r="P45" s="524" t="s">
        <v>5768</v>
      </c>
      <c r="Q45" s="524"/>
      <c r="R45" s="524"/>
      <c r="S45" s="524"/>
      <c r="T45" s="524"/>
      <c r="U45" s="524"/>
      <c r="V45" s="524"/>
      <c r="W45" s="524"/>
      <c r="X45" s="524"/>
      <c r="Y45" s="512"/>
      <c r="Z45" s="512"/>
      <c r="AA45" s="512"/>
      <c r="AB45" s="524"/>
      <c r="AC45" s="512"/>
      <c r="AD45" s="512"/>
      <c r="AE45" s="512"/>
      <c r="AF45" s="512"/>
      <c r="AG45" s="524"/>
      <c r="AH45" s="524"/>
      <c r="AI45" s="524"/>
      <c r="AJ45" s="524"/>
      <c r="AK45" s="524"/>
      <c r="AL45" s="524"/>
      <c r="AM45" s="524"/>
      <c r="AN45" s="524"/>
      <c r="AO45" s="524"/>
      <c r="AV45" s="525"/>
      <c r="AY45" s="529" t="str">
        <f>IF(主要!$CD$21="O","诘弗人","")</f>
        <v>诘弗人</v>
      </c>
      <c r="AZ45" s="512" t="s">
        <v>233</v>
      </c>
      <c r="BA45" s="512" t="s">
        <v>233</v>
      </c>
      <c r="BB45" s="512" t="s">
        <v>233</v>
      </c>
      <c r="BC45" s="512" t="s">
        <v>233</v>
      </c>
      <c r="BD45" s="512" t="str">
        <f t="shared" ref="BD45:BO45" si="48">""</f>
        <v/>
      </c>
      <c r="BE45" s="512" t="str">
        <f t="shared" si="48"/>
        <v/>
      </c>
      <c r="BF45" s="512" t="str">
        <f t="shared" si="48"/>
        <v/>
      </c>
      <c r="BG45" s="512" t="str">
        <f t="shared" si="48"/>
        <v/>
      </c>
      <c r="BH45" s="512" t="str">
        <f t="shared" si="48"/>
        <v/>
      </c>
      <c r="BI45" s="512" t="str">
        <f t="shared" si="48"/>
        <v/>
      </c>
      <c r="BJ45" s="512" t="str">
        <f t="shared" si="48"/>
        <v/>
      </c>
      <c r="BK45" s="512" t="str">
        <f t="shared" si="48"/>
        <v/>
      </c>
      <c r="BL45" s="512" t="str">
        <f t="shared" si="48"/>
        <v/>
      </c>
      <c r="BM45" s="512" t="str">
        <f t="shared" si="48"/>
        <v/>
      </c>
      <c r="BN45" s="512" t="str">
        <f t="shared" si="48"/>
        <v/>
      </c>
      <c r="BO45" s="534" t="str">
        <f t="shared" si="48"/>
        <v/>
      </c>
      <c r="BP45" s="514"/>
      <c r="BQ45" s="535" t="str" cm="1">
        <f t="array" ref="BQ45">IFERROR(INDEX($AY$1:$AY$112,SMALL(IF($AY$1:$AY$112&lt;&gt;"",ROW($AY$1:$AY$112),4^8),ROW(45:45)))&amp;"","")</f>
        <v>诘弗人</v>
      </c>
      <c r="BR45" s="514"/>
      <c r="BS45" s="514"/>
      <c r="BT45" s="514"/>
      <c r="BU45" s="514"/>
      <c r="BV45" s="514"/>
      <c r="BW45" s="514"/>
      <c r="BX45" s="514"/>
      <c r="BY45" s="514"/>
      <c r="BZ45" s="514"/>
      <c r="CA45" s="514"/>
      <c r="CB45" s="514"/>
      <c r="CC45" s="514"/>
    </row>
    <row r="46" customHeight="1" spans="1:81">
      <c r="A46" s="519" t="s">
        <v>5673</v>
      </c>
      <c r="B46" s="511">
        <v>25</v>
      </c>
      <c r="C46" s="511">
        <v>1</v>
      </c>
      <c r="D46" s="511">
        <v>1</v>
      </c>
      <c r="E46" s="512" t="s">
        <v>5769</v>
      </c>
      <c r="F46" s="512" t="s">
        <v>5471</v>
      </c>
      <c r="G46" s="512" t="s">
        <v>5770</v>
      </c>
      <c r="H46" s="512" t="s">
        <v>5771</v>
      </c>
      <c r="J46" s="522">
        <v>23</v>
      </c>
      <c r="K46" s="523" t="s">
        <v>5658</v>
      </c>
      <c r="L46" s="512" t="s">
        <v>5772</v>
      </c>
      <c r="M46" s="512" t="s">
        <v>5706</v>
      </c>
      <c r="N46" s="512"/>
      <c r="O46" s="512"/>
      <c r="P46" s="512"/>
      <c r="Q46" s="524"/>
      <c r="R46" s="524"/>
      <c r="S46" s="524"/>
      <c r="T46" s="524"/>
      <c r="U46" s="524"/>
      <c r="V46" s="524"/>
      <c r="W46" s="524"/>
      <c r="X46" s="524"/>
      <c r="Y46" s="524"/>
      <c r="Z46" s="524"/>
      <c r="AA46" s="524"/>
      <c r="AB46" s="524"/>
      <c r="AC46" s="524"/>
      <c r="AD46" s="524"/>
      <c r="AE46" s="524"/>
      <c r="AF46" s="524"/>
      <c r="AG46" s="524"/>
      <c r="AH46" s="524"/>
      <c r="AI46" s="524"/>
      <c r="AJ46" s="524"/>
      <c r="AK46" s="524"/>
      <c r="AL46" s="524"/>
      <c r="AM46" s="524"/>
      <c r="AN46" s="524"/>
      <c r="AO46" s="524"/>
      <c r="AV46" s="525"/>
      <c r="AY46" s="529" t="str">
        <f>IF(主要!$CD$21="O","鼯猴人","")</f>
        <v>鼯猴人</v>
      </c>
      <c r="AZ46" s="512" t="s">
        <v>233</v>
      </c>
      <c r="BA46" s="512" t="s">
        <v>233</v>
      </c>
      <c r="BB46" s="512" t="s">
        <v>233</v>
      </c>
      <c r="BC46" s="512" t="s">
        <v>233</v>
      </c>
      <c r="BD46" s="512" t="str">
        <f t="shared" ref="BD46:BO46" si="49">""</f>
        <v/>
      </c>
      <c r="BE46" s="512" t="str">
        <f t="shared" si="49"/>
        <v/>
      </c>
      <c r="BF46" s="512" t="str">
        <f t="shared" si="49"/>
        <v/>
      </c>
      <c r="BG46" s="512" t="str">
        <f t="shared" si="49"/>
        <v/>
      </c>
      <c r="BH46" s="512" t="str">
        <f t="shared" si="49"/>
        <v/>
      </c>
      <c r="BI46" s="512" t="str">
        <f t="shared" si="49"/>
        <v/>
      </c>
      <c r="BJ46" s="512" t="str">
        <f t="shared" si="49"/>
        <v/>
      </c>
      <c r="BK46" s="512" t="str">
        <f t="shared" si="49"/>
        <v/>
      </c>
      <c r="BL46" s="512" t="str">
        <f t="shared" si="49"/>
        <v/>
      </c>
      <c r="BM46" s="512" t="str">
        <f t="shared" si="49"/>
        <v/>
      </c>
      <c r="BN46" s="512" t="str">
        <f t="shared" si="49"/>
        <v/>
      </c>
      <c r="BO46" s="534" t="str">
        <f t="shared" si="49"/>
        <v/>
      </c>
      <c r="BP46" s="514"/>
      <c r="BQ46" s="535" t="str" cm="1">
        <f t="array" ref="BQ46">IFERROR(INDEX($AY$1:$AY$112,SMALL(IF($AY$1:$AY$112&lt;&gt;"",ROW($AY$1:$AY$112),4^8),ROW(46:46)))&amp;"","")</f>
        <v>鼯猴人</v>
      </c>
      <c r="BR46" s="514"/>
      <c r="BS46" s="514"/>
      <c r="BT46" s="514"/>
      <c r="BU46" s="514"/>
      <c r="BV46" s="514"/>
      <c r="BW46" s="514"/>
      <c r="BX46" s="514"/>
      <c r="BY46" s="514"/>
      <c r="BZ46" s="514"/>
      <c r="CA46" s="514"/>
      <c r="CB46" s="514"/>
      <c r="CC46" s="514"/>
    </row>
    <row r="47" customHeight="1" spans="1:81">
      <c r="A47" s="110" t="s">
        <v>5678</v>
      </c>
      <c r="B47" s="514"/>
      <c r="C47" s="514">
        <v>2</v>
      </c>
      <c r="D47" s="514">
        <v>4</v>
      </c>
      <c r="E47" s="512" t="s">
        <v>5773</v>
      </c>
      <c r="F47" s="512" t="s">
        <v>5774</v>
      </c>
      <c r="G47" s="512" t="s">
        <v>5775</v>
      </c>
      <c r="H47" s="512" t="s">
        <v>333</v>
      </c>
      <c r="J47" s="522"/>
      <c r="K47" s="523"/>
      <c r="L47" s="512" t="s">
        <v>5776</v>
      </c>
      <c r="M47" s="512" t="s">
        <v>5777</v>
      </c>
      <c r="N47" s="512"/>
      <c r="O47" s="512"/>
      <c r="P47" s="512"/>
      <c r="Q47" s="524"/>
      <c r="R47" s="524"/>
      <c r="S47" s="524"/>
      <c r="T47" s="524"/>
      <c r="U47" s="524"/>
      <c r="V47" s="524"/>
      <c r="W47" s="524"/>
      <c r="X47" s="524"/>
      <c r="Y47" s="512"/>
      <c r="Z47" s="512"/>
      <c r="AA47" s="512"/>
      <c r="AB47" s="524"/>
      <c r="AC47" s="524"/>
      <c r="AD47" s="512"/>
      <c r="AE47" s="512"/>
      <c r="AF47" s="512"/>
      <c r="AG47" s="524"/>
      <c r="AH47" s="524"/>
      <c r="AI47" s="524"/>
      <c r="AJ47" s="524"/>
      <c r="AK47" s="524"/>
      <c r="AL47" s="524"/>
      <c r="AM47" s="524"/>
      <c r="AN47" s="524"/>
      <c r="AO47" s="524"/>
      <c r="AV47" s="525"/>
      <c r="AY47" s="529" t="str">
        <f>IF(主要!$CD$21="O","流浆体","")</f>
        <v>流浆体</v>
      </c>
      <c r="AZ47" s="514" t="s">
        <v>233</v>
      </c>
      <c r="BA47" s="514" t="s">
        <v>233</v>
      </c>
      <c r="BB47" s="514" t="s">
        <v>233</v>
      </c>
      <c r="BC47" s="514" t="s">
        <v>233</v>
      </c>
      <c r="BD47" s="514" t="str">
        <f t="shared" ref="BD47:BO47" si="50">""</f>
        <v/>
      </c>
      <c r="BE47" s="514" t="str">
        <f t="shared" si="50"/>
        <v/>
      </c>
      <c r="BF47" s="514" t="str">
        <f t="shared" si="50"/>
        <v/>
      </c>
      <c r="BG47" s="514" t="str">
        <f t="shared" si="50"/>
        <v/>
      </c>
      <c r="BH47" s="514" t="str">
        <f t="shared" si="50"/>
        <v/>
      </c>
      <c r="BI47" s="514" t="str">
        <f t="shared" si="50"/>
        <v/>
      </c>
      <c r="BJ47" s="514" t="str">
        <f t="shared" si="50"/>
        <v/>
      </c>
      <c r="BK47" s="514" t="str">
        <f t="shared" si="50"/>
        <v/>
      </c>
      <c r="BL47" s="514" t="str">
        <f t="shared" si="50"/>
        <v/>
      </c>
      <c r="BM47" s="514" t="str">
        <f t="shared" si="50"/>
        <v/>
      </c>
      <c r="BN47" s="514" t="str">
        <f t="shared" si="50"/>
        <v/>
      </c>
      <c r="BO47" s="534" t="str">
        <f t="shared" si="50"/>
        <v/>
      </c>
      <c r="BP47" s="514"/>
      <c r="BQ47" s="535" t="str" cm="1">
        <f t="array" ref="BQ47">IFERROR(INDEX($AY$1:$AY$112,SMALL(IF($AY$1:$AY$112&lt;&gt;"",ROW($AY$1:$AY$112),4^8),ROW(47:47)))&amp;"","")</f>
        <v>流浆体</v>
      </c>
      <c r="BR47" s="514"/>
      <c r="BS47" s="514"/>
      <c r="BT47" s="514"/>
      <c r="BU47" s="514"/>
      <c r="BV47" s="514"/>
      <c r="BW47" s="514"/>
      <c r="BX47" s="514"/>
      <c r="BY47" s="514"/>
      <c r="BZ47" s="514"/>
      <c r="CA47" s="514"/>
      <c r="CB47" s="514"/>
      <c r="CC47" s="514"/>
    </row>
    <row r="48" customHeight="1" spans="1:81">
      <c r="A48" s="110" t="s">
        <v>5679</v>
      </c>
      <c r="B48" s="514"/>
      <c r="C48" s="514">
        <v>5</v>
      </c>
      <c r="D48" s="514">
        <v>6</v>
      </c>
      <c r="E48" s="512" t="s">
        <v>5778</v>
      </c>
      <c r="F48" s="512" t="s">
        <v>5779</v>
      </c>
      <c r="G48" s="512" t="s">
        <v>5780</v>
      </c>
      <c r="H48" s="512" t="s">
        <v>333</v>
      </c>
      <c r="J48" s="522">
        <v>24</v>
      </c>
      <c r="K48" s="523" t="s">
        <v>5666</v>
      </c>
      <c r="L48" s="512" t="s">
        <v>5781</v>
      </c>
      <c r="M48" s="512" t="s">
        <v>5782</v>
      </c>
      <c r="N48" s="512" t="s">
        <v>5584</v>
      </c>
      <c r="O48" s="512" t="s">
        <v>5783</v>
      </c>
      <c r="P48" s="512"/>
      <c r="Q48" s="512"/>
      <c r="R48" s="512"/>
      <c r="S48" s="512"/>
      <c r="T48" s="524"/>
      <c r="U48" s="524"/>
      <c r="V48" s="524"/>
      <c r="W48" s="524"/>
      <c r="X48" s="524"/>
      <c r="Y48" s="524"/>
      <c r="Z48" s="524"/>
      <c r="AA48" s="524"/>
      <c r="AB48" s="524"/>
      <c r="AC48" s="524"/>
      <c r="AD48" s="524"/>
      <c r="AE48" s="524"/>
      <c r="AF48" s="524"/>
      <c r="AG48" s="524"/>
      <c r="AH48" s="524"/>
      <c r="AI48" s="524"/>
      <c r="AJ48" s="524"/>
      <c r="AK48" s="524"/>
      <c r="AL48" s="524"/>
      <c r="AM48" s="524"/>
      <c r="AN48" s="524"/>
      <c r="AO48" s="524"/>
      <c r="AV48" s="525"/>
      <c r="AY48" s="529" t="str">
        <f>IF(主要!$CD$21="O","螳螂人","")</f>
        <v>螳螂人</v>
      </c>
      <c r="AZ48" s="514"/>
      <c r="BA48" s="514"/>
      <c r="BB48" s="514"/>
      <c r="BC48" s="514"/>
      <c r="BD48" s="514"/>
      <c r="BE48" s="514"/>
      <c r="BF48" s="514"/>
      <c r="BG48" s="514"/>
      <c r="BH48" s="514"/>
      <c r="BI48" s="514"/>
      <c r="BJ48" s="514"/>
      <c r="BK48" s="514"/>
      <c r="BL48" s="514"/>
      <c r="BM48" s="514"/>
      <c r="BN48" s="514"/>
      <c r="BO48" s="534"/>
      <c r="BP48" s="514"/>
      <c r="BQ48" s="535" t="str" cm="1">
        <f t="array" ref="BQ48">IFERROR(INDEX($AY$1:$AY$112,SMALL(IF($AY$1:$AY$112&lt;&gt;"",ROW($AY$1:$AY$112),4^8),ROW(48:48)))&amp;"","")</f>
        <v>螳螂人</v>
      </c>
      <c r="BR48" s="514"/>
      <c r="BS48" s="514"/>
      <c r="BT48" s="514"/>
      <c r="BU48" s="514"/>
      <c r="BV48" s="514"/>
      <c r="BW48" s="514"/>
      <c r="BX48" s="514"/>
      <c r="BY48" s="514"/>
      <c r="BZ48" s="514"/>
      <c r="CA48" s="514"/>
      <c r="CB48" s="514"/>
      <c r="CC48" s="514"/>
    </row>
    <row r="49" customHeight="1" spans="1:81">
      <c r="A49" s="110" t="s">
        <v>5680</v>
      </c>
      <c r="B49" s="514"/>
      <c r="C49" s="514">
        <v>7</v>
      </c>
      <c r="D49" s="514">
        <v>8</v>
      </c>
      <c r="E49" s="512" t="s">
        <v>5784</v>
      </c>
      <c r="F49" s="512" t="s">
        <v>5471</v>
      </c>
      <c r="G49" s="512" t="s">
        <v>5785</v>
      </c>
      <c r="H49" s="512" t="s">
        <v>5517</v>
      </c>
      <c r="J49" s="522"/>
      <c r="K49" s="523"/>
      <c r="L49" s="512" t="s">
        <v>5786</v>
      </c>
      <c r="M49" s="512" t="s">
        <v>5787</v>
      </c>
      <c r="N49" s="512" t="s">
        <v>5727</v>
      </c>
      <c r="O49" s="512" t="s">
        <v>5788</v>
      </c>
      <c r="P49" s="512"/>
      <c r="Q49" s="512"/>
      <c r="R49" s="512"/>
      <c r="S49" s="512"/>
      <c r="T49" s="524"/>
      <c r="U49" s="524"/>
      <c r="V49" s="524"/>
      <c r="W49" s="524"/>
      <c r="X49" s="524"/>
      <c r="Y49" s="512"/>
      <c r="Z49" s="512"/>
      <c r="AA49" s="512"/>
      <c r="AB49" s="524"/>
      <c r="AC49" s="524"/>
      <c r="AD49" s="512"/>
      <c r="AE49" s="512"/>
      <c r="AF49" s="512"/>
      <c r="AG49" s="524"/>
      <c r="AH49" s="524"/>
      <c r="AI49" s="524"/>
      <c r="AJ49" s="524"/>
      <c r="AK49" s="524"/>
      <c r="AL49" s="524"/>
      <c r="AM49" s="524"/>
      <c r="AN49" s="524"/>
      <c r="AO49" s="524"/>
      <c r="AV49" s="525"/>
      <c r="AY49" s="530" t="str">
        <f>IF(主要!$CD$19="O","半血裔","")</f>
        <v>半血裔</v>
      </c>
      <c r="BO49" s="525"/>
      <c r="BP49" s="514"/>
      <c r="BQ49" s="535" t="str" cm="1">
        <f t="array" ref="BQ49">IFERROR(INDEX($AY$1:$AY$112,SMALL(IF($AY$1:$AY$112&lt;&gt;"",ROW($AY$1:$AY$112),4^8),ROW(49:49)))&amp;"","")</f>
        <v>半血裔</v>
      </c>
      <c r="BR49" s="514"/>
      <c r="BS49" s="514"/>
      <c r="BT49" s="514"/>
      <c r="BU49" s="514"/>
      <c r="BV49" s="514"/>
      <c r="BW49" s="514"/>
      <c r="BX49" s="514"/>
      <c r="BY49" s="514"/>
      <c r="BZ49" s="514"/>
      <c r="CA49" s="514"/>
      <c r="CB49" s="514"/>
      <c r="CC49" s="514"/>
    </row>
    <row r="50" customHeight="1" spans="1:81">
      <c r="A50" s="110" t="s">
        <v>5681</v>
      </c>
      <c r="B50" s="514"/>
      <c r="C50" s="514">
        <v>9</v>
      </c>
      <c r="D50" s="514">
        <v>11</v>
      </c>
      <c r="E50" s="512" t="s">
        <v>5789</v>
      </c>
      <c r="F50" s="512" t="s">
        <v>5631</v>
      </c>
      <c r="G50" s="512" t="s">
        <v>5785</v>
      </c>
      <c r="H50" s="512" t="s">
        <v>333</v>
      </c>
      <c r="J50" s="522">
        <v>25</v>
      </c>
      <c r="K50" s="523" t="s">
        <v>5673</v>
      </c>
      <c r="L50" s="512" t="s">
        <v>5473</v>
      </c>
      <c r="M50" s="512" t="s">
        <v>5790</v>
      </c>
      <c r="N50" s="512" t="s">
        <v>5791</v>
      </c>
      <c r="O50" s="524" t="s">
        <v>5792</v>
      </c>
      <c r="P50" s="524" t="s">
        <v>5793</v>
      </c>
      <c r="Q50" s="524" t="s">
        <v>5794</v>
      </c>
      <c r="R50" s="524" t="s">
        <v>5795</v>
      </c>
      <c r="S50" s="524" t="s">
        <v>5796</v>
      </c>
      <c r="T50" s="524" t="s">
        <v>5797</v>
      </c>
      <c r="U50" s="524" t="s">
        <v>5798</v>
      </c>
      <c r="V50" s="524" t="s">
        <v>5799</v>
      </c>
      <c r="W50" s="524"/>
      <c r="X50" s="524"/>
      <c r="Y50" s="524"/>
      <c r="Z50" s="524"/>
      <c r="AA50" s="524"/>
      <c r="AB50" s="524"/>
      <c r="AC50" s="524"/>
      <c r="AD50" s="524"/>
      <c r="AE50" s="524"/>
      <c r="AF50" s="524"/>
      <c r="AG50" s="524"/>
      <c r="AH50" s="524"/>
      <c r="AI50" s="524"/>
      <c r="AJ50" s="524"/>
      <c r="AK50" s="524"/>
      <c r="AL50" s="524"/>
      <c r="AM50" s="524"/>
      <c r="AN50" s="524"/>
      <c r="AO50" s="524"/>
      <c r="AV50" s="525"/>
      <c r="AY50" s="530" t="str">
        <f>IF(主要!$CD$19="O","巫咒之子","")</f>
        <v>巫咒之子</v>
      </c>
      <c r="BO50" s="525"/>
      <c r="BP50" s="514"/>
      <c r="BQ50" s="535" t="str" cm="1">
        <f t="array" ref="BQ50">IFERROR(INDEX($AY$1:$AY$112,SMALL(IF($AY$1:$AY$112&lt;&gt;"",ROW($AY$1:$AY$112),4^8),ROW(50:50)))&amp;"","")</f>
        <v>巫咒之子</v>
      </c>
      <c r="BR50" s="514"/>
      <c r="BS50" s="514"/>
      <c r="BT50" s="514"/>
      <c r="BU50" s="514"/>
      <c r="BV50" s="514"/>
      <c r="BW50" s="514"/>
      <c r="BX50" s="514"/>
      <c r="BY50" s="514"/>
      <c r="BZ50" s="514"/>
      <c r="CA50" s="514"/>
      <c r="CB50" s="514"/>
      <c r="CC50" s="514"/>
    </row>
    <row r="51" customHeight="1" spans="1:81">
      <c r="A51" s="519" t="s">
        <v>5682</v>
      </c>
      <c r="B51" s="511">
        <v>26</v>
      </c>
      <c r="C51" s="514">
        <v>1</v>
      </c>
      <c r="D51" s="514">
        <v>3</v>
      </c>
      <c r="E51" s="512" t="s">
        <v>5800</v>
      </c>
      <c r="F51" s="512" t="s">
        <v>5471</v>
      </c>
      <c r="G51" s="512" t="s">
        <v>5785</v>
      </c>
      <c r="H51" s="512" t="s">
        <v>333</v>
      </c>
      <c r="J51" s="522"/>
      <c r="K51" s="523"/>
      <c r="L51" s="512" t="s">
        <v>5483</v>
      </c>
      <c r="M51" s="512" t="s">
        <v>5801</v>
      </c>
      <c r="N51" s="512" t="s">
        <v>5802</v>
      </c>
      <c r="O51" s="524" t="s">
        <v>5803</v>
      </c>
      <c r="P51" s="524" t="s">
        <v>5804</v>
      </c>
      <c r="Q51" s="524" t="s">
        <v>5805</v>
      </c>
      <c r="R51" s="524" t="s">
        <v>5806</v>
      </c>
      <c r="S51" s="524" t="s">
        <v>5807</v>
      </c>
      <c r="T51" s="524" t="s">
        <v>5808</v>
      </c>
      <c r="U51" s="524" t="s">
        <v>5809</v>
      </c>
      <c r="V51" s="524" t="s">
        <v>5810</v>
      </c>
      <c r="W51" s="524"/>
      <c r="X51" s="524"/>
      <c r="Y51" s="512"/>
      <c r="Z51" s="512"/>
      <c r="AA51" s="512"/>
      <c r="AB51" s="524"/>
      <c r="AC51" s="524"/>
      <c r="AD51" s="512"/>
      <c r="AE51" s="512"/>
      <c r="AF51" s="512"/>
      <c r="AG51" s="524"/>
      <c r="AH51" s="524"/>
      <c r="AI51" s="524"/>
      <c r="AJ51" s="524"/>
      <c r="AK51" s="524"/>
      <c r="AL51" s="524"/>
      <c r="AM51" s="524"/>
      <c r="AN51" s="524"/>
      <c r="AO51" s="524"/>
      <c r="AV51" s="525"/>
      <c r="AY51" s="530" t="str">
        <f>IF(主要!$CD$19="O","复生者","")</f>
        <v>复生者</v>
      </c>
      <c r="BO51" s="525"/>
      <c r="BP51" s="514"/>
      <c r="BQ51" s="535" t="str" cm="1">
        <f t="array" ref="BQ51">IFERROR(INDEX($AY$1:$AY$112,SMALL(IF($AY$1:$AY$112&lt;&gt;"",ROW($AY$1:$AY$112),4^8),ROW(51:51)))&amp;"","")</f>
        <v>复生者</v>
      </c>
      <c r="BR51" s="514"/>
      <c r="BS51" s="514"/>
      <c r="BT51" s="514"/>
      <c r="BU51" s="514"/>
      <c r="BV51" s="514"/>
      <c r="BW51" s="514"/>
      <c r="BX51" s="514"/>
      <c r="BY51" s="514"/>
      <c r="BZ51" s="514"/>
      <c r="CA51" s="514"/>
      <c r="CB51" s="514"/>
      <c r="CC51" s="514"/>
    </row>
    <row r="52" customHeight="1" spans="1:81">
      <c r="A52" s="519" t="s">
        <v>5687</v>
      </c>
      <c r="B52" s="511">
        <v>27</v>
      </c>
      <c r="C52" s="514">
        <v>1</v>
      </c>
      <c r="D52" s="514">
        <v>3</v>
      </c>
      <c r="E52" s="512" t="s">
        <v>5811</v>
      </c>
      <c r="F52" s="512" t="s">
        <v>5812</v>
      </c>
      <c r="G52" s="512" t="s">
        <v>5813</v>
      </c>
      <c r="H52" s="512" t="s">
        <v>333</v>
      </c>
      <c r="J52" s="522">
        <v>26</v>
      </c>
      <c r="K52" s="523" t="s">
        <v>5682</v>
      </c>
      <c r="L52" s="512" t="s">
        <v>5814</v>
      </c>
      <c r="M52" s="512" t="s">
        <v>5815</v>
      </c>
      <c r="N52" s="524" t="s">
        <v>5816</v>
      </c>
      <c r="O52" s="524"/>
      <c r="P52" s="524"/>
      <c r="Q52" s="524"/>
      <c r="R52" s="524"/>
      <c r="S52" s="524"/>
      <c r="T52" s="524"/>
      <c r="U52" s="524"/>
      <c r="V52" s="524"/>
      <c r="W52" s="524"/>
      <c r="X52" s="524"/>
      <c r="Y52" s="524"/>
      <c r="Z52" s="524"/>
      <c r="AA52" s="524"/>
      <c r="AB52" s="524"/>
      <c r="AC52" s="524"/>
      <c r="AD52" s="524"/>
      <c r="AE52" s="524"/>
      <c r="AF52" s="524"/>
      <c r="AG52" s="524"/>
      <c r="AH52" s="524"/>
      <c r="AI52" s="524"/>
      <c r="AJ52" s="524"/>
      <c r="AK52" s="524"/>
      <c r="AL52" s="524"/>
      <c r="AM52" s="524"/>
      <c r="AN52" s="524"/>
      <c r="AO52" s="524"/>
      <c r="AV52" s="525"/>
      <c r="AY52" s="530" t="str">
        <f>IF(主要!$CO$12="O","匠偶","")</f>
        <v>匠偶</v>
      </c>
      <c r="AZ52" s="442" t="s">
        <v>5817</v>
      </c>
      <c r="BA52" s="442" t="s">
        <v>5818</v>
      </c>
      <c r="BB52" s="442" t="s">
        <v>5819</v>
      </c>
      <c r="BC52" s="514"/>
      <c r="BD52" s="514"/>
      <c r="BE52" s="514"/>
      <c r="BF52" s="514"/>
      <c r="BG52" s="514"/>
      <c r="BH52" s="514"/>
      <c r="BI52" s="514"/>
      <c r="BJ52" s="514"/>
      <c r="BK52" s="514"/>
      <c r="BL52" s="514"/>
      <c r="BM52" s="514"/>
      <c r="BN52" s="514"/>
      <c r="BO52" s="534"/>
      <c r="BP52" s="514"/>
      <c r="BQ52" s="535" t="str" cm="1">
        <f t="array" ref="BQ52">IFERROR(INDEX($AY$1:$AY$112,SMALL(IF($AY$1:$AY$112&lt;&gt;"",ROW($AY$1:$AY$112),4^8),ROW(52:52)))&amp;"","")</f>
        <v>匠偶</v>
      </c>
      <c r="BR52" s="514"/>
      <c r="BS52" s="514"/>
      <c r="BT52" s="514"/>
      <c r="BU52" s="514"/>
      <c r="BV52" s="514"/>
      <c r="BW52" s="514"/>
      <c r="BX52" s="514"/>
      <c r="BY52" s="514"/>
      <c r="BZ52" s="514"/>
      <c r="CA52" s="514"/>
      <c r="CB52" s="514"/>
      <c r="CC52" s="514"/>
    </row>
    <row r="53" customHeight="1" spans="1:81">
      <c r="A53" s="519" t="s">
        <v>5692</v>
      </c>
      <c r="B53" s="511">
        <v>28</v>
      </c>
      <c r="C53" s="514">
        <v>1</v>
      </c>
      <c r="D53" s="514">
        <v>4</v>
      </c>
      <c r="E53" s="512" t="s">
        <v>5820</v>
      </c>
      <c r="F53" s="512" t="s">
        <v>5471</v>
      </c>
      <c r="G53" s="512" t="s">
        <v>5821</v>
      </c>
      <c r="H53" s="512" t="s">
        <v>5822</v>
      </c>
      <c r="J53" s="522"/>
      <c r="K53" s="523"/>
      <c r="L53" s="512" t="s">
        <v>5823</v>
      </c>
      <c r="M53" s="512" t="s">
        <v>5824</v>
      </c>
      <c r="N53" s="524" t="s">
        <v>5825</v>
      </c>
      <c r="O53" s="524"/>
      <c r="P53" s="524"/>
      <c r="Q53" s="524"/>
      <c r="R53" s="524"/>
      <c r="S53" s="524"/>
      <c r="T53" s="524"/>
      <c r="U53" s="524"/>
      <c r="V53" s="524"/>
      <c r="W53" s="524"/>
      <c r="X53" s="524"/>
      <c r="Y53" s="524"/>
      <c r="Z53" s="524"/>
      <c r="AA53" s="524"/>
      <c r="AB53" s="524"/>
      <c r="AC53" s="524"/>
      <c r="AD53" s="524"/>
      <c r="AE53" s="512"/>
      <c r="AF53" s="512"/>
      <c r="AG53" s="524"/>
      <c r="AH53" s="524"/>
      <c r="AI53" s="524"/>
      <c r="AJ53" s="524"/>
      <c r="AK53" s="524"/>
      <c r="AL53" s="524"/>
      <c r="AM53" s="524"/>
      <c r="AN53" s="524"/>
      <c r="AO53" s="524"/>
      <c r="AV53" s="525"/>
      <c r="AY53" s="527" t="str">
        <f>IF(主要!$CO$12="O","曼德拉","")</f>
        <v>曼德拉</v>
      </c>
      <c r="BO53" s="525"/>
      <c r="BP53" s="514"/>
      <c r="BQ53" s="535" t="str" cm="1">
        <f t="array" ref="BQ53">IFERROR(INDEX($AY$1:$AY$112,SMALL(IF($AY$1:$AY$112&lt;&gt;"",ROW($AY$1:$AY$112),4^8),ROW(53:53)))&amp;"","")</f>
        <v>曼德拉</v>
      </c>
      <c r="BR53" s="514"/>
      <c r="BS53" s="514"/>
      <c r="BT53" s="514"/>
      <c r="BU53" s="514"/>
      <c r="BV53" s="514"/>
      <c r="BW53" s="514"/>
      <c r="BX53" s="514"/>
      <c r="BY53" s="514"/>
      <c r="BZ53" s="514"/>
      <c r="CA53" s="514"/>
      <c r="CB53" s="514"/>
      <c r="CC53" s="514"/>
    </row>
    <row r="54" customHeight="1" spans="1:69">
      <c r="A54" s="519" t="s">
        <v>5697</v>
      </c>
      <c r="B54" s="511">
        <v>29</v>
      </c>
      <c r="C54" s="514">
        <v>1</v>
      </c>
      <c r="D54" s="514">
        <v>4</v>
      </c>
      <c r="E54" s="512" t="s">
        <v>5826</v>
      </c>
      <c r="F54" s="512" t="s">
        <v>5471</v>
      </c>
      <c r="G54" s="512" t="s">
        <v>5827</v>
      </c>
      <c r="H54" s="512" t="s">
        <v>5828</v>
      </c>
      <c r="I54" s="512"/>
      <c r="J54" s="522">
        <v>27</v>
      </c>
      <c r="K54" s="523" t="s">
        <v>5687</v>
      </c>
      <c r="L54" s="512" t="s">
        <v>5829</v>
      </c>
      <c r="M54" s="512" t="s">
        <v>5830</v>
      </c>
      <c r="N54" s="512" t="s">
        <v>5816</v>
      </c>
      <c r="O54" s="512"/>
      <c r="P54" s="524"/>
      <c r="Q54" s="524"/>
      <c r="R54" s="524"/>
      <c r="S54" s="524"/>
      <c r="T54" s="524"/>
      <c r="U54" s="524"/>
      <c r="V54" s="524"/>
      <c r="W54" s="524"/>
      <c r="X54" s="524"/>
      <c r="Y54" s="524"/>
      <c r="Z54" s="524"/>
      <c r="AA54" s="524"/>
      <c r="AB54" s="524"/>
      <c r="AC54" s="524"/>
      <c r="AD54" s="524"/>
      <c r="AE54" s="524"/>
      <c r="AF54" s="524"/>
      <c r="AG54" s="524"/>
      <c r="AH54" s="524"/>
      <c r="AI54" s="524"/>
      <c r="AJ54" s="524"/>
      <c r="AK54" s="512"/>
      <c r="AL54" s="524"/>
      <c r="AM54" s="524"/>
      <c r="AN54" s="524"/>
      <c r="AO54" s="524"/>
      <c r="AV54" s="525"/>
      <c r="AY54" s="527" t="str">
        <f>IF(主要!$CO$11="O","达良人","")</f>
        <v>达良人</v>
      </c>
      <c r="AZ54" s="512" t="s">
        <v>5831</v>
      </c>
      <c r="BA54" s="512" t="s">
        <v>5832</v>
      </c>
      <c r="BO54" s="525"/>
      <c r="BQ54" s="535" t="str" cm="1">
        <f t="array" ref="BQ54">IFERROR(INDEX($AY$1:$AY$112,SMALL(IF($AY$1:$AY$112&lt;&gt;"",ROW($AY$1:$AY$112),4^8),ROW(54:54)))&amp;"","")</f>
        <v>达良人</v>
      </c>
    </row>
    <row r="55" customHeight="1" spans="1:69">
      <c r="A55" s="519" t="s">
        <v>5701</v>
      </c>
      <c r="B55" s="511">
        <v>30</v>
      </c>
      <c r="C55" s="514">
        <v>1</v>
      </c>
      <c r="D55" s="514">
        <v>4</v>
      </c>
      <c r="E55" s="512" t="s">
        <v>5833</v>
      </c>
      <c r="F55" s="512" t="s">
        <v>5471</v>
      </c>
      <c r="G55" s="512" t="s">
        <v>5834</v>
      </c>
      <c r="H55" s="512" t="s">
        <v>5835</v>
      </c>
      <c r="I55" s="512"/>
      <c r="J55" s="522"/>
      <c r="K55" s="523"/>
      <c r="L55" s="512" t="s">
        <v>5836</v>
      </c>
      <c r="M55" s="512" t="s">
        <v>5837</v>
      </c>
      <c r="N55" s="512" t="s">
        <v>5825</v>
      </c>
      <c r="O55" s="512"/>
      <c r="P55" s="524"/>
      <c r="Q55" s="524"/>
      <c r="R55" s="524"/>
      <c r="S55" s="524"/>
      <c r="T55" s="524"/>
      <c r="U55" s="524"/>
      <c r="V55" s="524"/>
      <c r="W55" s="524"/>
      <c r="X55" s="524"/>
      <c r="Y55" s="512"/>
      <c r="Z55" s="512"/>
      <c r="AA55" s="512"/>
      <c r="AB55" s="524"/>
      <c r="AC55" s="524"/>
      <c r="AD55" s="512"/>
      <c r="AE55" s="512"/>
      <c r="AF55" s="512"/>
      <c r="AG55" s="524"/>
      <c r="AH55" s="524"/>
      <c r="AI55" s="524"/>
      <c r="AJ55" s="524"/>
      <c r="AK55" s="524"/>
      <c r="AL55" s="524"/>
      <c r="AM55" s="512"/>
      <c r="AN55" s="512"/>
      <c r="AV55" s="525"/>
      <c r="AY55" s="527" t="str">
        <f>IF(主要!$CO$11="O","胧忆岛精灵","")</f>
        <v>胧忆岛精灵</v>
      </c>
      <c r="AZ55" s="442" t="s">
        <v>5838</v>
      </c>
      <c r="BA55" s="442" t="s">
        <v>5839</v>
      </c>
      <c r="BB55" s="442" t="s">
        <v>5840</v>
      </c>
      <c r="BC55" s="442" t="s">
        <v>5841</v>
      </c>
      <c r="BD55" s="442" t="s">
        <v>5842</v>
      </c>
      <c r="BE55" s="442" t="s">
        <v>5843</v>
      </c>
      <c r="BO55" s="525"/>
      <c r="BQ55" s="535" t="str" cm="1">
        <f t="array" ref="BQ55">IFERROR(INDEX($AY$1:$AY$112,SMALL(IF($AY$1:$AY$112&lt;&gt;"",ROW($AY$1:$AY$112),4^8),ROW(55:55)))&amp;"","")</f>
        <v>胧忆岛精灵</v>
      </c>
    </row>
    <row r="56" customHeight="1" spans="1:69">
      <c r="A56" s="519" t="s">
        <v>5705</v>
      </c>
      <c r="B56" s="511">
        <v>31</v>
      </c>
      <c r="C56" s="514">
        <v>1</v>
      </c>
      <c r="D56" s="514">
        <v>3</v>
      </c>
      <c r="E56" s="442" t="s">
        <v>5844</v>
      </c>
      <c r="F56" s="512" t="s">
        <v>5845</v>
      </c>
      <c r="G56" s="512" t="s">
        <v>5846</v>
      </c>
      <c r="H56" s="512" t="s">
        <v>333</v>
      </c>
      <c r="I56" s="512"/>
      <c r="J56" s="522">
        <v>28</v>
      </c>
      <c r="K56" s="523" t="s">
        <v>5692</v>
      </c>
      <c r="L56" s="512" t="s">
        <v>5473</v>
      </c>
      <c r="M56" s="524" t="s">
        <v>5720</v>
      </c>
      <c r="N56" s="512" t="s">
        <v>5847</v>
      </c>
      <c r="O56" s="512" t="s">
        <v>5848</v>
      </c>
      <c r="P56" s="512"/>
      <c r="Q56" s="512"/>
      <c r="R56" s="512"/>
      <c r="S56" s="524"/>
      <c r="T56" s="524"/>
      <c r="U56" s="524"/>
      <c r="V56" s="524"/>
      <c r="W56" s="524"/>
      <c r="X56" s="524"/>
      <c r="Y56" s="524"/>
      <c r="Z56" s="524"/>
      <c r="AA56" s="524"/>
      <c r="AB56" s="524"/>
      <c r="AC56" s="524"/>
      <c r="AD56" s="524"/>
      <c r="AE56" s="524"/>
      <c r="AF56" s="524"/>
      <c r="AG56" s="524"/>
      <c r="AH56" s="524"/>
      <c r="AI56" s="524"/>
      <c r="AJ56" s="524"/>
      <c r="AK56" s="524"/>
      <c r="AL56" s="524"/>
      <c r="AM56" s="524"/>
      <c r="AN56" s="524"/>
      <c r="AO56" s="524"/>
      <c r="AV56" s="525"/>
      <c r="AY56" s="527" t="str">
        <f>IF(主要!$CO$11="O","鸣玉族","")</f>
        <v>鸣玉族</v>
      </c>
      <c r="BO56" s="525"/>
      <c r="BQ56" s="535" t="str" cm="1">
        <f t="array" ref="BQ56">IFERROR(INDEX($AY$1:$AY$112,SMALL(IF($AY$1:$AY$112&lt;&gt;"",ROW($AY$1:$AY$112),4^8),ROW(56:56)))&amp;"","")</f>
        <v>鸣玉族</v>
      </c>
    </row>
    <row r="57" customHeight="1" spans="1:69">
      <c r="A57" s="519" t="s">
        <v>5708</v>
      </c>
      <c r="B57" s="511">
        <v>32</v>
      </c>
      <c r="C57" s="514">
        <v>1</v>
      </c>
      <c r="D57" s="514">
        <v>5</v>
      </c>
      <c r="E57" s="514" t="s">
        <v>5849</v>
      </c>
      <c r="F57" s="512" t="s">
        <v>5471</v>
      </c>
      <c r="G57" s="512" t="s">
        <v>5850</v>
      </c>
      <c r="H57" s="512" t="s">
        <v>5851</v>
      </c>
      <c r="I57" s="512"/>
      <c r="J57" s="522"/>
      <c r="K57" s="523"/>
      <c r="L57" s="512" t="s">
        <v>5483</v>
      </c>
      <c r="M57" s="512" t="s">
        <v>5725</v>
      </c>
      <c r="N57" s="512" t="s">
        <v>5852</v>
      </c>
      <c r="O57" s="512" t="s">
        <v>5853</v>
      </c>
      <c r="P57" s="512"/>
      <c r="Q57" s="512"/>
      <c r="R57" s="512"/>
      <c r="S57" s="524"/>
      <c r="T57" s="524"/>
      <c r="U57" s="524"/>
      <c r="V57" s="524"/>
      <c r="W57" s="524"/>
      <c r="X57" s="524"/>
      <c r="Y57" s="512"/>
      <c r="Z57" s="512"/>
      <c r="AA57" s="512"/>
      <c r="AB57" s="524"/>
      <c r="AC57" s="524"/>
      <c r="AD57" s="512"/>
      <c r="AE57" s="512"/>
      <c r="AF57" s="512"/>
      <c r="AG57" s="524"/>
      <c r="AH57" s="524"/>
      <c r="AI57" s="524"/>
      <c r="AJ57" s="524"/>
      <c r="AK57" s="524"/>
      <c r="AL57" s="524"/>
      <c r="AM57" s="512"/>
      <c r="AN57" s="512"/>
      <c r="AV57" s="525"/>
      <c r="AY57" s="527" t="str">
        <f>IF(主要!$CO$13="O","诡木种","")</f>
        <v>诡木种</v>
      </c>
      <c r="BO57" s="525"/>
      <c r="BQ57" s="535" t="str" cm="1">
        <f t="array" ref="BQ57">IFERROR(INDEX($AY$1:$AY$112,SMALL(IF($AY$1:$AY$112&lt;&gt;"",ROW($AY$1:$AY$112),4^8),ROW(57:57)))&amp;"","")</f>
        <v>诡木种</v>
      </c>
    </row>
    <row r="58" customHeight="1" spans="1:69">
      <c r="A58" s="519" t="s">
        <v>5711</v>
      </c>
      <c r="B58" s="511">
        <v>33</v>
      </c>
      <c r="C58" s="514">
        <v>1</v>
      </c>
      <c r="D58" s="514">
        <v>5</v>
      </c>
      <c r="E58" s="514" t="s">
        <v>5854</v>
      </c>
      <c r="F58" s="512" t="s">
        <v>5471</v>
      </c>
      <c r="G58" s="512" t="s">
        <v>5855</v>
      </c>
      <c r="H58" s="512" t="s">
        <v>5856</v>
      </c>
      <c r="I58" s="512"/>
      <c r="J58" s="522">
        <v>29</v>
      </c>
      <c r="K58" s="523" t="s">
        <v>5697</v>
      </c>
      <c r="L58" s="512" t="s">
        <v>5857</v>
      </c>
      <c r="M58" s="512" t="s">
        <v>5858</v>
      </c>
      <c r="N58" s="512" t="s">
        <v>5859</v>
      </c>
      <c r="O58" s="512" t="s">
        <v>5860</v>
      </c>
      <c r="P58" s="524"/>
      <c r="Q58" s="524"/>
      <c r="R58" s="524"/>
      <c r="S58" s="524"/>
      <c r="T58" s="524"/>
      <c r="U58" s="524"/>
      <c r="V58" s="524"/>
      <c r="W58" s="524"/>
      <c r="X58" s="524"/>
      <c r="Y58" s="524"/>
      <c r="Z58" s="524"/>
      <c r="AA58" s="524"/>
      <c r="AB58" s="524"/>
      <c r="AC58" s="524"/>
      <c r="AD58" s="524"/>
      <c r="AE58" s="524"/>
      <c r="AF58" s="524"/>
      <c r="AG58" s="524"/>
      <c r="AH58" s="524"/>
      <c r="AI58" s="524"/>
      <c r="AJ58" s="524"/>
      <c r="AK58" s="524"/>
      <c r="AL58" s="524"/>
      <c r="AM58" s="524"/>
      <c r="AN58" s="524"/>
      <c r="AO58" s="524"/>
      <c r="AV58" s="525"/>
      <c r="AY58" s="527" t="str">
        <f>IF(主要!$CO$13="O","苍羽种","")</f>
        <v>苍羽种</v>
      </c>
      <c r="BO58" s="525"/>
      <c r="BQ58" s="535" t="str" cm="1">
        <f t="array" ref="BQ58">IFERROR(INDEX($AY$1:$AY$112,SMALL(IF($AY$1:$AY$112&lt;&gt;"",ROW($AY$1:$AY$112),4^8),ROW(58:58)))&amp;"","")</f>
        <v>苍羽种</v>
      </c>
    </row>
    <row r="59" customHeight="1" spans="1:69">
      <c r="A59" s="519" t="s">
        <v>5715</v>
      </c>
      <c r="B59" s="511">
        <v>34</v>
      </c>
      <c r="C59" s="514">
        <v>1</v>
      </c>
      <c r="D59" s="514">
        <v>4</v>
      </c>
      <c r="E59" s="514" t="s">
        <v>5861</v>
      </c>
      <c r="F59" s="512" t="s">
        <v>5862</v>
      </c>
      <c r="G59" s="512" t="s">
        <v>5863</v>
      </c>
      <c r="H59" s="512" t="s">
        <v>333</v>
      </c>
      <c r="I59" s="512"/>
      <c r="J59" s="522"/>
      <c r="K59" s="523"/>
      <c r="L59" s="512" t="s">
        <v>5864</v>
      </c>
      <c r="M59" s="512" t="s">
        <v>5767</v>
      </c>
      <c r="N59" s="512" t="s">
        <v>5865</v>
      </c>
      <c r="O59" s="512" t="s">
        <v>5866</v>
      </c>
      <c r="P59" s="524"/>
      <c r="Q59" s="524"/>
      <c r="R59" s="524"/>
      <c r="S59" s="524"/>
      <c r="T59" s="524"/>
      <c r="U59" s="524"/>
      <c r="V59" s="524"/>
      <c r="W59" s="524"/>
      <c r="X59" s="524"/>
      <c r="Y59" s="524"/>
      <c r="Z59" s="512"/>
      <c r="AA59" s="512"/>
      <c r="AB59" s="524"/>
      <c r="AC59" s="524"/>
      <c r="AD59" s="512"/>
      <c r="AE59" s="512"/>
      <c r="AF59" s="512"/>
      <c r="AG59" s="524"/>
      <c r="AH59" s="524"/>
      <c r="AI59" s="524"/>
      <c r="AJ59" s="524"/>
      <c r="AK59" s="524"/>
      <c r="AL59" s="524"/>
      <c r="AM59" s="512"/>
      <c r="AN59" s="512"/>
      <c r="AV59" s="525"/>
      <c r="AY59" s="527" t="str">
        <f>IF(主要!$CO$13="O","疫鼠种","")</f>
        <v>疫鼠种</v>
      </c>
      <c r="BO59" s="525"/>
      <c r="BQ59" s="535" t="str" cm="1">
        <f t="array" ref="BQ59">IFERROR(INDEX($AY$1:$AY$112,SMALL(IF($AY$1:$AY$112&lt;&gt;"",ROW($AY$1:$AY$112),4^8),ROW(59:59)))&amp;"","")</f>
        <v>疫鼠种</v>
      </c>
    </row>
    <row r="60" customHeight="1" spans="1:69">
      <c r="A60" s="519" t="s">
        <v>5719</v>
      </c>
      <c r="B60" s="511">
        <v>35</v>
      </c>
      <c r="C60" s="514">
        <v>1</v>
      </c>
      <c r="D60" s="514">
        <v>4</v>
      </c>
      <c r="E60" s="514" t="s">
        <v>5867</v>
      </c>
      <c r="F60" s="512" t="s">
        <v>5471</v>
      </c>
      <c r="G60" s="512" t="s">
        <v>5868</v>
      </c>
      <c r="H60" s="512" t="s">
        <v>5517</v>
      </c>
      <c r="I60" s="512"/>
      <c r="J60" s="522">
        <v>30</v>
      </c>
      <c r="K60" s="523" t="s">
        <v>5701</v>
      </c>
      <c r="L60" s="512" t="s">
        <v>5473</v>
      </c>
      <c r="M60" s="512" t="s">
        <v>5720</v>
      </c>
      <c r="N60" s="524" t="s">
        <v>5869</v>
      </c>
      <c r="O60" s="524" t="s">
        <v>5870</v>
      </c>
      <c r="P60" s="524"/>
      <c r="Q60" s="524"/>
      <c r="R60" s="524"/>
      <c r="S60" s="524"/>
      <c r="T60" s="524"/>
      <c r="U60" s="524"/>
      <c r="V60" s="524"/>
      <c r="W60" s="524"/>
      <c r="X60" s="524"/>
      <c r="Y60" s="524"/>
      <c r="Z60" s="524"/>
      <c r="AA60" s="524"/>
      <c r="AB60" s="524"/>
      <c r="AC60" s="524"/>
      <c r="AD60" s="524"/>
      <c r="AE60" s="524"/>
      <c r="AF60" s="524"/>
      <c r="AG60" s="524"/>
      <c r="AH60" s="524"/>
      <c r="AI60" s="524"/>
      <c r="AJ60" s="524"/>
      <c r="AK60" s="524"/>
      <c r="AL60" s="524"/>
      <c r="AM60" s="524"/>
      <c r="AN60" s="524"/>
      <c r="AO60" s="524"/>
      <c r="AV60" s="525"/>
      <c r="AY60" s="527" t="str">
        <f>IF(主要!$CO$13="O","灰烬种","")</f>
        <v>灰烬种</v>
      </c>
      <c r="BO60" s="525"/>
      <c r="BQ60" s="535" t="str" cm="1">
        <f t="array" ref="BQ60">IFERROR(INDEX($AY$1:$AY$112,SMALL(IF($AY$1:$AY$112&lt;&gt;"",ROW($AY$1:$AY$112),4^8),ROW(60:60)))&amp;"","")</f>
        <v>灰烬种</v>
      </c>
    </row>
    <row r="61" customHeight="1" spans="1:69">
      <c r="A61" s="519" t="s">
        <v>5724</v>
      </c>
      <c r="B61" s="511">
        <v>36</v>
      </c>
      <c r="C61" s="514">
        <v>1</v>
      </c>
      <c r="D61" s="514">
        <v>6</v>
      </c>
      <c r="E61" s="514" t="s">
        <v>5871</v>
      </c>
      <c r="F61" s="512" t="s">
        <v>5812</v>
      </c>
      <c r="G61" s="512" t="s">
        <v>5850</v>
      </c>
      <c r="H61" s="512" t="s">
        <v>333</v>
      </c>
      <c r="I61" s="512"/>
      <c r="J61" s="522"/>
      <c r="K61" s="523"/>
      <c r="L61" s="512" t="s">
        <v>5483</v>
      </c>
      <c r="M61" s="512" t="s">
        <v>5725</v>
      </c>
      <c r="N61" s="524" t="s">
        <v>5872</v>
      </c>
      <c r="O61" s="524" t="s">
        <v>5873</v>
      </c>
      <c r="P61" s="524"/>
      <c r="Q61" s="524"/>
      <c r="R61" s="524"/>
      <c r="S61" s="524"/>
      <c r="T61" s="524"/>
      <c r="U61" s="524"/>
      <c r="V61" s="524"/>
      <c r="W61" s="524"/>
      <c r="X61" s="524"/>
      <c r="Y61" s="512"/>
      <c r="Z61" s="512"/>
      <c r="AA61" s="512"/>
      <c r="AB61" s="524"/>
      <c r="AC61" s="524"/>
      <c r="AD61" s="512"/>
      <c r="AE61" s="512"/>
      <c r="AF61" s="512"/>
      <c r="AG61" s="524"/>
      <c r="AH61" s="524"/>
      <c r="AI61" s="524"/>
      <c r="AJ61" s="524"/>
      <c r="AK61" s="524"/>
      <c r="AL61" s="524"/>
      <c r="AM61" s="512"/>
      <c r="AN61" s="512"/>
      <c r="AV61" s="525"/>
      <c r="AY61" s="527" t="str">
        <f>IF(主要!$CO$13="O","咒狼种","")</f>
        <v>咒狼种</v>
      </c>
      <c r="BO61" s="525"/>
      <c r="BQ61" s="535" t="str" cm="1">
        <f t="array" ref="BQ61">IFERROR(INDEX($AY$1:$AY$112,SMALL(IF($AY$1:$AY$112&lt;&gt;"",ROW($AY$1:$AY$112),4^8),ROW(61:61)))&amp;"","")</f>
        <v>咒狼种</v>
      </c>
    </row>
    <row r="62" customHeight="1" spans="1:69">
      <c r="A62" s="519" t="s">
        <v>5730</v>
      </c>
      <c r="B62" s="511">
        <v>37</v>
      </c>
      <c r="C62" s="514">
        <v>1</v>
      </c>
      <c r="D62" s="514">
        <v>6</v>
      </c>
      <c r="E62" s="514" t="s">
        <v>5874</v>
      </c>
      <c r="F62" s="512" t="s">
        <v>5875</v>
      </c>
      <c r="G62" s="512" t="s">
        <v>5876</v>
      </c>
      <c r="H62" s="512" t="s">
        <v>333</v>
      </c>
      <c r="I62" s="512"/>
      <c r="J62" s="522">
        <v>31</v>
      </c>
      <c r="K62" s="523" t="s">
        <v>5705</v>
      </c>
      <c r="L62" s="512" t="s">
        <v>5877</v>
      </c>
      <c r="M62" s="512" t="s">
        <v>5878</v>
      </c>
      <c r="N62" s="512" t="s">
        <v>5879</v>
      </c>
      <c r="O62" s="512"/>
      <c r="P62" s="512"/>
      <c r="Q62" s="512"/>
      <c r="R62" s="512"/>
      <c r="S62" s="512"/>
      <c r="T62" s="512"/>
      <c r="U62" s="512"/>
      <c r="V62" s="512"/>
      <c r="W62" s="512"/>
      <c r="X62" s="524"/>
      <c r="Y62" s="524"/>
      <c r="Z62" s="524"/>
      <c r="AA62" s="524"/>
      <c r="AB62" s="524"/>
      <c r="AC62" s="524"/>
      <c r="AD62" s="524"/>
      <c r="AE62" s="524"/>
      <c r="AF62" s="524"/>
      <c r="AG62" s="524"/>
      <c r="AH62" s="524"/>
      <c r="AI62" s="524"/>
      <c r="AJ62" s="524"/>
      <c r="AK62" s="524"/>
      <c r="AL62" s="524"/>
      <c r="AM62" s="524"/>
      <c r="AN62" s="524"/>
      <c r="AO62" s="524"/>
      <c r="AV62" s="525"/>
      <c r="AY62" s="527" t="str">
        <f>IF(主要!$CO$13="O","丰收种","")</f>
        <v>丰收种</v>
      </c>
      <c r="BO62" s="525"/>
      <c r="BQ62" s="535" t="str" cm="1">
        <f t="array" ref="BQ62">IFERROR(INDEX($AY$1:$AY$112,SMALL(IF($AY$1:$AY$112&lt;&gt;"",ROW($AY$1:$AY$112),4^8),ROW(62:62)))&amp;"","")</f>
        <v>丰收种</v>
      </c>
    </row>
    <row r="63" customHeight="1" spans="1:69">
      <c r="A63" s="519" t="s">
        <v>5735</v>
      </c>
      <c r="B63" s="511">
        <v>38</v>
      </c>
      <c r="C63" s="519">
        <v>1</v>
      </c>
      <c r="D63" s="519">
        <v>4</v>
      </c>
      <c r="E63" s="514" t="s">
        <v>5880</v>
      </c>
      <c r="F63" s="512" t="s">
        <v>5471</v>
      </c>
      <c r="G63" s="512" t="s">
        <v>5498</v>
      </c>
      <c r="H63" s="512" t="s">
        <v>5856</v>
      </c>
      <c r="I63" s="512"/>
      <c r="J63" s="522"/>
      <c r="K63" s="523"/>
      <c r="L63" s="512" t="s">
        <v>5881</v>
      </c>
      <c r="M63" s="512" t="s">
        <v>5882</v>
      </c>
      <c r="N63" s="512" t="s">
        <v>5883</v>
      </c>
      <c r="O63" s="512"/>
      <c r="P63" s="512"/>
      <c r="Q63" s="512"/>
      <c r="R63" s="512"/>
      <c r="S63" s="512"/>
      <c r="T63" s="512"/>
      <c r="U63" s="512"/>
      <c r="V63" s="512"/>
      <c r="W63" s="512"/>
      <c r="X63" s="524"/>
      <c r="Y63" s="512"/>
      <c r="Z63" s="512"/>
      <c r="AA63" s="512"/>
      <c r="AB63" s="524"/>
      <c r="AC63" s="524"/>
      <c r="AD63" s="512"/>
      <c r="AE63" s="512"/>
      <c r="AF63" s="512"/>
      <c r="AG63" s="524"/>
      <c r="AH63" s="524"/>
      <c r="AI63" s="524"/>
      <c r="AJ63" s="524"/>
      <c r="AK63" s="524"/>
      <c r="AL63" s="524"/>
      <c r="AM63" s="512"/>
      <c r="AN63" s="512"/>
      <c r="AV63" s="525"/>
      <c r="AY63" s="527" t="str">
        <f>IF(主要!$CO$13="O","绘骨种","")</f>
        <v>绘骨种</v>
      </c>
      <c r="BO63" s="525"/>
      <c r="BQ63" s="535" t="str" cm="1">
        <f t="array" ref="BQ63">IFERROR(INDEX($AY$1:$AY$112,SMALL(IF($AY$1:$AY$112&lt;&gt;"",ROW($AY$1:$AY$112),4^8),ROW(63:63)))&amp;"","")</f>
        <v>绘骨种</v>
      </c>
    </row>
    <row r="64" customHeight="1" spans="1:69">
      <c r="A64" s="519" t="s">
        <v>5742</v>
      </c>
      <c r="B64" s="511">
        <v>39</v>
      </c>
      <c r="C64" s="519">
        <v>1</v>
      </c>
      <c r="D64" s="519">
        <v>5</v>
      </c>
      <c r="E64" s="514" t="s">
        <v>5884</v>
      </c>
      <c r="F64" s="512" t="s">
        <v>5683</v>
      </c>
      <c r="G64" s="512" t="s">
        <v>5885</v>
      </c>
      <c r="H64" s="512" t="s">
        <v>5886</v>
      </c>
      <c r="I64" s="512"/>
      <c r="J64" s="522">
        <v>32</v>
      </c>
      <c r="K64" s="523" t="s">
        <v>5708</v>
      </c>
      <c r="L64" s="512" t="s">
        <v>5473</v>
      </c>
      <c r="M64" s="512" t="s">
        <v>5887</v>
      </c>
      <c r="N64" s="512" t="s">
        <v>5888</v>
      </c>
      <c r="O64" s="512" t="s">
        <v>5889</v>
      </c>
      <c r="P64" s="512" t="s">
        <v>510</v>
      </c>
      <c r="Q64" s="524"/>
      <c r="R64" s="524"/>
      <c r="S64" s="524"/>
      <c r="T64" s="524"/>
      <c r="U64" s="524"/>
      <c r="V64" s="524"/>
      <c r="W64" s="524"/>
      <c r="X64" s="524"/>
      <c r="Y64" s="524"/>
      <c r="Z64" s="524"/>
      <c r="AA64" s="524"/>
      <c r="AB64" s="524"/>
      <c r="AC64" s="524"/>
      <c r="AD64" s="524"/>
      <c r="AE64" s="524"/>
      <c r="AF64" s="524"/>
      <c r="AG64" s="524"/>
      <c r="AH64" s="524"/>
      <c r="AI64" s="524"/>
      <c r="AJ64" s="524"/>
      <c r="AK64" s="524"/>
      <c r="AL64" s="524"/>
      <c r="AM64" s="524"/>
      <c r="AN64" s="524"/>
      <c r="AO64" s="524"/>
      <c r="AV64" s="525"/>
      <c r="AY64" s="527" t="str">
        <f>IF(主要!$CO$13="O","丝虫种","")</f>
        <v>丝虫种</v>
      </c>
      <c r="BO64" s="525"/>
      <c r="BQ64" s="535" t="str" cm="1">
        <f t="array" ref="BQ64">IFERROR(INDEX($AY$1:$AY$112,SMALL(IF($AY$1:$AY$112&lt;&gt;"",ROW($AY$1:$AY$112),4^8),ROW(64:64)))&amp;"","")</f>
        <v>丝虫种</v>
      </c>
    </row>
    <row r="65" customHeight="1" spans="1:69">
      <c r="A65" s="546" t="s">
        <v>5746</v>
      </c>
      <c r="B65" s="511">
        <v>40</v>
      </c>
      <c r="C65" s="519">
        <v>1</v>
      </c>
      <c r="D65" s="519">
        <v>5</v>
      </c>
      <c r="E65" s="514" t="s">
        <v>5890</v>
      </c>
      <c r="F65" s="512" t="s">
        <v>5812</v>
      </c>
      <c r="G65" s="512" t="s">
        <v>5891</v>
      </c>
      <c r="H65" s="512" t="s">
        <v>5892</v>
      </c>
      <c r="I65" s="512"/>
      <c r="J65" s="522"/>
      <c r="K65" s="523"/>
      <c r="L65" s="512" t="s">
        <v>5483</v>
      </c>
      <c r="M65" s="512" t="s">
        <v>5893</v>
      </c>
      <c r="N65" s="512" t="s">
        <v>5894</v>
      </c>
      <c r="O65" s="512" t="s">
        <v>5895</v>
      </c>
      <c r="P65" s="512" t="s">
        <v>5896</v>
      </c>
      <c r="Q65" s="524"/>
      <c r="R65" s="512"/>
      <c r="S65" s="524"/>
      <c r="T65" s="524"/>
      <c r="U65" s="524"/>
      <c r="V65" s="524"/>
      <c r="W65" s="524"/>
      <c r="X65" s="524"/>
      <c r="Y65" s="524"/>
      <c r="Z65" s="524"/>
      <c r="AA65" s="524"/>
      <c r="AB65" s="524"/>
      <c r="AC65" s="524"/>
      <c r="AD65" s="512"/>
      <c r="AE65" s="512"/>
      <c r="AF65" s="512"/>
      <c r="AG65" s="524"/>
      <c r="AH65" s="524"/>
      <c r="AI65" s="524"/>
      <c r="AJ65" s="524"/>
      <c r="AK65" s="524"/>
      <c r="AL65" s="524"/>
      <c r="AM65" s="512"/>
      <c r="AN65" s="512"/>
      <c r="AV65" s="525"/>
      <c r="AY65" s="527" t="str">
        <f>IF(主要!$CO$13="O","深潜种","")</f>
        <v>深潜种</v>
      </c>
      <c r="BO65" s="525"/>
      <c r="BQ65" s="535" t="str" cm="1">
        <f t="array" ref="BQ65">IFERROR(INDEX($AY$1:$AY$112,SMALL(IF($AY$1:$AY$112&lt;&gt;"",ROW($AY$1:$AY$112),4^8),ROW(65:65)))&amp;"","")</f>
        <v>深潜种</v>
      </c>
    </row>
    <row r="66" customHeight="1" spans="1:69">
      <c r="A66" s="546" t="s">
        <v>5751</v>
      </c>
      <c r="B66" s="511">
        <v>41</v>
      </c>
      <c r="C66" s="519">
        <v>1</v>
      </c>
      <c r="D66" s="519">
        <v>4</v>
      </c>
      <c r="E66" s="514" t="s">
        <v>5897</v>
      </c>
      <c r="F66" s="512" t="s">
        <v>5812</v>
      </c>
      <c r="G66" s="512" t="s">
        <v>5898</v>
      </c>
      <c r="H66" s="512" t="s">
        <v>333</v>
      </c>
      <c r="I66" s="512"/>
      <c r="J66" s="522">
        <v>33</v>
      </c>
      <c r="K66" s="523" t="s">
        <v>5711</v>
      </c>
      <c r="L66" s="512" t="s">
        <v>5899</v>
      </c>
      <c r="M66" s="512" t="s">
        <v>5900</v>
      </c>
      <c r="N66" s="512" t="s">
        <v>5901</v>
      </c>
      <c r="O66" s="512" t="s">
        <v>5648</v>
      </c>
      <c r="P66" s="524" t="s">
        <v>5902</v>
      </c>
      <c r="Q66" s="524"/>
      <c r="R66" s="524"/>
      <c r="S66" s="524"/>
      <c r="T66" s="524"/>
      <c r="U66" s="524"/>
      <c r="V66" s="524"/>
      <c r="W66" s="524"/>
      <c r="X66" s="524"/>
      <c r="Y66" s="524"/>
      <c r="Z66" s="524"/>
      <c r="AA66" s="524"/>
      <c r="AB66" s="524"/>
      <c r="AC66" s="524"/>
      <c r="AD66" s="524"/>
      <c r="AE66" s="524"/>
      <c r="AF66" s="524"/>
      <c r="AG66" s="524"/>
      <c r="AH66" s="524"/>
      <c r="AI66" s="524"/>
      <c r="AJ66" s="524"/>
      <c r="AK66" s="524"/>
      <c r="AL66" s="524"/>
      <c r="AM66" s="524"/>
      <c r="AN66" s="524"/>
      <c r="AO66" s="524"/>
      <c r="AV66" s="525"/>
      <c r="AY66" s="527" t="str">
        <f>IF(主要!$CO$13="O","石像种","")</f>
        <v>石像种</v>
      </c>
      <c r="BO66" s="525"/>
      <c r="BQ66" s="535" t="str" cm="1">
        <f t="array" ref="BQ66">IFERROR(INDEX($AY$1:$AY$112,SMALL(IF($AY$1:$AY$112&lt;&gt;"",ROW($AY$1:$AY$112),4^8),ROW(66:66)))&amp;"","")</f>
        <v>石像种</v>
      </c>
    </row>
    <row r="67" customHeight="1" spans="1:69">
      <c r="A67" s="519" t="s">
        <v>5755</v>
      </c>
      <c r="B67" s="511">
        <v>42</v>
      </c>
      <c r="C67" s="546">
        <v>1</v>
      </c>
      <c r="D67" s="546">
        <v>6</v>
      </c>
      <c r="E67" s="514" t="s">
        <v>5903</v>
      </c>
      <c r="F67" s="512" t="s">
        <v>5875</v>
      </c>
      <c r="G67" s="512" t="s">
        <v>5876</v>
      </c>
      <c r="H67" s="512" t="s">
        <v>333</v>
      </c>
      <c r="I67" s="512"/>
      <c r="J67" s="522"/>
      <c r="K67" s="523"/>
      <c r="L67" s="512" t="s">
        <v>5904</v>
      </c>
      <c r="M67" s="512" t="s">
        <v>5905</v>
      </c>
      <c r="N67" s="512" t="s">
        <v>5906</v>
      </c>
      <c r="O67" s="512" t="s">
        <v>5907</v>
      </c>
      <c r="P67" s="524" t="s">
        <v>5908</v>
      </c>
      <c r="Q67" s="524"/>
      <c r="R67" s="524"/>
      <c r="S67" s="524"/>
      <c r="T67" s="524"/>
      <c r="U67" s="524"/>
      <c r="V67" s="524"/>
      <c r="W67" s="524"/>
      <c r="X67" s="524"/>
      <c r="Y67" s="524"/>
      <c r="Z67" s="524"/>
      <c r="AA67" s="524"/>
      <c r="AB67" s="524"/>
      <c r="AC67" s="524"/>
      <c r="AD67" s="512"/>
      <c r="AE67" s="512"/>
      <c r="AF67" s="512"/>
      <c r="AG67" s="524"/>
      <c r="AH67" s="524"/>
      <c r="AI67" s="524"/>
      <c r="AJ67" s="524"/>
      <c r="AK67" s="524"/>
      <c r="AL67" s="524"/>
      <c r="AM67" s="512"/>
      <c r="AN67" s="512"/>
      <c r="AV67" s="525"/>
      <c r="AY67" s="527" t="str">
        <f>IF(主要!$CO$13="O","线偶种","")</f>
        <v>线偶种</v>
      </c>
      <c r="BO67" s="525"/>
      <c r="BQ67" s="535" t="str" cm="1">
        <f t="array" ref="BQ67">IFERROR(INDEX($AY$1:$AY$112,SMALL(IF($AY$1:$AY$112&lt;&gt;"",ROW($AY$1:$AY$112),4^8),ROW(67:67)))&amp;"","")</f>
        <v>线偶种</v>
      </c>
    </row>
    <row r="68" customHeight="1" spans="1:69">
      <c r="A68" s="519" t="s">
        <v>5761</v>
      </c>
      <c r="B68" s="511">
        <v>43</v>
      </c>
      <c r="C68" s="546">
        <v>1</v>
      </c>
      <c r="D68" s="546">
        <v>6</v>
      </c>
      <c r="E68" s="512" t="s">
        <v>5909</v>
      </c>
      <c r="F68" s="512" t="s">
        <v>5910</v>
      </c>
      <c r="G68" s="512" t="s">
        <v>5911</v>
      </c>
      <c r="H68" s="512" t="s">
        <v>333</v>
      </c>
      <c r="I68" s="512"/>
      <c r="J68" s="522">
        <v>34</v>
      </c>
      <c r="K68" s="523" t="s">
        <v>5715</v>
      </c>
      <c r="L68" s="512" t="s">
        <v>5912</v>
      </c>
      <c r="M68" s="512" t="s">
        <v>5913</v>
      </c>
      <c r="N68" s="512" t="s">
        <v>5914</v>
      </c>
      <c r="O68" s="512" t="s">
        <v>5915</v>
      </c>
      <c r="P68" s="524"/>
      <c r="Q68" s="524"/>
      <c r="R68" s="524"/>
      <c r="S68" s="524"/>
      <c r="T68" s="524"/>
      <c r="U68" s="524"/>
      <c r="V68" s="524"/>
      <c r="W68" s="524"/>
      <c r="X68" s="524"/>
      <c r="Y68" s="524"/>
      <c r="Z68" s="524"/>
      <c r="AA68" s="524"/>
      <c r="AB68" s="524"/>
      <c r="AC68" s="524"/>
      <c r="AD68" s="524"/>
      <c r="AE68" s="524"/>
      <c r="AF68" s="524"/>
      <c r="AG68" s="524"/>
      <c r="AH68" s="524"/>
      <c r="AI68" s="524"/>
      <c r="AJ68" s="524"/>
      <c r="AK68" s="524"/>
      <c r="AL68" s="524"/>
      <c r="AM68" s="524"/>
      <c r="AN68" s="524"/>
      <c r="AO68" s="524"/>
      <c r="AV68" s="525"/>
      <c r="AY68" s="527" t="str">
        <f>IF(主要!$CO$13="O","霜墓种","")</f>
        <v>霜墓种</v>
      </c>
      <c r="BO68" s="525"/>
      <c r="BQ68" s="535" t="str" cm="1">
        <f t="array" ref="BQ68">IFERROR(INDEX($AY$1:$AY$112,SMALL(IF($AY$1:$AY$112&lt;&gt;"",ROW($AY$1:$AY$112),4^8),ROW(68:68)))&amp;"","")</f>
        <v>霜墓种</v>
      </c>
    </row>
    <row r="69" customHeight="1" spans="1:69">
      <c r="A69" s="519" t="s">
        <v>5764</v>
      </c>
      <c r="B69" s="511">
        <v>44</v>
      </c>
      <c r="C69" s="546">
        <v>1</v>
      </c>
      <c r="D69" s="546">
        <v>3</v>
      </c>
      <c r="E69" s="512" t="s">
        <v>5916</v>
      </c>
      <c r="F69" s="512" t="s">
        <v>5812</v>
      </c>
      <c r="G69" s="512" t="s">
        <v>5917</v>
      </c>
      <c r="H69" s="512" t="s">
        <v>5918</v>
      </c>
      <c r="I69" s="512"/>
      <c r="J69" s="522"/>
      <c r="K69" s="523"/>
      <c r="L69" s="512" t="s">
        <v>5919</v>
      </c>
      <c r="M69" s="512" t="s">
        <v>5920</v>
      </c>
      <c r="N69" s="512" t="s">
        <v>5921</v>
      </c>
      <c r="O69" s="512" t="s">
        <v>5922</v>
      </c>
      <c r="P69" s="524"/>
      <c r="Q69" s="524"/>
      <c r="R69" s="524"/>
      <c r="S69" s="524"/>
      <c r="T69" s="524"/>
      <c r="U69" s="524"/>
      <c r="V69" s="524"/>
      <c r="W69" s="524"/>
      <c r="X69" s="524"/>
      <c r="Y69" s="524"/>
      <c r="Z69" s="524"/>
      <c r="AA69" s="524"/>
      <c r="AB69" s="524"/>
      <c r="AC69" s="524"/>
      <c r="AD69" s="512"/>
      <c r="AE69" s="512"/>
      <c r="AF69" s="512"/>
      <c r="AG69" s="524"/>
      <c r="AH69" s="524"/>
      <c r="AI69" s="524"/>
      <c r="AJ69" s="524"/>
      <c r="AK69" s="524"/>
      <c r="AL69" s="524"/>
      <c r="AM69" s="512"/>
      <c r="AN69" s="512"/>
      <c r="AV69" s="525"/>
      <c r="AY69" s="527" t="str">
        <f>IF(主要!$CO$13="O","沼泽种","")</f>
        <v>沼泽种</v>
      </c>
      <c r="BO69" s="525"/>
      <c r="BQ69" s="535" t="str" cm="1">
        <f t="array" ref="BQ69">IFERROR(INDEX($AY$1:$AY$112,SMALL(IF($AY$1:$AY$112&lt;&gt;"",ROW($AY$1:$AY$112),4^8),ROW(69:69)))&amp;"","")</f>
        <v>沼泽种</v>
      </c>
    </row>
    <row r="70" customHeight="1" spans="1:69">
      <c r="A70" s="519" t="s">
        <v>5769</v>
      </c>
      <c r="B70" s="511">
        <v>45</v>
      </c>
      <c r="C70" s="546">
        <v>1</v>
      </c>
      <c r="D70" s="546">
        <v>3</v>
      </c>
      <c r="E70" s="512" t="s">
        <v>5923</v>
      </c>
      <c r="F70" s="512" t="s">
        <v>5471</v>
      </c>
      <c r="G70" s="512" t="s">
        <v>5924</v>
      </c>
      <c r="H70" s="512" t="s">
        <v>333</v>
      </c>
      <c r="I70" s="512"/>
      <c r="J70" s="522">
        <v>35</v>
      </c>
      <c r="K70" s="523" t="s">
        <v>5719</v>
      </c>
      <c r="L70" s="512" t="s">
        <v>5925</v>
      </c>
      <c r="M70" s="512" t="s">
        <v>3663</v>
      </c>
      <c r="N70" s="512" t="s">
        <v>5926</v>
      </c>
      <c r="O70" s="512" t="s">
        <v>5927</v>
      </c>
      <c r="P70" s="524"/>
      <c r="Q70" s="524"/>
      <c r="R70" s="524"/>
      <c r="S70" s="524"/>
      <c r="T70" s="524"/>
      <c r="U70" s="524"/>
      <c r="V70" s="524"/>
      <c r="W70" s="524"/>
      <c r="X70" s="524"/>
      <c r="Y70" s="524"/>
      <c r="Z70" s="524"/>
      <c r="AA70" s="524"/>
      <c r="AB70" s="524"/>
      <c r="AC70" s="524"/>
      <c r="AD70" s="524"/>
      <c r="AE70" s="524"/>
      <c r="AF70" s="524"/>
      <c r="AG70" s="524"/>
      <c r="AH70" s="524"/>
      <c r="AI70" s="524"/>
      <c r="AJ70" s="524"/>
      <c r="AK70" s="524"/>
      <c r="AL70" s="524"/>
      <c r="AM70" s="524"/>
      <c r="AN70" s="524"/>
      <c r="AO70" s="524"/>
      <c r="AV70" s="525"/>
      <c r="AY70" s="527" t="str">
        <f>IF(主要!$CO$5="O","枉替之子","")</f>
        <v>枉替之子</v>
      </c>
      <c r="BO70" s="525"/>
      <c r="BQ70" s="535" t="str" cm="1">
        <f t="array" ref="BQ70">IFERROR(INDEX($AY$1:$AY$112,SMALL(IF($AY$1:$AY$112&lt;&gt;"",ROW($AY$1:$AY$112),4^8),ROW(70:70)))&amp;"","")</f>
        <v>枉替之子</v>
      </c>
    </row>
    <row r="71" customHeight="1" spans="1:69">
      <c r="A71" s="519" t="s">
        <v>5773</v>
      </c>
      <c r="B71" s="511">
        <v>46</v>
      </c>
      <c r="C71" s="546">
        <v>1</v>
      </c>
      <c r="D71" s="546">
        <v>5</v>
      </c>
      <c r="E71" s="512" t="s">
        <v>5928</v>
      </c>
      <c r="F71" s="512" t="s">
        <v>5471</v>
      </c>
      <c r="G71" s="512" t="s">
        <v>5929</v>
      </c>
      <c r="H71" s="512" t="s">
        <v>333</v>
      </c>
      <c r="I71" s="512"/>
      <c r="J71" s="522"/>
      <c r="K71" s="523"/>
      <c r="L71" s="512" t="s">
        <v>5930</v>
      </c>
      <c r="M71" s="512" t="s">
        <v>5931</v>
      </c>
      <c r="N71" s="512" t="s">
        <v>5932</v>
      </c>
      <c r="O71" s="512" t="s">
        <v>5933</v>
      </c>
      <c r="P71" s="524"/>
      <c r="Q71" s="524"/>
      <c r="R71" s="524"/>
      <c r="S71" s="524"/>
      <c r="T71" s="524"/>
      <c r="U71" s="524"/>
      <c r="V71" s="524"/>
      <c r="W71" s="524"/>
      <c r="X71" s="524"/>
      <c r="Y71" s="524"/>
      <c r="Z71" s="524"/>
      <c r="AA71" s="524"/>
      <c r="AB71" s="524"/>
      <c r="AC71" s="524"/>
      <c r="AD71" s="524"/>
      <c r="AE71" s="524"/>
      <c r="AF71" s="524"/>
      <c r="AG71" s="524"/>
      <c r="AH71" s="524"/>
      <c r="AI71" s="524"/>
      <c r="AJ71" s="524"/>
      <c r="AK71" s="524"/>
      <c r="AL71" s="524"/>
      <c r="AM71" s="512"/>
      <c r="AN71" s="512"/>
      <c r="AV71" s="525"/>
      <c r="AY71" s="527" t="str">
        <f>IF(主要!$CO$5="O","无形之灵","")</f>
        <v>无形之灵</v>
      </c>
      <c r="BO71" s="525"/>
      <c r="BQ71" s="535" t="str" cm="1">
        <f t="array" ref="BQ71">IFERROR(INDEX($AY$1:$AY$112,SMALL(IF($AY$1:$AY$112&lt;&gt;"",ROW($AY$1:$AY$112),4^8),ROW(71:71)))&amp;"","")</f>
        <v>无形之灵</v>
      </c>
    </row>
    <row r="72" customHeight="1" spans="1:69">
      <c r="A72" s="519" t="s">
        <v>5778</v>
      </c>
      <c r="B72" s="511">
        <v>47</v>
      </c>
      <c r="C72" s="546">
        <v>1</v>
      </c>
      <c r="D72" s="546">
        <v>5</v>
      </c>
      <c r="E72" s="512" t="s">
        <v>5934</v>
      </c>
      <c r="F72" s="512" t="s">
        <v>5471</v>
      </c>
      <c r="G72" s="512" t="s">
        <v>5935</v>
      </c>
      <c r="H72" s="512" t="s">
        <v>333</v>
      </c>
      <c r="I72" s="512"/>
      <c r="J72" s="522">
        <v>36</v>
      </c>
      <c r="K72" s="523" t="s">
        <v>5724</v>
      </c>
      <c r="L72" s="524" t="s">
        <v>5936</v>
      </c>
      <c r="M72" s="524" t="s">
        <v>5473</v>
      </c>
      <c r="N72" s="524" t="s">
        <v>5720</v>
      </c>
      <c r="O72" s="524" t="s">
        <v>5937</v>
      </c>
      <c r="P72" s="524" t="s">
        <v>5531</v>
      </c>
      <c r="Q72" s="524" t="s">
        <v>5532</v>
      </c>
      <c r="R72" s="524"/>
      <c r="S72" s="524"/>
      <c r="T72" s="524"/>
      <c r="U72" s="524"/>
      <c r="V72" s="524"/>
      <c r="W72" s="524"/>
      <c r="X72" s="524"/>
      <c r="Y72" s="524"/>
      <c r="Z72" s="524"/>
      <c r="AA72" s="524"/>
      <c r="AB72" s="524"/>
      <c r="AC72" s="524"/>
      <c r="AD72" s="524"/>
      <c r="AE72" s="524"/>
      <c r="AF72" s="524"/>
      <c r="AG72" s="524"/>
      <c r="AH72" s="524"/>
      <c r="AI72" s="524"/>
      <c r="AJ72" s="524"/>
      <c r="AK72" s="524"/>
      <c r="AL72" s="524"/>
      <c r="AM72" s="524"/>
      <c r="AN72" s="524"/>
      <c r="AO72" s="524"/>
      <c r="AV72" s="525"/>
      <c r="AY72" s="527" t="str">
        <f>IF(主要!$CO$7="O","鸦族","")</f>
        <v>鸦族</v>
      </c>
      <c r="AZ72" s="442" t="s">
        <v>5938</v>
      </c>
      <c r="BA72" s="442" t="s">
        <v>5939</v>
      </c>
      <c r="BO72" s="525"/>
      <c r="BQ72" s="535" t="str" cm="1">
        <f t="array" ref="BQ72">IFERROR(INDEX($AY$1:$AY$112,SMALL(IF($AY$1:$AY$112&lt;&gt;"",ROW($AY$1:$AY$112),4^8),ROW(72:72)))&amp;"","")</f>
        <v>鸦族</v>
      </c>
    </row>
    <row r="73" customHeight="1" spans="1:69">
      <c r="A73" s="511" t="s">
        <v>5811</v>
      </c>
      <c r="B73" s="511">
        <v>48</v>
      </c>
      <c r="C73" s="511">
        <v>1</v>
      </c>
      <c r="D73" s="511">
        <v>4</v>
      </c>
      <c r="E73" s="512" t="s">
        <v>5940</v>
      </c>
      <c r="F73" s="512" t="s">
        <v>5471</v>
      </c>
      <c r="G73" s="512" t="s">
        <v>5941</v>
      </c>
      <c r="H73" s="512" t="s">
        <v>5918</v>
      </c>
      <c r="I73" s="512"/>
      <c r="J73" s="522"/>
      <c r="K73" s="523"/>
      <c r="L73" s="524" t="s">
        <v>5942</v>
      </c>
      <c r="M73" s="524" t="s">
        <v>5483</v>
      </c>
      <c r="N73" s="524" t="s">
        <v>5725</v>
      </c>
      <c r="O73" s="524" t="s">
        <v>5943</v>
      </c>
      <c r="P73" s="524" t="s">
        <v>5767</v>
      </c>
      <c r="Q73" s="524" t="s">
        <v>5944</v>
      </c>
      <c r="R73" s="524"/>
      <c r="S73" s="524"/>
      <c r="T73" s="524"/>
      <c r="U73" s="524"/>
      <c r="V73" s="524"/>
      <c r="W73" s="524"/>
      <c r="X73" s="524"/>
      <c r="Y73" s="524"/>
      <c r="Z73" s="524"/>
      <c r="AA73" s="524"/>
      <c r="AB73" s="524"/>
      <c r="AC73" s="524"/>
      <c r="AD73" s="524"/>
      <c r="AE73" s="524"/>
      <c r="AF73" s="524"/>
      <c r="AG73" s="524"/>
      <c r="AH73" s="524"/>
      <c r="AI73" s="524"/>
      <c r="AJ73" s="524"/>
      <c r="AK73" s="524"/>
      <c r="AL73" s="524"/>
      <c r="AM73" s="512"/>
      <c r="AN73" s="512"/>
      <c r="AV73" s="525"/>
      <c r="AY73" s="527" t="str">
        <f>IF(主要!$CO$7="O","雉族","")</f>
        <v>雉族</v>
      </c>
      <c r="AZ73" s="512" t="s">
        <v>5945</v>
      </c>
      <c r="BA73" s="512" t="s">
        <v>5946</v>
      </c>
      <c r="BO73" s="525"/>
      <c r="BQ73" s="535" t="str" cm="1">
        <f t="array" ref="BQ73">IFERROR(INDEX($AY$1:$AY$112,SMALL(IF($AY$1:$AY$112&lt;&gt;"",ROW($AY$1:$AY$112),4^8),ROW(73:73)))&amp;"","")</f>
        <v>雉族</v>
      </c>
    </row>
    <row r="74" customHeight="1" spans="1:69">
      <c r="A74" s="442" t="s">
        <v>5817</v>
      </c>
      <c r="B74" s="514"/>
      <c r="C74" s="514">
        <v>5</v>
      </c>
      <c r="D74" s="514">
        <v>5</v>
      </c>
      <c r="E74" s="512" t="s">
        <v>5947</v>
      </c>
      <c r="F74" s="512" t="s">
        <v>5471</v>
      </c>
      <c r="G74" s="512" t="s">
        <v>5948</v>
      </c>
      <c r="H74" s="512" t="s">
        <v>5918</v>
      </c>
      <c r="I74" s="512"/>
      <c r="J74" s="522">
        <v>37</v>
      </c>
      <c r="K74" s="523" t="s">
        <v>5730</v>
      </c>
      <c r="L74" s="524" t="s">
        <v>5949</v>
      </c>
      <c r="M74" s="524" t="s">
        <v>5473</v>
      </c>
      <c r="N74" s="524" t="s">
        <v>5720</v>
      </c>
      <c r="O74" s="524" t="s">
        <v>5531</v>
      </c>
      <c r="P74" s="524" t="s">
        <v>5950</v>
      </c>
      <c r="Q74" s="524" t="s">
        <v>5532</v>
      </c>
      <c r="R74" s="524"/>
      <c r="S74" s="524"/>
      <c r="T74" s="524"/>
      <c r="U74" s="524"/>
      <c r="V74" s="524"/>
      <c r="W74" s="524"/>
      <c r="X74" s="524"/>
      <c r="Y74" s="524"/>
      <c r="Z74" s="524"/>
      <c r="AA74" s="524"/>
      <c r="AB74" s="524"/>
      <c r="AC74" s="524"/>
      <c r="AD74" s="524"/>
      <c r="AE74" s="524"/>
      <c r="AF74" s="524"/>
      <c r="AG74" s="524"/>
      <c r="AH74" s="524"/>
      <c r="AI74" s="524"/>
      <c r="AJ74" s="524"/>
      <c r="AK74" s="524"/>
      <c r="AL74" s="524"/>
      <c r="AM74" s="524"/>
      <c r="AN74" s="524"/>
      <c r="AO74" s="524"/>
      <c r="AV74" s="525"/>
      <c r="AY74" s="527" t="str">
        <f>IF(主要!$CO$7="O","鸽族","")</f>
        <v>鸽族</v>
      </c>
      <c r="AZ74" s="512" t="s">
        <v>5951</v>
      </c>
      <c r="BA74" s="512" t="s">
        <v>5952</v>
      </c>
      <c r="BO74" s="525"/>
      <c r="BQ74" s="535" t="str" cm="1">
        <f t="array" ref="BQ74">IFERROR(INDEX($AY$1:$AY$112,SMALL(IF($AY$1:$AY$112&lt;&gt;"",ROW($AY$1:$AY$112),4^8),ROW(74:74)))&amp;"","")</f>
        <v>鸽族</v>
      </c>
    </row>
    <row r="75" customHeight="1" spans="1:69">
      <c r="A75" s="442" t="s">
        <v>5818</v>
      </c>
      <c r="B75" s="514"/>
      <c r="C75" s="514">
        <v>6</v>
      </c>
      <c r="D75" s="514">
        <v>6</v>
      </c>
      <c r="E75" s="512" t="s">
        <v>5953</v>
      </c>
      <c r="F75" s="512" t="s">
        <v>5471</v>
      </c>
      <c r="G75" s="512" t="s">
        <v>5954</v>
      </c>
      <c r="H75" s="512" t="s">
        <v>333</v>
      </c>
      <c r="I75" s="512"/>
      <c r="J75" s="522"/>
      <c r="K75" s="523"/>
      <c r="L75" s="512" t="s">
        <v>5955</v>
      </c>
      <c r="M75" s="512" t="s">
        <v>5483</v>
      </c>
      <c r="N75" s="524" t="s">
        <v>5725</v>
      </c>
      <c r="O75" s="524" t="s">
        <v>5767</v>
      </c>
      <c r="P75" s="524" t="s">
        <v>5956</v>
      </c>
      <c r="Q75" s="524" t="s">
        <v>5944</v>
      </c>
      <c r="R75" s="524"/>
      <c r="S75" s="524"/>
      <c r="T75" s="524"/>
      <c r="U75" s="524"/>
      <c r="V75" s="524"/>
      <c r="W75" s="524"/>
      <c r="X75" s="524"/>
      <c r="Y75" s="524"/>
      <c r="Z75" s="524"/>
      <c r="AA75" s="524"/>
      <c r="AB75" s="524"/>
      <c r="AC75" s="524"/>
      <c r="AD75" s="524"/>
      <c r="AE75" s="524"/>
      <c r="AF75" s="524"/>
      <c r="AG75" s="524"/>
      <c r="AH75" s="524"/>
      <c r="AI75" s="524"/>
      <c r="AJ75" s="524"/>
      <c r="AK75" s="524"/>
      <c r="AL75" s="524"/>
      <c r="AM75" s="512"/>
      <c r="AN75" s="512"/>
      <c r="AV75" s="525"/>
      <c r="AY75" s="527" t="str">
        <f>IF(主要!$CO$7="O","隼族","")</f>
        <v>隼族</v>
      </c>
      <c r="AZ75" s="512" t="s">
        <v>5957</v>
      </c>
      <c r="BA75" s="512" t="s">
        <v>5958</v>
      </c>
      <c r="BO75" s="525"/>
      <c r="BQ75" s="535" t="str" cm="1">
        <f t="array" ref="BQ75">IFERROR(INDEX($AY$1:$AY$112,SMALL(IF($AY$1:$AY$112&lt;&gt;"",ROW($AY$1:$AY$112),4^8),ROW(75:75)))&amp;"","")</f>
        <v>隼族</v>
      </c>
    </row>
    <row r="76" customHeight="1" spans="1:69">
      <c r="A76" s="442" t="s">
        <v>5819</v>
      </c>
      <c r="B76" s="514"/>
      <c r="C76" s="514">
        <v>7</v>
      </c>
      <c r="D76" s="514">
        <v>7</v>
      </c>
      <c r="E76" s="512" t="s">
        <v>5959</v>
      </c>
      <c r="F76" s="512" t="s">
        <v>5471</v>
      </c>
      <c r="G76" s="512" t="s">
        <v>5960</v>
      </c>
      <c r="H76" s="512" t="s">
        <v>333</v>
      </c>
      <c r="I76" s="512"/>
      <c r="J76" s="522">
        <v>38</v>
      </c>
      <c r="K76" s="523" t="s">
        <v>5735</v>
      </c>
      <c r="L76" s="524" t="s">
        <v>5961</v>
      </c>
      <c r="M76" s="524" t="s">
        <v>5962</v>
      </c>
      <c r="N76" s="524" t="s">
        <v>5473</v>
      </c>
      <c r="O76" s="524" t="s">
        <v>5963</v>
      </c>
      <c r="P76" s="524"/>
      <c r="Q76" s="524"/>
      <c r="R76" s="524"/>
      <c r="S76" s="524"/>
      <c r="T76" s="524"/>
      <c r="U76" s="524"/>
      <c r="V76" s="524"/>
      <c r="W76" s="524"/>
      <c r="X76" s="524"/>
      <c r="Y76" s="524"/>
      <c r="Z76" s="524"/>
      <c r="AA76" s="524"/>
      <c r="AB76" s="524"/>
      <c r="AC76" s="524"/>
      <c r="AD76" s="524"/>
      <c r="AE76" s="524"/>
      <c r="AF76" s="524"/>
      <c r="AG76" s="524"/>
      <c r="AH76" s="524"/>
      <c r="AI76" s="524"/>
      <c r="AJ76" s="524"/>
      <c r="AK76" s="524"/>
      <c r="AL76" s="524"/>
      <c r="AM76" s="524"/>
      <c r="AN76" s="524"/>
      <c r="AO76" s="524"/>
      <c r="AV76" s="525"/>
      <c r="AY76" s="527" t="str">
        <f>IF(主要!$CO$7="O","鸮族","")</f>
        <v>鸮族</v>
      </c>
      <c r="AZ76" s="512" t="s">
        <v>5964</v>
      </c>
      <c r="BA76" s="512" t="s">
        <v>5965</v>
      </c>
      <c r="BO76" s="525"/>
      <c r="BQ76" s="535" t="str" cm="1">
        <f t="array" ref="BQ76">IFERROR(INDEX($AY$1:$AY$112,SMALL(IF($AY$1:$AY$112&lt;&gt;"",ROW($AY$1:$AY$112),4^8),ROW(76:76)))&amp;"","")</f>
        <v>鸮族</v>
      </c>
    </row>
    <row r="77" customHeight="1" spans="1:69">
      <c r="A77" s="511" t="s">
        <v>5966</v>
      </c>
      <c r="B77" s="511">
        <v>49</v>
      </c>
      <c r="C77" s="511">
        <v>1</v>
      </c>
      <c r="D77" s="511">
        <v>4</v>
      </c>
      <c r="E77" s="512" t="s">
        <v>5967</v>
      </c>
      <c r="F77" s="512" t="s">
        <v>5471</v>
      </c>
      <c r="G77" s="512" t="s">
        <v>5968</v>
      </c>
      <c r="H77" s="512" t="s">
        <v>5918</v>
      </c>
      <c r="I77" s="512"/>
      <c r="J77" s="522"/>
      <c r="K77" s="523"/>
      <c r="L77" s="524" t="s">
        <v>5969</v>
      </c>
      <c r="M77" s="524" t="s">
        <v>5970</v>
      </c>
      <c r="N77" s="524" t="s">
        <v>5483</v>
      </c>
      <c r="O77" s="524" t="s">
        <v>5971</v>
      </c>
      <c r="P77" s="524"/>
      <c r="Q77" s="524"/>
      <c r="R77" s="524"/>
      <c r="S77" s="524"/>
      <c r="T77" s="524"/>
      <c r="U77" s="524"/>
      <c r="V77" s="524"/>
      <c r="W77" s="524"/>
      <c r="X77" s="524"/>
      <c r="Y77" s="524"/>
      <c r="Z77" s="524"/>
      <c r="AA77" s="524"/>
      <c r="AB77" s="524"/>
      <c r="AC77" s="524"/>
      <c r="AD77" s="524"/>
      <c r="AE77" s="524"/>
      <c r="AF77" s="524"/>
      <c r="AG77" s="524"/>
      <c r="AH77" s="524"/>
      <c r="AI77" s="524"/>
      <c r="AJ77" s="524"/>
      <c r="AK77" s="524"/>
      <c r="AL77" s="524"/>
      <c r="AM77" s="524"/>
      <c r="AN77" s="524"/>
      <c r="AO77" s="524"/>
      <c r="AV77" s="525"/>
      <c r="AY77" s="527" t="str">
        <f>IF(主要!$CO$7="O","鹿族","")</f>
        <v>鹿族</v>
      </c>
      <c r="AZ77" s="512" t="s">
        <v>5972</v>
      </c>
      <c r="BA77" s="512" t="s">
        <v>5973</v>
      </c>
      <c r="BO77" s="525"/>
      <c r="BQ77" s="535" t="str" cm="1">
        <f t="array" ref="BQ77">IFERROR(INDEX($AY$1:$AY$112,SMALL(IF($AY$1:$AY$112&lt;&gt;"",ROW($AY$1:$AY$112),4^8),ROW(77:77)))&amp;"","")</f>
        <v>鹿族</v>
      </c>
    </row>
    <row r="78" customHeight="1" spans="1:69">
      <c r="A78" s="511" t="s">
        <v>5820</v>
      </c>
      <c r="B78" s="511">
        <v>50</v>
      </c>
      <c r="C78" s="511">
        <v>1</v>
      </c>
      <c r="D78" s="511">
        <v>4</v>
      </c>
      <c r="E78" s="512" t="s">
        <v>5974</v>
      </c>
      <c r="F78" s="512" t="s">
        <v>5471</v>
      </c>
      <c r="G78" s="512" t="s">
        <v>5975</v>
      </c>
      <c r="H78" s="512" t="s">
        <v>333</v>
      </c>
      <c r="I78" s="512"/>
      <c r="J78" s="522">
        <v>39</v>
      </c>
      <c r="K78" s="523" t="s">
        <v>5742</v>
      </c>
      <c r="L78" s="524" t="s">
        <v>5976</v>
      </c>
      <c r="M78" s="524" t="s">
        <v>5900</v>
      </c>
      <c r="N78" s="524" t="s">
        <v>5648</v>
      </c>
      <c r="O78" s="524" t="s">
        <v>5902</v>
      </c>
      <c r="P78" s="524" t="s">
        <v>5977</v>
      </c>
      <c r="Q78" s="524"/>
      <c r="R78" s="524"/>
      <c r="S78" s="524"/>
      <c r="T78" s="524"/>
      <c r="U78" s="524"/>
      <c r="V78" s="524"/>
      <c r="W78" s="524"/>
      <c r="X78" s="524"/>
      <c r="Y78" s="524"/>
      <c r="Z78" s="524"/>
      <c r="AA78" s="524"/>
      <c r="AB78" s="524"/>
      <c r="AC78" s="524"/>
      <c r="AD78" s="524"/>
      <c r="AE78" s="524"/>
      <c r="AF78" s="524"/>
      <c r="AG78" s="524"/>
      <c r="AH78" s="524"/>
      <c r="AI78" s="524"/>
      <c r="AJ78" s="524"/>
      <c r="AK78" s="524"/>
      <c r="AL78" s="524"/>
      <c r="AM78" s="524"/>
      <c r="AN78" s="524"/>
      <c r="AO78" s="524"/>
      <c r="AV78" s="525"/>
      <c r="AY78" s="527" t="str">
        <f>IF(主要!$CO$7="O","猬族","")</f>
        <v>猬族</v>
      </c>
      <c r="BO78" s="525"/>
      <c r="BQ78" s="535" t="str" cm="1">
        <f t="array" ref="BQ78">IFERROR(INDEX($AY$1:$AY$112,SMALL(IF($AY$1:$AY$112&lt;&gt;"",ROW($AY$1:$AY$112),4^8),ROW(78:78)))&amp;"","")</f>
        <v>猬族</v>
      </c>
    </row>
    <row r="79" customHeight="1" spans="1:69">
      <c r="A79" s="442" t="s">
        <v>5831</v>
      </c>
      <c r="B79" s="514"/>
      <c r="C79" s="514">
        <v>5</v>
      </c>
      <c r="D79" s="514">
        <v>5</v>
      </c>
      <c r="E79" s="512" t="s">
        <v>5978</v>
      </c>
      <c r="F79" s="512" t="s">
        <v>5471</v>
      </c>
      <c r="G79" s="512" t="s">
        <v>5979</v>
      </c>
      <c r="H79" s="512" t="s">
        <v>333</v>
      </c>
      <c r="I79" s="512"/>
      <c r="J79" s="522"/>
      <c r="K79" s="523"/>
      <c r="L79" s="524" t="s">
        <v>5980</v>
      </c>
      <c r="M79" s="524" t="s">
        <v>5981</v>
      </c>
      <c r="N79" s="524" t="s">
        <v>5982</v>
      </c>
      <c r="O79" s="524" t="s">
        <v>5983</v>
      </c>
      <c r="P79" s="524" t="s">
        <v>5984</v>
      </c>
      <c r="Q79" s="524"/>
      <c r="R79" s="524"/>
      <c r="S79" s="524"/>
      <c r="T79" s="524"/>
      <c r="U79" s="524"/>
      <c r="V79" s="524"/>
      <c r="W79" s="524"/>
      <c r="X79" s="524"/>
      <c r="Y79" s="524"/>
      <c r="Z79" s="524"/>
      <c r="AA79" s="524"/>
      <c r="AB79" s="524"/>
      <c r="AC79" s="524"/>
      <c r="AD79" s="524"/>
      <c r="AE79" s="524"/>
      <c r="AF79" s="524"/>
      <c r="AG79" s="524"/>
      <c r="AH79" s="524"/>
      <c r="AI79" s="524"/>
      <c r="AJ79" s="524"/>
      <c r="AK79" s="524"/>
      <c r="AL79" s="524"/>
      <c r="AM79" s="512"/>
      <c r="AN79" s="512"/>
      <c r="AV79" s="525"/>
      <c r="AY79" s="527" t="str">
        <f>IF(主要!$CO$7="O","跳鼠族","")</f>
        <v>跳鼠族</v>
      </c>
      <c r="BO79" s="525"/>
      <c r="BQ79" s="535" t="str" cm="1">
        <f t="array" ref="BQ79">IFERROR(INDEX($AY$1:$AY$112,SMALL(IF($AY$1:$AY$112&lt;&gt;"",ROW($AY$1:$AY$112),4^8),ROW(79:79)))&amp;"","")</f>
        <v>跳鼠族</v>
      </c>
    </row>
    <row r="80" customHeight="1" spans="1:69">
      <c r="A80" s="442" t="s">
        <v>5832</v>
      </c>
      <c r="B80" s="514"/>
      <c r="C80" s="514">
        <v>6</v>
      </c>
      <c r="D80" s="514">
        <v>6</v>
      </c>
      <c r="E80" s="512" t="s">
        <v>5985</v>
      </c>
      <c r="F80" s="512" t="s">
        <v>5471</v>
      </c>
      <c r="G80" s="512" t="s">
        <v>5986</v>
      </c>
      <c r="H80" s="512" t="s">
        <v>333</v>
      </c>
      <c r="I80" s="512"/>
      <c r="J80" s="522">
        <v>40</v>
      </c>
      <c r="K80" s="523" t="s">
        <v>5746</v>
      </c>
      <c r="L80" s="524" t="s">
        <v>5987</v>
      </c>
      <c r="M80" s="524" t="s">
        <v>5988</v>
      </c>
      <c r="N80" s="524" t="s">
        <v>5473</v>
      </c>
      <c r="O80" s="524" t="s">
        <v>5989</v>
      </c>
      <c r="P80" s="524" t="s">
        <v>5990</v>
      </c>
      <c r="Q80" s="524"/>
      <c r="R80" s="524"/>
      <c r="S80" s="524"/>
      <c r="T80" s="524"/>
      <c r="U80" s="524"/>
      <c r="V80" s="524"/>
      <c r="W80" s="524"/>
      <c r="X80" s="524"/>
      <c r="Y80" s="524"/>
      <c r="Z80" s="524"/>
      <c r="AA80" s="524"/>
      <c r="AB80" s="524"/>
      <c r="AC80" s="524"/>
      <c r="AD80" s="524"/>
      <c r="AE80" s="524"/>
      <c r="AF80" s="524"/>
      <c r="AG80" s="524"/>
      <c r="AH80" s="524"/>
      <c r="AI80" s="524"/>
      <c r="AJ80" s="524"/>
      <c r="AK80" s="524"/>
      <c r="AL80" s="524"/>
      <c r="AM80" s="524"/>
      <c r="AN80" s="524"/>
      <c r="AO80" s="524"/>
      <c r="AV80" s="525"/>
      <c r="AY80" s="527" t="str">
        <f>IF(主要!$CO$7="O","浣熊族","")</f>
        <v>浣熊族</v>
      </c>
      <c r="BO80" s="525"/>
      <c r="BQ80" s="535" t="str" cm="1">
        <f t="array" ref="BQ80">IFERROR(INDEX($AY$1:$AY$112,SMALL(IF($AY$1:$AY$112&lt;&gt;"",ROW($AY$1:$AY$112),4^8),ROW(80:80)))&amp;"","")</f>
        <v>浣熊族</v>
      </c>
    </row>
    <row r="81" customHeight="1" spans="1:69">
      <c r="A81" s="511" t="s">
        <v>5826</v>
      </c>
      <c r="B81" s="511">
        <v>51</v>
      </c>
      <c r="C81" s="511">
        <v>1</v>
      </c>
      <c r="D81" s="511">
        <v>2</v>
      </c>
      <c r="E81" s="512" t="s">
        <v>5991</v>
      </c>
      <c r="F81" s="512" t="s">
        <v>5471</v>
      </c>
      <c r="G81" s="512" t="s">
        <v>5992</v>
      </c>
      <c r="H81" s="512" t="s">
        <v>5993</v>
      </c>
      <c r="I81" s="512"/>
      <c r="J81" s="522"/>
      <c r="K81" s="523"/>
      <c r="L81" s="524" t="s">
        <v>5994</v>
      </c>
      <c r="M81" s="524" t="s">
        <v>5995</v>
      </c>
      <c r="N81" s="524" t="s">
        <v>5483</v>
      </c>
      <c r="O81" s="524" t="s">
        <v>5996</v>
      </c>
      <c r="P81" s="524" t="s">
        <v>5997</v>
      </c>
      <c r="Q81" s="524"/>
      <c r="R81" s="524"/>
      <c r="S81" s="524"/>
      <c r="T81" s="524"/>
      <c r="U81" s="524"/>
      <c r="V81" s="524"/>
      <c r="W81" s="524"/>
      <c r="X81" s="524"/>
      <c r="Y81" s="512"/>
      <c r="Z81" s="524"/>
      <c r="AA81" s="524"/>
      <c r="AB81" s="524"/>
      <c r="AC81" s="524"/>
      <c r="AD81" s="524"/>
      <c r="AE81" s="524"/>
      <c r="AF81" s="524"/>
      <c r="AG81" s="524"/>
      <c r="AH81" s="524"/>
      <c r="AI81" s="524"/>
      <c r="AJ81" s="524"/>
      <c r="AK81" s="524"/>
      <c r="AL81" s="524"/>
      <c r="AM81" s="512"/>
      <c r="AN81" s="512"/>
      <c r="AV81" s="525"/>
      <c r="AY81" s="527" t="str">
        <f>IF(主要!$CO$7="O","狡狐族","")</f>
        <v>狡狐族</v>
      </c>
      <c r="BO81" s="525"/>
      <c r="BQ81" s="535" t="str" cm="1">
        <f t="array" ref="BQ81">IFERROR(INDEX($AY$1:$AY$112,SMALL(IF($AY$1:$AY$112&lt;&gt;"",ROW($AY$1:$AY$112),4^8),ROW(81:81)))&amp;"","")</f>
        <v>狡狐族</v>
      </c>
    </row>
    <row r="82" customHeight="1" spans="1:69">
      <c r="A82" s="442" t="s">
        <v>5838</v>
      </c>
      <c r="B82" s="514"/>
      <c r="C82" s="514">
        <v>3</v>
      </c>
      <c r="D82" s="514">
        <v>3</v>
      </c>
      <c r="E82" s="512" t="s">
        <v>5998</v>
      </c>
      <c r="F82" s="512" t="s">
        <v>5471</v>
      </c>
      <c r="G82" s="512" t="s">
        <v>5999</v>
      </c>
      <c r="H82" s="512" t="s">
        <v>333</v>
      </c>
      <c r="I82" s="512"/>
      <c r="J82" s="522">
        <v>41</v>
      </c>
      <c r="K82" s="523" t="s">
        <v>5751</v>
      </c>
      <c r="L82" s="524" t="s">
        <v>5473</v>
      </c>
      <c r="M82" s="524" t="s">
        <v>3663</v>
      </c>
      <c r="N82" s="524" t="s">
        <v>6000</v>
      </c>
      <c r="O82" s="524" t="s">
        <v>6001</v>
      </c>
      <c r="P82" s="524"/>
      <c r="Q82" s="524"/>
      <c r="R82" s="524"/>
      <c r="S82" s="524"/>
      <c r="T82" s="524"/>
      <c r="U82" s="524"/>
      <c r="V82" s="524"/>
      <c r="W82" s="524"/>
      <c r="X82" s="524"/>
      <c r="Y82" s="524"/>
      <c r="Z82" s="524"/>
      <c r="AA82" s="524"/>
      <c r="AB82" s="524"/>
      <c r="AC82" s="524"/>
      <c r="AD82" s="524"/>
      <c r="AE82" s="524"/>
      <c r="AF82" s="524"/>
      <c r="AG82" s="524"/>
      <c r="AH82" s="524"/>
      <c r="AI82" s="524"/>
      <c r="AJ82" s="524"/>
      <c r="AK82" s="524"/>
      <c r="AL82" s="524"/>
      <c r="AM82" s="524"/>
      <c r="AN82" s="524"/>
      <c r="AO82" s="524"/>
      <c r="AV82" s="525"/>
      <c r="AY82" s="527" t="str">
        <f>IF(主要!$CO$10="O","以太裔","")</f>
        <v>以太裔</v>
      </c>
      <c r="BO82" s="525"/>
      <c r="BQ82" s="535" t="str" cm="1">
        <f t="array" ref="BQ82">IFERROR(INDEX($AY$1:$AY$112,SMALL(IF($AY$1:$AY$112&lt;&gt;"",ROW($AY$1:$AY$112),4^8),ROW(82:82)))&amp;"","")</f>
        <v>以太裔</v>
      </c>
    </row>
    <row r="83" customHeight="1" spans="1:69">
      <c r="A83" s="442" t="s">
        <v>5839</v>
      </c>
      <c r="B83" s="514"/>
      <c r="C83" s="514">
        <v>4</v>
      </c>
      <c r="D83" s="514">
        <v>4</v>
      </c>
      <c r="E83" s="512" t="s">
        <v>6002</v>
      </c>
      <c r="F83" s="512" t="s">
        <v>5471</v>
      </c>
      <c r="G83" s="512" t="s">
        <v>6003</v>
      </c>
      <c r="H83" s="512" t="s">
        <v>333</v>
      </c>
      <c r="I83" s="512"/>
      <c r="J83" s="522"/>
      <c r="K83" s="523"/>
      <c r="L83" s="524" t="s">
        <v>5483</v>
      </c>
      <c r="M83" s="524" t="s">
        <v>5931</v>
      </c>
      <c r="N83" s="524" t="s">
        <v>6004</v>
      </c>
      <c r="O83" s="524" t="s">
        <v>6005</v>
      </c>
      <c r="P83" s="524"/>
      <c r="Q83" s="524"/>
      <c r="R83" s="524"/>
      <c r="S83" s="524"/>
      <c r="T83" s="524"/>
      <c r="U83" s="524"/>
      <c r="V83" s="524"/>
      <c r="W83" s="524"/>
      <c r="X83" s="524"/>
      <c r="Y83" s="524"/>
      <c r="Z83" s="524"/>
      <c r="AA83" s="524"/>
      <c r="AB83" s="524"/>
      <c r="AC83" s="524"/>
      <c r="AD83" s="524"/>
      <c r="AE83" s="524"/>
      <c r="AF83" s="524"/>
      <c r="AG83" s="524"/>
      <c r="AH83" s="524"/>
      <c r="AI83" s="524"/>
      <c r="AJ83" s="524"/>
      <c r="AK83" s="524"/>
      <c r="AL83" s="524"/>
      <c r="AM83" s="524"/>
      <c r="AN83" s="524"/>
      <c r="AO83" s="524"/>
      <c r="AV83" s="525"/>
      <c r="AY83" s="527" t="str">
        <f>IF(主要!$CO$10="O","凝骸","")</f>
        <v>凝骸</v>
      </c>
      <c r="BO83" s="525"/>
      <c r="BQ83" s="535" t="str" cm="1">
        <f t="array" ref="BQ83">IFERROR(INDEX($AY$1:$AY$112,SMALL(IF($AY$1:$AY$112&lt;&gt;"",ROW($AY$1:$AY$112),4^8),ROW(83:83)))&amp;"","")</f>
        <v>凝骸</v>
      </c>
    </row>
    <row r="84" customHeight="1" spans="1:69">
      <c r="A84" s="442" t="s">
        <v>5840</v>
      </c>
      <c r="B84" s="514"/>
      <c r="C84" s="514">
        <v>5</v>
      </c>
      <c r="D84" s="514">
        <v>5</v>
      </c>
      <c r="E84" s="512" t="s">
        <v>6006</v>
      </c>
      <c r="F84" s="512" t="s">
        <v>5471</v>
      </c>
      <c r="G84" s="512" t="s">
        <v>6007</v>
      </c>
      <c r="H84" s="512" t="s">
        <v>6008</v>
      </c>
      <c r="I84" s="512"/>
      <c r="J84" s="522">
        <v>42</v>
      </c>
      <c r="K84" s="523" t="s">
        <v>5755</v>
      </c>
      <c r="L84" s="524" t="s">
        <v>6009</v>
      </c>
      <c r="M84" s="524" t="s">
        <v>5473</v>
      </c>
      <c r="N84" s="524" t="s">
        <v>5720</v>
      </c>
      <c r="O84" s="524" t="s">
        <v>5531</v>
      </c>
      <c r="P84" s="524" t="s">
        <v>6010</v>
      </c>
      <c r="Q84" s="524" t="s">
        <v>6011</v>
      </c>
      <c r="R84" s="524"/>
      <c r="S84" s="524"/>
      <c r="T84" s="524"/>
      <c r="U84" s="524"/>
      <c r="V84" s="524"/>
      <c r="W84" s="524"/>
      <c r="X84" s="524"/>
      <c r="Y84" s="524"/>
      <c r="Z84" s="524"/>
      <c r="AA84" s="524"/>
      <c r="AB84" s="524"/>
      <c r="AC84" s="524"/>
      <c r="AD84" s="524"/>
      <c r="AE84" s="524"/>
      <c r="AF84" s="524"/>
      <c r="AG84" s="524"/>
      <c r="AH84" s="524"/>
      <c r="AI84" s="524"/>
      <c r="AJ84" s="524"/>
      <c r="AK84" s="524"/>
      <c r="AL84" s="524"/>
      <c r="AM84" s="524"/>
      <c r="AN84" s="524"/>
      <c r="AO84" s="524"/>
      <c r="AV84" s="525"/>
      <c r="AY84" s="527" t="str">
        <f>IF(主要!$CO$8="O","熊民","")</f>
        <v>熊民</v>
      </c>
      <c r="BO84" s="525"/>
      <c r="BQ84" s="535" t="str" cm="1">
        <f t="array" ref="BQ84">IFERROR(INDEX($AY$1:$AY$112,SMALL(IF($AY$1:$AY$112&lt;&gt;"",ROW($AY$1:$AY$112),4^8),ROW(84:84)))&amp;"","")</f>
        <v>熊民</v>
      </c>
    </row>
    <row r="85" customHeight="1" spans="1:69">
      <c r="A85" s="442" t="s">
        <v>5841</v>
      </c>
      <c r="B85" s="514"/>
      <c r="C85" s="514">
        <v>6</v>
      </c>
      <c r="D85" s="514">
        <v>6</v>
      </c>
      <c r="E85" s="512" t="s">
        <v>6012</v>
      </c>
      <c r="F85" s="512" t="s">
        <v>5471</v>
      </c>
      <c r="G85" s="512" t="s">
        <v>6013</v>
      </c>
      <c r="H85" s="512" t="s">
        <v>333</v>
      </c>
      <c r="I85" s="512"/>
      <c r="J85" s="522"/>
      <c r="K85" s="523"/>
      <c r="L85" s="524" t="s">
        <v>6014</v>
      </c>
      <c r="M85" s="524" t="s">
        <v>5483</v>
      </c>
      <c r="N85" s="524" t="s">
        <v>6015</v>
      </c>
      <c r="O85" s="524" t="s">
        <v>5767</v>
      </c>
      <c r="P85" s="524" t="s">
        <v>6016</v>
      </c>
      <c r="Q85" s="524" t="s">
        <v>6017</v>
      </c>
      <c r="R85" s="524"/>
      <c r="S85" s="524"/>
      <c r="T85" s="524"/>
      <c r="U85" s="524"/>
      <c r="V85" s="524"/>
      <c r="W85" s="524"/>
      <c r="X85" s="524"/>
      <c r="Y85" s="524"/>
      <c r="Z85" s="524"/>
      <c r="AA85" s="524"/>
      <c r="AB85" s="524"/>
      <c r="AC85" s="524"/>
      <c r="AD85" s="524"/>
      <c r="AE85" s="524"/>
      <c r="AF85" s="524"/>
      <c r="AG85" s="524"/>
      <c r="AH85" s="524"/>
      <c r="AI85" s="524"/>
      <c r="AJ85" s="524"/>
      <c r="AK85" s="524"/>
      <c r="AL85" s="524"/>
      <c r="AM85" s="524"/>
      <c r="AN85" s="524"/>
      <c r="AO85" s="524"/>
      <c r="AV85" s="525"/>
      <c r="AY85" s="527" t="str">
        <f>IF(主要!$CO$8="O","达拉库食尸鬼","")</f>
        <v>达拉库食尸鬼</v>
      </c>
      <c r="AZ85" s="512" t="s">
        <v>6018</v>
      </c>
      <c r="BA85" s="512" t="s">
        <v>6019</v>
      </c>
      <c r="BO85" s="525"/>
      <c r="BQ85" s="535" t="str" cm="1">
        <f t="array" ref="BQ85">IFERROR(INDEX($AY$1:$AY$112,SMALL(IF($AY$1:$AY$112&lt;&gt;"",ROW($AY$1:$AY$112),4^8),ROW(85:85)))&amp;"","")</f>
        <v>达拉库食尸鬼</v>
      </c>
    </row>
    <row r="86" customHeight="1" spans="1:69">
      <c r="A86" s="442" t="s">
        <v>5842</v>
      </c>
      <c r="B86" s="514"/>
      <c r="C86" s="514">
        <v>7</v>
      </c>
      <c r="D86" s="514">
        <v>7</v>
      </c>
      <c r="E86" s="512" t="s">
        <v>6020</v>
      </c>
      <c r="F86" s="512" t="s">
        <v>5471</v>
      </c>
      <c r="G86" s="512" t="s">
        <v>6021</v>
      </c>
      <c r="H86" s="512" t="s">
        <v>333</v>
      </c>
      <c r="I86" s="512"/>
      <c r="J86" s="522">
        <v>43</v>
      </c>
      <c r="K86" s="523" t="s">
        <v>5761</v>
      </c>
      <c r="L86" s="524" t="s">
        <v>6022</v>
      </c>
      <c r="M86" s="524" t="s">
        <v>6023</v>
      </c>
      <c r="N86" s="524" t="s">
        <v>6024</v>
      </c>
      <c r="O86" s="524" t="s">
        <v>6025</v>
      </c>
      <c r="P86" s="524" t="s">
        <v>6026</v>
      </c>
      <c r="Q86" s="524" t="s">
        <v>6027</v>
      </c>
      <c r="R86" s="524"/>
      <c r="S86" s="524"/>
      <c r="T86" s="524"/>
      <c r="U86" s="524"/>
      <c r="V86" s="524"/>
      <c r="W86" s="524"/>
      <c r="X86" s="524"/>
      <c r="Y86" s="524"/>
      <c r="Z86" s="524"/>
      <c r="AA86" s="524"/>
      <c r="AB86" s="524"/>
      <c r="AC86" s="524"/>
      <c r="AD86" s="524"/>
      <c r="AE86" s="524"/>
      <c r="AF86" s="524"/>
      <c r="AG86" s="524"/>
      <c r="AH86" s="524"/>
      <c r="AI86" s="524"/>
      <c r="AJ86" s="524"/>
      <c r="AK86" s="524"/>
      <c r="AL86" s="524"/>
      <c r="AM86" s="524"/>
      <c r="AN86" s="524"/>
      <c r="AO86" s="524"/>
      <c r="AV86" s="525"/>
      <c r="AY86" s="527" t="str">
        <f>IF(主要!$CO$8="O","幽影地精","")</f>
        <v>幽影地精</v>
      </c>
      <c r="BO86" s="525"/>
      <c r="BQ86" s="535" t="str" cm="1">
        <f t="array" ref="BQ86">IFERROR(INDEX($AY$1:$AY$112,SMALL(IF($AY$1:$AY$112&lt;&gt;"",ROW($AY$1:$AY$112),4^8),ROW(86:86)))&amp;"","")</f>
        <v>幽影地精</v>
      </c>
    </row>
    <row r="87" customHeight="1" spans="1:69">
      <c r="A87" s="442" t="s">
        <v>5843</v>
      </c>
      <c r="B87" s="514"/>
      <c r="C87" s="514">
        <v>8</v>
      </c>
      <c r="D87" s="514">
        <v>8</v>
      </c>
      <c r="E87" s="512" t="s">
        <v>6028</v>
      </c>
      <c r="F87" s="512" t="s">
        <v>5471</v>
      </c>
      <c r="G87" s="512" t="s">
        <v>6029</v>
      </c>
      <c r="H87" s="512" t="s">
        <v>6030</v>
      </c>
      <c r="I87" s="512"/>
      <c r="J87" s="522"/>
      <c r="K87" s="523"/>
      <c r="L87" s="524" t="s">
        <v>6031</v>
      </c>
      <c r="M87" s="524" t="s">
        <v>6032</v>
      </c>
      <c r="N87" s="524" t="s">
        <v>6033</v>
      </c>
      <c r="O87" s="524" t="s">
        <v>6034</v>
      </c>
      <c r="P87" s="524" t="s">
        <v>6035</v>
      </c>
      <c r="Q87" s="524" t="s">
        <v>6036</v>
      </c>
      <c r="R87" s="524"/>
      <c r="S87" s="524"/>
      <c r="T87" s="524"/>
      <c r="U87" s="524"/>
      <c r="V87" s="524"/>
      <c r="W87" s="524"/>
      <c r="X87" s="524"/>
      <c r="Y87" s="524"/>
      <c r="Z87" s="524"/>
      <c r="AA87" s="524"/>
      <c r="AB87" s="524"/>
      <c r="AC87" s="524"/>
      <c r="AD87" s="524"/>
      <c r="AE87" s="524"/>
      <c r="AF87" s="524"/>
      <c r="AG87" s="524"/>
      <c r="AH87" s="524"/>
      <c r="AI87" s="524"/>
      <c r="AJ87" s="524"/>
      <c r="AK87" s="524"/>
      <c r="AL87" s="524"/>
      <c r="AM87" s="524"/>
      <c r="AN87" s="524"/>
      <c r="AO87" s="524"/>
      <c r="AV87" s="525"/>
      <c r="AY87" s="527" t="str">
        <f>IF(主要!$CO$8="O","影蚀人类","")</f>
        <v>影蚀人类</v>
      </c>
      <c r="AZ87" s="512" t="s">
        <v>6037</v>
      </c>
      <c r="BA87" s="512" t="s">
        <v>6038</v>
      </c>
      <c r="BO87" s="525"/>
      <c r="BQ87" s="535" t="str" cm="1">
        <f t="array" ref="BQ87">IFERROR(INDEX($AY$1:$AY$112,SMALL(IF($AY$1:$AY$112&lt;&gt;"",ROW($AY$1:$AY$112),4^8),ROW(87:87)))&amp;"","")</f>
        <v>影蚀人类</v>
      </c>
    </row>
    <row r="88" customHeight="1" spans="1:69">
      <c r="A88" s="511" t="s">
        <v>5833</v>
      </c>
      <c r="B88" s="511">
        <v>52</v>
      </c>
      <c r="C88" s="511">
        <v>1</v>
      </c>
      <c r="D88" s="511">
        <v>4</v>
      </c>
      <c r="E88" s="512" t="s">
        <v>6039</v>
      </c>
      <c r="F88" s="512" t="s">
        <v>5471</v>
      </c>
      <c r="G88" s="512" t="s">
        <v>6007</v>
      </c>
      <c r="H88" s="512" t="s">
        <v>6040</v>
      </c>
      <c r="I88" s="512"/>
      <c r="J88" s="522">
        <v>44</v>
      </c>
      <c r="K88" s="523" t="s">
        <v>5764</v>
      </c>
      <c r="L88" s="524" t="s">
        <v>6041</v>
      </c>
      <c r="M88" s="524" t="s">
        <v>6042</v>
      </c>
      <c r="N88" s="524" t="s">
        <v>6043</v>
      </c>
      <c r="O88" s="524"/>
      <c r="P88" s="524"/>
      <c r="Q88" s="524"/>
      <c r="R88" s="524"/>
      <c r="S88" s="524"/>
      <c r="T88" s="524"/>
      <c r="U88" s="524"/>
      <c r="V88" s="524"/>
      <c r="W88" s="524"/>
      <c r="X88" s="524"/>
      <c r="Y88" s="524"/>
      <c r="Z88" s="524"/>
      <c r="AA88" s="524"/>
      <c r="AB88" s="524"/>
      <c r="AC88" s="524"/>
      <c r="AD88" s="524"/>
      <c r="AE88" s="524"/>
      <c r="AF88" s="524"/>
      <c r="AG88" s="524"/>
      <c r="AH88" s="524"/>
      <c r="AI88" s="524"/>
      <c r="AJ88" s="524"/>
      <c r="AK88" s="524"/>
      <c r="AL88" s="524"/>
      <c r="AM88" s="524"/>
      <c r="AN88" s="524"/>
      <c r="AO88" s="524"/>
      <c r="AV88" s="525"/>
      <c r="AY88" s="527" t="str">
        <f>IF(主要!$CO$8="O","疾步族","")</f>
        <v>疾步族</v>
      </c>
      <c r="BO88" s="525"/>
      <c r="BQ88" s="535" t="str" cm="1">
        <f t="array" ref="BQ88">IFERROR(INDEX($AY$1:$AY$112,SMALL(IF($AY$1:$AY$112&lt;&gt;"",ROW($AY$1:$AY$112),4^8),ROW(88:88)))&amp;"","")</f>
        <v>疾步族</v>
      </c>
    </row>
    <row r="89" customHeight="1" spans="1:69">
      <c r="A89" s="511" t="s">
        <v>5844</v>
      </c>
      <c r="B89" s="511">
        <v>53</v>
      </c>
      <c r="C89" s="511">
        <v>1</v>
      </c>
      <c r="D89" s="511">
        <v>5</v>
      </c>
      <c r="E89" s="512" t="s">
        <v>6044</v>
      </c>
      <c r="F89" s="512" t="s">
        <v>5471</v>
      </c>
      <c r="G89" s="512" t="s">
        <v>6045</v>
      </c>
      <c r="H89" s="512" t="s">
        <v>5918</v>
      </c>
      <c r="I89" s="512"/>
      <c r="J89" s="522"/>
      <c r="K89" s="523"/>
      <c r="L89" s="524" t="s">
        <v>6046</v>
      </c>
      <c r="M89" s="524" t="s">
        <v>6047</v>
      </c>
      <c r="N89" s="524" t="s">
        <v>6048</v>
      </c>
      <c r="O89" s="524"/>
      <c r="P89" s="524"/>
      <c r="Q89" s="524"/>
      <c r="R89" s="524"/>
      <c r="S89" s="524"/>
      <c r="T89" s="524"/>
      <c r="U89" s="524"/>
      <c r="V89" s="524"/>
      <c r="W89" s="524"/>
      <c r="X89" s="524"/>
      <c r="Y89" s="524"/>
      <c r="Z89" s="524"/>
      <c r="AA89" s="524"/>
      <c r="AB89" s="524"/>
      <c r="AC89" s="524"/>
      <c r="AD89" s="524"/>
      <c r="AE89" s="524"/>
      <c r="AF89" s="524"/>
      <c r="AG89" s="524"/>
      <c r="AH89" s="524"/>
      <c r="AI89" s="524"/>
      <c r="AJ89" s="524"/>
      <c r="AK89" s="524"/>
      <c r="AL89" s="524"/>
      <c r="AM89" s="524"/>
      <c r="AN89" s="524"/>
      <c r="AO89" s="524"/>
      <c r="AV89" s="525"/>
      <c r="AY89" s="527" t="str">
        <f>IF(主要!$CO$8="O","树鼠族","")</f>
        <v>树鼠族</v>
      </c>
      <c r="AZ89" s="512" t="s">
        <v>6049</v>
      </c>
      <c r="BA89" s="512" t="s">
        <v>6050</v>
      </c>
      <c r="BO89" s="525"/>
      <c r="BQ89" s="535" t="str" cm="1">
        <f t="array" ref="BQ89">IFERROR(INDEX($AY$1:$AY$112,SMALL(IF($AY$1:$AY$112&lt;&gt;"",ROW($AY$1:$AY$112),4^8),ROW(89:89)))&amp;"","")</f>
        <v>树鼠族</v>
      </c>
    </row>
    <row r="90" customHeight="1" spans="1:69">
      <c r="A90" s="511" t="s">
        <v>5849</v>
      </c>
      <c r="B90" s="511">
        <v>54</v>
      </c>
      <c r="C90" s="511">
        <v>1</v>
      </c>
      <c r="D90" s="511">
        <v>4</v>
      </c>
      <c r="E90" s="512" t="s">
        <v>6051</v>
      </c>
      <c r="F90" s="512" t="s">
        <v>5471</v>
      </c>
      <c r="G90" s="512" t="s">
        <v>6052</v>
      </c>
      <c r="H90" s="512" t="s">
        <v>333</v>
      </c>
      <c r="I90" s="512"/>
      <c r="J90" s="522">
        <v>45</v>
      </c>
      <c r="K90" s="523" t="s">
        <v>5769</v>
      </c>
      <c r="L90" s="524" t="s">
        <v>6053</v>
      </c>
      <c r="M90" s="524" t="s">
        <v>6054</v>
      </c>
      <c r="N90" s="524" t="s">
        <v>6055</v>
      </c>
      <c r="O90" s="524"/>
      <c r="P90" s="524"/>
      <c r="Q90" s="524"/>
      <c r="R90" s="524"/>
      <c r="S90" s="524"/>
      <c r="T90" s="524"/>
      <c r="U90" s="524"/>
      <c r="V90" s="524"/>
      <c r="W90" s="524"/>
      <c r="X90" s="524"/>
      <c r="Y90" s="524"/>
      <c r="Z90" s="524"/>
      <c r="AA90" s="524"/>
      <c r="AB90" s="524"/>
      <c r="AC90" s="524"/>
      <c r="AD90" s="524"/>
      <c r="AE90" s="524"/>
      <c r="AF90" s="524"/>
      <c r="AG90" s="524"/>
      <c r="AH90" s="524"/>
      <c r="AI90" s="524"/>
      <c r="AJ90" s="524"/>
      <c r="AK90" s="524"/>
      <c r="AL90" s="524"/>
      <c r="AM90" s="524"/>
      <c r="AN90" s="524"/>
      <c r="AO90" s="524"/>
      <c r="AV90" s="525"/>
      <c r="AY90" s="527" t="str">
        <f>IF(主要!$CO$8="O","灵魂渡者猬族","")</f>
        <v>灵魂渡者猬族</v>
      </c>
      <c r="BO90" s="525"/>
      <c r="BQ90" s="535" t="str" cm="1">
        <f t="array" ref="BQ90">IFERROR(INDEX($AY$1:$AY$112,SMALL(IF($AY$1:$AY$112&lt;&gt;"",ROW($AY$1:$AY$112),4^8),ROW(90:90)))&amp;"","")</f>
        <v>灵魂渡者猬族</v>
      </c>
    </row>
    <row r="91" customHeight="1" spans="1:69">
      <c r="A91" s="511" t="s">
        <v>5854</v>
      </c>
      <c r="B91" s="511">
        <v>55</v>
      </c>
      <c r="C91" s="511">
        <v>1</v>
      </c>
      <c r="D91" s="511">
        <v>4</v>
      </c>
      <c r="E91" s="512" t="s">
        <v>6056</v>
      </c>
      <c r="F91" s="512" t="s">
        <v>5471</v>
      </c>
      <c r="G91" s="512" t="s">
        <v>6057</v>
      </c>
      <c r="H91" s="512" t="s">
        <v>333</v>
      </c>
      <c r="I91" s="512"/>
      <c r="J91" s="522"/>
      <c r="K91" s="523"/>
      <c r="L91" s="524" t="s">
        <v>6058</v>
      </c>
      <c r="M91" s="524" t="s">
        <v>6059</v>
      </c>
      <c r="N91" s="524" t="s">
        <v>6060</v>
      </c>
      <c r="O91" s="524"/>
      <c r="P91" s="524"/>
      <c r="Q91" s="524"/>
      <c r="R91" s="524"/>
      <c r="S91" s="524"/>
      <c r="T91" s="524"/>
      <c r="U91" s="524"/>
      <c r="V91" s="524"/>
      <c r="W91" s="524"/>
      <c r="X91" s="524"/>
      <c r="Y91" s="524"/>
      <c r="Z91" s="524"/>
      <c r="AA91" s="524"/>
      <c r="AB91" s="524"/>
      <c r="AC91" s="524"/>
      <c r="AD91" s="524"/>
      <c r="AE91" s="524"/>
      <c r="AF91" s="524"/>
      <c r="AG91" s="524"/>
      <c r="AH91" s="524"/>
      <c r="AI91" s="524"/>
      <c r="AJ91" s="524"/>
      <c r="AK91" s="524"/>
      <c r="AL91" s="524"/>
      <c r="AM91" s="524"/>
      <c r="AN91" s="524"/>
      <c r="AO91" s="524"/>
      <c r="AV91" s="525"/>
      <c r="AY91" s="527" t="str">
        <f>IF(主要!$CO$8="O","冥河幽影","")</f>
        <v>冥河幽影</v>
      </c>
      <c r="BO91" s="525"/>
      <c r="BQ91" s="535" t="str" cm="1">
        <f t="array" ref="BQ91">IFERROR(INDEX($AY$1:$AY$112,SMALL(IF($AY$1:$AY$112&lt;&gt;"",ROW($AY$1:$AY$112),4^8),ROW(91:91)))&amp;"","")</f>
        <v>冥河幽影</v>
      </c>
    </row>
    <row r="92" customHeight="1" spans="1:69">
      <c r="A92" s="511" t="s">
        <v>5861</v>
      </c>
      <c r="B92" s="511">
        <v>56</v>
      </c>
      <c r="C92" s="511">
        <v>1</v>
      </c>
      <c r="D92" s="511">
        <v>4</v>
      </c>
      <c r="E92" s="512" t="s">
        <v>6061</v>
      </c>
      <c r="F92" s="512" t="s">
        <v>5471</v>
      </c>
      <c r="G92" s="512" t="s">
        <v>6062</v>
      </c>
      <c r="H92" s="512" t="s">
        <v>333</v>
      </c>
      <c r="I92" s="512"/>
      <c r="J92" s="522">
        <v>46</v>
      </c>
      <c r="K92" s="523" t="s">
        <v>5773</v>
      </c>
      <c r="L92" s="512" t="s">
        <v>6063</v>
      </c>
      <c r="M92" s="512" t="s">
        <v>5473</v>
      </c>
      <c r="N92" s="512" t="s">
        <v>5900</v>
      </c>
      <c r="O92" s="524" t="s">
        <v>6064</v>
      </c>
      <c r="P92" s="524" t="s">
        <v>6065</v>
      </c>
      <c r="Q92" s="524"/>
      <c r="R92" s="524"/>
      <c r="S92" s="524"/>
      <c r="W92" s="524"/>
      <c r="X92" s="524"/>
      <c r="Y92" s="524"/>
      <c r="Z92" s="524"/>
      <c r="AA92" s="524"/>
      <c r="AB92" s="524"/>
      <c r="AC92" s="524"/>
      <c r="AD92" s="524"/>
      <c r="AE92" s="524"/>
      <c r="AF92" s="524"/>
      <c r="AG92" s="524"/>
      <c r="AH92" s="524"/>
      <c r="AI92" s="524"/>
      <c r="AJ92" s="524"/>
      <c r="AK92" s="524"/>
      <c r="AL92" s="524"/>
      <c r="AM92" s="524"/>
      <c r="AN92" s="524"/>
      <c r="AO92" s="524"/>
      <c r="AV92" s="525"/>
      <c r="AY92" s="527" t="str">
        <f>IF(主要!$CO$8="O","崇高鸦族","")</f>
        <v>崇高鸦族</v>
      </c>
      <c r="BO92" s="525"/>
      <c r="BQ92" s="535" t="str" cm="1">
        <f t="array" ref="BQ92">IFERROR(INDEX($AY$1:$AY$112,SMALL(IF($AY$1:$AY$112&lt;&gt;"",ROW($AY$1:$AY$112),4^8),ROW(92:92)))&amp;"","")</f>
        <v>崇高鸦族</v>
      </c>
    </row>
    <row r="93" customHeight="1" spans="1:69">
      <c r="A93" s="511" t="s">
        <v>5867</v>
      </c>
      <c r="B93" s="511">
        <v>57</v>
      </c>
      <c r="C93" s="511">
        <v>1</v>
      </c>
      <c r="D93" s="511">
        <v>4</v>
      </c>
      <c r="E93" s="512" t="s">
        <v>6066</v>
      </c>
      <c r="F93" s="512" t="s">
        <v>5631</v>
      </c>
      <c r="G93" s="512" t="s">
        <v>5472</v>
      </c>
      <c r="H93" s="512" t="s">
        <v>333</v>
      </c>
      <c r="I93" s="512"/>
      <c r="J93" s="522"/>
      <c r="K93" s="523"/>
      <c r="L93" s="512" t="s">
        <v>6067</v>
      </c>
      <c r="M93" s="512" t="s">
        <v>5483</v>
      </c>
      <c r="N93" s="512" t="s">
        <v>6068</v>
      </c>
      <c r="O93" s="524" t="s">
        <v>6069</v>
      </c>
      <c r="P93" s="524" t="s">
        <v>6070</v>
      </c>
      <c r="Q93" s="524"/>
      <c r="R93" s="524"/>
      <c r="S93" s="524"/>
      <c r="W93" s="524"/>
      <c r="X93" s="524"/>
      <c r="Y93" s="524"/>
      <c r="Z93" s="524"/>
      <c r="AA93" s="524"/>
      <c r="AB93" s="524"/>
      <c r="AC93" s="524"/>
      <c r="AD93" s="524"/>
      <c r="AE93" s="524"/>
      <c r="AF93" s="524"/>
      <c r="AG93" s="524"/>
      <c r="AH93" s="524"/>
      <c r="AI93" s="524"/>
      <c r="AJ93" s="524"/>
      <c r="AK93" s="524"/>
      <c r="AL93" s="524"/>
      <c r="AM93" s="524"/>
      <c r="AN93" s="524"/>
      <c r="AO93" s="524"/>
      <c r="AV93" s="525"/>
      <c r="AY93" s="527" t="str">
        <f>IF(主要!$CO$8="O","不羁萨塔雷","")</f>
        <v>不羁萨塔雷</v>
      </c>
      <c r="BO93" s="525"/>
      <c r="BQ93" s="535" t="str" cm="1">
        <f t="array" ref="BQ93">IFERROR(INDEX($AY$1:$AY$112,SMALL(IF($AY$1:$AY$112&lt;&gt;"",ROW($AY$1:$AY$112),4^8),ROW(93:93)))&amp;"","")</f>
        <v>不羁萨塔雷</v>
      </c>
    </row>
    <row r="94" customHeight="1" spans="1:69">
      <c r="A94" s="511" t="s">
        <v>5871</v>
      </c>
      <c r="B94" s="511">
        <v>58</v>
      </c>
      <c r="C94" s="511">
        <v>1</v>
      </c>
      <c r="D94" s="511">
        <v>5</v>
      </c>
      <c r="E94" s="512" t="s">
        <v>6071</v>
      </c>
      <c r="F94" s="512" t="s">
        <v>5631</v>
      </c>
      <c r="G94" s="512" t="s">
        <v>305</v>
      </c>
      <c r="H94" s="512" t="s">
        <v>333</v>
      </c>
      <c r="I94" s="512"/>
      <c r="J94" s="522">
        <v>47</v>
      </c>
      <c r="K94" s="523" t="s">
        <v>5778</v>
      </c>
      <c r="L94" s="512" t="s">
        <v>6072</v>
      </c>
      <c r="M94" s="512" t="s">
        <v>5473</v>
      </c>
      <c r="N94" s="512" t="s">
        <v>6073</v>
      </c>
      <c r="O94" s="512" t="s">
        <v>6074</v>
      </c>
      <c r="P94" s="512" t="s">
        <v>6075</v>
      </c>
      <c r="Q94" s="524"/>
      <c r="R94" s="524"/>
      <c r="S94" s="524"/>
      <c r="W94" s="524"/>
      <c r="X94" s="524"/>
      <c r="Y94" s="524"/>
      <c r="Z94" s="524"/>
      <c r="AA94" s="524"/>
      <c r="AB94" s="524"/>
      <c r="AC94" s="524"/>
      <c r="AD94" s="524"/>
      <c r="AE94" s="524"/>
      <c r="AF94" s="524"/>
      <c r="AG94" s="524"/>
      <c r="AH94" s="524"/>
      <c r="AI94" s="524"/>
      <c r="AJ94" s="524"/>
      <c r="AK94" s="524"/>
      <c r="AL94" s="524"/>
      <c r="AM94" s="524"/>
      <c r="AN94" s="524"/>
      <c r="AO94" s="524"/>
      <c r="AV94" s="525"/>
      <c r="AY94" s="527" t="str">
        <f>IF(主要!$CD$11="O","洛温幻身灵","")</f>
        <v>洛温幻身灵</v>
      </c>
      <c r="BO94" s="525"/>
      <c r="BQ94" s="535" t="str" cm="1">
        <f t="array" ref="BQ94">IFERROR(INDEX($AY$1:$AY$112,SMALL(IF($AY$1:$AY$112&lt;&gt;"",ROW($AY$1:$AY$112),4^8),ROW(94:94)))&amp;"","")</f>
        <v>洛温幻身灵</v>
      </c>
    </row>
    <row r="95" customHeight="1" spans="1:69">
      <c r="A95" s="511" t="s">
        <v>5874</v>
      </c>
      <c r="B95" s="511">
        <v>59</v>
      </c>
      <c r="C95" s="511">
        <v>1</v>
      </c>
      <c r="D95" s="511">
        <v>4</v>
      </c>
      <c r="E95" s="512" t="s">
        <v>6076</v>
      </c>
      <c r="F95" s="512" t="s">
        <v>5471</v>
      </c>
      <c r="G95" s="512" t="s">
        <v>6077</v>
      </c>
      <c r="H95" s="512" t="s">
        <v>333</v>
      </c>
      <c r="I95" s="512"/>
      <c r="J95" s="522"/>
      <c r="K95" s="523"/>
      <c r="L95" s="512" t="s">
        <v>6078</v>
      </c>
      <c r="M95" s="512" t="s">
        <v>5483</v>
      </c>
      <c r="N95" s="512" t="s">
        <v>6079</v>
      </c>
      <c r="O95" s="512" t="s">
        <v>6080</v>
      </c>
      <c r="P95" s="512" t="s">
        <v>6081</v>
      </c>
      <c r="Q95" s="524"/>
      <c r="R95" s="524"/>
      <c r="S95" s="524"/>
      <c r="W95" s="524"/>
      <c r="X95" s="524"/>
      <c r="Y95" s="524"/>
      <c r="Z95" s="524"/>
      <c r="AA95" s="524"/>
      <c r="AB95" s="524"/>
      <c r="AC95" s="524"/>
      <c r="AD95" s="524"/>
      <c r="AE95" s="524"/>
      <c r="AF95" s="524"/>
      <c r="AG95" s="524"/>
      <c r="AH95" s="524"/>
      <c r="AI95" s="524"/>
      <c r="AJ95" s="524"/>
      <c r="AK95" s="524"/>
      <c r="AL95" s="524"/>
      <c r="AM95" s="524"/>
      <c r="AN95" s="524"/>
      <c r="AO95" s="524"/>
      <c r="AV95" s="525"/>
      <c r="AY95" s="527" t="str">
        <f>IF(主要!$CD$11="O","波尬","")</f>
        <v>波尬</v>
      </c>
      <c r="BO95" s="525"/>
      <c r="BQ95" s="535" t="str" cm="1">
        <f t="array" ref="BQ95">IFERROR(INDEX($AY$1:$AY$112,SMALL(IF($AY$1:$AY$112&lt;&gt;"",ROW($AY$1:$AY$112),4^8),ROW(95:95)))&amp;"","")</f>
        <v>波尬</v>
      </c>
    </row>
    <row r="96" customHeight="1" spans="1:69">
      <c r="A96" s="511" t="s">
        <v>5880</v>
      </c>
      <c r="B96" s="511">
        <v>60</v>
      </c>
      <c r="C96" s="511">
        <v>1</v>
      </c>
      <c r="D96" s="511">
        <v>4</v>
      </c>
      <c r="E96" s="514" t="s">
        <v>6082</v>
      </c>
      <c r="F96" s="512" t="s">
        <v>5812</v>
      </c>
      <c r="G96" s="512" t="s">
        <v>6083</v>
      </c>
      <c r="H96" s="512" t="s">
        <v>333</v>
      </c>
      <c r="I96" s="512"/>
      <c r="J96" s="522">
        <v>48</v>
      </c>
      <c r="K96" s="547" t="s">
        <v>5811</v>
      </c>
      <c r="L96" s="442" t="s">
        <v>5473</v>
      </c>
      <c r="M96" s="442" t="s">
        <v>6084</v>
      </c>
      <c r="N96" s="442" t="s">
        <v>6085</v>
      </c>
      <c r="O96" s="442" t="s">
        <v>6086</v>
      </c>
      <c r="P96" s="442" t="s">
        <v>5817</v>
      </c>
      <c r="Q96" s="442" t="s">
        <v>5818</v>
      </c>
      <c r="R96" s="442" t="s">
        <v>5819</v>
      </c>
      <c r="T96" s="524"/>
      <c r="U96" s="524"/>
      <c r="V96" s="524"/>
      <c r="W96" s="524"/>
      <c r="X96" s="524"/>
      <c r="Y96" s="524"/>
      <c r="Z96" s="524"/>
      <c r="AA96" s="524"/>
      <c r="AB96" s="524"/>
      <c r="AC96" s="524"/>
      <c r="AD96" s="524"/>
      <c r="AE96" s="524"/>
      <c r="AF96" s="524"/>
      <c r="AG96" s="524"/>
      <c r="AH96" s="524"/>
      <c r="AI96" s="524"/>
      <c r="AJ96" s="524"/>
      <c r="AK96" s="524"/>
      <c r="AL96" s="524"/>
      <c r="AM96" s="524"/>
      <c r="AN96" s="524"/>
      <c r="AO96" s="524"/>
      <c r="AV96" s="525"/>
      <c r="AY96" s="527" t="str">
        <f>IF(主要!$CD$11="O","霜身","")</f>
        <v>霜身</v>
      </c>
      <c r="BO96" s="525"/>
      <c r="BQ96" s="535" t="str" cm="1">
        <f t="array" ref="BQ96">IFERROR(INDEX($AY$1:$AY$112,SMALL(IF($AY$1:$AY$112&lt;&gt;"",ROW($AY$1:$AY$112),4^8),ROW(96:96)))&amp;"","")</f>
        <v>霜身</v>
      </c>
    </row>
    <row r="97" customHeight="1" spans="1:69">
      <c r="A97" s="511" t="s">
        <v>5884</v>
      </c>
      <c r="B97" s="511">
        <v>61</v>
      </c>
      <c r="C97" s="511">
        <v>1</v>
      </c>
      <c r="D97" s="511">
        <v>4</v>
      </c>
      <c r="E97" s="514" t="s">
        <v>6087</v>
      </c>
      <c r="F97" s="512" t="s">
        <v>5471</v>
      </c>
      <c r="G97" s="512" t="s">
        <v>6083</v>
      </c>
      <c r="H97" s="512" t="s">
        <v>333</v>
      </c>
      <c r="I97" s="512"/>
      <c r="J97" s="522"/>
      <c r="K97" s="548"/>
      <c r="L97" s="442" t="s">
        <v>6088</v>
      </c>
      <c r="M97" s="442" t="s">
        <v>6089</v>
      </c>
      <c r="N97" s="442" t="s">
        <v>6090</v>
      </c>
      <c r="O97" s="442" t="s">
        <v>6091</v>
      </c>
      <c r="P97" s="442" t="s">
        <v>6092</v>
      </c>
      <c r="Q97" s="442" t="s">
        <v>6093</v>
      </c>
      <c r="R97" s="442" t="s">
        <v>6094</v>
      </c>
      <c r="T97" s="524"/>
      <c r="U97" s="524"/>
      <c r="V97" s="524"/>
      <c r="W97" s="524"/>
      <c r="X97" s="524"/>
      <c r="Y97" s="524"/>
      <c r="Z97" s="524"/>
      <c r="AA97" s="524"/>
      <c r="AB97" s="524"/>
      <c r="AC97" s="524"/>
      <c r="AD97" s="524"/>
      <c r="AE97" s="524"/>
      <c r="AF97" s="524"/>
      <c r="AG97" s="524"/>
      <c r="AH97" s="524"/>
      <c r="AI97" s="524"/>
      <c r="AJ97" s="524"/>
      <c r="AK97" s="524"/>
      <c r="AL97" s="524"/>
      <c r="AM97" s="524"/>
      <c r="AN97" s="524"/>
      <c r="AO97" s="524"/>
      <c r="AV97" s="525"/>
      <c r="AY97" s="527" t="str">
        <f>IF(主要!$CD$11="O","炎身","")</f>
        <v>炎身</v>
      </c>
      <c r="BO97" s="525"/>
      <c r="BQ97" s="535" t="str" cm="1">
        <f t="array" ref="BQ97">IFERROR(INDEX($AY$1:$AY$112,SMALL(IF($AY$1:$AY$112&lt;&gt;"",ROW($AY$1:$AY$112),4^8),ROW(97:97)))&amp;"","")</f>
        <v>炎身</v>
      </c>
    </row>
    <row r="98" customHeight="1" spans="1:69">
      <c r="A98" s="511" t="s">
        <v>5890</v>
      </c>
      <c r="B98" s="511">
        <v>62</v>
      </c>
      <c r="C98" s="511">
        <v>1</v>
      </c>
      <c r="D98" s="511">
        <v>3</v>
      </c>
      <c r="E98" s="514" t="s">
        <v>6095</v>
      </c>
      <c r="F98" s="512" t="s">
        <v>5471</v>
      </c>
      <c r="G98" s="512" t="s">
        <v>6096</v>
      </c>
      <c r="H98" s="512" t="s">
        <v>5517</v>
      </c>
      <c r="I98" s="512"/>
      <c r="J98" s="522">
        <v>49</v>
      </c>
      <c r="K98" s="547" t="s">
        <v>5966</v>
      </c>
      <c r="L98" s="442" t="s">
        <v>6097</v>
      </c>
      <c r="M98" s="442" t="s">
        <v>6098</v>
      </c>
      <c r="N98" s="442" t="s">
        <v>6099</v>
      </c>
      <c r="O98" s="442" t="s">
        <v>6100</v>
      </c>
      <c r="T98" s="524"/>
      <c r="U98" s="524"/>
      <c r="V98" s="524"/>
      <c r="W98" s="524"/>
      <c r="X98" s="524"/>
      <c r="Y98" s="524"/>
      <c r="Z98" s="524"/>
      <c r="AA98" s="524"/>
      <c r="AB98" s="524"/>
      <c r="AC98" s="524"/>
      <c r="AD98" s="524"/>
      <c r="AE98" s="524"/>
      <c r="AF98" s="524"/>
      <c r="AG98" s="524"/>
      <c r="AH98" s="524"/>
      <c r="AI98" s="524"/>
      <c r="AJ98" s="524"/>
      <c r="AK98" s="524"/>
      <c r="AL98" s="524"/>
      <c r="AM98" s="524"/>
      <c r="AN98" s="524"/>
      <c r="AO98" s="524"/>
      <c r="AV98" s="525"/>
      <c r="AY98" s="527" t="str">
        <f>IF(主要!$CD$11="O","洁英","")</f>
        <v>洁英</v>
      </c>
      <c r="BO98" s="525"/>
      <c r="BQ98" s="535" t="str" cm="1">
        <f t="array" ref="BQ98">IFERROR(INDEX($AY$1:$AY$112,SMALL(IF($AY$1:$AY$112&lt;&gt;"",ROW($AY$1:$AY$112),4^8),ROW(98:98)))&amp;"","")</f>
        <v>洁英</v>
      </c>
    </row>
    <row r="99" customHeight="1" spans="1:69">
      <c r="A99" s="511" t="s">
        <v>5897</v>
      </c>
      <c r="B99" s="511">
        <v>63</v>
      </c>
      <c r="C99" s="511">
        <v>1</v>
      </c>
      <c r="D99" s="511">
        <v>5</v>
      </c>
      <c r="E99" s="514" t="s">
        <v>6101</v>
      </c>
      <c r="F99" s="512" t="s">
        <v>5471</v>
      </c>
      <c r="G99" s="512" t="s">
        <v>5509</v>
      </c>
      <c r="H99" s="512" t="s">
        <v>6102</v>
      </c>
      <c r="I99" s="512"/>
      <c r="J99" s="522"/>
      <c r="K99" s="548"/>
      <c r="L99" s="442" t="s">
        <v>6103</v>
      </c>
      <c r="M99" s="442" t="s">
        <v>6104</v>
      </c>
      <c r="N99" s="442" t="s">
        <v>6105</v>
      </c>
      <c r="O99" s="442" t="s">
        <v>6106</v>
      </c>
      <c r="T99" s="524"/>
      <c r="U99" s="524"/>
      <c r="V99" s="524"/>
      <c r="W99" s="524"/>
      <c r="X99" s="524"/>
      <c r="Y99" s="524"/>
      <c r="Z99" s="524"/>
      <c r="AA99" s="524"/>
      <c r="AB99" s="524"/>
      <c r="AC99" s="524"/>
      <c r="AD99" s="524"/>
      <c r="AE99" s="524"/>
      <c r="AF99" s="524"/>
      <c r="AG99" s="524"/>
      <c r="AH99" s="524"/>
      <c r="AI99" s="524"/>
      <c r="AJ99" s="524"/>
      <c r="AK99" s="524"/>
      <c r="AL99" s="524"/>
      <c r="AM99" s="524"/>
      <c r="AN99" s="524"/>
      <c r="AO99" s="524"/>
      <c r="AV99" s="525"/>
      <c r="AY99" s="527" t="str">
        <f>IF(主要!$CO$15="O","雪人裔","")</f>
        <v>雪人裔</v>
      </c>
      <c r="BO99" s="525"/>
      <c r="BQ99" s="535" t="str" cm="1">
        <f t="array" ref="BQ99">IFERROR(INDEX($AY$1:$AY$112,SMALL(IF($AY$1:$AY$112&lt;&gt;"",ROW($AY$1:$AY$112),4^8),ROW(99:99)))&amp;"","")</f>
        <v>雪人裔</v>
      </c>
    </row>
    <row r="100" customHeight="1" spans="1:69">
      <c r="A100" s="511" t="s">
        <v>5903</v>
      </c>
      <c r="B100" s="511">
        <v>64</v>
      </c>
      <c r="C100" s="511">
        <v>1</v>
      </c>
      <c r="D100" s="511">
        <v>4</v>
      </c>
      <c r="E100" s="512" t="s">
        <v>6107</v>
      </c>
      <c r="F100" s="512" t="s">
        <v>5631</v>
      </c>
      <c r="G100" s="512" t="s">
        <v>6108</v>
      </c>
      <c r="H100" s="512" t="s">
        <v>333</v>
      </c>
      <c r="I100" s="512"/>
      <c r="J100" s="522">
        <v>50</v>
      </c>
      <c r="K100" s="547" t="s">
        <v>5820</v>
      </c>
      <c r="L100" s="442" t="s">
        <v>6109</v>
      </c>
      <c r="M100" s="442" t="s">
        <v>6110</v>
      </c>
      <c r="N100" s="442" t="s">
        <v>6111</v>
      </c>
      <c r="O100" s="442" t="s">
        <v>6112</v>
      </c>
      <c r="P100" s="442" t="s">
        <v>6113</v>
      </c>
      <c r="Q100" s="442" t="s">
        <v>6114</v>
      </c>
      <c r="AO100" s="514"/>
      <c r="AV100" s="525"/>
      <c r="AY100" s="527" t="str">
        <f>IF(主要!$CO$15="O","常春人","")</f>
        <v>常春人</v>
      </c>
      <c r="BO100" s="525"/>
      <c r="BQ100" s="535" t="str" cm="1">
        <f t="array" ref="BQ100">IFERROR(INDEX($AY$1:$AY$112,SMALL(IF($AY$1:$AY$112&lt;&gt;"",ROW($AY$1:$AY$112),4^8),ROW(100:100)))&amp;"","")</f>
        <v>常春人</v>
      </c>
    </row>
    <row r="101" customHeight="1" spans="1:69">
      <c r="A101" s="518" t="s">
        <v>5909</v>
      </c>
      <c r="B101" s="511">
        <v>65</v>
      </c>
      <c r="C101" s="511">
        <v>1</v>
      </c>
      <c r="D101" s="511">
        <v>5</v>
      </c>
      <c r="E101" s="512" t="s">
        <v>6115</v>
      </c>
      <c r="F101" s="512" t="s">
        <v>5683</v>
      </c>
      <c r="G101" s="512" t="s">
        <v>6116</v>
      </c>
      <c r="H101" s="512" t="s">
        <v>333</v>
      </c>
      <c r="I101" s="512"/>
      <c r="J101" s="522"/>
      <c r="K101" s="548"/>
      <c r="L101" s="442" t="s">
        <v>6117</v>
      </c>
      <c r="M101" s="442" t="s">
        <v>6118</v>
      </c>
      <c r="N101" s="442" t="s">
        <v>6119</v>
      </c>
      <c r="O101" s="442" t="s">
        <v>6120</v>
      </c>
      <c r="P101" s="442" t="s">
        <v>6121</v>
      </c>
      <c r="Q101" s="442" t="s">
        <v>6122</v>
      </c>
      <c r="AO101" s="514"/>
      <c r="AV101" s="525"/>
      <c r="AY101" s="527" t="str">
        <f>IF(主要!$CO$15="O","驯鹿人","")</f>
        <v>驯鹿人</v>
      </c>
      <c r="BO101" s="525"/>
      <c r="BQ101" s="535" t="str" cm="1">
        <f t="array" ref="BQ101">IFERROR(INDEX($AY$1:$AY$112,SMALL(IF($AY$1:$AY$112&lt;&gt;"",ROW($AY$1:$AY$112),4^8),ROW(101:101)))&amp;"","")</f>
        <v>驯鹿人</v>
      </c>
    </row>
    <row r="102" customHeight="1" spans="1:69">
      <c r="A102" s="511" t="s">
        <v>5916</v>
      </c>
      <c r="B102" s="511">
        <v>66</v>
      </c>
      <c r="C102" s="511">
        <v>1</v>
      </c>
      <c r="D102" s="511">
        <v>4</v>
      </c>
      <c r="E102" s="512" t="s">
        <v>6123</v>
      </c>
      <c r="F102" s="512" t="s">
        <v>5471</v>
      </c>
      <c r="G102" s="512" t="s">
        <v>6124</v>
      </c>
      <c r="H102" s="512" t="s">
        <v>333</v>
      </c>
      <c r="I102" s="512"/>
      <c r="J102" s="522">
        <v>51</v>
      </c>
      <c r="K102" s="530" t="s">
        <v>5826</v>
      </c>
      <c r="L102" s="442" t="s">
        <v>5473</v>
      </c>
      <c r="M102" s="442" t="s">
        <v>6125</v>
      </c>
      <c r="N102" s="442" t="s">
        <v>5838</v>
      </c>
      <c r="O102" s="442" t="s">
        <v>5839</v>
      </c>
      <c r="P102" s="442" t="s">
        <v>5840</v>
      </c>
      <c r="Q102" s="442" t="s">
        <v>5841</v>
      </c>
      <c r="R102" s="442" t="s">
        <v>5842</v>
      </c>
      <c r="S102" s="442" t="s">
        <v>5843</v>
      </c>
      <c r="AO102" s="514"/>
      <c r="AV102" s="525"/>
      <c r="AY102" s="527" t="str">
        <f>IF(主要!$CO$15="O","雪狐人","")</f>
        <v>雪狐人</v>
      </c>
      <c r="BO102" s="525"/>
      <c r="BQ102" s="535" t="str" cm="1">
        <f t="array" ref="BQ102">IFERROR(INDEX($AY$1:$AY$112,SMALL(IF($AY$1:$AY$112&lt;&gt;"",ROW($AY$1:$AY$112),4^8),ROW(102:102)))&amp;"","")</f>
        <v>雪狐人</v>
      </c>
    </row>
    <row r="103" customHeight="1" spans="1:69">
      <c r="A103" s="511" t="s">
        <v>5923</v>
      </c>
      <c r="B103" s="511">
        <v>67</v>
      </c>
      <c r="C103" s="511">
        <v>1</v>
      </c>
      <c r="D103" s="511">
        <v>3</v>
      </c>
      <c r="E103" s="512" t="s">
        <v>6126</v>
      </c>
      <c r="F103" s="512" t="s">
        <v>5471</v>
      </c>
      <c r="G103" s="512" t="s">
        <v>6108</v>
      </c>
      <c r="H103" s="512" t="s">
        <v>333</v>
      </c>
      <c r="I103" s="512"/>
      <c r="J103" s="522"/>
      <c r="K103" s="529"/>
      <c r="L103" s="442" t="s">
        <v>6127</v>
      </c>
      <c r="M103" s="442" t="s">
        <v>6128</v>
      </c>
      <c r="N103" s="442" t="s">
        <v>6129</v>
      </c>
      <c r="O103" s="442" t="s">
        <v>6130</v>
      </c>
      <c r="P103" s="442" t="s">
        <v>6131</v>
      </c>
      <c r="Q103" s="442" t="s">
        <v>6132</v>
      </c>
      <c r="R103" s="442" t="s">
        <v>6133</v>
      </c>
      <c r="S103" s="442" t="s">
        <v>6134</v>
      </c>
      <c r="AO103" s="514"/>
      <c r="AV103" s="525"/>
      <c r="AY103" s="527" t="str">
        <f>IF(主要!$CD$13="O","幻身灵","")</f>
        <v>幻身灵</v>
      </c>
      <c r="AZ103" s="514"/>
      <c r="BA103" s="514"/>
      <c r="BB103" s="514"/>
      <c r="BC103" s="514"/>
      <c r="BD103" s="514"/>
      <c r="BE103" s="514"/>
      <c r="BF103" s="514"/>
      <c r="BG103" s="514"/>
      <c r="BH103" s="514"/>
      <c r="BI103" s="514" t="str">
        <f t="shared" ref="BI103:BO103" si="51">""</f>
        <v/>
      </c>
      <c r="BJ103" s="514" t="str">
        <f t="shared" si="51"/>
        <v/>
      </c>
      <c r="BK103" s="514" t="str">
        <f t="shared" si="51"/>
        <v/>
      </c>
      <c r="BL103" s="514" t="str">
        <f t="shared" si="51"/>
        <v/>
      </c>
      <c r="BM103" s="514" t="str">
        <f t="shared" si="51"/>
        <v/>
      </c>
      <c r="BN103" s="514" t="str">
        <f t="shared" si="51"/>
        <v/>
      </c>
      <c r="BO103" s="534" t="str">
        <f t="shared" si="51"/>
        <v/>
      </c>
      <c r="BQ103" s="535" t="str" cm="1">
        <f t="array" ref="BQ103">IFERROR(INDEX($AY$1:$AY$112,SMALL(IF($AY$1:$AY$112&lt;&gt;"",ROW($AY$1:$AY$112),4^8),ROW(103:103)))&amp;"","")</f>
        <v>幻身灵</v>
      </c>
    </row>
    <row r="104" customHeight="1" spans="1:69">
      <c r="A104" s="511" t="s">
        <v>5928</v>
      </c>
      <c r="B104" s="511">
        <v>68</v>
      </c>
      <c r="C104" s="511">
        <v>1</v>
      </c>
      <c r="D104" s="511">
        <v>4</v>
      </c>
      <c r="E104" s="512" t="s">
        <v>6135</v>
      </c>
      <c r="F104" s="512" t="s">
        <v>5812</v>
      </c>
      <c r="G104" s="512" t="s">
        <v>6136</v>
      </c>
      <c r="H104" s="512" t="s">
        <v>333</v>
      </c>
      <c r="I104" s="512"/>
      <c r="J104" s="522">
        <v>52</v>
      </c>
      <c r="K104" s="547" t="s">
        <v>5833</v>
      </c>
      <c r="L104" s="442" t="s">
        <v>5987</v>
      </c>
      <c r="M104" s="442" t="s">
        <v>6137</v>
      </c>
      <c r="N104" s="442" t="s">
        <v>6138</v>
      </c>
      <c r="O104" s="442" t="s">
        <v>6139</v>
      </c>
      <c r="AO104" s="514"/>
      <c r="AV104" s="525"/>
      <c r="AY104" s="529" t="str">
        <f>IF(主要!$CD$13="O","离梦人","")</f>
        <v>离梦人</v>
      </c>
      <c r="AZ104" s="514"/>
      <c r="BA104" s="514"/>
      <c r="BB104" s="514"/>
      <c r="BC104" s="514"/>
      <c r="BD104" s="514"/>
      <c r="BE104" s="514"/>
      <c r="BF104" s="514"/>
      <c r="BG104" s="514"/>
      <c r="BH104" s="514"/>
      <c r="BI104" s="514"/>
      <c r="BJ104" s="514"/>
      <c r="BK104" s="514"/>
      <c r="BL104" s="514"/>
      <c r="BM104" s="514"/>
      <c r="BN104" s="514"/>
      <c r="BO104" s="534"/>
      <c r="BQ104" s="535" t="str" cm="1">
        <f t="array" ref="BQ104">IFERROR(INDEX($AY$1:$AY$112,SMALL(IF($AY$1:$AY$112&lt;&gt;"",ROW($AY$1:$AY$112),4^8),ROW(104:104)))&amp;"","")</f>
        <v>离梦人</v>
      </c>
    </row>
    <row r="105" customHeight="1" spans="1:69">
      <c r="A105" s="442" t="s">
        <v>5938</v>
      </c>
      <c r="B105" s="442"/>
      <c r="C105" s="442">
        <v>5</v>
      </c>
      <c r="D105" s="442">
        <v>6</v>
      </c>
      <c r="I105" s="512"/>
      <c r="J105" s="522"/>
      <c r="K105" s="548"/>
      <c r="L105" s="442" t="s">
        <v>6140</v>
      </c>
      <c r="M105" s="442" t="s">
        <v>6141</v>
      </c>
      <c r="N105" s="442" t="s">
        <v>6142</v>
      </c>
      <c r="O105" s="442" t="s">
        <v>6143</v>
      </c>
      <c r="AO105" s="514"/>
      <c r="AV105" s="525"/>
      <c r="AY105" s="529" t="str">
        <f>IF(主要!$CD$13="O","科拉瓦","")</f>
        <v>科拉瓦</v>
      </c>
      <c r="AZ105" s="514"/>
      <c r="BA105" s="514"/>
      <c r="BB105" s="514"/>
      <c r="BC105" s="514"/>
      <c r="BD105" s="514"/>
      <c r="BE105" s="514"/>
      <c r="BF105" s="514"/>
      <c r="BG105" s="514"/>
      <c r="BH105" s="514"/>
      <c r="BI105" s="514"/>
      <c r="BJ105" s="514"/>
      <c r="BK105" s="514"/>
      <c r="BL105" s="514"/>
      <c r="BM105" s="514"/>
      <c r="BN105" s="514"/>
      <c r="BO105" s="534"/>
      <c r="BQ105" s="535" t="str" cm="1">
        <f t="array" ref="BQ105">IFERROR(INDEX($AY$1:$AY$112,SMALL(IF($AY$1:$AY$112&lt;&gt;"",ROW($AY$1:$AY$112),4^8),ROW(105:105)))&amp;"","")</f>
        <v>科拉瓦</v>
      </c>
    </row>
    <row r="106" customHeight="1" spans="1:69">
      <c r="A106" s="442" t="s">
        <v>5939</v>
      </c>
      <c r="B106" s="442"/>
      <c r="C106" s="442">
        <v>7</v>
      </c>
      <c r="D106" s="442">
        <v>8</v>
      </c>
      <c r="I106" s="512"/>
      <c r="J106" s="522">
        <v>53</v>
      </c>
      <c r="K106" s="547" t="s">
        <v>5844</v>
      </c>
      <c r="L106" s="442" t="s">
        <v>6144</v>
      </c>
      <c r="M106" s="442" t="s">
        <v>6145</v>
      </c>
      <c r="N106" s="442" t="s">
        <v>6146</v>
      </c>
      <c r="O106" s="442" t="s">
        <v>6147</v>
      </c>
      <c r="P106" s="442" t="s">
        <v>6148</v>
      </c>
      <c r="AO106" s="514"/>
      <c r="AV106" s="525"/>
      <c r="AY106" s="527" t="str">
        <f>IF(主要!$CD$13="O","化兽者","")</f>
        <v>化兽者</v>
      </c>
      <c r="AZ106" s="514" t="s">
        <v>6149</v>
      </c>
      <c r="BA106" s="514" t="s">
        <v>6150</v>
      </c>
      <c r="BB106" s="514" t="s">
        <v>6151</v>
      </c>
      <c r="BC106" s="514" t="s">
        <v>6152</v>
      </c>
      <c r="BD106" s="514"/>
      <c r="BE106" s="514"/>
      <c r="BF106" s="514"/>
      <c r="BG106" s="514"/>
      <c r="BH106" s="514"/>
      <c r="BI106" s="514"/>
      <c r="BJ106" s="514"/>
      <c r="BK106" s="514"/>
      <c r="BL106" s="514"/>
      <c r="BM106" s="514"/>
      <c r="BN106" s="514"/>
      <c r="BO106" s="534"/>
      <c r="BQ106" s="535" t="str" cm="1">
        <f t="array" ref="BQ106">IFERROR(INDEX($AY$1:$AY$112,SMALL(IF($AY$1:$AY$112&lt;&gt;"",ROW($AY$1:$AY$112),4^8),ROW(106:106)))&amp;"","")</f>
        <v>化兽者</v>
      </c>
    </row>
    <row r="107" customHeight="1" spans="1:69">
      <c r="A107" s="511" t="s">
        <v>5934</v>
      </c>
      <c r="B107" s="511">
        <v>69</v>
      </c>
      <c r="C107" s="511">
        <v>1</v>
      </c>
      <c r="D107" s="511">
        <v>5</v>
      </c>
      <c r="I107" s="512"/>
      <c r="J107" s="522"/>
      <c r="K107" s="547"/>
      <c r="L107" s="442" t="s">
        <v>6153</v>
      </c>
      <c r="M107" s="442" t="s">
        <v>6154</v>
      </c>
      <c r="N107" s="442" t="s">
        <v>6155</v>
      </c>
      <c r="O107" s="442" t="s">
        <v>6156</v>
      </c>
      <c r="P107" s="442" t="s">
        <v>6157</v>
      </c>
      <c r="AO107" s="514"/>
      <c r="AV107" s="525"/>
      <c r="AY107" s="529" t="str">
        <f>IF(主要!$CD$13="O","战俑","")</f>
        <v>战俑</v>
      </c>
      <c r="BE107" s="514"/>
      <c r="BF107" s="514"/>
      <c r="BG107" s="514"/>
      <c r="BH107" s="514"/>
      <c r="BI107" s="514"/>
      <c r="BJ107" s="514"/>
      <c r="BK107" s="514"/>
      <c r="BL107" s="514"/>
      <c r="BM107" s="514"/>
      <c r="BN107" s="514"/>
      <c r="BO107" s="534"/>
      <c r="BQ107" s="535" t="str" cm="1">
        <f t="array" ref="BQ107">IFERROR(INDEX($AY$1:$AY$112,SMALL(IF($AY$1:$AY$112&lt;&gt;"",ROW($AY$1:$AY$112),4^8),ROW(107:107)))&amp;"","")</f>
        <v>战俑</v>
      </c>
    </row>
    <row r="108" customHeight="1" spans="1:69">
      <c r="A108" s="512" t="s">
        <v>5945</v>
      </c>
      <c r="B108" s="442"/>
      <c r="C108" s="442">
        <v>6</v>
      </c>
      <c r="D108" s="442">
        <v>7</v>
      </c>
      <c r="I108" s="512"/>
      <c r="J108" s="522">
        <v>54</v>
      </c>
      <c r="K108" s="547" t="s">
        <v>5849</v>
      </c>
      <c r="L108" s="442" t="s">
        <v>6158</v>
      </c>
      <c r="M108" s="442" t="s">
        <v>5473</v>
      </c>
      <c r="N108" s="442" t="s">
        <v>6159</v>
      </c>
      <c r="O108" s="442" t="s">
        <v>6160</v>
      </c>
      <c r="AO108" s="514"/>
      <c r="AV108" s="525"/>
      <c r="AY108" s="527"/>
      <c r="BE108" s="514"/>
      <c r="BF108" s="514"/>
      <c r="BG108" s="514"/>
      <c r="BH108" s="514"/>
      <c r="BI108" s="514"/>
      <c r="BJ108" s="514"/>
      <c r="BK108" s="514"/>
      <c r="BL108" s="514"/>
      <c r="BM108" s="514"/>
      <c r="BN108" s="514"/>
      <c r="BO108" s="534"/>
      <c r="BQ108" s="535" t="str" cm="1">
        <f t="array" ref="BQ108">IFERROR(INDEX($AY$1:$AY$112,SMALL(IF($AY$1:$AY$112&lt;&gt;"",ROW($AY$1:$AY$112),4^8),ROW(108:108)))&amp;"","")</f>
        <v/>
      </c>
    </row>
    <row r="109" customHeight="1" spans="1:69">
      <c r="A109" s="512" t="s">
        <v>5946</v>
      </c>
      <c r="B109" s="442"/>
      <c r="C109" s="442">
        <v>8</v>
      </c>
      <c r="D109" s="442">
        <v>9</v>
      </c>
      <c r="I109" s="512"/>
      <c r="J109" s="522"/>
      <c r="K109" s="547"/>
      <c r="L109" s="442" t="s">
        <v>6161</v>
      </c>
      <c r="M109" s="442" t="s">
        <v>5483</v>
      </c>
      <c r="N109" s="442" t="s">
        <v>6162</v>
      </c>
      <c r="O109" s="442" t="s">
        <v>6163</v>
      </c>
      <c r="AO109" s="514"/>
      <c r="AV109" s="525"/>
      <c r="AY109" s="527"/>
      <c r="BE109" s="514"/>
      <c r="BF109" s="514"/>
      <c r="BG109" s="514"/>
      <c r="BH109" s="514"/>
      <c r="BI109" s="514"/>
      <c r="BJ109" s="514"/>
      <c r="BK109" s="514"/>
      <c r="BL109" s="514"/>
      <c r="BM109" s="514"/>
      <c r="BN109" s="514"/>
      <c r="BO109" s="534"/>
      <c r="BQ109" s="535" t="str" cm="1">
        <f t="array" ref="BQ109">IFERROR(INDEX($AY$1:$AY$112,SMALL(IF($AY$1:$AY$112&lt;&gt;"",ROW($AY$1:$AY$112),4^8),ROW(109:109)))&amp;"","")</f>
        <v/>
      </c>
    </row>
    <row r="110" customHeight="1" spans="1:69">
      <c r="A110" s="511" t="s">
        <v>5940</v>
      </c>
      <c r="B110" s="511">
        <v>70</v>
      </c>
      <c r="C110" s="511">
        <v>1</v>
      </c>
      <c r="D110" s="511">
        <v>4</v>
      </c>
      <c r="I110" s="512"/>
      <c r="J110" s="522">
        <v>55</v>
      </c>
      <c r="K110" s="547" t="s">
        <v>5854</v>
      </c>
      <c r="L110" s="442" t="s">
        <v>6164</v>
      </c>
      <c r="M110" s="442" t="s">
        <v>5473</v>
      </c>
      <c r="N110" s="442" t="s">
        <v>6165</v>
      </c>
      <c r="O110" s="442" t="s">
        <v>6166</v>
      </c>
      <c r="AO110" s="514"/>
      <c r="AV110" s="525"/>
      <c r="AY110" s="527"/>
      <c r="BE110" s="514"/>
      <c r="BF110" s="514"/>
      <c r="BG110" s="514"/>
      <c r="BH110" s="514"/>
      <c r="BI110" s="514"/>
      <c r="BJ110" s="514"/>
      <c r="BK110" s="514"/>
      <c r="BL110" s="514"/>
      <c r="BM110" s="514"/>
      <c r="BN110" s="514"/>
      <c r="BO110" s="534"/>
      <c r="BQ110" s="535" t="str" cm="1">
        <f t="array" ref="BQ110">IFERROR(INDEX($AY$1:$AY$112,SMALL(IF($AY$1:$AY$112&lt;&gt;"",ROW($AY$1:$AY$112),4^8),ROW(110:110)))&amp;"","")</f>
        <v/>
      </c>
    </row>
    <row r="111" customHeight="1" spans="1:69">
      <c r="A111" s="512" t="s">
        <v>5951</v>
      </c>
      <c r="B111" s="442"/>
      <c r="C111" s="442">
        <v>5</v>
      </c>
      <c r="D111" s="442">
        <v>6</v>
      </c>
      <c r="I111" s="512"/>
      <c r="J111" s="522"/>
      <c r="K111" s="547"/>
      <c r="L111" s="442" t="s">
        <v>6167</v>
      </c>
      <c r="M111" s="442" t="s">
        <v>5483</v>
      </c>
      <c r="N111" s="442" t="s">
        <v>6168</v>
      </c>
      <c r="O111" s="442" t="s">
        <v>6169</v>
      </c>
      <c r="AO111" s="514"/>
      <c r="AV111" s="525"/>
      <c r="AY111" s="527"/>
      <c r="BO111" s="525"/>
      <c r="BQ111" s="535" t="str" cm="1">
        <f t="array" ref="BQ111">IFERROR(INDEX($AY$1:$AY$112,SMALL(IF($AY$1:$AY$112&lt;&gt;"",ROW($AY$1:$AY$112),4^8),ROW(111:111)))&amp;"","")</f>
        <v/>
      </c>
    </row>
    <row r="112" customHeight="1" spans="1:69">
      <c r="A112" s="512" t="s">
        <v>5952</v>
      </c>
      <c r="B112" s="442"/>
      <c r="C112" s="442">
        <v>7</v>
      </c>
      <c r="D112" s="442">
        <v>8</v>
      </c>
      <c r="I112" s="512"/>
      <c r="J112" s="522">
        <v>56</v>
      </c>
      <c r="K112" s="547" t="s">
        <v>5861</v>
      </c>
      <c r="L112" s="442" t="s">
        <v>6170</v>
      </c>
      <c r="M112" s="442" t="s">
        <v>5473</v>
      </c>
      <c r="N112" s="442" t="s">
        <v>6171</v>
      </c>
      <c r="O112" s="442" t="s">
        <v>6172</v>
      </c>
      <c r="AO112" s="514"/>
      <c r="AV112" s="525"/>
      <c r="AY112" s="527"/>
      <c r="BO112" s="525"/>
      <c r="BQ112" s="535" t="str" cm="1">
        <f t="array" ref="BQ112">IFERROR(INDEX($AY$1:$AY$112,SMALL(IF($AY$1:$AY$112&lt;&gt;"",ROW($AY$1:$AY$112),4^8),ROW(112:112)))&amp;"","")</f>
        <v/>
      </c>
    </row>
    <row r="113" customHeight="1" spans="1:48">
      <c r="A113" s="511" t="s">
        <v>5947</v>
      </c>
      <c r="B113" s="511">
        <v>71</v>
      </c>
      <c r="C113" s="511">
        <v>1</v>
      </c>
      <c r="D113" s="511">
        <v>5</v>
      </c>
      <c r="I113" s="512"/>
      <c r="J113" s="522"/>
      <c r="K113" s="547"/>
      <c r="L113" s="442" t="s">
        <v>6173</v>
      </c>
      <c r="M113" s="442" t="s">
        <v>5483</v>
      </c>
      <c r="N113" s="442" t="s">
        <v>6174</v>
      </c>
      <c r="O113" s="442" t="s">
        <v>6175</v>
      </c>
      <c r="AO113" s="514"/>
      <c r="AV113" s="525"/>
    </row>
    <row r="114" customHeight="1" spans="1:48">
      <c r="A114" s="512" t="s">
        <v>5957</v>
      </c>
      <c r="B114" s="442"/>
      <c r="C114" s="442">
        <v>6</v>
      </c>
      <c r="D114" s="442">
        <v>7</v>
      </c>
      <c r="I114" s="512"/>
      <c r="J114" s="522">
        <v>57</v>
      </c>
      <c r="K114" s="547" t="s">
        <v>5867</v>
      </c>
      <c r="L114" s="442" t="s">
        <v>6176</v>
      </c>
      <c r="M114" s="442" t="s">
        <v>5473</v>
      </c>
      <c r="N114" s="442" t="s">
        <v>6177</v>
      </c>
      <c r="O114" s="442" t="s">
        <v>6178</v>
      </c>
      <c r="AO114" s="514"/>
      <c r="AV114" s="525"/>
    </row>
    <row r="115" customHeight="1" spans="1:48">
      <c r="A115" s="512" t="s">
        <v>5958</v>
      </c>
      <c r="B115" s="442"/>
      <c r="C115" s="442">
        <v>8</v>
      </c>
      <c r="D115" s="442">
        <v>9</v>
      </c>
      <c r="I115" s="512"/>
      <c r="J115" s="522"/>
      <c r="K115" s="547"/>
      <c r="L115" s="442" t="s">
        <v>6179</v>
      </c>
      <c r="M115" s="442" t="s">
        <v>5483</v>
      </c>
      <c r="N115" s="442" t="s">
        <v>6180</v>
      </c>
      <c r="O115" s="442" t="s">
        <v>6181</v>
      </c>
      <c r="AO115" s="514"/>
      <c r="AV115" s="525"/>
    </row>
    <row r="116" customHeight="1" spans="1:48">
      <c r="A116" s="511" t="s">
        <v>5953</v>
      </c>
      <c r="B116" s="511">
        <v>72</v>
      </c>
      <c r="C116" s="511">
        <v>1</v>
      </c>
      <c r="D116" s="511">
        <v>4</v>
      </c>
      <c r="I116" s="512"/>
      <c r="J116" s="522">
        <v>58</v>
      </c>
      <c r="K116" s="547" t="s">
        <v>5871</v>
      </c>
      <c r="L116" s="442" t="s">
        <v>6182</v>
      </c>
      <c r="M116" s="442" t="s">
        <v>6183</v>
      </c>
      <c r="N116" s="442" t="s">
        <v>6184</v>
      </c>
      <c r="O116" s="442" t="s">
        <v>6185</v>
      </c>
      <c r="P116" s="442" t="s">
        <v>6186</v>
      </c>
      <c r="AO116" s="514"/>
      <c r="AV116" s="525"/>
    </row>
    <row r="117" customHeight="1" spans="1:48">
      <c r="A117" s="512" t="s">
        <v>5964</v>
      </c>
      <c r="B117" s="442"/>
      <c r="C117" s="442">
        <v>5</v>
      </c>
      <c r="D117" s="442">
        <v>6</v>
      </c>
      <c r="I117" s="512"/>
      <c r="J117" s="522"/>
      <c r="K117" s="547"/>
      <c r="L117" s="442" t="s">
        <v>6187</v>
      </c>
      <c r="M117" s="442" t="s">
        <v>6188</v>
      </c>
      <c r="N117" s="442" t="s">
        <v>6189</v>
      </c>
      <c r="O117" s="442" t="s">
        <v>6190</v>
      </c>
      <c r="P117" s="442" t="s">
        <v>6191</v>
      </c>
      <c r="AO117" s="514"/>
      <c r="AV117" s="525"/>
    </row>
    <row r="118" customHeight="1" spans="1:48">
      <c r="A118" s="512" t="s">
        <v>5965</v>
      </c>
      <c r="B118" s="442"/>
      <c r="C118" s="442">
        <v>7</v>
      </c>
      <c r="D118" s="442">
        <v>8</v>
      </c>
      <c r="I118" s="512"/>
      <c r="J118" s="522">
        <v>59</v>
      </c>
      <c r="K118" s="547" t="s">
        <v>5874</v>
      </c>
      <c r="L118" s="442" t="s">
        <v>6192</v>
      </c>
      <c r="M118" s="442" t="s">
        <v>6193</v>
      </c>
      <c r="N118" s="442" t="s">
        <v>6194</v>
      </c>
      <c r="O118" s="442" t="s">
        <v>6195</v>
      </c>
      <c r="AO118" s="514"/>
      <c r="AV118" s="525"/>
    </row>
    <row r="119" customHeight="1" spans="1:48">
      <c r="A119" s="511" t="s">
        <v>5959</v>
      </c>
      <c r="B119" s="511">
        <v>73</v>
      </c>
      <c r="C119" s="511">
        <v>1</v>
      </c>
      <c r="D119" s="511">
        <v>2</v>
      </c>
      <c r="I119" s="512"/>
      <c r="J119" s="522"/>
      <c r="K119" s="547"/>
      <c r="L119" s="442" t="s">
        <v>6196</v>
      </c>
      <c r="M119" s="442" t="s">
        <v>6197</v>
      </c>
      <c r="N119" s="442" t="s">
        <v>6198</v>
      </c>
      <c r="O119" s="442" t="s">
        <v>6199</v>
      </c>
      <c r="AO119" s="514"/>
      <c r="AV119" s="525"/>
    </row>
    <row r="120" customHeight="1" spans="1:48">
      <c r="A120" s="512" t="s">
        <v>5972</v>
      </c>
      <c r="B120" s="442"/>
      <c r="C120" s="442">
        <v>3</v>
      </c>
      <c r="D120" s="442">
        <v>5</v>
      </c>
      <c r="I120" s="512"/>
      <c r="J120" s="522">
        <v>60</v>
      </c>
      <c r="K120" s="547" t="s">
        <v>5880</v>
      </c>
      <c r="L120" s="442" t="s">
        <v>6200</v>
      </c>
      <c r="M120" s="442" t="s">
        <v>5473</v>
      </c>
      <c r="N120" s="442" t="s">
        <v>6201</v>
      </c>
      <c r="O120" s="442" t="s">
        <v>6202</v>
      </c>
      <c r="AO120" s="514"/>
      <c r="AV120" s="525"/>
    </row>
    <row r="121" customHeight="1" spans="1:48">
      <c r="A121" s="512" t="s">
        <v>5973</v>
      </c>
      <c r="B121" s="442"/>
      <c r="C121" s="442">
        <v>6</v>
      </c>
      <c r="D121" s="442">
        <v>7</v>
      </c>
      <c r="I121" s="512"/>
      <c r="J121" s="522"/>
      <c r="K121" s="547"/>
      <c r="L121" s="442" t="s">
        <v>6203</v>
      </c>
      <c r="M121" s="442" t="s">
        <v>5483</v>
      </c>
      <c r="N121" s="442" t="s">
        <v>6204</v>
      </c>
      <c r="O121" s="442" t="s">
        <v>6205</v>
      </c>
      <c r="AO121" s="514"/>
      <c r="AV121" s="525"/>
    </row>
    <row r="122" customHeight="1" spans="1:48">
      <c r="A122" s="511" t="s">
        <v>5967</v>
      </c>
      <c r="B122" s="511">
        <v>74</v>
      </c>
      <c r="C122" s="511">
        <v>1</v>
      </c>
      <c r="D122" s="511">
        <v>5</v>
      </c>
      <c r="I122" s="512"/>
      <c r="J122" s="522">
        <v>61</v>
      </c>
      <c r="K122" s="547" t="s">
        <v>5884</v>
      </c>
      <c r="L122" s="442" t="s">
        <v>5798</v>
      </c>
      <c r="M122" s="442" t="s">
        <v>5473</v>
      </c>
      <c r="N122" s="442" t="s">
        <v>6206</v>
      </c>
      <c r="O122" s="442" t="s">
        <v>6207</v>
      </c>
      <c r="AO122" s="514"/>
      <c r="AV122" s="525"/>
    </row>
    <row r="123" customHeight="1" spans="1:48">
      <c r="A123" s="511" t="s">
        <v>5974</v>
      </c>
      <c r="B123" s="511">
        <v>75</v>
      </c>
      <c r="C123" s="511">
        <v>1</v>
      </c>
      <c r="D123" s="511">
        <v>4</v>
      </c>
      <c r="I123" s="512"/>
      <c r="J123" s="522"/>
      <c r="K123" s="547"/>
      <c r="L123" s="442" t="s">
        <v>5809</v>
      </c>
      <c r="M123" s="442" t="s">
        <v>5483</v>
      </c>
      <c r="N123" s="442" t="s">
        <v>6208</v>
      </c>
      <c r="O123" s="442" t="s">
        <v>6209</v>
      </c>
      <c r="AO123" s="514"/>
      <c r="AV123" s="525"/>
    </row>
    <row r="124" customHeight="1" spans="1:48">
      <c r="A124" s="511" t="s">
        <v>5978</v>
      </c>
      <c r="B124" s="511">
        <v>76</v>
      </c>
      <c r="C124" s="511">
        <v>1</v>
      </c>
      <c r="D124" s="511">
        <v>5</v>
      </c>
      <c r="I124" s="512"/>
      <c r="J124" s="522">
        <v>62</v>
      </c>
      <c r="K124" s="547" t="s">
        <v>5890</v>
      </c>
      <c r="L124" s="442" t="s">
        <v>6210</v>
      </c>
      <c r="M124" s="442" t="s">
        <v>6211</v>
      </c>
      <c r="N124" s="442" t="s">
        <v>6212</v>
      </c>
      <c r="AO124" s="514"/>
      <c r="AV124" s="525"/>
    </row>
    <row r="125" customHeight="1" spans="1:48">
      <c r="A125" s="511" t="s">
        <v>5985</v>
      </c>
      <c r="B125" s="511">
        <v>77</v>
      </c>
      <c r="C125" s="511">
        <v>1</v>
      </c>
      <c r="D125" s="511">
        <v>4</v>
      </c>
      <c r="I125" s="512"/>
      <c r="J125" s="522"/>
      <c r="K125" s="547"/>
      <c r="L125" s="442" t="s">
        <v>6213</v>
      </c>
      <c r="M125" s="442" t="s">
        <v>6214</v>
      </c>
      <c r="N125" s="442" t="s">
        <v>6215</v>
      </c>
      <c r="AO125" s="514"/>
      <c r="AV125" s="525"/>
    </row>
    <row r="126" customHeight="1" spans="1:48">
      <c r="A126" s="511" t="s">
        <v>5991</v>
      </c>
      <c r="B126" s="511">
        <v>78</v>
      </c>
      <c r="C126" s="511">
        <v>1</v>
      </c>
      <c r="D126" s="511">
        <v>3</v>
      </c>
      <c r="I126" s="512"/>
      <c r="J126" s="522">
        <v>63</v>
      </c>
      <c r="K126" s="547" t="s">
        <v>5897</v>
      </c>
      <c r="L126" s="442" t="s">
        <v>6216</v>
      </c>
      <c r="M126" s="442" t="s">
        <v>6217</v>
      </c>
      <c r="N126" s="442" t="s">
        <v>6218</v>
      </c>
      <c r="O126" s="442" t="s">
        <v>6219</v>
      </c>
      <c r="P126" s="442" t="s">
        <v>6220</v>
      </c>
      <c r="AO126" s="514"/>
      <c r="AV126" s="525"/>
    </row>
    <row r="127" customHeight="1" spans="1:48">
      <c r="A127" s="511" t="s">
        <v>5998</v>
      </c>
      <c r="B127" s="511">
        <v>79</v>
      </c>
      <c r="C127" s="511">
        <v>1</v>
      </c>
      <c r="D127" s="511">
        <v>4</v>
      </c>
      <c r="I127" s="512"/>
      <c r="J127" s="522"/>
      <c r="K127" s="547"/>
      <c r="L127" s="442" t="s">
        <v>6221</v>
      </c>
      <c r="M127" s="442" t="s">
        <v>6222</v>
      </c>
      <c r="N127" s="442" t="s">
        <v>6190</v>
      </c>
      <c r="O127" s="442" t="s">
        <v>6223</v>
      </c>
      <c r="P127" s="442" t="s">
        <v>6224</v>
      </c>
      <c r="AO127" s="514"/>
      <c r="AV127" s="525"/>
    </row>
    <row r="128" customHeight="1" spans="1:48">
      <c r="A128" s="518" t="s">
        <v>6002</v>
      </c>
      <c r="B128" s="511">
        <v>80</v>
      </c>
      <c r="C128" s="511">
        <v>1</v>
      </c>
      <c r="D128" s="511">
        <v>6</v>
      </c>
      <c r="I128" s="512"/>
      <c r="J128" s="522">
        <v>64</v>
      </c>
      <c r="K128" s="547" t="s">
        <v>5903</v>
      </c>
      <c r="L128" s="442" t="s">
        <v>5473</v>
      </c>
      <c r="M128" s="442" t="s">
        <v>6225</v>
      </c>
      <c r="N128" s="442" t="s">
        <v>6226</v>
      </c>
      <c r="O128" s="442" t="s">
        <v>6227</v>
      </c>
      <c r="AO128" s="514"/>
      <c r="AV128" s="525"/>
    </row>
    <row r="129" customHeight="1" spans="1:48">
      <c r="A129" s="518" t="s">
        <v>6006</v>
      </c>
      <c r="B129" s="511">
        <v>81</v>
      </c>
      <c r="C129" s="511">
        <v>1</v>
      </c>
      <c r="D129" s="511">
        <v>7</v>
      </c>
      <c r="I129" s="512"/>
      <c r="J129" s="522"/>
      <c r="K129" s="547"/>
      <c r="L129" s="442" t="s">
        <v>5483</v>
      </c>
      <c r="M129" s="442" t="s">
        <v>6228</v>
      </c>
      <c r="N129" s="442" t="s">
        <v>6229</v>
      </c>
      <c r="O129" s="442" t="s">
        <v>6230</v>
      </c>
      <c r="AO129" s="514"/>
      <c r="AV129" s="525"/>
    </row>
    <row r="130" customHeight="1" spans="1:48">
      <c r="A130" s="512" t="s">
        <v>6018</v>
      </c>
      <c r="B130" s="442"/>
      <c r="C130" s="442">
        <v>8</v>
      </c>
      <c r="D130" s="442">
        <v>11</v>
      </c>
      <c r="I130" s="512"/>
      <c r="J130" s="522">
        <v>65</v>
      </c>
      <c r="K130" s="547" t="s">
        <v>5909</v>
      </c>
      <c r="L130" s="442" t="s">
        <v>6231</v>
      </c>
      <c r="M130" s="442" t="s">
        <v>5473</v>
      </c>
      <c r="N130" s="442" t="s">
        <v>6232</v>
      </c>
      <c r="O130" s="442" t="s">
        <v>5531</v>
      </c>
      <c r="P130" s="442" t="s">
        <v>6233</v>
      </c>
      <c r="AO130" s="514"/>
      <c r="AV130" s="525"/>
    </row>
    <row r="131" customHeight="1" spans="1:48">
      <c r="A131" s="512" t="s">
        <v>6019</v>
      </c>
      <c r="B131" s="442"/>
      <c r="C131" s="442">
        <v>12</v>
      </c>
      <c r="D131" s="442">
        <v>14</v>
      </c>
      <c r="I131" s="512"/>
      <c r="J131" s="522"/>
      <c r="K131" s="547"/>
      <c r="L131" s="442" t="s">
        <v>6157</v>
      </c>
      <c r="M131" s="442" t="s">
        <v>5483</v>
      </c>
      <c r="N131" s="442" t="s">
        <v>6234</v>
      </c>
      <c r="O131" s="442" t="s">
        <v>6235</v>
      </c>
      <c r="P131" s="442" t="s">
        <v>6236</v>
      </c>
      <c r="AO131" s="514"/>
      <c r="AV131" s="525"/>
    </row>
    <row r="132" customHeight="1" spans="1:48">
      <c r="A132" s="518" t="s">
        <v>6012</v>
      </c>
      <c r="B132" s="511">
        <v>82</v>
      </c>
      <c r="C132" s="511">
        <v>1</v>
      </c>
      <c r="D132" s="511">
        <v>6</v>
      </c>
      <c r="I132" s="512"/>
      <c r="J132" s="522">
        <v>66</v>
      </c>
      <c r="K132" s="529" t="s">
        <v>5916</v>
      </c>
      <c r="L132" s="442" t="s">
        <v>6237</v>
      </c>
      <c r="M132" s="442" t="s">
        <v>6238</v>
      </c>
      <c r="N132" s="442" t="s">
        <v>6239</v>
      </c>
      <c r="O132" s="442" t="s">
        <v>6240</v>
      </c>
      <c r="R132" s="512"/>
      <c r="S132" s="512"/>
      <c r="T132" s="512"/>
      <c r="U132" s="512"/>
      <c r="V132" s="512"/>
      <c r="W132" s="512"/>
      <c r="X132" s="512"/>
      <c r="Y132" s="512"/>
      <c r="Z132" s="512"/>
      <c r="AA132" s="512"/>
      <c r="AB132" s="512"/>
      <c r="AC132" s="512"/>
      <c r="AD132" s="512"/>
      <c r="AE132" s="512"/>
      <c r="AF132" s="512"/>
      <c r="AG132" s="512"/>
      <c r="AH132" s="512"/>
      <c r="AI132" s="512"/>
      <c r="AJ132" s="512"/>
      <c r="AK132" s="512"/>
      <c r="AL132" s="512"/>
      <c r="AM132" s="512"/>
      <c r="AN132" s="512"/>
      <c r="AV132" s="525"/>
    </row>
    <row r="133" customHeight="1" spans="1:48">
      <c r="A133" s="518" t="s">
        <v>6020</v>
      </c>
      <c r="B133" s="511">
        <v>83</v>
      </c>
      <c r="C133" s="511">
        <v>1</v>
      </c>
      <c r="D133" s="511">
        <v>3</v>
      </c>
      <c r="I133" s="512"/>
      <c r="J133" s="522"/>
      <c r="K133" s="529"/>
      <c r="L133" s="442" t="s">
        <v>6241</v>
      </c>
      <c r="M133" s="442" t="s">
        <v>6242</v>
      </c>
      <c r="N133" s="442" t="s">
        <v>6243</v>
      </c>
      <c r="O133" s="442" t="s">
        <v>6244</v>
      </c>
      <c r="R133" s="512"/>
      <c r="S133" s="512"/>
      <c r="T133" s="512"/>
      <c r="U133" s="512"/>
      <c r="V133" s="512"/>
      <c r="W133" s="512"/>
      <c r="X133" s="512"/>
      <c r="Y133" s="512"/>
      <c r="Z133" s="512"/>
      <c r="AA133" s="512"/>
      <c r="AB133" s="512"/>
      <c r="AC133" s="512"/>
      <c r="AD133" s="512"/>
      <c r="AE133" s="512"/>
      <c r="AF133" s="512"/>
      <c r="AG133" s="512"/>
      <c r="AH133" s="512"/>
      <c r="AI133" s="512"/>
      <c r="AJ133" s="512"/>
      <c r="AK133" s="512"/>
      <c r="AL133" s="512"/>
      <c r="AM133" s="512"/>
      <c r="AN133" s="512"/>
      <c r="AV133" s="525"/>
    </row>
    <row r="134" customHeight="1" spans="1:48">
      <c r="A134" s="512" t="s">
        <v>6037</v>
      </c>
      <c r="B134" s="442"/>
      <c r="C134" s="442">
        <v>4</v>
      </c>
      <c r="D134" s="442">
        <v>5</v>
      </c>
      <c r="I134" s="512"/>
      <c r="J134" s="522">
        <v>67</v>
      </c>
      <c r="K134" s="529" t="s">
        <v>5923</v>
      </c>
      <c r="L134" s="442" t="s">
        <v>6245</v>
      </c>
      <c r="M134" s="442" t="s">
        <v>6246</v>
      </c>
      <c r="N134" s="442" t="s">
        <v>6247</v>
      </c>
      <c r="R134" s="512"/>
      <c r="S134" s="512"/>
      <c r="T134" s="512"/>
      <c r="U134" s="512"/>
      <c r="V134" s="512"/>
      <c r="W134" s="512"/>
      <c r="X134" s="512"/>
      <c r="Y134" s="512"/>
      <c r="Z134" s="512"/>
      <c r="AA134" s="512"/>
      <c r="AB134" s="512"/>
      <c r="AC134" s="512"/>
      <c r="AD134" s="512"/>
      <c r="AE134" s="512"/>
      <c r="AF134" s="512"/>
      <c r="AG134" s="512"/>
      <c r="AH134" s="512"/>
      <c r="AI134" s="512"/>
      <c r="AJ134" s="512"/>
      <c r="AK134" s="512"/>
      <c r="AL134" s="512"/>
      <c r="AM134" s="512"/>
      <c r="AN134" s="512"/>
      <c r="AV134" s="525"/>
    </row>
    <row r="135" customHeight="1" spans="1:48">
      <c r="A135" s="512" t="s">
        <v>6038</v>
      </c>
      <c r="B135" s="442"/>
      <c r="C135" s="442">
        <v>6</v>
      </c>
      <c r="D135" s="442">
        <v>7</v>
      </c>
      <c r="I135" s="512"/>
      <c r="J135" s="522"/>
      <c r="K135" s="529"/>
      <c r="L135" s="442" t="s">
        <v>6248</v>
      </c>
      <c r="M135" s="442" t="s">
        <v>6249</v>
      </c>
      <c r="N135" s="442" t="s">
        <v>6250</v>
      </c>
      <c r="R135" s="512"/>
      <c r="S135" s="512"/>
      <c r="T135" s="512"/>
      <c r="U135" s="512"/>
      <c r="V135" s="512"/>
      <c r="W135" s="512"/>
      <c r="X135" s="512"/>
      <c r="Y135" s="512"/>
      <c r="Z135" s="512"/>
      <c r="AA135" s="512"/>
      <c r="AB135" s="512"/>
      <c r="AC135" s="512"/>
      <c r="AD135" s="512"/>
      <c r="AE135" s="512"/>
      <c r="AF135" s="512"/>
      <c r="AG135" s="512"/>
      <c r="AH135" s="512"/>
      <c r="AI135" s="512"/>
      <c r="AJ135" s="512"/>
      <c r="AK135" s="512"/>
      <c r="AL135" s="512"/>
      <c r="AM135" s="512"/>
      <c r="AN135" s="512"/>
      <c r="AV135" s="525"/>
    </row>
    <row r="136" customHeight="1" spans="1:48">
      <c r="A136" s="518" t="s">
        <v>6028</v>
      </c>
      <c r="B136" s="511">
        <v>84</v>
      </c>
      <c r="C136" s="511">
        <v>1</v>
      </c>
      <c r="D136" s="511">
        <v>4</v>
      </c>
      <c r="I136" s="512"/>
      <c r="J136" s="522">
        <v>68</v>
      </c>
      <c r="K136" s="548" t="s">
        <v>5928</v>
      </c>
      <c r="L136" s="442" t="s">
        <v>6054</v>
      </c>
      <c r="M136" s="442" t="s">
        <v>5976</v>
      </c>
      <c r="N136" s="442" t="s">
        <v>6251</v>
      </c>
      <c r="O136" s="442" t="s">
        <v>6252</v>
      </c>
      <c r="P136" s="442" t="s">
        <v>6253</v>
      </c>
      <c r="Q136" s="442" t="s">
        <v>6254</v>
      </c>
      <c r="R136" s="512" t="s">
        <v>6255</v>
      </c>
      <c r="S136" s="512" t="s">
        <v>6256</v>
      </c>
      <c r="T136" s="512"/>
      <c r="U136" s="512"/>
      <c r="V136" s="512"/>
      <c r="W136" s="512"/>
      <c r="X136" s="512"/>
      <c r="Y136" s="512"/>
      <c r="Z136" s="512"/>
      <c r="AA136" s="512"/>
      <c r="AB136" s="512"/>
      <c r="AC136" s="512"/>
      <c r="AD136" s="512"/>
      <c r="AE136" s="512"/>
      <c r="AF136" s="512"/>
      <c r="AG136" s="512"/>
      <c r="AH136" s="512"/>
      <c r="AI136" s="512"/>
      <c r="AJ136" s="512"/>
      <c r="AK136" s="512"/>
      <c r="AL136" s="512"/>
      <c r="AM136" s="512"/>
      <c r="AN136" s="512"/>
      <c r="AV136" s="525"/>
    </row>
    <row r="137" customHeight="1" spans="1:48">
      <c r="A137" s="518" t="s">
        <v>6039</v>
      </c>
      <c r="B137" s="511">
        <v>85</v>
      </c>
      <c r="C137" s="511">
        <v>1</v>
      </c>
      <c r="D137" s="511">
        <v>4</v>
      </c>
      <c r="I137" s="512"/>
      <c r="J137" s="522"/>
      <c r="K137" s="548"/>
      <c r="L137" s="442" t="s">
        <v>6257</v>
      </c>
      <c r="M137" s="442" t="s">
        <v>6258</v>
      </c>
      <c r="N137" s="442" t="s">
        <v>6259</v>
      </c>
      <c r="O137" s="442" t="s">
        <v>6260</v>
      </c>
      <c r="P137" s="442" t="s">
        <v>6261</v>
      </c>
      <c r="Q137" s="442" t="s">
        <v>6262</v>
      </c>
      <c r="R137" s="512" t="s">
        <v>6263</v>
      </c>
      <c r="S137" s="512" t="s">
        <v>6264</v>
      </c>
      <c r="T137" s="512"/>
      <c r="U137" s="512"/>
      <c r="V137" s="512"/>
      <c r="W137" s="512"/>
      <c r="X137" s="512"/>
      <c r="Y137" s="512"/>
      <c r="Z137" s="512"/>
      <c r="AA137" s="512"/>
      <c r="AB137" s="512"/>
      <c r="AC137" s="512"/>
      <c r="AD137" s="512"/>
      <c r="AE137" s="512"/>
      <c r="AF137" s="512"/>
      <c r="AG137" s="512"/>
      <c r="AH137" s="512"/>
      <c r="AI137" s="512"/>
      <c r="AJ137" s="512"/>
      <c r="AK137" s="512"/>
      <c r="AL137" s="512"/>
      <c r="AM137" s="512"/>
      <c r="AN137" s="512"/>
      <c r="AV137" s="525"/>
    </row>
    <row r="138" customHeight="1" spans="1:48">
      <c r="A138" s="512" t="s">
        <v>6049</v>
      </c>
      <c r="B138" s="442"/>
      <c r="C138" s="442">
        <v>5</v>
      </c>
      <c r="D138" s="442">
        <v>7</v>
      </c>
      <c r="I138" s="512"/>
      <c r="J138" s="522">
        <v>69</v>
      </c>
      <c r="K138" s="548" t="s">
        <v>5934</v>
      </c>
      <c r="L138" s="442" t="s">
        <v>6054</v>
      </c>
      <c r="M138" s="442" t="s">
        <v>6265</v>
      </c>
      <c r="N138" s="442" t="s">
        <v>6266</v>
      </c>
      <c r="O138" s="442" t="s">
        <v>6267</v>
      </c>
      <c r="P138" s="442" t="s">
        <v>6268</v>
      </c>
      <c r="Q138" s="442" t="s">
        <v>6269</v>
      </c>
      <c r="R138" s="512" t="s">
        <v>6270</v>
      </c>
      <c r="S138" s="512" t="s">
        <v>6271</v>
      </c>
      <c r="T138" s="512" t="s">
        <v>6272</v>
      </c>
      <c r="U138" s="512"/>
      <c r="V138" s="512"/>
      <c r="W138" s="512"/>
      <c r="X138" s="512"/>
      <c r="Y138" s="512"/>
      <c r="Z138" s="512"/>
      <c r="AA138" s="512"/>
      <c r="AB138" s="512"/>
      <c r="AC138" s="512"/>
      <c r="AD138" s="512"/>
      <c r="AE138" s="512"/>
      <c r="AF138" s="512"/>
      <c r="AG138" s="512"/>
      <c r="AH138" s="512"/>
      <c r="AI138" s="512"/>
      <c r="AJ138" s="512"/>
      <c r="AK138" s="512"/>
      <c r="AL138" s="512"/>
      <c r="AM138" s="512"/>
      <c r="AN138" s="512"/>
      <c r="AV138" s="525"/>
    </row>
    <row r="139" customHeight="1" spans="1:48">
      <c r="A139" s="512" t="s">
        <v>6050</v>
      </c>
      <c r="B139" s="442"/>
      <c r="C139" s="442">
        <v>8</v>
      </c>
      <c r="D139" s="442">
        <v>9</v>
      </c>
      <c r="I139" s="512"/>
      <c r="J139" s="522"/>
      <c r="K139" s="548"/>
      <c r="L139" s="442" t="s">
        <v>6257</v>
      </c>
      <c r="M139" s="442" t="s">
        <v>6273</v>
      </c>
      <c r="N139" s="442" t="s">
        <v>6274</v>
      </c>
      <c r="O139" s="442" t="s">
        <v>6275</v>
      </c>
      <c r="P139" s="442" t="s">
        <v>6276</v>
      </c>
      <c r="Q139" s="442" t="s">
        <v>6277</v>
      </c>
      <c r="R139" s="512" t="s">
        <v>6262</v>
      </c>
      <c r="S139" s="512" t="s">
        <v>6278</v>
      </c>
      <c r="T139" s="512" t="s">
        <v>6279</v>
      </c>
      <c r="U139" s="512"/>
      <c r="V139" s="512"/>
      <c r="W139" s="512"/>
      <c r="X139" s="512"/>
      <c r="Y139" s="512"/>
      <c r="Z139" s="512"/>
      <c r="AA139" s="512"/>
      <c r="AB139" s="512"/>
      <c r="AC139" s="512"/>
      <c r="AD139" s="512"/>
      <c r="AE139" s="512"/>
      <c r="AF139" s="512"/>
      <c r="AG139" s="512"/>
      <c r="AH139" s="512"/>
      <c r="AI139" s="512"/>
      <c r="AJ139" s="512"/>
      <c r="AK139" s="512"/>
      <c r="AL139" s="512"/>
      <c r="AM139" s="512"/>
      <c r="AN139" s="512"/>
      <c r="AV139" s="525"/>
    </row>
    <row r="140" customHeight="1" spans="1:48">
      <c r="A140" s="518" t="s">
        <v>6044</v>
      </c>
      <c r="B140" s="511">
        <v>86</v>
      </c>
      <c r="C140" s="511">
        <v>1</v>
      </c>
      <c r="D140" s="511">
        <v>5</v>
      </c>
      <c r="I140" s="512"/>
      <c r="J140" s="522">
        <v>70</v>
      </c>
      <c r="K140" s="548" t="s">
        <v>5940</v>
      </c>
      <c r="L140" s="442" t="s">
        <v>6054</v>
      </c>
      <c r="M140" s="442" t="s">
        <v>6265</v>
      </c>
      <c r="N140" s="442" t="s">
        <v>6280</v>
      </c>
      <c r="O140" s="442" t="s">
        <v>6281</v>
      </c>
      <c r="P140" s="442" t="s">
        <v>6282</v>
      </c>
      <c r="Q140" s="442" t="s">
        <v>6283</v>
      </c>
      <c r="R140" s="512" t="s">
        <v>6284</v>
      </c>
      <c r="S140" s="512" t="s">
        <v>6285</v>
      </c>
      <c r="T140" s="512"/>
      <c r="U140" s="512"/>
      <c r="V140" s="512"/>
      <c r="W140" s="512"/>
      <c r="X140" s="512"/>
      <c r="Y140" s="512"/>
      <c r="Z140" s="512"/>
      <c r="AA140" s="512"/>
      <c r="AB140" s="512"/>
      <c r="AC140" s="512"/>
      <c r="AD140" s="512"/>
      <c r="AE140" s="512"/>
      <c r="AF140" s="512"/>
      <c r="AG140" s="512"/>
      <c r="AH140" s="512"/>
      <c r="AI140" s="512"/>
      <c r="AJ140" s="512"/>
      <c r="AK140" s="512"/>
      <c r="AL140" s="512"/>
      <c r="AM140" s="512"/>
      <c r="AN140" s="512"/>
      <c r="AV140" s="525"/>
    </row>
    <row r="141" customHeight="1" spans="1:48">
      <c r="A141" s="518" t="s">
        <v>6051</v>
      </c>
      <c r="B141" s="511">
        <v>87</v>
      </c>
      <c r="C141" s="511">
        <v>1</v>
      </c>
      <c r="D141" s="511">
        <v>6</v>
      </c>
      <c r="I141" s="512"/>
      <c r="J141" s="522"/>
      <c r="K141" s="548"/>
      <c r="L141" s="442" t="s">
        <v>6257</v>
      </c>
      <c r="M141" s="442" t="s">
        <v>6273</v>
      </c>
      <c r="N141" s="442" t="s">
        <v>6286</v>
      </c>
      <c r="O141" s="442" t="s">
        <v>6287</v>
      </c>
      <c r="P141" s="442" t="s">
        <v>6288</v>
      </c>
      <c r="Q141" s="442" t="s">
        <v>6289</v>
      </c>
      <c r="R141" s="512" t="s">
        <v>6290</v>
      </c>
      <c r="S141" s="512" t="s">
        <v>6291</v>
      </c>
      <c r="T141" s="512"/>
      <c r="U141" s="512"/>
      <c r="V141" s="512"/>
      <c r="W141" s="512"/>
      <c r="X141" s="512"/>
      <c r="Y141" s="512"/>
      <c r="Z141" s="512"/>
      <c r="AA141" s="512"/>
      <c r="AB141" s="512"/>
      <c r="AC141" s="512"/>
      <c r="AD141" s="512"/>
      <c r="AE141" s="512"/>
      <c r="AF141" s="512"/>
      <c r="AG141" s="512"/>
      <c r="AH141" s="512"/>
      <c r="AI141" s="512"/>
      <c r="AJ141" s="512"/>
      <c r="AK141" s="512"/>
      <c r="AL141" s="512"/>
      <c r="AM141" s="512"/>
      <c r="AN141" s="512"/>
      <c r="AV141" s="525"/>
    </row>
    <row r="142" customHeight="1" spans="1:48">
      <c r="A142" s="518" t="s">
        <v>6056</v>
      </c>
      <c r="B142" s="511">
        <v>88</v>
      </c>
      <c r="C142" s="511">
        <v>1</v>
      </c>
      <c r="D142" s="511">
        <v>3</v>
      </c>
      <c r="I142" s="512"/>
      <c r="J142" s="522">
        <v>71</v>
      </c>
      <c r="K142" s="548" t="s">
        <v>5947</v>
      </c>
      <c r="L142" s="442" t="s">
        <v>6054</v>
      </c>
      <c r="M142" s="442" t="s">
        <v>5976</v>
      </c>
      <c r="N142" s="442" t="s">
        <v>5531</v>
      </c>
      <c r="O142" s="442" t="s">
        <v>6292</v>
      </c>
      <c r="P142" s="442" t="s">
        <v>6293</v>
      </c>
      <c r="Q142" s="442" t="s">
        <v>6294</v>
      </c>
      <c r="R142" s="512" t="s">
        <v>6295</v>
      </c>
      <c r="S142" s="512" t="s">
        <v>5312</v>
      </c>
      <c r="T142" s="512" t="s">
        <v>6296</v>
      </c>
      <c r="U142" s="512"/>
      <c r="V142" s="512"/>
      <c r="W142" s="512"/>
      <c r="X142" s="512"/>
      <c r="Y142" s="512"/>
      <c r="Z142" s="512"/>
      <c r="AA142" s="512"/>
      <c r="AB142" s="512"/>
      <c r="AC142" s="512"/>
      <c r="AD142" s="512"/>
      <c r="AE142" s="512"/>
      <c r="AF142" s="512"/>
      <c r="AG142" s="512"/>
      <c r="AH142" s="512"/>
      <c r="AI142" s="512"/>
      <c r="AJ142" s="512"/>
      <c r="AK142" s="512"/>
      <c r="AL142" s="512"/>
      <c r="AM142" s="512"/>
      <c r="AN142" s="512"/>
      <c r="AV142" s="525"/>
    </row>
    <row r="143" customHeight="1" spans="1:48">
      <c r="A143" s="518" t="s">
        <v>6061</v>
      </c>
      <c r="B143" s="511">
        <v>89</v>
      </c>
      <c r="C143" s="511">
        <v>1</v>
      </c>
      <c r="D143" s="511">
        <v>4</v>
      </c>
      <c r="I143" s="512"/>
      <c r="J143" s="522"/>
      <c r="K143" s="548"/>
      <c r="L143" s="442" t="s">
        <v>6297</v>
      </c>
      <c r="M143" s="442" t="s">
        <v>6258</v>
      </c>
      <c r="N143" s="442" t="s">
        <v>5767</v>
      </c>
      <c r="O143" s="442" t="s">
        <v>6298</v>
      </c>
      <c r="P143" s="442" t="s">
        <v>6299</v>
      </c>
      <c r="Q143" s="442" t="s">
        <v>6300</v>
      </c>
      <c r="R143" s="512" t="s">
        <v>6301</v>
      </c>
      <c r="S143" s="512" t="s">
        <v>6302</v>
      </c>
      <c r="T143" s="512" t="s">
        <v>6303</v>
      </c>
      <c r="U143" s="512"/>
      <c r="V143" s="512"/>
      <c r="W143" s="512"/>
      <c r="X143" s="512"/>
      <c r="Y143" s="512"/>
      <c r="Z143" s="512"/>
      <c r="AA143" s="512"/>
      <c r="AB143" s="512"/>
      <c r="AC143" s="512"/>
      <c r="AD143" s="512"/>
      <c r="AE143" s="512"/>
      <c r="AF143" s="512"/>
      <c r="AG143" s="512"/>
      <c r="AH143" s="512"/>
      <c r="AI143" s="512"/>
      <c r="AJ143" s="512"/>
      <c r="AK143" s="512"/>
      <c r="AL143" s="512"/>
      <c r="AM143" s="512"/>
      <c r="AN143" s="512"/>
      <c r="AV143" s="525"/>
    </row>
    <row r="144" customHeight="1" spans="1:48">
      <c r="A144" s="511" t="s">
        <v>5784</v>
      </c>
      <c r="B144" s="511">
        <v>90</v>
      </c>
      <c r="C144" s="511">
        <v>1</v>
      </c>
      <c r="D144" s="511">
        <v>5</v>
      </c>
      <c r="I144" s="512"/>
      <c r="J144" s="522">
        <v>72</v>
      </c>
      <c r="K144" s="548" t="s">
        <v>5953</v>
      </c>
      <c r="L144" s="442" t="s">
        <v>6054</v>
      </c>
      <c r="M144" s="442" t="s">
        <v>5976</v>
      </c>
      <c r="N144" s="442" t="s">
        <v>5473</v>
      </c>
      <c r="O144" s="442" t="s">
        <v>6304</v>
      </c>
      <c r="P144" s="442" t="s">
        <v>6305</v>
      </c>
      <c r="Q144" s="442" t="s">
        <v>6306</v>
      </c>
      <c r="R144" s="512" t="s">
        <v>6151</v>
      </c>
      <c r="S144" s="512" t="s">
        <v>6307</v>
      </c>
      <c r="T144" s="512"/>
      <c r="U144" s="512"/>
      <c r="V144" s="512"/>
      <c r="W144" s="512"/>
      <c r="X144" s="512"/>
      <c r="Y144" s="512"/>
      <c r="Z144" s="512"/>
      <c r="AA144" s="512"/>
      <c r="AB144" s="512"/>
      <c r="AC144" s="512"/>
      <c r="AD144" s="512"/>
      <c r="AE144" s="512"/>
      <c r="AF144" s="512"/>
      <c r="AG144" s="512"/>
      <c r="AH144" s="512"/>
      <c r="AI144" s="512"/>
      <c r="AJ144" s="512"/>
      <c r="AK144" s="512"/>
      <c r="AL144" s="512"/>
      <c r="AM144" s="512"/>
      <c r="AN144" s="512"/>
      <c r="AV144" s="525"/>
    </row>
    <row r="145" customHeight="1" spans="1:48">
      <c r="A145" s="511" t="s">
        <v>5789</v>
      </c>
      <c r="B145" s="511">
        <v>91</v>
      </c>
      <c r="C145" s="511">
        <v>1</v>
      </c>
      <c r="D145" s="511">
        <v>6</v>
      </c>
      <c r="I145" s="512"/>
      <c r="J145" s="522"/>
      <c r="K145" s="548"/>
      <c r="L145" s="442" t="s">
        <v>6308</v>
      </c>
      <c r="M145" s="442" t="s">
        <v>6258</v>
      </c>
      <c r="N145" s="442" t="s">
        <v>6309</v>
      </c>
      <c r="O145" s="442" t="s">
        <v>6310</v>
      </c>
      <c r="P145" s="442" t="s">
        <v>6311</v>
      </c>
      <c r="Q145" s="442" t="s">
        <v>6312</v>
      </c>
      <c r="R145" s="512" t="s">
        <v>6313</v>
      </c>
      <c r="S145" s="512" t="s">
        <v>6314</v>
      </c>
      <c r="T145" s="512"/>
      <c r="U145" s="512"/>
      <c r="V145" s="512"/>
      <c r="W145" s="512"/>
      <c r="X145" s="512"/>
      <c r="Y145" s="512"/>
      <c r="Z145" s="512"/>
      <c r="AA145" s="512"/>
      <c r="AB145" s="512"/>
      <c r="AC145" s="512"/>
      <c r="AD145" s="512"/>
      <c r="AE145" s="512"/>
      <c r="AF145" s="512"/>
      <c r="AG145" s="512"/>
      <c r="AH145" s="512"/>
      <c r="AI145" s="512"/>
      <c r="AJ145" s="512"/>
      <c r="AK145" s="512"/>
      <c r="AL145" s="512"/>
      <c r="AM145" s="512"/>
      <c r="AN145" s="512"/>
      <c r="AV145" s="525"/>
    </row>
    <row r="146" customHeight="1" spans="1:48">
      <c r="A146" s="511" t="s">
        <v>5800</v>
      </c>
      <c r="B146" s="511">
        <v>92</v>
      </c>
      <c r="C146" s="511">
        <v>1</v>
      </c>
      <c r="D146" s="511">
        <v>3</v>
      </c>
      <c r="I146" s="512"/>
      <c r="J146" s="522">
        <v>73</v>
      </c>
      <c r="K146" s="548" t="s">
        <v>5959</v>
      </c>
      <c r="L146" s="442" t="s">
        <v>6315</v>
      </c>
      <c r="M146" s="442" t="s">
        <v>6316</v>
      </c>
      <c r="N146" s="442" t="s">
        <v>6151</v>
      </c>
      <c r="O146" s="442" t="s">
        <v>6317</v>
      </c>
      <c r="P146" s="442" t="s">
        <v>6318</v>
      </c>
      <c r="Q146" s="442" t="s">
        <v>5584</v>
      </c>
      <c r="R146" s="512" t="s">
        <v>6319</v>
      </c>
      <c r="S146" s="512"/>
      <c r="T146" s="512"/>
      <c r="U146" s="512"/>
      <c r="V146" s="512"/>
      <c r="W146" s="512"/>
      <c r="X146" s="512"/>
      <c r="Y146" s="512"/>
      <c r="Z146" s="512"/>
      <c r="AA146" s="512"/>
      <c r="AB146" s="512"/>
      <c r="AC146" s="512"/>
      <c r="AD146" s="512"/>
      <c r="AE146" s="512"/>
      <c r="AF146" s="512"/>
      <c r="AG146" s="512"/>
      <c r="AH146" s="512"/>
      <c r="AI146" s="512"/>
      <c r="AJ146" s="512"/>
      <c r="AK146" s="512"/>
      <c r="AL146" s="512"/>
      <c r="AM146" s="512"/>
      <c r="AN146" s="512"/>
      <c r="AV146" s="525"/>
    </row>
    <row r="147" customHeight="1" spans="1:48">
      <c r="A147" s="518" t="s">
        <v>6066</v>
      </c>
      <c r="B147" s="511">
        <v>93</v>
      </c>
      <c r="C147" s="511">
        <v>1</v>
      </c>
      <c r="D147" s="511">
        <v>4</v>
      </c>
      <c r="I147" s="512"/>
      <c r="J147" s="522"/>
      <c r="K147" s="548"/>
      <c r="L147" s="442" t="s">
        <v>6320</v>
      </c>
      <c r="M147" s="442" t="s">
        <v>6321</v>
      </c>
      <c r="N147" s="512" t="s">
        <v>6313</v>
      </c>
      <c r="O147" s="442" t="s">
        <v>6322</v>
      </c>
      <c r="P147" s="442" t="s">
        <v>6323</v>
      </c>
      <c r="Q147" s="442" t="s">
        <v>6324</v>
      </c>
      <c r="R147" s="512" t="s">
        <v>6325</v>
      </c>
      <c r="S147" s="512"/>
      <c r="T147" s="512"/>
      <c r="U147" s="512"/>
      <c r="V147" s="512"/>
      <c r="W147" s="512"/>
      <c r="X147" s="512"/>
      <c r="Y147" s="512"/>
      <c r="Z147" s="512"/>
      <c r="AA147" s="512"/>
      <c r="AB147" s="512"/>
      <c r="AC147" s="512"/>
      <c r="AD147" s="512"/>
      <c r="AE147" s="512"/>
      <c r="AF147" s="512"/>
      <c r="AG147" s="512"/>
      <c r="AH147" s="512"/>
      <c r="AI147" s="512"/>
      <c r="AJ147" s="512"/>
      <c r="AK147" s="512"/>
      <c r="AL147" s="512"/>
      <c r="AM147" s="512"/>
      <c r="AN147" s="512"/>
      <c r="AV147" s="525"/>
    </row>
    <row r="148" customHeight="1" spans="1:48">
      <c r="A148" s="511" t="s">
        <v>6071</v>
      </c>
      <c r="B148" s="511">
        <v>94</v>
      </c>
      <c r="C148" s="511">
        <v>1</v>
      </c>
      <c r="D148" s="511">
        <v>4</v>
      </c>
      <c r="I148" s="512"/>
      <c r="J148" s="522">
        <v>74</v>
      </c>
      <c r="K148" s="548" t="s">
        <v>5967</v>
      </c>
      <c r="L148" s="442" t="s">
        <v>6326</v>
      </c>
      <c r="M148" s="442" t="s">
        <v>6327</v>
      </c>
      <c r="N148" s="442" t="s">
        <v>6328</v>
      </c>
      <c r="O148" s="442" t="s">
        <v>6329</v>
      </c>
      <c r="P148" s="442" t="s">
        <v>6330</v>
      </c>
      <c r="R148" s="512"/>
      <c r="S148" s="512"/>
      <c r="T148" s="512"/>
      <c r="U148" s="512"/>
      <c r="V148" s="512"/>
      <c r="W148" s="512"/>
      <c r="X148" s="512"/>
      <c r="Y148" s="512"/>
      <c r="Z148" s="512"/>
      <c r="AA148" s="512"/>
      <c r="AB148" s="512"/>
      <c r="AC148" s="512"/>
      <c r="AD148" s="512"/>
      <c r="AE148" s="512"/>
      <c r="AF148" s="512"/>
      <c r="AG148" s="512"/>
      <c r="AH148" s="512"/>
      <c r="AI148" s="512"/>
      <c r="AJ148" s="512"/>
      <c r="AK148" s="512"/>
      <c r="AL148" s="512"/>
      <c r="AM148" s="512"/>
      <c r="AN148" s="512"/>
      <c r="AV148" s="525"/>
    </row>
    <row r="149" customHeight="1" spans="1:48">
      <c r="A149" s="511" t="s">
        <v>6076</v>
      </c>
      <c r="B149" s="511">
        <v>95</v>
      </c>
      <c r="C149" s="511">
        <v>1</v>
      </c>
      <c r="D149" s="511">
        <v>3</v>
      </c>
      <c r="I149" s="512"/>
      <c r="J149" s="522"/>
      <c r="K149" s="548"/>
      <c r="L149" s="442" t="s">
        <v>6331</v>
      </c>
      <c r="M149" s="442" t="s">
        <v>6332</v>
      </c>
      <c r="N149" s="442" t="s">
        <v>6333</v>
      </c>
      <c r="O149" s="442" t="s">
        <v>6334</v>
      </c>
      <c r="P149" s="442" t="s">
        <v>6335</v>
      </c>
      <c r="R149" s="512"/>
      <c r="S149" s="512"/>
      <c r="T149" s="512"/>
      <c r="U149" s="512"/>
      <c r="V149" s="512"/>
      <c r="W149" s="512"/>
      <c r="X149" s="512"/>
      <c r="Y149" s="512"/>
      <c r="Z149" s="512"/>
      <c r="AA149" s="512"/>
      <c r="AB149" s="512"/>
      <c r="AC149" s="512"/>
      <c r="AD149" s="512"/>
      <c r="AE149" s="512"/>
      <c r="AF149" s="512"/>
      <c r="AG149" s="512"/>
      <c r="AH149" s="512"/>
      <c r="AI149" s="512"/>
      <c r="AJ149" s="512"/>
      <c r="AK149" s="512"/>
      <c r="AL149" s="512"/>
      <c r="AM149" s="512"/>
      <c r="AN149" s="512"/>
      <c r="AV149" s="525"/>
    </row>
    <row r="150" customHeight="1" spans="1:48">
      <c r="A150" s="511" t="s">
        <v>6336</v>
      </c>
      <c r="B150" s="511">
        <v>96</v>
      </c>
      <c r="C150" s="511">
        <v>1</v>
      </c>
      <c r="D150" s="511">
        <v>3</v>
      </c>
      <c r="I150" s="512"/>
      <c r="J150" s="522">
        <v>75</v>
      </c>
      <c r="K150" s="548" t="s">
        <v>5974</v>
      </c>
      <c r="L150" s="442" t="s">
        <v>6317</v>
      </c>
      <c r="M150" s="442" t="s">
        <v>5312</v>
      </c>
      <c r="N150" s="442" t="s">
        <v>6337</v>
      </c>
      <c r="O150" s="442" t="s">
        <v>4850</v>
      </c>
      <c r="R150" s="512"/>
      <c r="S150" s="512"/>
      <c r="T150" s="512"/>
      <c r="U150" s="512"/>
      <c r="V150" s="512"/>
      <c r="W150" s="512"/>
      <c r="X150" s="512"/>
      <c r="Y150" s="512"/>
      <c r="Z150" s="512"/>
      <c r="AA150" s="512"/>
      <c r="AB150" s="512"/>
      <c r="AC150" s="512"/>
      <c r="AD150" s="512"/>
      <c r="AE150" s="512"/>
      <c r="AF150" s="512"/>
      <c r="AG150" s="512"/>
      <c r="AH150" s="512"/>
      <c r="AI150" s="512"/>
      <c r="AJ150" s="512"/>
      <c r="AK150" s="512"/>
      <c r="AL150" s="512"/>
      <c r="AM150" s="512"/>
      <c r="AN150" s="512"/>
      <c r="AV150" s="525"/>
    </row>
    <row r="151" customHeight="1" spans="1:48">
      <c r="A151" s="511" t="s">
        <v>6338</v>
      </c>
      <c r="B151" s="511">
        <v>97</v>
      </c>
      <c r="C151" s="511">
        <v>1</v>
      </c>
      <c r="D151" s="511">
        <v>4</v>
      </c>
      <c r="I151" s="512"/>
      <c r="J151" s="522"/>
      <c r="K151" s="548"/>
      <c r="L151" s="442" t="s">
        <v>6322</v>
      </c>
      <c r="M151" s="442" t="s">
        <v>6339</v>
      </c>
      <c r="N151" s="442" t="s">
        <v>6340</v>
      </c>
      <c r="O151" s="442" t="s">
        <v>6341</v>
      </c>
      <c r="R151" s="512"/>
      <c r="S151" s="512"/>
      <c r="T151" s="512"/>
      <c r="U151" s="512"/>
      <c r="V151" s="512"/>
      <c r="W151" s="512"/>
      <c r="X151" s="512"/>
      <c r="Y151" s="512"/>
      <c r="Z151" s="512"/>
      <c r="AA151" s="512"/>
      <c r="AB151" s="512"/>
      <c r="AC151" s="512"/>
      <c r="AD151" s="512"/>
      <c r="AE151" s="512"/>
      <c r="AF151" s="512"/>
      <c r="AG151" s="512"/>
      <c r="AH151" s="512"/>
      <c r="AI151" s="512"/>
      <c r="AJ151" s="512"/>
      <c r="AK151" s="512"/>
      <c r="AL151" s="512"/>
      <c r="AM151" s="512"/>
      <c r="AN151" s="512"/>
      <c r="AV151" s="525"/>
    </row>
    <row r="152" customHeight="1" spans="1:48">
      <c r="A152" s="511" t="s">
        <v>6082</v>
      </c>
      <c r="B152" s="511">
        <v>98</v>
      </c>
      <c r="C152" s="511">
        <v>1</v>
      </c>
      <c r="D152" s="511">
        <v>4</v>
      </c>
      <c r="I152" s="512"/>
      <c r="J152" s="522">
        <v>76</v>
      </c>
      <c r="K152" s="548" t="s">
        <v>5978</v>
      </c>
      <c r="L152" s="442" t="s">
        <v>5473</v>
      </c>
      <c r="M152" s="442" t="s">
        <v>6342</v>
      </c>
      <c r="N152" s="442" t="s">
        <v>147</v>
      </c>
      <c r="O152" s="442" t="s">
        <v>6343</v>
      </c>
      <c r="P152" s="442" t="s">
        <v>6253</v>
      </c>
      <c r="R152" s="512"/>
      <c r="S152" s="512"/>
      <c r="T152" s="512"/>
      <c r="U152" s="512"/>
      <c r="V152" s="512"/>
      <c r="W152" s="512"/>
      <c r="X152" s="512"/>
      <c r="Y152" s="512"/>
      <c r="Z152" s="512"/>
      <c r="AA152" s="512"/>
      <c r="AB152" s="512"/>
      <c r="AC152" s="512"/>
      <c r="AD152" s="512"/>
      <c r="AE152" s="512"/>
      <c r="AF152" s="512"/>
      <c r="AG152" s="512"/>
      <c r="AH152" s="512"/>
      <c r="AI152" s="512"/>
      <c r="AJ152" s="512"/>
      <c r="AK152" s="512"/>
      <c r="AL152" s="512"/>
      <c r="AM152" s="512"/>
      <c r="AN152" s="512"/>
      <c r="AV152" s="525"/>
    </row>
    <row r="153" customHeight="1" spans="1:48">
      <c r="A153" s="511" t="s">
        <v>6087</v>
      </c>
      <c r="B153" s="511">
        <v>99</v>
      </c>
      <c r="C153" s="511">
        <v>1</v>
      </c>
      <c r="D153" s="511">
        <v>4</v>
      </c>
      <c r="I153" s="512"/>
      <c r="J153" s="522"/>
      <c r="K153" s="548"/>
      <c r="L153" s="442" t="s">
        <v>5483</v>
      </c>
      <c r="M153" s="442" t="s">
        <v>6344</v>
      </c>
      <c r="N153" s="442" t="s">
        <v>6289</v>
      </c>
      <c r="O153" s="442" t="s">
        <v>6345</v>
      </c>
      <c r="P153" s="442" t="s">
        <v>6261</v>
      </c>
      <c r="R153" s="512"/>
      <c r="S153" s="512"/>
      <c r="T153" s="512"/>
      <c r="U153" s="512"/>
      <c r="V153" s="512"/>
      <c r="W153" s="512"/>
      <c r="X153" s="512"/>
      <c r="Y153" s="512"/>
      <c r="Z153" s="512"/>
      <c r="AA153" s="512"/>
      <c r="AB153" s="512"/>
      <c r="AC153" s="512"/>
      <c r="AD153" s="512"/>
      <c r="AE153" s="512"/>
      <c r="AF153" s="512"/>
      <c r="AG153" s="512"/>
      <c r="AH153" s="512"/>
      <c r="AI153" s="512"/>
      <c r="AJ153" s="512"/>
      <c r="AK153" s="512"/>
      <c r="AL153" s="512"/>
      <c r="AM153" s="512"/>
      <c r="AN153" s="512"/>
      <c r="AV153" s="525"/>
    </row>
    <row r="154" customHeight="1" spans="1:48">
      <c r="A154" s="511" t="s">
        <v>6095</v>
      </c>
      <c r="B154" s="511">
        <v>100</v>
      </c>
      <c r="C154" s="511">
        <v>1</v>
      </c>
      <c r="D154" s="511">
        <v>4</v>
      </c>
      <c r="I154" s="512"/>
      <c r="J154" s="522">
        <v>77</v>
      </c>
      <c r="K154" s="548" t="s">
        <v>5985</v>
      </c>
      <c r="L154" s="442" t="s">
        <v>5473</v>
      </c>
      <c r="M154" s="442" t="s">
        <v>6346</v>
      </c>
      <c r="N154" s="442" t="s">
        <v>6347</v>
      </c>
      <c r="O154" s="442" t="s">
        <v>6348</v>
      </c>
      <c r="R154" s="512"/>
      <c r="S154" s="512"/>
      <c r="T154" s="512"/>
      <c r="U154" s="512"/>
      <c r="V154" s="512"/>
      <c r="W154" s="512"/>
      <c r="X154" s="512"/>
      <c r="Y154" s="512"/>
      <c r="Z154" s="512"/>
      <c r="AA154" s="512"/>
      <c r="AB154" s="512"/>
      <c r="AC154" s="512"/>
      <c r="AD154" s="512"/>
      <c r="AE154" s="512"/>
      <c r="AF154" s="512"/>
      <c r="AG154" s="512"/>
      <c r="AH154" s="512"/>
      <c r="AI154" s="512"/>
      <c r="AJ154" s="512"/>
      <c r="AK154" s="512"/>
      <c r="AL154" s="512"/>
      <c r="AM154" s="512"/>
      <c r="AN154" s="512"/>
      <c r="AV154" s="525"/>
    </row>
    <row r="155" customHeight="1" spans="1:48">
      <c r="A155" s="511" t="s">
        <v>6101</v>
      </c>
      <c r="B155" s="511">
        <v>101</v>
      </c>
      <c r="C155" s="511">
        <v>1</v>
      </c>
      <c r="D155" s="511">
        <v>5</v>
      </c>
      <c r="I155" s="512"/>
      <c r="J155" s="522"/>
      <c r="K155" s="548"/>
      <c r="L155" s="442" t="s">
        <v>6309</v>
      </c>
      <c r="M155" s="442" t="s">
        <v>6349</v>
      </c>
      <c r="N155" s="442" t="s">
        <v>6350</v>
      </c>
      <c r="O155" s="442" t="s">
        <v>6351</v>
      </c>
      <c r="R155" s="512"/>
      <c r="S155" s="512"/>
      <c r="T155" s="512"/>
      <c r="U155" s="512"/>
      <c r="V155" s="512"/>
      <c r="W155" s="512"/>
      <c r="X155" s="512"/>
      <c r="Y155" s="512"/>
      <c r="Z155" s="512"/>
      <c r="AA155" s="512"/>
      <c r="AB155" s="512"/>
      <c r="AC155" s="512"/>
      <c r="AD155" s="512"/>
      <c r="AE155" s="512"/>
      <c r="AF155" s="512"/>
      <c r="AG155" s="512"/>
      <c r="AH155" s="512"/>
      <c r="AI155" s="512"/>
      <c r="AJ155" s="512"/>
      <c r="AK155" s="512"/>
      <c r="AL155" s="512"/>
      <c r="AM155" s="512"/>
      <c r="AN155" s="512"/>
      <c r="AV155" s="525"/>
    </row>
    <row r="156" customHeight="1" spans="1:48">
      <c r="A156" s="519" t="s">
        <v>6107</v>
      </c>
      <c r="B156" s="511">
        <v>102</v>
      </c>
      <c r="C156" s="511">
        <v>1</v>
      </c>
      <c r="D156" s="511">
        <v>2</v>
      </c>
      <c r="I156" s="512"/>
      <c r="J156" s="522">
        <v>78</v>
      </c>
      <c r="K156" s="548" t="s">
        <v>5991</v>
      </c>
      <c r="L156" s="442" t="s">
        <v>5473</v>
      </c>
      <c r="M156" s="442" t="s">
        <v>6352</v>
      </c>
      <c r="N156" s="442" t="s">
        <v>6353</v>
      </c>
      <c r="O156" s="442"/>
      <c r="R156" s="512"/>
      <c r="S156" s="512"/>
      <c r="T156" s="512"/>
      <c r="U156" s="512"/>
      <c r="V156" s="512"/>
      <c r="W156" s="512"/>
      <c r="X156" s="512"/>
      <c r="Y156" s="512"/>
      <c r="Z156" s="512"/>
      <c r="AA156" s="512"/>
      <c r="AB156" s="512"/>
      <c r="AC156" s="512"/>
      <c r="AD156" s="512"/>
      <c r="AE156" s="512"/>
      <c r="AF156" s="512"/>
      <c r="AG156" s="512"/>
      <c r="AH156" s="512"/>
      <c r="AI156" s="512"/>
      <c r="AJ156" s="512"/>
      <c r="AK156" s="512"/>
      <c r="AL156" s="512"/>
      <c r="AM156" s="512"/>
      <c r="AN156" s="512"/>
      <c r="AV156" s="525"/>
    </row>
    <row r="157" customHeight="1" spans="1:48">
      <c r="A157" s="519" t="s">
        <v>6115</v>
      </c>
      <c r="B157" s="511">
        <v>103</v>
      </c>
      <c r="C157" s="511">
        <v>1</v>
      </c>
      <c r="D157" s="511">
        <v>4</v>
      </c>
      <c r="I157" s="512"/>
      <c r="J157" s="522"/>
      <c r="K157" s="548"/>
      <c r="L157" s="442" t="s">
        <v>6354</v>
      </c>
      <c r="M157" s="442" t="s">
        <v>6355</v>
      </c>
      <c r="N157" s="442" t="s">
        <v>6356</v>
      </c>
      <c r="O157" s="442"/>
      <c r="R157" s="512"/>
      <c r="S157" s="512"/>
      <c r="T157" s="512"/>
      <c r="U157" s="512"/>
      <c r="V157" s="512"/>
      <c r="W157" s="512"/>
      <c r="X157" s="512"/>
      <c r="Y157" s="512"/>
      <c r="Z157" s="512"/>
      <c r="AA157" s="512"/>
      <c r="AB157" s="512"/>
      <c r="AC157" s="512"/>
      <c r="AD157" s="512"/>
      <c r="AE157" s="512"/>
      <c r="AF157" s="512"/>
      <c r="AG157" s="512"/>
      <c r="AH157" s="512"/>
      <c r="AI157" s="512"/>
      <c r="AJ157" s="512"/>
      <c r="AK157" s="512"/>
      <c r="AL157" s="512"/>
      <c r="AM157" s="512"/>
      <c r="AN157" s="512"/>
      <c r="AV157" s="525"/>
    </row>
    <row r="158" customHeight="1" spans="1:48">
      <c r="A158" s="511" t="s">
        <v>6123</v>
      </c>
      <c r="B158" s="511">
        <v>104</v>
      </c>
      <c r="C158" s="511">
        <v>1</v>
      </c>
      <c r="D158" s="511">
        <v>5</v>
      </c>
      <c r="I158" s="512"/>
      <c r="J158" s="522">
        <v>79</v>
      </c>
      <c r="K158" s="548" t="s">
        <v>5998</v>
      </c>
      <c r="L158" s="442" t="s">
        <v>5473</v>
      </c>
      <c r="M158" s="442" t="s">
        <v>6357</v>
      </c>
      <c r="N158" s="442" t="s">
        <v>6358</v>
      </c>
      <c r="O158" s="442" t="s">
        <v>6359</v>
      </c>
      <c r="R158" s="512"/>
      <c r="S158" s="512"/>
      <c r="T158" s="512"/>
      <c r="U158" s="512"/>
      <c r="V158" s="512"/>
      <c r="W158" s="512"/>
      <c r="X158" s="512"/>
      <c r="Y158" s="512"/>
      <c r="Z158" s="512"/>
      <c r="AA158" s="512"/>
      <c r="AB158" s="512"/>
      <c r="AC158" s="512"/>
      <c r="AD158" s="512"/>
      <c r="AE158" s="512"/>
      <c r="AF158" s="512"/>
      <c r="AG158" s="512"/>
      <c r="AH158" s="512"/>
      <c r="AI158" s="512"/>
      <c r="AJ158" s="512"/>
      <c r="AK158" s="512"/>
      <c r="AL158" s="512"/>
      <c r="AM158" s="512"/>
      <c r="AN158" s="512"/>
      <c r="AV158" s="525"/>
    </row>
    <row r="159" customHeight="1" spans="1:48">
      <c r="A159" s="519" t="s">
        <v>6126</v>
      </c>
      <c r="B159" s="511">
        <v>105</v>
      </c>
      <c r="C159" s="511">
        <v>1</v>
      </c>
      <c r="D159" s="511">
        <v>3</v>
      </c>
      <c r="I159" s="512"/>
      <c r="J159" s="522"/>
      <c r="K159" s="548"/>
      <c r="L159" s="442" t="s">
        <v>6360</v>
      </c>
      <c r="M159" s="442" t="s">
        <v>6361</v>
      </c>
      <c r="N159" s="442" t="s">
        <v>6362</v>
      </c>
      <c r="O159" s="442" t="s">
        <v>6363</v>
      </c>
      <c r="R159" s="512"/>
      <c r="S159" s="512"/>
      <c r="T159" s="512"/>
      <c r="U159" s="512"/>
      <c r="V159" s="512"/>
      <c r="W159" s="512"/>
      <c r="X159" s="512"/>
      <c r="Y159" s="512"/>
      <c r="Z159" s="512"/>
      <c r="AA159" s="512"/>
      <c r="AB159" s="512"/>
      <c r="AC159" s="512"/>
      <c r="AD159" s="512"/>
      <c r="AE159" s="512"/>
      <c r="AF159" s="512"/>
      <c r="AG159" s="512"/>
      <c r="AH159" s="512"/>
      <c r="AI159" s="512"/>
      <c r="AJ159" s="512"/>
      <c r="AK159" s="512"/>
      <c r="AL159" s="512"/>
      <c r="AM159" s="512"/>
      <c r="AN159" s="512"/>
      <c r="AV159" s="525"/>
    </row>
    <row r="160" customHeight="1" spans="1:48">
      <c r="A160" s="110" t="s">
        <v>6149</v>
      </c>
      <c r="C160" s="514">
        <v>4</v>
      </c>
      <c r="D160" s="514">
        <v>4</v>
      </c>
      <c r="I160" s="512"/>
      <c r="J160" s="522">
        <v>80</v>
      </c>
      <c r="K160" s="548" t="s">
        <v>6002</v>
      </c>
      <c r="L160" s="442" t="s">
        <v>5899</v>
      </c>
      <c r="M160" s="442" t="s">
        <v>5648</v>
      </c>
      <c r="N160" s="442" t="s">
        <v>5584</v>
      </c>
      <c r="O160" s="442" t="s">
        <v>6364</v>
      </c>
      <c r="P160" s="442" t="s">
        <v>6365</v>
      </c>
      <c r="Q160" s="442" t="s">
        <v>5473</v>
      </c>
      <c r="R160" s="512"/>
      <c r="S160" s="512"/>
      <c r="T160" s="512"/>
      <c r="U160" s="512"/>
      <c r="V160" s="512"/>
      <c r="W160" s="512"/>
      <c r="X160" s="512"/>
      <c r="Y160" s="512"/>
      <c r="Z160" s="512"/>
      <c r="AA160" s="512"/>
      <c r="AB160" s="512"/>
      <c r="AC160" s="512"/>
      <c r="AD160" s="512"/>
      <c r="AE160" s="512"/>
      <c r="AF160" s="512"/>
      <c r="AG160" s="512"/>
      <c r="AH160" s="512"/>
      <c r="AI160" s="512"/>
      <c r="AJ160" s="512"/>
      <c r="AK160" s="512"/>
      <c r="AL160" s="512"/>
      <c r="AM160" s="512"/>
      <c r="AN160" s="512"/>
      <c r="AV160" s="525"/>
    </row>
    <row r="161" customHeight="1" spans="1:48">
      <c r="A161" s="110" t="s">
        <v>6150</v>
      </c>
      <c r="C161" s="514">
        <v>5</v>
      </c>
      <c r="D161" s="514">
        <v>5</v>
      </c>
      <c r="I161" s="512"/>
      <c r="J161" s="522"/>
      <c r="K161" s="548"/>
      <c r="L161" s="442" t="s">
        <v>6366</v>
      </c>
      <c r="M161" s="442" t="s">
        <v>6367</v>
      </c>
      <c r="N161" s="442" t="s">
        <v>6368</v>
      </c>
      <c r="O161" s="442" t="s">
        <v>6369</v>
      </c>
      <c r="P161" s="442" t="s">
        <v>6370</v>
      </c>
      <c r="Q161" s="442" t="s">
        <v>5483</v>
      </c>
      <c r="R161" s="512"/>
      <c r="S161" s="512"/>
      <c r="T161" s="512"/>
      <c r="U161" s="512"/>
      <c r="V161" s="512"/>
      <c r="W161" s="512"/>
      <c r="X161" s="512"/>
      <c r="Y161" s="512"/>
      <c r="Z161" s="512"/>
      <c r="AA161" s="512"/>
      <c r="AB161" s="512"/>
      <c r="AC161" s="512"/>
      <c r="AD161" s="512"/>
      <c r="AE161" s="512"/>
      <c r="AF161" s="512"/>
      <c r="AG161" s="512"/>
      <c r="AH161" s="512"/>
      <c r="AI161" s="512"/>
      <c r="AJ161" s="512"/>
      <c r="AK161" s="512"/>
      <c r="AL161" s="512"/>
      <c r="AM161" s="512"/>
      <c r="AN161" s="512"/>
      <c r="AV161" s="525"/>
    </row>
    <row r="162" customHeight="1" spans="1:48">
      <c r="A162" s="110" t="s">
        <v>6151</v>
      </c>
      <c r="C162" s="514">
        <v>6</v>
      </c>
      <c r="D162" s="514">
        <v>6</v>
      </c>
      <c r="I162" s="512"/>
      <c r="J162" s="522">
        <v>81</v>
      </c>
      <c r="K162" s="548" t="s">
        <v>6006</v>
      </c>
      <c r="L162" s="442" t="s">
        <v>5473</v>
      </c>
      <c r="M162" s="442" t="s">
        <v>6371</v>
      </c>
      <c r="N162" s="442" t="s">
        <v>6372</v>
      </c>
      <c r="O162" s="442" t="s">
        <v>6373</v>
      </c>
      <c r="P162" s="442" t="s">
        <v>5536</v>
      </c>
      <c r="Q162" s="442" t="s">
        <v>6374</v>
      </c>
      <c r="R162" s="512" t="s">
        <v>6375</v>
      </c>
      <c r="S162" s="512" t="s">
        <v>6376</v>
      </c>
      <c r="T162" s="512" t="s">
        <v>6377</v>
      </c>
      <c r="U162" s="512" t="s">
        <v>6378</v>
      </c>
      <c r="V162" s="512" t="s">
        <v>6379</v>
      </c>
      <c r="W162" s="512" t="s">
        <v>6380</v>
      </c>
      <c r="X162" s="512" t="s">
        <v>6381</v>
      </c>
      <c r="Y162" s="512" t="s">
        <v>6382</v>
      </c>
      <c r="Z162" s="512"/>
      <c r="AA162" s="512"/>
      <c r="AB162" s="512"/>
      <c r="AC162" s="512"/>
      <c r="AD162" s="512"/>
      <c r="AE162" s="512"/>
      <c r="AF162" s="512"/>
      <c r="AG162" s="512"/>
      <c r="AH162" s="512"/>
      <c r="AI162" s="512"/>
      <c r="AJ162" s="512"/>
      <c r="AK162" s="512"/>
      <c r="AL162" s="512"/>
      <c r="AM162" s="512"/>
      <c r="AN162" s="512"/>
      <c r="AV162" s="525"/>
    </row>
    <row r="163" customHeight="1" spans="1:48">
      <c r="A163" s="110" t="s">
        <v>6152</v>
      </c>
      <c r="C163" s="514">
        <v>7</v>
      </c>
      <c r="D163" s="514">
        <v>7</v>
      </c>
      <c r="I163" s="512"/>
      <c r="J163" s="522"/>
      <c r="K163" s="548"/>
      <c r="L163" s="442" t="s">
        <v>5483</v>
      </c>
      <c r="M163" s="442" t="s">
        <v>6383</v>
      </c>
      <c r="N163" s="442" t="s">
        <v>6384</v>
      </c>
      <c r="O163" s="442" t="s">
        <v>6385</v>
      </c>
      <c r="P163" s="442" t="s">
        <v>6386</v>
      </c>
      <c r="Q163" s="442" t="s">
        <v>6387</v>
      </c>
      <c r="R163" s="512" t="s">
        <v>6388</v>
      </c>
      <c r="S163" s="512" t="s">
        <v>6389</v>
      </c>
      <c r="T163" s="512" t="s">
        <v>6390</v>
      </c>
      <c r="U163" s="512" t="s">
        <v>6391</v>
      </c>
      <c r="V163" s="512" t="s">
        <v>6392</v>
      </c>
      <c r="W163" s="512" t="s">
        <v>6393</v>
      </c>
      <c r="X163" s="512" t="s">
        <v>6394</v>
      </c>
      <c r="Y163" s="512" t="s">
        <v>6395</v>
      </c>
      <c r="Z163" s="512"/>
      <c r="AA163" s="512"/>
      <c r="AB163" s="512"/>
      <c r="AC163" s="512"/>
      <c r="AD163" s="512"/>
      <c r="AE163" s="512"/>
      <c r="AF163" s="512"/>
      <c r="AG163" s="512"/>
      <c r="AH163" s="512"/>
      <c r="AI163" s="512"/>
      <c r="AJ163" s="512"/>
      <c r="AK163" s="512"/>
      <c r="AL163" s="512"/>
      <c r="AM163" s="512"/>
      <c r="AN163" s="512"/>
      <c r="AV163" s="525"/>
    </row>
    <row r="164" customHeight="1" spans="1:48">
      <c r="A164" s="546" t="s">
        <v>6135</v>
      </c>
      <c r="B164" s="511">
        <v>106</v>
      </c>
      <c r="C164" s="511">
        <v>1</v>
      </c>
      <c r="D164" s="511">
        <v>5</v>
      </c>
      <c r="I164" s="512"/>
      <c r="J164" s="522">
        <v>82</v>
      </c>
      <c r="K164" s="548" t="s">
        <v>6012</v>
      </c>
      <c r="L164" s="442" t="s">
        <v>5473</v>
      </c>
      <c r="M164" s="442" t="s">
        <v>6396</v>
      </c>
      <c r="N164" s="442" t="s">
        <v>6397</v>
      </c>
      <c r="O164" s="442" t="s">
        <v>6398</v>
      </c>
      <c r="P164" s="442" t="s">
        <v>5536</v>
      </c>
      <c r="Q164" s="442" t="s">
        <v>6399</v>
      </c>
      <c r="R164" s="512"/>
      <c r="S164" s="512"/>
      <c r="T164" s="512"/>
      <c r="U164" s="512"/>
      <c r="V164" s="512"/>
      <c r="W164" s="512"/>
      <c r="X164" s="512"/>
      <c r="Y164" s="512"/>
      <c r="Z164" s="512"/>
      <c r="AA164" s="512"/>
      <c r="AB164" s="512"/>
      <c r="AC164" s="512"/>
      <c r="AD164" s="512"/>
      <c r="AE164" s="512"/>
      <c r="AF164" s="512"/>
      <c r="AG164" s="512"/>
      <c r="AH164" s="512"/>
      <c r="AI164" s="512"/>
      <c r="AJ164" s="512"/>
      <c r="AK164" s="512"/>
      <c r="AL164" s="512"/>
      <c r="AM164" s="512"/>
      <c r="AN164" s="512"/>
      <c r="AV164" s="525"/>
    </row>
    <row r="165" customHeight="1" spans="9:48">
      <c r="I165" s="512"/>
      <c r="J165" s="522"/>
      <c r="K165" s="548"/>
      <c r="L165" s="442" t="s">
        <v>5483</v>
      </c>
      <c r="M165" s="442" t="s">
        <v>6400</v>
      </c>
      <c r="N165" s="442" t="s">
        <v>6401</v>
      </c>
      <c r="O165" s="442" t="s">
        <v>6402</v>
      </c>
      <c r="P165" s="442" t="s">
        <v>6403</v>
      </c>
      <c r="Q165" s="442" t="s">
        <v>6404</v>
      </c>
      <c r="R165" s="512"/>
      <c r="S165" s="512"/>
      <c r="T165" s="512"/>
      <c r="U165" s="512"/>
      <c r="V165" s="512"/>
      <c r="W165" s="512"/>
      <c r="X165" s="512"/>
      <c r="Y165" s="512"/>
      <c r="Z165" s="512"/>
      <c r="AA165" s="512"/>
      <c r="AB165" s="512"/>
      <c r="AC165" s="512"/>
      <c r="AD165" s="512"/>
      <c r="AE165" s="512"/>
      <c r="AF165" s="512"/>
      <c r="AG165" s="512"/>
      <c r="AH165" s="512"/>
      <c r="AI165" s="512"/>
      <c r="AJ165" s="512"/>
      <c r="AK165" s="512"/>
      <c r="AL165" s="512"/>
      <c r="AM165" s="512"/>
      <c r="AN165" s="512"/>
      <c r="AV165" s="525"/>
    </row>
    <row r="166" customHeight="1" spans="9:48">
      <c r="I166" s="512"/>
      <c r="J166" s="522">
        <v>83</v>
      </c>
      <c r="K166" s="548" t="s">
        <v>6020</v>
      </c>
      <c r="L166" s="442" t="s">
        <v>5473</v>
      </c>
      <c r="M166" s="442" t="s">
        <v>6405</v>
      </c>
      <c r="N166" s="442" t="s">
        <v>6406</v>
      </c>
      <c r="O166" s="442" t="s">
        <v>6407</v>
      </c>
      <c r="P166" s="442" t="s">
        <v>6408</v>
      </c>
      <c r="Q166" s="442" t="s">
        <v>6409</v>
      </c>
      <c r="R166" s="512" t="s">
        <v>6410</v>
      </c>
      <c r="S166" s="512"/>
      <c r="T166" s="512"/>
      <c r="U166" s="512"/>
      <c r="V166" s="512"/>
      <c r="W166" s="512"/>
      <c r="X166" s="512"/>
      <c r="Y166" s="512"/>
      <c r="Z166" s="512"/>
      <c r="AA166" s="512"/>
      <c r="AB166" s="512"/>
      <c r="AC166" s="512"/>
      <c r="AD166" s="512"/>
      <c r="AE166" s="512"/>
      <c r="AF166" s="512"/>
      <c r="AG166" s="512"/>
      <c r="AH166" s="512"/>
      <c r="AI166" s="512"/>
      <c r="AJ166" s="512"/>
      <c r="AK166" s="512"/>
      <c r="AL166" s="512"/>
      <c r="AM166" s="512"/>
      <c r="AN166" s="512"/>
      <c r="AV166" s="525"/>
    </row>
    <row r="167" customHeight="1" spans="9:48">
      <c r="I167" s="512"/>
      <c r="J167" s="522"/>
      <c r="K167" s="548"/>
      <c r="L167" s="442" t="s">
        <v>5483</v>
      </c>
      <c r="M167" s="442" t="s">
        <v>6411</v>
      </c>
      <c r="N167" s="442" t="s">
        <v>6412</v>
      </c>
      <c r="O167" s="442" t="s">
        <v>6413</v>
      </c>
      <c r="P167" s="442" t="s">
        <v>6414</v>
      </c>
      <c r="Q167" s="442" t="s">
        <v>6415</v>
      </c>
      <c r="R167" s="512" t="s">
        <v>6416</v>
      </c>
      <c r="S167" s="512"/>
      <c r="T167" s="512"/>
      <c r="U167" s="512"/>
      <c r="V167" s="512"/>
      <c r="W167" s="512"/>
      <c r="X167" s="512"/>
      <c r="Y167" s="512"/>
      <c r="Z167" s="512"/>
      <c r="AA167" s="512"/>
      <c r="AB167" s="512"/>
      <c r="AC167" s="512"/>
      <c r="AD167" s="512"/>
      <c r="AE167" s="512"/>
      <c r="AF167" s="512"/>
      <c r="AG167" s="512"/>
      <c r="AH167" s="512"/>
      <c r="AI167" s="512"/>
      <c r="AJ167" s="512"/>
      <c r="AK167" s="512"/>
      <c r="AL167" s="512"/>
      <c r="AM167" s="512"/>
      <c r="AN167" s="512"/>
      <c r="AV167" s="525"/>
    </row>
    <row r="168" customHeight="1" spans="9:48">
      <c r="I168" s="512"/>
      <c r="J168" s="522">
        <v>84</v>
      </c>
      <c r="K168" s="548" t="s">
        <v>6028</v>
      </c>
      <c r="L168" s="442" t="s">
        <v>5473</v>
      </c>
      <c r="M168" s="442" t="s">
        <v>5720</v>
      </c>
      <c r="N168" s="442" t="s">
        <v>5312</v>
      </c>
      <c r="O168" s="442" t="s">
        <v>6417</v>
      </c>
      <c r="R168" s="512"/>
      <c r="S168" s="512"/>
      <c r="T168" s="512"/>
      <c r="U168" s="512"/>
      <c r="V168" s="512"/>
      <c r="W168" s="512"/>
      <c r="X168" s="512"/>
      <c r="Y168" s="512"/>
      <c r="Z168" s="512"/>
      <c r="AA168" s="512"/>
      <c r="AB168" s="512"/>
      <c r="AC168" s="512"/>
      <c r="AD168" s="512"/>
      <c r="AE168" s="512"/>
      <c r="AF168" s="512"/>
      <c r="AG168" s="512"/>
      <c r="AH168" s="512"/>
      <c r="AI168" s="512"/>
      <c r="AJ168" s="512"/>
      <c r="AK168" s="512"/>
      <c r="AL168" s="512"/>
      <c r="AM168" s="512"/>
      <c r="AN168" s="512"/>
      <c r="AV168" s="525"/>
    </row>
    <row r="169" customHeight="1" spans="9:48">
      <c r="I169" s="512"/>
      <c r="J169" s="522"/>
      <c r="K169" s="548"/>
      <c r="L169" s="442" t="s">
        <v>5483</v>
      </c>
      <c r="M169" s="442" t="s">
        <v>6418</v>
      </c>
      <c r="N169" s="442" t="s">
        <v>6419</v>
      </c>
      <c r="O169" s="442" t="s">
        <v>6420</v>
      </c>
      <c r="R169" s="512"/>
      <c r="S169" s="512"/>
      <c r="T169" s="512"/>
      <c r="U169" s="512"/>
      <c r="V169" s="512"/>
      <c r="W169" s="512"/>
      <c r="X169" s="512"/>
      <c r="Y169" s="512"/>
      <c r="Z169" s="512"/>
      <c r="AA169" s="512"/>
      <c r="AB169" s="512"/>
      <c r="AC169" s="512"/>
      <c r="AD169" s="512"/>
      <c r="AE169" s="512"/>
      <c r="AF169" s="512"/>
      <c r="AG169" s="512"/>
      <c r="AH169" s="512"/>
      <c r="AI169" s="512"/>
      <c r="AJ169" s="512"/>
      <c r="AK169" s="512"/>
      <c r="AL169" s="512"/>
      <c r="AM169" s="512"/>
      <c r="AN169" s="512"/>
      <c r="AV169" s="525"/>
    </row>
    <row r="170" customHeight="1" spans="9:48">
      <c r="I170" s="512"/>
      <c r="J170" s="522">
        <v>85</v>
      </c>
      <c r="K170" s="548" t="s">
        <v>6039</v>
      </c>
      <c r="L170" s="442" t="s">
        <v>5473</v>
      </c>
      <c r="M170" s="442" t="s">
        <v>6421</v>
      </c>
      <c r="N170" s="442" t="s">
        <v>6422</v>
      </c>
      <c r="O170" s="442" t="s">
        <v>6423</v>
      </c>
      <c r="P170" s="442" t="s">
        <v>6424</v>
      </c>
      <c r="Q170" s="442" t="s">
        <v>6425</v>
      </c>
      <c r="R170" s="512" t="s">
        <v>6426</v>
      </c>
      <c r="S170" s="512" t="s">
        <v>6427</v>
      </c>
      <c r="T170" s="512" t="s">
        <v>6428</v>
      </c>
      <c r="U170" s="512"/>
      <c r="V170" s="512"/>
      <c r="W170" s="512"/>
      <c r="X170" s="512"/>
      <c r="Y170" s="512"/>
      <c r="Z170" s="512"/>
      <c r="AA170" s="512"/>
      <c r="AB170" s="512"/>
      <c r="AC170" s="512"/>
      <c r="AD170" s="512"/>
      <c r="AE170" s="512"/>
      <c r="AF170" s="512"/>
      <c r="AG170" s="512"/>
      <c r="AH170" s="512"/>
      <c r="AI170" s="512"/>
      <c r="AJ170" s="512"/>
      <c r="AK170" s="512"/>
      <c r="AL170" s="512"/>
      <c r="AM170" s="512"/>
      <c r="AN170" s="512"/>
      <c r="AV170" s="525"/>
    </row>
    <row r="171" customHeight="1" spans="9:48">
      <c r="I171" s="512"/>
      <c r="J171" s="522"/>
      <c r="K171" s="548"/>
      <c r="L171" s="442" t="s">
        <v>5483</v>
      </c>
      <c r="M171" s="442" t="s">
        <v>6429</v>
      </c>
      <c r="N171" s="442" t="s">
        <v>6430</v>
      </c>
      <c r="O171" s="442" t="s">
        <v>6431</v>
      </c>
      <c r="P171" s="442" t="s">
        <v>6432</v>
      </c>
      <c r="Q171" s="442" t="s">
        <v>6433</v>
      </c>
      <c r="R171" s="512" t="s">
        <v>6434</v>
      </c>
      <c r="S171" s="512" t="s">
        <v>6435</v>
      </c>
      <c r="T171" s="512" t="s">
        <v>6436</v>
      </c>
      <c r="U171" s="512"/>
      <c r="V171" s="512"/>
      <c r="W171" s="512"/>
      <c r="X171" s="512"/>
      <c r="Y171" s="512"/>
      <c r="Z171" s="512"/>
      <c r="AA171" s="512"/>
      <c r="AB171" s="512"/>
      <c r="AC171" s="512"/>
      <c r="AD171" s="512"/>
      <c r="AE171" s="512"/>
      <c r="AF171" s="512"/>
      <c r="AG171" s="512"/>
      <c r="AH171" s="512"/>
      <c r="AI171" s="512"/>
      <c r="AJ171" s="512"/>
      <c r="AK171" s="512"/>
      <c r="AL171" s="512"/>
      <c r="AM171" s="512"/>
      <c r="AN171" s="512"/>
      <c r="AV171" s="525"/>
    </row>
    <row r="172" customHeight="1" spans="9:48">
      <c r="I172" s="512"/>
      <c r="J172" s="522">
        <v>86</v>
      </c>
      <c r="K172" s="548" t="s">
        <v>6044</v>
      </c>
      <c r="L172" s="442" t="s">
        <v>5473</v>
      </c>
      <c r="M172" s="442" t="s">
        <v>6437</v>
      </c>
      <c r="N172" s="442" t="s">
        <v>6438</v>
      </c>
      <c r="O172" s="442" t="s">
        <v>6439</v>
      </c>
      <c r="P172" s="442" t="s">
        <v>6440</v>
      </c>
      <c r="R172" s="512"/>
      <c r="S172" s="512"/>
      <c r="T172" s="512"/>
      <c r="U172" s="512"/>
      <c r="V172" s="512"/>
      <c r="W172" s="512"/>
      <c r="X172" s="512"/>
      <c r="Y172" s="512"/>
      <c r="Z172" s="512"/>
      <c r="AA172" s="512"/>
      <c r="AB172" s="512"/>
      <c r="AC172" s="512"/>
      <c r="AD172" s="512"/>
      <c r="AE172" s="512"/>
      <c r="AF172" s="512"/>
      <c r="AG172" s="512"/>
      <c r="AH172" s="512"/>
      <c r="AI172" s="512"/>
      <c r="AJ172" s="512"/>
      <c r="AK172" s="512"/>
      <c r="AL172" s="512"/>
      <c r="AM172" s="512"/>
      <c r="AN172" s="512"/>
      <c r="AV172" s="525"/>
    </row>
    <row r="173" customHeight="1" spans="9:48">
      <c r="I173" s="512"/>
      <c r="J173" s="522"/>
      <c r="K173" s="548"/>
      <c r="L173" s="442" t="s">
        <v>5483</v>
      </c>
      <c r="M173" s="442" t="s">
        <v>6441</v>
      </c>
      <c r="N173" s="442" t="s">
        <v>6442</v>
      </c>
      <c r="O173" s="442" t="s">
        <v>6443</v>
      </c>
      <c r="P173" s="442" t="s">
        <v>6444</v>
      </c>
      <c r="R173" s="512"/>
      <c r="S173" s="512"/>
      <c r="T173" s="512"/>
      <c r="U173" s="512"/>
      <c r="V173" s="512"/>
      <c r="W173" s="512"/>
      <c r="X173" s="512"/>
      <c r="Y173" s="512"/>
      <c r="Z173" s="512"/>
      <c r="AA173" s="512"/>
      <c r="AB173" s="512"/>
      <c r="AC173" s="512"/>
      <c r="AD173" s="512"/>
      <c r="AE173" s="512"/>
      <c r="AF173" s="512"/>
      <c r="AG173" s="512"/>
      <c r="AH173" s="512"/>
      <c r="AI173" s="512"/>
      <c r="AJ173" s="512"/>
      <c r="AK173" s="512"/>
      <c r="AL173" s="512"/>
      <c r="AM173" s="512"/>
      <c r="AN173" s="512"/>
      <c r="AV173" s="525"/>
    </row>
    <row r="174" customHeight="1" spans="9:48">
      <c r="I174" s="512"/>
      <c r="J174" s="522">
        <v>87</v>
      </c>
      <c r="K174" s="548" t="s">
        <v>6051</v>
      </c>
      <c r="L174" s="442" t="s">
        <v>5473</v>
      </c>
      <c r="M174" s="442" t="s">
        <v>6445</v>
      </c>
      <c r="N174" s="442" t="s">
        <v>6446</v>
      </c>
      <c r="O174" s="442" t="s">
        <v>6372</v>
      </c>
      <c r="P174" s="442" t="s">
        <v>6447</v>
      </c>
      <c r="Q174" s="442" t="s">
        <v>6448</v>
      </c>
      <c r="R174" s="512"/>
      <c r="S174" s="512"/>
      <c r="T174" s="512"/>
      <c r="U174" s="512"/>
      <c r="V174" s="512"/>
      <c r="W174" s="512"/>
      <c r="X174" s="512"/>
      <c r="Y174" s="512"/>
      <c r="Z174" s="512"/>
      <c r="AA174" s="512"/>
      <c r="AB174" s="512"/>
      <c r="AC174" s="512"/>
      <c r="AD174" s="512"/>
      <c r="AE174" s="512"/>
      <c r="AF174" s="512"/>
      <c r="AG174" s="512"/>
      <c r="AH174" s="512"/>
      <c r="AI174" s="512"/>
      <c r="AJ174" s="512"/>
      <c r="AK174" s="512"/>
      <c r="AL174" s="512"/>
      <c r="AM174" s="512"/>
      <c r="AN174" s="512"/>
      <c r="AV174" s="525"/>
    </row>
    <row r="175" customHeight="1" spans="9:48">
      <c r="I175" s="512"/>
      <c r="J175" s="522"/>
      <c r="K175" s="548"/>
      <c r="L175" s="442" t="s">
        <v>5483</v>
      </c>
      <c r="M175" s="442" t="s">
        <v>6449</v>
      </c>
      <c r="N175" s="442" t="s">
        <v>6450</v>
      </c>
      <c r="O175" s="442" t="s">
        <v>6451</v>
      </c>
      <c r="P175" s="442" t="s">
        <v>6452</v>
      </c>
      <c r="Q175" s="442" t="s">
        <v>6453</v>
      </c>
      <c r="R175" s="512"/>
      <c r="S175" s="512"/>
      <c r="T175" s="512"/>
      <c r="U175" s="512"/>
      <c r="V175" s="512"/>
      <c r="W175" s="512"/>
      <c r="X175" s="512"/>
      <c r="Y175" s="512"/>
      <c r="Z175" s="512"/>
      <c r="AA175" s="512"/>
      <c r="AB175" s="512"/>
      <c r="AC175" s="512"/>
      <c r="AD175" s="512"/>
      <c r="AE175" s="512"/>
      <c r="AF175" s="512"/>
      <c r="AG175" s="512"/>
      <c r="AH175" s="512"/>
      <c r="AI175" s="512"/>
      <c r="AJ175" s="512"/>
      <c r="AK175" s="512"/>
      <c r="AL175" s="512"/>
      <c r="AM175" s="512"/>
      <c r="AN175" s="512"/>
      <c r="AV175" s="525"/>
    </row>
    <row r="176" customHeight="1" spans="9:48">
      <c r="I176" s="512"/>
      <c r="J176" s="522">
        <v>88</v>
      </c>
      <c r="K176" s="548" t="s">
        <v>6056</v>
      </c>
      <c r="L176" s="442" t="s">
        <v>6454</v>
      </c>
      <c r="M176" s="442" t="s">
        <v>6455</v>
      </c>
      <c r="N176" s="442" t="s">
        <v>6456</v>
      </c>
      <c r="O176" s="442"/>
      <c r="R176" s="512"/>
      <c r="S176" s="512"/>
      <c r="T176" s="512"/>
      <c r="U176" s="512"/>
      <c r="V176" s="512"/>
      <c r="W176" s="512"/>
      <c r="X176" s="512"/>
      <c r="Y176" s="512"/>
      <c r="Z176" s="512"/>
      <c r="AA176" s="512"/>
      <c r="AB176" s="512"/>
      <c r="AC176" s="512"/>
      <c r="AD176" s="512"/>
      <c r="AE176" s="512"/>
      <c r="AF176" s="512"/>
      <c r="AG176" s="512"/>
      <c r="AH176" s="512"/>
      <c r="AI176" s="512"/>
      <c r="AJ176" s="512"/>
      <c r="AK176" s="512"/>
      <c r="AL176" s="512"/>
      <c r="AM176" s="512"/>
      <c r="AN176" s="512"/>
      <c r="AV176" s="525"/>
    </row>
    <row r="177" customHeight="1" spans="9:48">
      <c r="I177" s="512"/>
      <c r="J177" s="522"/>
      <c r="K177" s="548"/>
      <c r="L177" s="442" t="s">
        <v>6457</v>
      </c>
      <c r="M177" s="442" t="s">
        <v>6458</v>
      </c>
      <c r="N177" s="442" t="s">
        <v>6459</v>
      </c>
      <c r="O177" s="442"/>
      <c r="R177" s="512"/>
      <c r="S177" s="512"/>
      <c r="T177" s="512"/>
      <c r="U177" s="512"/>
      <c r="V177" s="512"/>
      <c r="W177" s="512"/>
      <c r="X177" s="512"/>
      <c r="Y177" s="512"/>
      <c r="Z177" s="512"/>
      <c r="AA177" s="512"/>
      <c r="AB177" s="512"/>
      <c r="AC177" s="512"/>
      <c r="AD177" s="512"/>
      <c r="AE177" s="512"/>
      <c r="AF177" s="512"/>
      <c r="AG177" s="512"/>
      <c r="AH177" s="512"/>
      <c r="AI177" s="512"/>
      <c r="AJ177" s="512"/>
      <c r="AK177" s="512"/>
      <c r="AL177" s="512"/>
      <c r="AM177" s="512"/>
      <c r="AN177" s="512"/>
      <c r="AV177" s="525"/>
    </row>
    <row r="178" customHeight="1" spans="9:48">
      <c r="I178" s="512"/>
      <c r="J178" s="522">
        <v>89</v>
      </c>
      <c r="K178" s="548" t="s">
        <v>6061</v>
      </c>
      <c r="L178" s="442" t="s">
        <v>5473</v>
      </c>
      <c r="M178" s="442" t="s">
        <v>6460</v>
      </c>
      <c r="N178" s="442" t="s">
        <v>6461</v>
      </c>
      <c r="O178" s="442" t="s">
        <v>6462</v>
      </c>
      <c r="R178" s="512"/>
      <c r="S178" s="512"/>
      <c r="T178" s="512"/>
      <c r="U178" s="512"/>
      <c r="V178" s="512"/>
      <c r="W178" s="512"/>
      <c r="X178" s="512"/>
      <c r="Y178" s="512"/>
      <c r="Z178" s="512"/>
      <c r="AA178" s="512"/>
      <c r="AB178" s="512"/>
      <c r="AC178" s="512"/>
      <c r="AD178" s="512"/>
      <c r="AE178" s="512"/>
      <c r="AF178" s="512"/>
      <c r="AG178" s="512"/>
      <c r="AH178" s="512"/>
      <c r="AI178" s="512"/>
      <c r="AJ178" s="512"/>
      <c r="AK178" s="512"/>
      <c r="AL178" s="512"/>
      <c r="AM178" s="512"/>
      <c r="AN178" s="512"/>
      <c r="AV178" s="525"/>
    </row>
    <row r="179" customHeight="1" spans="9:48">
      <c r="I179" s="512"/>
      <c r="J179" s="522"/>
      <c r="K179" s="548"/>
      <c r="L179" s="442" t="s">
        <v>5483</v>
      </c>
      <c r="M179" s="442" t="s">
        <v>6463</v>
      </c>
      <c r="N179" s="442" t="s">
        <v>6464</v>
      </c>
      <c r="O179" s="442" t="s">
        <v>6465</v>
      </c>
      <c r="R179" s="512"/>
      <c r="S179" s="512"/>
      <c r="T179" s="512"/>
      <c r="U179" s="512"/>
      <c r="V179" s="512"/>
      <c r="W179" s="512"/>
      <c r="X179" s="512"/>
      <c r="Y179" s="512"/>
      <c r="Z179" s="512"/>
      <c r="AA179" s="512"/>
      <c r="AB179" s="512"/>
      <c r="AC179" s="512"/>
      <c r="AD179" s="512"/>
      <c r="AE179" s="512"/>
      <c r="AF179" s="512"/>
      <c r="AG179" s="512"/>
      <c r="AH179" s="512"/>
      <c r="AI179" s="512"/>
      <c r="AJ179" s="512"/>
      <c r="AK179" s="512"/>
      <c r="AL179" s="512"/>
      <c r="AM179" s="512"/>
      <c r="AN179" s="512"/>
      <c r="AV179" s="525"/>
    </row>
    <row r="180" customHeight="1" spans="9:48">
      <c r="I180" s="512"/>
      <c r="J180" s="522">
        <v>90</v>
      </c>
      <c r="K180" s="549" t="s">
        <v>5784</v>
      </c>
      <c r="L180" s="512" t="s">
        <v>6466</v>
      </c>
      <c r="M180" s="512" t="s">
        <v>5473</v>
      </c>
      <c r="N180" s="524" t="s">
        <v>6467</v>
      </c>
      <c r="O180" s="524" t="s">
        <v>6202</v>
      </c>
      <c r="P180" s="524" t="s">
        <v>6468</v>
      </c>
      <c r="Q180" s="524"/>
      <c r="R180" s="512"/>
      <c r="S180" s="512"/>
      <c r="T180" s="512"/>
      <c r="U180" s="512"/>
      <c r="V180" s="512"/>
      <c r="W180" s="512"/>
      <c r="X180" s="512"/>
      <c r="Y180" s="512"/>
      <c r="Z180" s="512"/>
      <c r="AA180" s="512"/>
      <c r="AB180" s="512"/>
      <c r="AC180" s="512"/>
      <c r="AD180" s="512"/>
      <c r="AE180" s="512"/>
      <c r="AF180" s="512"/>
      <c r="AG180" s="512"/>
      <c r="AH180" s="512"/>
      <c r="AI180" s="512"/>
      <c r="AJ180" s="512"/>
      <c r="AK180" s="512"/>
      <c r="AL180" s="512"/>
      <c r="AM180" s="512"/>
      <c r="AN180" s="512"/>
      <c r="AV180" s="525"/>
    </row>
    <row r="181" customHeight="1" spans="9:48">
      <c r="I181" s="512"/>
      <c r="J181" s="522"/>
      <c r="K181" s="549"/>
      <c r="L181" s="524" t="s">
        <v>6469</v>
      </c>
      <c r="M181" s="512" t="s">
        <v>5483</v>
      </c>
      <c r="N181" s="524" t="s">
        <v>6470</v>
      </c>
      <c r="O181" s="524" t="s">
        <v>6471</v>
      </c>
      <c r="P181" s="524" t="s">
        <v>6472</v>
      </c>
      <c r="Q181" s="524"/>
      <c r="R181" s="512"/>
      <c r="S181" s="512"/>
      <c r="T181" s="512"/>
      <c r="U181" s="512"/>
      <c r="V181" s="512"/>
      <c r="W181" s="512"/>
      <c r="X181" s="512"/>
      <c r="Y181" s="512"/>
      <c r="Z181" s="512"/>
      <c r="AA181" s="512"/>
      <c r="AB181" s="512"/>
      <c r="AC181" s="512"/>
      <c r="AD181" s="512"/>
      <c r="AE181" s="512"/>
      <c r="AF181" s="512"/>
      <c r="AG181" s="512"/>
      <c r="AH181" s="512"/>
      <c r="AI181" s="512"/>
      <c r="AJ181" s="512"/>
      <c r="AK181" s="512"/>
      <c r="AL181" s="512"/>
      <c r="AM181" s="512"/>
      <c r="AN181" s="512"/>
      <c r="AV181" s="525"/>
    </row>
    <row r="182" customHeight="1" spans="9:48">
      <c r="I182" s="512"/>
      <c r="J182" s="522">
        <v>91</v>
      </c>
      <c r="K182" s="549" t="s">
        <v>5789</v>
      </c>
      <c r="L182" s="514" t="s">
        <v>6473</v>
      </c>
      <c r="M182" s="514" t="s">
        <v>5473</v>
      </c>
      <c r="N182" s="514" t="s">
        <v>6474</v>
      </c>
      <c r="O182" s="514" t="s">
        <v>6475</v>
      </c>
      <c r="P182" s="514" t="s">
        <v>6476</v>
      </c>
      <c r="Q182" s="514" t="s">
        <v>6477</v>
      </c>
      <c r="R182" s="512"/>
      <c r="S182" s="512"/>
      <c r="T182" s="512"/>
      <c r="U182" s="512"/>
      <c r="V182" s="512"/>
      <c r="W182" s="512"/>
      <c r="X182" s="512"/>
      <c r="Y182" s="512"/>
      <c r="Z182" s="512"/>
      <c r="AA182" s="512"/>
      <c r="AB182" s="512"/>
      <c r="AC182" s="512"/>
      <c r="AD182" s="512"/>
      <c r="AE182" s="512"/>
      <c r="AF182" s="512"/>
      <c r="AG182" s="512"/>
      <c r="AH182" s="512"/>
      <c r="AI182" s="512"/>
      <c r="AJ182" s="512"/>
      <c r="AK182" s="512"/>
      <c r="AL182" s="512"/>
      <c r="AM182" s="512"/>
      <c r="AN182" s="512"/>
      <c r="AV182" s="525"/>
    </row>
    <row r="183" customHeight="1" spans="9:48">
      <c r="I183" s="512"/>
      <c r="J183" s="522"/>
      <c r="K183" s="549"/>
      <c r="L183" s="514" t="s">
        <v>6469</v>
      </c>
      <c r="M183" s="514" t="s">
        <v>5483</v>
      </c>
      <c r="N183" s="514" t="s">
        <v>6478</v>
      </c>
      <c r="O183" s="514" t="s">
        <v>6479</v>
      </c>
      <c r="P183" s="514" t="s">
        <v>6480</v>
      </c>
      <c r="Q183" s="514" t="s">
        <v>6481</v>
      </c>
      <c r="R183" s="512"/>
      <c r="S183" s="512"/>
      <c r="T183" s="512"/>
      <c r="U183" s="512"/>
      <c r="V183" s="512"/>
      <c r="W183" s="512"/>
      <c r="X183" s="512"/>
      <c r="Y183" s="512"/>
      <c r="Z183" s="512"/>
      <c r="AA183" s="512"/>
      <c r="AB183" s="512"/>
      <c r="AC183" s="512"/>
      <c r="AD183" s="512"/>
      <c r="AE183" s="512"/>
      <c r="AF183" s="512"/>
      <c r="AG183" s="512"/>
      <c r="AH183" s="512"/>
      <c r="AI183" s="512"/>
      <c r="AJ183" s="512"/>
      <c r="AK183" s="512"/>
      <c r="AL183" s="512"/>
      <c r="AM183" s="512"/>
      <c r="AN183" s="512"/>
      <c r="AV183" s="525"/>
    </row>
    <row r="184" customHeight="1" spans="9:48">
      <c r="I184" s="512"/>
      <c r="J184" s="522">
        <v>92</v>
      </c>
      <c r="K184" s="550" t="s">
        <v>5800</v>
      </c>
      <c r="L184" s="512" t="s">
        <v>6473</v>
      </c>
      <c r="M184" s="512" t="s">
        <v>6467</v>
      </c>
      <c r="N184" s="512" t="s">
        <v>6482</v>
      </c>
      <c r="O184" s="512"/>
      <c r="P184" s="512"/>
      <c r="Z184" s="512"/>
      <c r="AA184" s="512"/>
      <c r="AB184" s="512"/>
      <c r="AC184" s="512"/>
      <c r="AD184" s="512"/>
      <c r="AE184" s="512"/>
      <c r="AF184" s="512"/>
      <c r="AG184" s="512"/>
      <c r="AH184" s="512"/>
      <c r="AI184" s="512"/>
      <c r="AJ184" s="512"/>
      <c r="AK184" s="512"/>
      <c r="AL184" s="512"/>
      <c r="AM184" s="512"/>
      <c r="AN184" s="512"/>
      <c r="AV184" s="525"/>
    </row>
    <row r="185" customHeight="1" spans="9:48">
      <c r="I185" s="512"/>
      <c r="J185" s="522"/>
      <c r="K185" s="550"/>
      <c r="L185" s="512" t="s">
        <v>6469</v>
      </c>
      <c r="M185" s="512" t="s">
        <v>6483</v>
      </c>
      <c r="N185" s="512" t="s">
        <v>6484</v>
      </c>
      <c r="O185" s="512"/>
      <c r="P185" s="512"/>
      <c r="Z185" s="512"/>
      <c r="AA185" s="512"/>
      <c r="AB185" s="512"/>
      <c r="AC185" s="512"/>
      <c r="AD185" s="512"/>
      <c r="AE185" s="512"/>
      <c r="AF185" s="512"/>
      <c r="AG185" s="512"/>
      <c r="AH185" s="512"/>
      <c r="AI185" s="512"/>
      <c r="AJ185" s="512"/>
      <c r="AK185" s="512"/>
      <c r="AL185" s="512"/>
      <c r="AM185" s="512"/>
      <c r="AN185" s="512"/>
      <c r="AV185" s="525"/>
    </row>
    <row r="186" customHeight="1" spans="9:48">
      <c r="I186" s="512"/>
      <c r="J186" s="522">
        <v>93</v>
      </c>
      <c r="K186" s="547" t="s">
        <v>6066</v>
      </c>
      <c r="L186" s="442" t="s">
        <v>6485</v>
      </c>
      <c r="M186" s="442" t="s">
        <v>5473</v>
      </c>
      <c r="N186" s="442" t="s">
        <v>6486</v>
      </c>
      <c r="O186" s="442" t="s">
        <v>6487</v>
      </c>
      <c r="R186" s="512"/>
      <c r="S186" s="512"/>
      <c r="T186" s="512"/>
      <c r="U186" s="512"/>
      <c r="V186" s="512"/>
      <c r="W186" s="512"/>
      <c r="X186" s="512"/>
      <c r="Y186" s="512"/>
      <c r="Z186" s="512"/>
      <c r="AA186" s="512"/>
      <c r="AB186" s="512"/>
      <c r="AC186" s="512"/>
      <c r="AD186" s="512"/>
      <c r="AE186" s="512"/>
      <c r="AF186" s="512"/>
      <c r="AG186" s="512"/>
      <c r="AH186" s="512"/>
      <c r="AI186" s="512"/>
      <c r="AJ186" s="512"/>
      <c r="AK186" s="512"/>
      <c r="AL186" s="512"/>
      <c r="AM186" s="512"/>
      <c r="AN186" s="512"/>
      <c r="AV186" s="525"/>
    </row>
    <row r="187" customHeight="1" spans="9:48">
      <c r="I187" s="512"/>
      <c r="J187" s="522"/>
      <c r="K187" s="548"/>
      <c r="L187" s="442" t="s">
        <v>6488</v>
      </c>
      <c r="M187" s="442" t="s">
        <v>6489</v>
      </c>
      <c r="N187" s="442" t="s">
        <v>6490</v>
      </c>
      <c r="O187" s="442" t="s">
        <v>6491</v>
      </c>
      <c r="R187" s="512"/>
      <c r="S187" s="512"/>
      <c r="T187" s="512"/>
      <c r="U187" s="512"/>
      <c r="V187" s="512"/>
      <c r="W187" s="512"/>
      <c r="X187" s="512"/>
      <c r="Y187" s="512"/>
      <c r="Z187" s="512"/>
      <c r="AA187" s="512"/>
      <c r="AB187" s="512"/>
      <c r="AC187" s="512"/>
      <c r="AD187" s="512"/>
      <c r="AE187" s="512"/>
      <c r="AF187" s="512"/>
      <c r="AG187" s="512"/>
      <c r="AH187" s="512"/>
      <c r="AI187" s="512"/>
      <c r="AJ187" s="512"/>
      <c r="AK187" s="512"/>
      <c r="AL187" s="512"/>
      <c r="AM187" s="512"/>
      <c r="AN187" s="512"/>
      <c r="AV187" s="525"/>
    </row>
    <row r="188" customHeight="1" spans="9:48">
      <c r="I188" s="512"/>
      <c r="J188" s="522">
        <v>94</v>
      </c>
      <c r="K188" s="547" t="s">
        <v>6071</v>
      </c>
      <c r="L188" s="512" t="s">
        <v>5473</v>
      </c>
      <c r="M188" s="524" t="s">
        <v>5720</v>
      </c>
      <c r="N188" s="512" t="s">
        <v>5847</v>
      </c>
      <c r="O188" s="512" t="s">
        <v>5848</v>
      </c>
      <c r="R188" s="512"/>
      <c r="S188" s="512"/>
      <c r="T188" s="512"/>
      <c r="U188" s="512"/>
      <c r="V188" s="512"/>
      <c r="W188" s="512"/>
      <c r="X188" s="512"/>
      <c r="Y188" s="512"/>
      <c r="Z188" s="512"/>
      <c r="AA188" s="512"/>
      <c r="AB188" s="512"/>
      <c r="AC188" s="512"/>
      <c r="AD188" s="512"/>
      <c r="AE188" s="512"/>
      <c r="AF188" s="512"/>
      <c r="AG188" s="512"/>
      <c r="AH188" s="512"/>
      <c r="AI188" s="512"/>
      <c r="AJ188" s="512"/>
      <c r="AK188" s="512"/>
      <c r="AL188" s="512"/>
      <c r="AM188" s="512"/>
      <c r="AN188" s="512"/>
      <c r="AV188" s="525"/>
    </row>
    <row r="189" customHeight="1" spans="9:48">
      <c r="I189" s="512"/>
      <c r="J189" s="522"/>
      <c r="K189" s="548"/>
      <c r="L189" s="512" t="s">
        <v>5483</v>
      </c>
      <c r="M189" s="512" t="s">
        <v>5725</v>
      </c>
      <c r="N189" s="512" t="s">
        <v>5852</v>
      </c>
      <c r="O189" s="512" t="s">
        <v>5853</v>
      </c>
      <c r="R189" s="512"/>
      <c r="S189" s="512"/>
      <c r="T189" s="512"/>
      <c r="U189" s="512"/>
      <c r="V189" s="512"/>
      <c r="W189" s="512"/>
      <c r="X189" s="512"/>
      <c r="Y189" s="512"/>
      <c r="Z189" s="512"/>
      <c r="AA189" s="512"/>
      <c r="AB189" s="512"/>
      <c r="AC189" s="512"/>
      <c r="AD189" s="512"/>
      <c r="AE189" s="512"/>
      <c r="AF189" s="512"/>
      <c r="AG189" s="512"/>
      <c r="AH189" s="512"/>
      <c r="AI189" s="512"/>
      <c r="AJ189" s="512"/>
      <c r="AK189" s="512"/>
      <c r="AL189" s="512"/>
      <c r="AM189" s="512"/>
      <c r="AN189" s="512"/>
      <c r="AV189" s="525"/>
    </row>
    <row r="190" customHeight="1" spans="9:48">
      <c r="I190" s="512"/>
      <c r="J190" s="522">
        <v>95</v>
      </c>
      <c r="K190" s="547" t="s">
        <v>6076</v>
      </c>
      <c r="L190" s="442" t="s">
        <v>6492</v>
      </c>
      <c r="M190" s="442" t="s">
        <v>6493</v>
      </c>
      <c r="N190" s="442" t="s">
        <v>5473</v>
      </c>
      <c r="R190" s="512"/>
      <c r="S190" s="512"/>
      <c r="T190" s="512"/>
      <c r="U190" s="512"/>
      <c r="V190" s="512"/>
      <c r="W190" s="512"/>
      <c r="X190" s="512"/>
      <c r="Y190" s="512"/>
      <c r="Z190" s="512"/>
      <c r="AA190" s="512"/>
      <c r="AB190" s="512"/>
      <c r="AC190" s="512"/>
      <c r="AD190" s="512"/>
      <c r="AE190" s="512"/>
      <c r="AF190" s="512"/>
      <c r="AG190" s="512"/>
      <c r="AH190" s="512"/>
      <c r="AI190" s="512"/>
      <c r="AJ190" s="512"/>
      <c r="AK190" s="512"/>
      <c r="AL190" s="512"/>
      <c r="AM190" s="512"/>
      <c r="AN190" s="512"/>
      <c r="AV190" s="525"/>
    </row>
    <row r="191" customHeight="1" spans="9:48">
      <c r="I191" s="512"/>
      <c r="J191" s="522"/>
      <c r="K191" s="548"/>
      <c r="L191" s="442" t="s">
        <v>6494</v>
      </c>
      <c r="M191" s="442" t="s">
        <v>6495</v>
      </c>
      <c r="N191" s="442" t="s">
        <v>5483</v>
      </c>
      <c r="R191" s="512"/>
      <c r="S191" s="512"/>
      <c r="T191" s="512"/>
      <c r="U191" s="512"/>
      <c r="V191" s="512"/>
      <c r="W191" s="512"/>
      <c r="X191" s="512"/>
      <c r="Y191" s="512"/>
      <c r="Z191" s="512"/>
      <c r="AA191" s="512"/>
      <c r="AB191" s="512"/>
      <c r="AC191" s="512"/>
      <c r="AD191" s="512"/>
      <c r="AE191" s="512"/>
      <c r="AF191" s="512"/>
      <c r="AG191" s="512"/>
      <c r="AH191" s="512"/>
      <c r="AI191" s="512"/>
      <c r="AJ191" s="512"/>
      <c r="AK191" s="512"/>
      <c r="AL191" s="512"/>
      <c r="AM191" s="512"/>
      <c r="AN191" s="512"/>
      <c r="AV191" s="525"/>
    </row>
    <row r="192" customHeight="1" spans="9:48">
      <c r="I192" s="512"/>
      <c r="J192" s="522">
        <v>96</v>
      </c>
      <c r="K192" s="547" t="s">
        <v>6336</v>
      </c>
      <c r="L192" s="512" t="s">
        <v>5473</v>
      </c>
      <c r="M192" s="524" t="s">
        <v>5795</v>
      </c>
      <c r="N192" s="524" t="s">
        <v>5796</v>
      </c>
      <c r="Z192" s="512"/>
      <c r="AA192" s="512"/>
      <c r="AB192" s="512"/>
      <c r="AC192" s="512"/>
      <c r="AD192" s="512"/>
      <c r="AE192" s="512"/>
      <c r="AF192" s="512"/>
      <c r="AG192" s="512"/>
      <c r="AH192" s="512"/>
      <c r="AI192" s="512"/>
      <c r="AJ192" s="512"/>
      <c r="AK192" s="512"/>
      <c r="AL192" s="512"/>
      <c r="AM192" s="512"/>
      <c r="AN192" s="512"/>
      <c r="AV192" s="525"/>
    </row>
    <row r="193" customHeight="1" spans="10:48">
      <c r="J193" s="522"/>
      <c r="K193" s="548"/>
      <c r="L193" s="512" t="s">
        <v>5483</v>
      </c>
      <c r="M193" s="524" t="s">
        <v>5806</v>
      </c>
      <c r="N193" s="524" t="s">
        <v>5807</v>
      </c>
      <c r="Z193" s="512"/>
      <c r="AA193" s="512"/>
      <c r="AB193" s="512"/>
      <c r="AC193" s="512"/>
      <c r="AD193" s="512"/>
      <c r="AE193" s="512"/>
      <c r="AF193" s="512"/>
      <c r="AG193" s="512"/>
      <c r="AH193" s="512"/>
      <c r="AI193" s="512"/>
      <c r="AJ193" s="512"/>
      <c r="AK193" s="512"/>
      <c r="AL193" s="512"/>
      <c r="AM193" s="512"/>
      <c r="AN193" s="512"/>
      <c r="AV193" s="525"/>
    </row>
    <row r="194" customHeight="1" spans="10:48">
      <c r="J194" s="522">
        <v>97</v>
      </c>
      <c r="K194" s="547" t="s">
        <v>6338</v>
      </c>
      <c r="L194" s="512" t="s">
        <v>5605</v>
      </c>
      <c r="M194" s="512" t="s">
        <v>6496</v>
      </c>
      <c r="N194" s="512" t="s">
        <v>5607</v>
      </c>
      <c r="O194" s="512" t="s">
        <v>5608</v>
      </c>
      <c r="P194" s="442" t="s">
        <v>5473</v>
      </c>
      <c r="Z194" s="512"/>
      <c r="AA194" s="512"/>
      <c r="AB194" s="512"/>
      <c r="AC194" s="512"/>
      <c r="AD194" s="512"/>
      <c r="AE194" s="512"/>
      <c r="AF194" s="512"/>
      <c r="AG194" s="512"/>
      <c r="AH194" s="512"/>
      <c r="AI194" s="512"/>
      <c r="AJ194" s="512"/>
      <c r="AK194" s="512"/>
      <c r="AL194" s="512"/>
      <c r="AM194" s="512"/>
      <c r="AN194" s="512"/>
      <c r="AV194" s="525"/>
    </row>
    <row r="195" customHeight="1" spans="10:48">
      <c r="J195" s="522"/>
      <c r="K195" s="548"/>
      <c r="L195" s="512" t="s">
        <v>5611</v>
      </c>
      <c r="M195" s="512" t="s">
        <v>5612</v>
      </c>
      <c r="N195" s="512" t="s">
        <v>5613</v>
      </c>
      <c r="O195" s="512" t="s">
        <v>5614</v>
      </c>
      <c r="P195" s="442" t="s">
        <v>5518</v>
      </c>
      <c r="Z195" s="512"/>
      <c r="AA195" s="512"/>
      <c r="AB195" s="512"/>
      <c r="AC195" s="512"/>
      <c r="AD195" s="512"/>
      <c r="AE195" s="512"/>
      <c r="AF195" s="512"/>
      <c r="AG195" s="512"/>
      <c r="AH195" s="512"/>
      <c r="AI195" s="512"/>
      <c r="AJ195" s="512"/>
      <c r="AK195" s="512"/>
      <c r="AL195" s="512"/>
      <c r="AM195" s="512"/>
      <c r="AN195" s="512"/>
      <c r="AV195" s="525"/>
    </row>
    <row r="196" customHeight="1" spans="10:48">
      <c r="J196" s="522">
        <v>98</v>
      </c>
      <c r="K196" s="547" t="s">
        <v>6082</v>
      </c>
      <c r="L196" s="512" t="s">
        <v>6497</v>
      </c>
      <c r="M196" s="512" t="s">
        <v>6498</v>
      </c>
      <c r="N196" s="512" t="s">
        <v>6499</v>
      </c>
      <c r="O196" s="512" t="s">
        <v>6500</v>
      </c>
      <c r="P196" s="442"/>
      <c r="Z196" s="512"/>
      <c r="AA196" s="512"/>
      <c r="AB196" s="512"/>
      <c r="AC196" s="512"/>
      <c r="AD196" s="512"/>
      <c r="AE196" s="512"/>
      <c r="AF196" s="512"/>
      <c r="AG196" s="512"/>
      <c r="AH196" s="512"/>
      <c r="AI196" s="512"/>
      <c r="AJ196" s="512"/>
      <c r="AK196" s="512"/>
      <c r="AL196" s="512"/>
      <c r="AM196" s="512"/>
      <c r="AN196" s="512"/>
      <c r="AV196" s="525"/>
    </row>
    <row r="197" customHeight="1" spans="10:48">
      <c r="J197" s="522"/>
      <c r="K197" s="548"/>
      <c r="L197" s="512" t="s">
        <v>6501</v>
      </c>
      <c r="M197" s="512" t="s">
        <v>6502</v>
      </c>
      <c r="N197" s="512" t="s">
        <v>6503</v>
      </c>
      <c r="O197" s="512" t="s">
        <v>6504</v>
      </c>
      <c r="P197" s="442"/>
      <c r="Z197" s="512"/>
      <c r="AA197" s="512"/>
      <c r="AB197" s="512"/>
      <c r="AC197" s="512"/>
      <c r="AD197" s="512"/>
      <c r="AE197" s="512"/>
      <c r="AF197" s="512"/>
      <c r="AG197" s="512"/>
      <c r="AH197" s="512"/>
      <c r="AI197" s="512"/>
      <c r="AJ197" s="512"/>
      <c r="AK197" s="512"/>
      <c r="AL197" s="512"/>
      <c r="AM197" s="512"/>
      <c r="AN197" s="512"/>
      <c r="AV197" s="525"/>
    </row>
    <row r="198" customHeight="1" spans="10:48">
      <c r="J198" s="522">
        <v>99</v>
      </c>
      <c r="K198" s="547" t="s">
        <v>6087</v>
      </c>
      <c r="L198" s="512" t="s">
        <v>5473</v>
      </c>
      <c r="M198" s="512" t="s">
        <v>6505</v>
      </c>
      <c r="N198" s="512" t="s">
        <v>6506</v>
      </c>
      <c r="O198" s="512" t="s">
        <v>6507</v>
      </c>
      <c r="P198" s="442"/>
      <c r="Z198" s="512"/>
      <c r="AA198" s="512"/>
      <c r="AB198" s="512"/>
      <c r="AC198" s="512"/>
      <c r="AD198" s="512"/>
      <c r="AE198" s="512"/>
      <c r="AF198" s="512"/>
      <c r="AG198" s="512"/>
      <c r="AH198" s="512"/>
      <c r="AI198" s="512"/>
      <c r="AJ198" s="512"/>
      <c r="AK198" s="512"/>
      <c r="AL198" s="512"/>
      <c r="AM198" s="512"/>
      <c r="AN198" s="512"/>
      <c r="AV198" s="525"/>
    </row>
    <row r="199" customHeight="1" spans="10:48">
      <c r="J199" s="522"/>
      <c r="K199" s="548"/>
      <c r="L199" s="512" t="s">
        <v>5483</v>
      </c>
      <c r="M199" s="512" t="s">
        <v>6508</v>
      </c>
      <c r="N199" s="512" t="s">
        <v>6509</v>
      </c>
      <c r="O199" s="512" t="s">
        <v>6510</v>
      </c>
      <c r="P199" s="442"/>
      <c r="Z199" s="512"/>
      <c r="AA199" s="512"/>
      <c r="AB199" s="512"/>
      <c r="AC199" s="512"/>
      <c r="AD199" s="512"/>
      <c r="AE199" s="512"/>
      <c r="AF199" s="512"/>
      <c r="AG199" s="512"/>
      <c r="AH199" s="512"/>
      <c r="AI199" s="512"/>
      <c r="AJ199" s="512"/>
      <c r="AK199" s="512"/>
      <c r="AL199" s="512"/>
      <c r="AM199" s="512"/>
      <c r="AN199" s="512"/>
      <c r="AV199" s="525"/>
    </row>
    <row r="200" customHeight="1" spans="10:48">
      <c r="J200" s="522">
        <v>100</v>
      </c>
      <c r="K200" s="547" t="s">
        <v>6095</v>
      </c>
      <c r="L200" s="512" t="s">
        <v>6511</v>
      </c>
      <c r="M200" s="512" t="s">
        <v>6512</v>
      </c>
      <c r="N200" s="512" t="s">
        <v>6513</v>
      </c>
      <c r="O200" s="512" t="s">
        <v>6514</v>
      </c>
      <c r="P200" s="442"/>
      <c r="Z200" s="512"/>
      <c r="AA200" s="512"/>
      <c r="AB200" s="512"/>
      <c r="AC200" s="512"/>
      <c r="AD200" s="512"/>
      <c r="AE200" s="512"/>
      <c r="AF200" s="512"/>
      <c r="AG200" s="512"/>
      <c r="AH200" s="512"/>
      <c r="AI200" s="512"/>
      <c r="AJ200" s="512"/>
      <c r="AK200" s="512"/>
      <c r="AL200" s="512"/>
      <c r="AM200" s="512"/>
      <c r="AN200" s="512"/>
      <c r="AV200" s="525"/>
    </row>
    <row r="201" customHeight="1" spans="10:48">
      <c r="J201" s="522"/>
      <c r="K201" s="548"/>
      <c r="L201" s="512" t="s">
        <v>6515</v>
      </c>
      <c r="M201" s="512" t="s">
        <v>6516</v>
      </c>
      <c r="N201" s="512" t="s">
        <v>6517</v>
      </c>
      <c r="O201" s="512" t="s">
        <v>6235</v>
      </c>
      <c r="P201" s="442"/>
      <c r="Z201" s="512"/>
      <c r="AA201" s="512"/>
      <c r="AB201" s="512"/>
      <c r="AC201" s="512"/>
      <c r="AD201" s="512"/>
      <c r="AE201" s="512"/>
      <c r="AF201" s="512"/>
      <c r="AG201" s="512"/>
      <c r="AH201" s="512"/>
      <c r="AI201" s="512"/>
      <c r="AJ201" s="512"/>
      <c r="AK201" s="512"/>
      <c r="AL201" s="512"/>
      <c r="AM201" s="512"/>
      <c r="AN201" s="512"/>
      <c r="AV201" s="525"/>
    </row>
    <row r="202" customHeight="1" spans="10:48">
      <c r="J202" s="522">
        <v>101</v>
      </c>
      <c r="K202" s="547" t="s">
        <v>6101</v>
      </c>
      <c r="L202" s="512" t="s">
        <v>5473</v>
      </c>
      <c r="M202" s="512" t="s">
        <v>6518</v>
      </c>
      <c r="N202" s="512" t="s">
        <v>6519</v>
      </c>
      <c r="O202" s="512" t="s">
        <v>6520</v>
      </c>
      <c r="P202" s="442" t="s">
        <v>6521</v>
      </c>
      <c r="Z202" s="512"/>
      <c r="AA202" s="512"/>
      <c r="AB202" s="512"/>
      <c r="AC202" s="512"/>
      <c r="AD202" s="512"/>
      <c r="AE202" s="512"/>
      <c r="AF202" s="512"/>
      <c r="AG202" s="512"/>
      <c r="AH202" s="512"/>
      <c r="AI202" s="512"/>
      <c r="AJ202" s="512"/>
      <c r="AK202" s="512"/>
      <c r="AL202" s="512"/>
      <c r="AM202" s="512"/>
      <c r="AN202" s="512"/>
      <c r="AV202" s="525"/>
    </row>
    <row r="203" customHeight="1" spans="10:48">
      <c r="J203" s="522"/>
      <c r="K203" s="548"/>
      <c r="L203" s="512" t="s">
        <v>5518</v>
      </c>
      <c r="M203" s="512" t="s">
        <v>6522</v>
      </c>
      <c r="N203" s="512" t="s">
        <v>6523</v>
      </c>
      <c r="O203" s="512" t="s">
        <v>6524</v>
      </c>
      <c r="P203" s="442" t="s">
        <v>6525</v>
      </c>
      <c r="Z203" s="512"/>
      <c r="AA203" s="512"/>
      <c r="AB203" s="512"/>
      <c r="AC203" s="512"/>
      <c r="AD203" s="512"/>
      <c r="AE203" s="512"/>
      <c r="AF203" s="512"/>
      <c r="AG203" s="512"/>
      <c r="AH203" s="512"/>
      <c r="AI203" s="512"/>
      <c r="AJ203" s="512"/>
      <c r="AK203" s="512"/>
      <c r="AL203" s="512"/>
      <c r="AM203" s="512"/>
      <c r="AN203" s="512"/>
      <c r="AV203" s="525"/>
    </row>
    <row r="204" customHeight="1" spans="10:48">
      <c r="J204" s="522">
        <v>102</v>
      </c>
      <c r="K204" s="523" t="s">
        <v>6107</v>
      </c>
      <c r="L204" s="512" t="s">
        <v>6526</v>
      </c>
      <c r="M204" s="512" t="s">
        <v>6527</v>
      </c>
      <c r="N204" s="512"/>
      <c r="O204" s="512"/>
      <c r="P204" s="442"/>
      <c r="Z204" s="512"/>
      <c r="AA204" s="512"/>
      <c r="AB204" s="512"/>
      <c r="AC204" s="512"/>
      <c r="AD204" s="512"/>
      <c r="AE204" s="512"/>
      <c r="AF204" s="512"/>
      <c r="AG204" s="512"/>
      <c r="AH204" s="512"/>
      <c r="AI204" s="512"/>
      <c r="AJ204" s="512"/>
      <c r="AK204" s="512"/>
      <c r="AL204" s="512"/>
      <c r="AM204" s="512"/>
      <c r="AN204" s="512"/>
      <c r="AV204" s="525"/>
    </row>
    <row r="205" customHeight="1" spans="10:48">
      <c r="J205" s="522"/>
      <c r="K205" s="523"/>
      <c r="L205" s="512" t="s">
        <v>6528</v>
      </c>
      <c r="M205" s="512" t="s">
        <v>6529</v>
      </c>
      <c r="R205" s="512"/>
      <c r="Z205" s="512"/>
      <c r="AA205" s="512"/>
      <c r="AB205" s="512"/>
      <c r="AC205" s="512"/>
      <c r="AD205" s="512"/>
      <c r="AE205" s="512"/>
      <c r="AF205" s="512"/>
      <c r="AG205" s="512"/>
      <c r="AH205" s="512"/>
      <c r="AI205" s="512"/>
      <c r="AJ205" s="512"/>
      <c r="AK205" s="512"/>
      <c r="AL205" s="512"/>
      <c r="AM205" s="512"/>
      <c r="AN205" s="512"/>
      <c r="AV205" s="525"/>
    </row>
    <row r="206" customHeight="1" spans="10:48">
      <c r="J206" s="522">
        <v>103</v>
      </c>
      <c r="K206" s="523" t="s">
        <v>6115</v>
      </c>
      <c r="L206" s="512" t="s">
        <v>6530</v>
      </c>
      <c r="M206" s="512" t="s">
        <v>6531</v>
      </c>
      <c r="N206" s="512" t="s">
        <v>6532</v>
      </c>
      <c r="O206" s="512" t="s">
        <v>6533</v>
      </c>
      <c r="R206" s="512"/>
      <c r="Z206" s="512"/>
      <c r="AA206" s="512"/>
      <c r="AB206" s="512"/>
      <c r="AC206" s="512"/>
      <c r="AD206" s="512"/>
      <c r="AE206" s="512"/>
      <c r="AF206" s="512"/>
      <c r="AG206" s="512"/>
      <c r="AH206" s="512"/>
      <c r="AI206" s="512"/>
      <c r="AJ206" s="512"/>
      <c r="AK206" s="512"/>
      <c r="AL206" s="512"/>
      <c r="AM206" s="512"/>
      <c r="AN206" s="512"/>
      <c r="AV206" s="525"/>
    </row>
    <row r="207" customHeight="1" spans="10:48">
      <c r="J207" s="522"/>
      <c r="K207" s="523"/>
      <c r="L207" s="512" t="s">
        <v>6534</v>
      </c>
      <c r="M207" s="512" t="s">
        <v>6535</v>
      </c>
      <c r="N207" s="512" t="s">
        <v>6536</v>
      </c>
      <c r="O207" s="512" t="s">
        <v>6537</v>
      </c>
      <c r="P207" s="512"/>
      <c r="Q207" s="512"/>
      <c r="R207" s="512"/>
      <c r="Z207" s="512"/>
      <c r="AA207" s="512"/>
      <c r="AB207" s="512"/>
      <c r="AC207" s="512"/>
      <c r="AD207" s="512"/>
      <c r="AE207" s="512"/>
      <c r="AF207" s="512"/>
      <c r="AG207" s="512"/>
      <c r="AH207" s="512"/>
      <c r="AI207" s="512"/>
      <c r="AJ207" s="512"/>
      <c r="AK207" s="512"/>
      <c r="AL207" s="512"/>
      <c r="AM207" s="512"/>
      <c r="AN207" s="512"/>
      <c r="AV207" s="525"/>
    </row>
    <row r="208" customHeight="1" spans="10:48">
      <c r="J208" s="522">
        <v>104</v>
      </c>
      <c r="K208" s="523" t="s">
        <v>6123</v>
      </c>
      <c r="L208" s="512" t="s">
        <v>5473</v>
      </c>
      <c r="M208" s="512" t="s">
        <v>5720</v>
      </c>
      <c r="N208" s="512" t="s">
        <v>5869</v>
      </c>
      <c r="O208" s="512" t="s">
        <v>6538</v>
      </c>
      <c r="P208" s="512" t="s">
        <v>5618</v>
      </c>
      <c r="Q208" s="512"/>
      <c r="R208" s="512"/>
      <c r="Z208" s="512"/>
      <c r="AA208" s="512"/>
      <c r="AB208" s="512"/>
      <c r="AC208" s="512"/>
      <c r="AD208" s="512"/>
      <c r="AE208" s="512"/>
      <c r="AF208" s="512"/>
      <c r="AG208" s="512"/>
      <c r="AH208" s="512"/>
      <c r="AI208" s="512"/>
      <c r="AJ208" s="512"/>
      <c r="AK208" s="512"/>
      <c r="AL208" s="512"/>
      <c r="AM208" s="512"/>
      <c r="AN208" s="512"/>
      <c r="AV208" s="525"/>
    </row>
    <row r="209" customHeight="1" spans="10:48">
      <c r="J209" s="522"/>
      <c r="K209" s="523"/>
      <c r="L209" s="512" t="s">
        <v>5483</v>
      </c>
      <c r="M209" s="512" t="s">
        <v>6539</v>
      </c>
      <c r="N209" s="512" t="s">
        <v>6540</v>
      </c>
      <c r="O209" s="512" t="s">
        <v>6541</v>
      </c>
      <c r="P209" s="512" t="s">
        <v>6542</v>
      </c>
      <c r="Q209" s="512"/>
      <c r="R209" s="512"/>
      <c r="Z209" s="512"/>
      <c r="AA209" s="512"/>
      <c r="AB209" s="512"/>
      <c r="AC209" s="512"/>
      <c r="AD209" s="512"/>
      <c r="AE209" s="512"/>
      <c r="AF209" s="512"/>
      <c r="AG209" s="512"/>
      <c r="AH209" s="512"/>
      <c r="AI209" s="512"/>
      <c r="AJ209" s="512"/>
      <c r="AK209" s="512"/>
      <c r="AL209" s="512"/>
      <c r="AM209" s="512"/>
      <c r="AN209" s="512"/>
      <c r="AV209" s="525"/>
    </row>
    <row r="210" customHeight="1" spans="10:48">
      <c r="J210" s="522">
        <v>105</v>
      </c>
      <c r="K210" s="523" t="s">
        <v>6126</v>
      </c>
      <c r="L210" s="524" t="s">
        <v>6543</v>
      </c>
      <c r="M210" s="524" t="s">
        <v>5473</v>
      </c>
      <c r="N210" s="524" t="s">
        <v>6544</v>
      </c>
      <c r="O210" s="524" t="s">
        <v>6149</v>
      </c>
      <c r="P210" s="524" t="s">
        <v>6150</v>
      </c>
      <c r="Q210" s="524" t="s">
        <v>6151</v>
      </c>
      <c r="R210" s="524" t="s">
        <v>6152</v>
      </c>
      <c r="Z210" s="512"/>
      <c r="AA210" s="512"/>
      <c r="AB210" s="512"/>
      <c r="AC210" s="512"/>
      <c r="AD210" s="512"/>
      <c r="AE210" s="512"/>
      <c r="AF210" s="512"/>
      <c r="AG210" s="512"/>
      <c r="AH210" s="512"/>
      <c r="AI210" s="512"/>
      <c r="AJ210" s="512"/>
      <c r="AK210" s="512"/>
      <c r="AL210" s="512"/>
      <c r="AM210" s="512"/>
      <c r="AN210" s="512"/>
      <c r="AV210" s="525"/>
    </row>
    <row r="211" customHeight="1" spans="10:48">
      <c r="J211" s="522"/>
      <c r="K211" s="523"/>
      <c r="L211" s="524" t="s">
        <v>6545</v>
      </c>
      <c r="M211" s="524" t="s">
        <v>5483</v>
      </c>
      <c r="N211" s="524" t="s">
        <v>6546</v>
      </c>
      <c r="O211" s="524" t="s">
        <v>6547</v>
      </c>
      <c r="P211" s="524" t="s">
        <v>6548</v>
      </c>
      <c r="Q211" s="524" t="s">
        <v>6549</v>
      </c>
      <c r="R211" s="524" t="s">
        <v>6550</v>
      </c>
      <c r="S211" s="512"/>
      <c r="T211" s="512"/>
      <c r="U211" s="512"/>
      <c r="V211" s="512"/>
      <c r="W211" s="512"/>
      <c r="X211" s="512"/>
      <c r="Y211" s="512"/>
      <c r="Z211" s="512"/>
      <c r="AA211" s="512"/>
      <c r="AB211" s="512"/>
      <c r="AC211" s="512"/>
      <c r="AD211" s="512"/>
      <c r="AE211" s="512"/>
      <c r="AF211" s="512"/>
      <c r="AG211" s="512"/>
      <c r="AH211" s="512"/>
      <c r="AI211" s="512"/>
      <c r="AJ211" s="512"/>
      <c r="AK211" s="512"/>
      <c r="AL211" s="512"/>
      <c r="AM211" s="512"/>
      <c r="AN211" s="512"/>
      <c r="AV211" s="525"/>
    </row>
    <row r="212" customHeight="1" spans="10:48">
      <c r="J212" s="522">
        <v>106</v>
      </c>
      <c r="K212" s="523" t="s">
        <v>6135</v>
      </c>
      <c r="L212" s="512" t="s">
        <v>6551</v>
      </c>
      <c r="M212" s="512" t="s">
        <v>6552</v>
      </c>
      <c r="N212" s="512" t="s">
        <v>6553</v>
      </c>
      <c r="O212" s="512" t="s">
        <v>6554</v>
      </c>
      <c r="P212" s="442" t="s">
        <v>6555</v>
      </c>
      <c r="S212" s="512"/>
      <c r="AB212" s="512"/>
      <c r="AC212" s="512"/>
      <c r="AD212" s="512"/>
      <c r="AE212" s="512"/>
      <c r="AF212" s="512"/>
      <c r="AG212" s="512"/>
      <c r="AH212" s="512"/>
      <c r="AI212" s="512"/>
      <c r="AJ212" s="512"/>
      <c r="AK212" s="512"/>
      <c r="AL212" s="512"/>
      <c r="AM212" s="512"/>
      <c r="AN212" s="512"/>
      <c r="AV212" s="525"/>
    </row>
    <row r="213" customHeight="1" spans="10:48">
      <c r="J213" s="522"/>
      <c r="K213" s="523"/>
      <c r="L213" s="512" t="s">
        <v>6556</v>
      </c>
      <c r="M213" s="512" t="s">
        <v>6557</v>
      </c>
      <c r="N213" s="512" t="s">
        <v>6558</v>
      </c>
      <c r="O213" s="512" t="s">
        <v>6559</v>
      </c>
      <c r="P213" s="442" t="s">
        <v>6560</v>
      </c>
      <c r="S213" s="512"/>
      <c r="AB213" s="512"/>
      <c r="AC213" s="512"/>
      <c r="AD213" s="512"/>
      <c r="AE213" s="512"/>
      <c r="AF213" s="512"/>
      <c r="AG213" s="512"/>
      <c r="AH213" s="512"/>
      <c r="AI213" s="512"/>
      <c r="AJ213" s="512"/>
      <c r="AK213" s="512"/>
      <c r="AL213" s="512"/>
      <c r="AM213" s="512"/>
      <c r="AN213" s="512"/>
      <c r="AV213" s="525"/>
    </row>
    <row r="214" customHeight="1" spans="10:48">
      <c r="J214" s="522">
        <v>107</v>
      </c>
      <c r="S214" s="512"/>
      <c r="AB214" s="512"/>
      <c r="AC214" s="512"/>
      <c r="AD214" s="512"/>
      <c r="AE214" s="512"/>
      <c r="AF214" s="512"/>
      <c r="AG214" s="512"/>
      <c r="AH214" s="512"/>
      <c r="AI214" s="512"/>
      <c r="AJ214" s="512"/>
      <c r="AK214" s="512"/>
      <c r="AL214" s="512"/>
      <c r="AM214" s="512"/>
      <c r="AN214" s="512"/>
      <c r="AV214" s="525"/>
    </row>
    <row r="215" customHeight="1" spans="10:48">
      <c r="J215" s="522"/>
      <c r="S215" s="512"/>
      <c r="AB215" s="512"/>
      <c r="AC215" s="512"/>
      <c r="AD215" s="512"/>
      <c r="AE215" s="512"/>
      <c r="AF215" s="512"/>
      <c r="AG215" s="512"/>
      <c r="AH215" s="512"/>
      <c r="AI215" s="512"/>
      <c r="AJ215" s="512"/>
      <c r="AK215" s="512"/>
      <c r="AL215" s="512"/>
      <c r="AM215" s="512"/>
      <c r="AN215" s="512"/>
      <c r="AV215" s="525"/>
    </row>
    <row r="216" customHeight="1" spans="10:48">
      <c r="J216" s="522">
        <v>108</v>
      </c>
      <c r="S216" s="512"/>
      <c r="AB216" s="512"/>
      <c r="AC216" s="512"/>
      <c r="AD216" s="512"/>
      <c r="AE216" s="512"/>
      <c r="AF216" s="512"/>
      <c r="AG216" s="512"/>
      <c r="AH216" s="512"/>
      <c r="AI216" s="512"/>
      <c r="AJ216" s="512"/>
      <c r="AK216" s="512"/>
      <c r="AL216" s="512"/>
      <c r="AM216" s="512"/>
      <c r="AN216" s="512"/>
      <c r="AV216" s="525"/>
    </row>
    <row r="217" customHeight="1" spans="10:48">
      <c r="J217" s="522"/>
      <c r="S217" s="512"/>
      <c r="AB217" s="512"/>
      <c r="AC217" s="512"/>
      <c r="AD217" s="512"/>
      <c r="AE217" s="512"/>
      <c r="AF217" s="512"/>
      <c r="AG217" s="512"/>
      <c r="AH217" s="512"/>
      <c r="AI217" s="512"/>
      <c r="AJ217" s="512"/>
      <c r="AK217" s="512"/>
      <c r="AL217" s="512"/>
      <c r="AM217" s="512"/>
      <c r="AN217" s="512"/>
      <c r="AV217" s="525"/>
    </row>
    <row r="218" customHeight="1" spans="10:48">
      <c r="J218" s="522">
        <v>109</v>
      </c>
      <c r="S218" s="512"/>
      <c r="AB218" s="512"/>
      <c r="AC218" s="512"/>
      <c r="AD218" s="512"/>
      <c r="AE218" s="512"/>
      <c r="AF218" s="512"/>
      <c r="AG218" s="512"/>
      <c r="AH218" s="512"/>
      <c r="AI218" s="512"/>
      <c r="AJ218" s="512"/>
      <c r="AK218" s="512"/>
      <c r="AL218" s="512"/>
      <c r="AM218" s="512"/>
      <c r="AN218" s="512"/>
      <c r="AV218" s="525"/>
    </row>
    <row r="219" customHeight="1" spans="10:48">
      <c r="J219" s="522"/>
      <c r="S219" s="512"/>
      <c r="AB219" s="512"/>
      <c r="AC219" s="512"/>
      <c r="AD219" s="512"/>
      <c r="AE219" s="512"/>
      <c r="AF219" s="512"/>
      <c r="AG219" s="512"/>
      <c r="AH219" s="512"/>
      <c r="AI219" s="512"/>
      <c r="AJ219" s="512"/>
      <c r="AK219" s="512"/>
      <c r="AL219" s="512"/>
      <c r="AM219" s="512"/>
      <c r="AN219" s="512"/>
      <c r="AV219" s="525"/>
    </row>
    <row r="220" customHeight="1" spans="10:48">
      <c r="J220" s="522">
        <v>110</v>
      </c>
      <c r="K220" s="512"/>
      <c r="L220" s="512"/>
      <c r="M220" s="512"/>
      <c r="N220" s="512"/>
      <c r="O220" s="512"/>
      <c r="P220" s="512"/>
      <c r="Q220" s="512"/>
      <c r="R220" s="512"/>
      <c r="S220" s="512"/>
      <c r="AB220" s="512"/>
      <c r="AC220" s="512"/>
      <c r="AD220" s="512"/>
      <c r="AE220" s="512"/>
      <c r="AF220" s="512"/>
      <c r="AG220" s="512"/>
      <c r="AH220" s="512"/>
      <c r="AI220" s="512"/>
      <c r="AJ220" s="512"/>
      <c r="AK220" s="512"/>
      <c r="AL220" s="512"/>
      <c r="AM220" s="512"/>
      <c r="AN220" s="512"/>
      <c r="AV220" s="525"/>
    </row>
    <row r="221" customHeight="1" spans="10:48">
      <c r="J221" s="522"/>
      <c r="K221" s="512"/>
      <c r="L221" s="512"/>
      <c r="M221" s="512"/>
      <c r="N221" s="512"/>
      <c r="O221" s="512"/>
      <c r="P221" s="512"/>
      <c r="Q221" s="512"/>
      <c r="R221" s="512"/>
      <c r="S221" s="512"/>
      <c r="AB221" s="512"/>
      <c r="AC221" s="512"/>
      <c r="AD221" s="512"/>
      <c r="AE221" s="512"/>
      <c r="AF221" s="512"/>
      <c r="AG221" s="512"/>
      <c r="AH221" s="512"/>
      <c r="AI221" s="512"/>
      <c r="AJ221" s="512"/>
      <c r="AK221" s="512"/>
      <c r="AL221" s="512"/>
      <c r="AM221" s="512"/>
      <c r="AN221" s="512"/>
      <c r="AV221" s="525"/>
    </row>
    <row r="222" customHeight="1" spans="10:48">
      <c r="J222" s="522">
        <v>111</v>
      </c>
      <c r="K222" s="512"/>
      <c r="L222" s="512"/>
      <c r="M222" s="512"/>
      <c r="N222" s="512"/>
      <c r="O222" s="512"/>
      <c r="P222" s="512"/>
      <c r="Q222" s="512"/>
      <c r="R222" s="512"/>
      <c r="S222" s="512"/>
      <c r="T222" s="512"/>
      <c r="U222" s="512"/>
      <c r="V222" s="512"/>
      <c r="W222" s="512"/>
      <c r="X222" s="512"/>
      <c r="Y222" s="512"/>
      <c r="Z222" s="512"/>
      <c r="AA222" s="512"/>
      <c r="AB222" s="512"/>
      <c r="AC222" s="512"/>
      <c r="AD222" s="512"/>
      <c r="AE222" s="512"/>
      <c r="AF222" s="512"/>
      <c r="AG222" s="512"/>
      <c r="AH222" s="512"/>
      <c r="AI222" s="512"/>
      <c r="AJ222" s="512"/>
      <c r="AK222" s="512"/>
      <c r="AL222" s="512"/>
      <c r="AM222" s="512"/>
      <c r="AN222" s="512"/>
      <c r="AV222" s="525"/>
    </row>
    <row r="223" customHeight="1" spans="10:48">
      <c r="J223" s="522"/>
      <c r="K223" s="512"/>
      <c r="L223" s="512"/>
      <c r="M223" s="512"/>
      <c r="N223" s="512"/>
      <c r="O223" s="512"/>
      <c r="P223" s="512"/>
      <c r="Q223" s="512"/>
      <c r="R223" s="512"/>
      <c r="S223" s="512"/>
      <c r="T223" s="512"/>
      <c r="U223" s="512"/>
      <c r="V223" s="512"/>
      <c r="W223" s="512"/>
      <c r="X223" s="512"/>
      <c r="Y223" s="512"/>
      <c r="Z223" s="512"/>
      <c r="AA223" s="512"/>
      <c r="AB223" s="512"/>
      <c r="AC223" s="512"/>
      <c r="AD223" s="512"/>
      <c r="AE223" s="512"/>
      <c r="AF223" s="512"/>
      <c r="AG223" s="512"/>
      <c r="AH223" s="512"/>
      <c r="AI223" s="512"/>
      <c r="AJ223" s="512"/>
      <c r="AK223" s="512"/>
      <c r="AL223" s="512"/>
      <c r="AM223" s="512"/>
      <c r="AN223" s="512"/>
      <c r="AV223" s="525"/>
    </row>
    <row r="224" customHeight="1" spans="10:48">
      <c r="J224" s="522">
        <v>112</v>
      </c>
      <c r="K224" s="512"/>
      <c r="L224" s="512"/>
      <c r="M224" s="512"/>
      <c r="N224" s="512"/>
      <c r="O224" s="512"/>
      <c r="P224" s="512"/>
      <c r="Q224" s="512"/>
      <c r="R224" s="512"/>
      <c r="S224" s="512"/>
      <c r="T224" s="512"/>
      <c r="U224" s="512"/>
      <c r="V224" s="512"/>
      <c r="W224" s="512"/>
      <c r="X224" s="512"/>
      <c r="Y224" s="512"/>
      <c r="Z224" s="512"/>
      <c r="AA224" s="512"/>
      <c r="AB224" s="512"/>
      <c r="AC224" s="512"/>
      <c r="AD224" s="512"/>
      <c r="AE224" s="512"/>
      <c r="AF224" s="512"/>
      <c r="AG224" s="512"/>
      <c r="AH224" s="512"/>
      <c r="AI224" s="512"/>
      <c r="AJ224" s="512"/>
      <c r="AK224" s="512"/>
      <c r="AL224" s="512"/>
      <c r="AM224" s="512"/>
      <c r="AN224" s="512"/>
      <c r="AV224" s="525"/>
    </row>
    <row r="225" customHeight="1" spans="10:48">
      <c r="J225" s="522"/>
      <c r="K225" s="512"/>
      <c r="L225" s="512"/>
      <c r="M225" s="512"/>
      <c r="N225" s="512"/>
      <c r="O225" s="512"/>
      <c r="P225" s="512"/>
      <c r="Q225" s="512"/>
      <c r="R225" s="512"/>
      <c r="S225" s="512"/>
      <c r="T225" s="512"/>
      <c r="U225" s="512"/>
      <c r="V225" s="512"/>
      <c r="W225" s="512"/>
      <c r="X225" s="512"/>
      <c r="Y225" s="512"/>
      <c r="Z225" s="512"/>
      <c r="AA225" s="512"/>
      <c r="AB225" s="512"/>
      <c r="AC225" s="512"/>
      <c r="AD225" s="512"/>
      <c r="AE225" s="512"/>
      <c r="AF225" s="512"/>
      <c r="AG225" s="512"/>
      <c r="AH225" s="512"/>
      <c r="AI225" s="512"/>
      <c r="AJ225" s="512"/>
      <c r="AK225" s="512"/>
      <c r="AL225" s="512"/>
      <c r="AM225" s="512"/>
      <c r="AN225" s="512"/>
      <c r="AV225" s="525"/>
    </row>
    <row r="226" customHeight="1" spans="10:48">
      <c r="J226" s="522">
        <v>113</v>
      </c>
      <c r="K226" s="512"/>
      <c r="L226" s="512"/>
      <c r="M226" s="512"/>
      <c r="N226" s="512"/>
      <c r="O226" s="512"/>
      <c r="P226" s="512"/>
      <c r="Q226" s="512"/>
      <c r="R226" s="512"/>
      <c r="S226" s="512"/>
      <c r="T226" s="512"/>
      <c r="U226" s="512"/>
      <c r="V226" s="512"/>
      <c r="W226" s="512"/>
      <c r="X226" s="512"/>
      <c r="Y226" s="512"/>
      <c r="Z226" s="512"/>
      <c r="AA226" s="512"/>
      <c r="AB226" s="512"/>
      <c r="AC226" s="512"/>
      <c r="AD226" s="512"/>
      <c r="AE226" s="512"/>
      <c r="AF226" s="512"/>
      <c r="AG226" s="512"/>
      <c r="AH226" s="512"/>
      <c r="AI226" s="512"/>
      <c r="AJ226" s="512"/>
      <c r="AK226" s="512"/>
      <c r="AL226" s="512"/>
      <c r="AM226" s="512"/>
      <c r="AN226" s="512"/>
      <c r="AV226" s="525"/>
    </row>
    <row r="227" customHeight="1" spans="10:48">
      <c r="J227" s="522"/>
      <c r="K227" s="512"/>
      <c r="L227" s="512"/>
      <c r="M227" s="512"/>
      <c r="N227" s="512"/>
      <c r="O227" s="512"/>
      <c r="P227" s="512"/>
      <c r="Q227" s="512"/>
      <c r="R227" s="512"/>
      <c r="S227" s="512"/>
      <c r="T227" s="512"/>
      <c r="U227" s="512"/>
      <c r="V227" s="512"/>
      <c r="W227" s="512"/>
      <c r="X227" s="512"/>
      <c r="Y227" s="512"/>
      <c r="Z227" s="512"/>
      <c r="AA227" s="512"/>
      <c r="AB227" s="512"/>
      <c r="AC227" s="512"/>
      <c r="AD227" s="512"/>
      <c r="AE227" s="512"/>
      <c r="AF227" s="512"/>
      <c r="AG227" s="512"/>
      <c r="AH227" s="512"/>
      <c r="AI227" s="512"/>
      <c r="AJ227" s="512"/>
      <c r="AK227" s="512"/>
      <c r="AL227" s="512"/>
      <c r="AM227" s="512"/>
      <c r="AN227" s="512"/>
      <c r="AV227" s="525"/>
    </row>
    <row r="228" customHeight="1" spans="10:48">
      <c r="J228" s="522">
        <v>114</v>
      </c>
      <c r="K228" s="512"/>
      <c r="L228" s="512"/>
      <c r="M228" s="512"/>
      <c r="N228" s="512"/>
      <c r="O228" s="512"/>
      <c r="P228" s="512"/>
      <c r="Q228" s="512"/>
      <c r="R228" s="512"/>
      <c r="S228" s="512"/>
      <c r="T228" s="512"/>
      <c r="U228" s="512"/>
      <c r="V228" s="512"/>
      <c r="W228" s="512"/>
      <c r="X228" s="512"/>
      <c r="Y228" s="512"/>
      <c r="Z228" s="512"/>
      <c r="AA228" s="512"/>
      <c r="AB228" s="512"/>
      <c r="AC228" s="512"/>
      <c r="AD228" s="512"/>
      <c r="AE228" s="512"/>
      <c r="AF228" s="512"/>
      <c r="AG228" s="512"/>
      <c r="AH228" s="512"/>
      <c r="AI228" s="512"/>
      <c r="AJ228" s="512"/>
      <c r="AK228" s="512"/>
      <c r="AL228" s="512"/>
      <c r="AM228" s="512"/>
      <c r="AN228" s="512"/>
      <c r="AV228" s="525"/>
    </row>
    <row r="229" customHeight="1" spans="10:48">
      <c r="J229" s="522"/>
      <c r="K229" s="512"/>
      <c r="L229" s="512"/>
      <c r="M229" s="512"/>
      <c r="N229" s="512"/>
      <c r="O229" s="512"/>
      <c r="P229" s="512"/>
      <c r="Q229" s="512"/>
      <c r="R229" s="512"/>
      <c r="S229" s="512"/>
      <c r="T229" s="512"/>
      <c r="U229" s="512"/>
      <c r="V229" s="512"/>
      <c r="W229" s="512"/>
      <c r="X229" s="512"/>
      <c r="Y229" s="512"/>
      <c r="Z229" s="512"/>
      <c r="AA229" s="512"/>
      <c r="AB229" s="512"/>
      <c r="AC229" s="512"/>
      <c r="AD229" s="512"/>
      <c r="AE229" s="512"/>
      <c r="AF229" s="512"/>
      <c r="AG229" s="512"/>
      <c r="AH229" s="512"/>
      <c r="AI229" s="512"/>
      <c r="AJ229" s="512"/>
      <c r="AK229" s="512"/>
      <c r="AL229" s="512"/>
      <c r="AM229" s="512"/>
      <c r="AN229" s="512"/>
      <c r="AV229" s="525"/>
    </row>
    <row r="230" customHeight="1" spans="10:48">
      <c r="J230" s="522">
        <v>115</v>
      </c>
      <c r="K230" s="512"/>
      <c r="L230" s="512"/>
      <c r="M230" s="512"/>
      <c r="N230" s="512"/>
      <c r="O230" s="512"/>
      <c r="P230" s="512"/>
      <c r="Q230" s="512"/>
      <c r="R230" s="512"/>
      <c r="S230" s="512"/>
      <c r="T230" s="512"/>
      <c r="U230" s="512"/>
      <c r="V230" s="512"/>
      <c r="W230" s="512"/>
      <c r="X230" s="512"/>
      <c r="Y230" s="512"/>
      <c r="Z230" s="512"/>
      <c r="AA230" s="512"/>
      <c r="AB230" s="512"/>
      <c r="AC230" s="512"/>
      <c r="AD230" s="512"/>
      <c r="AE230" s="512"/>
      <c r="AF230" s="512"/>
      <c r="AG230" s="512"/>
      <c r="AH230" s="512"/>
      <c r="AI230" s="512"/>
      <c r="AJ230" s="512"/>
      <c r="AK230" s="512"/>
      <c r="AL230" s="512"/>
      <c r="AM230" s="512"/>
      <c r="AN230" s="512"/>
      <c r="AV230" s="525"/>
    </row>
    <row r="231" customHeight="1" spans="10:48">
      <c r="J231" s="522"/>
      <c r="K231" s="512"/>
      <c r="L231" s="512"/>
      <c r="M231" s="512"/>
      <c r="N231" s="512"/>
      <c r="O231" s="512"/>
      <c r="P231" s="512"/>
      <c r="Q231" s="512"/>
      <c r="R231" s="512"/>
      <c r="S231" s="512"/>
      <c r="T231" s="512"/>
      <c r="U231" s="512"/>
      <c r="V231" s="512"/>
      <c r="W231" s="512"/>
      <c r="X231" s="512"/>
      <c r="Y231" s="512"/>
      <c r="Z231" s="512"/>
      <c r="AA231" s="512"/>
      <c r="AB231" s="512"/>
      <c r="AC231" s="512"/>
      <c r="AD231" s="512"/>
      <c r="AE231" s="512"/>
      <c r="AF231" s="512"/>
      <c r="AG231" s="512"/>
      <c r="AH231" s="512"/>
      <c r="AI231" s="512"/>
      <c r="AJ231" s="512"/>
      <c r="AK231" s="512"/>
      <c r="AL231" s="512"/>
      <c r="AM231" s="512"/>
      <c r="AN231" s="512"/>
      <c r="AV231" s="525"/>
    </row>
  </sheetData>
  <mergeCells count="226">
    <mergeCell ref="AZ1:BO1"/>
    <mergeCell ref="BR1:BS1"/>
    <mergeCell ref="BT1:BW1"/>
    <mergeCell ref="BX1:BY1"/>
    <mergeCell ref="BZ1:CB1"/>
    <mergeCell ref="J2:J3"/>
    <mergeCell ref="J4:J5"/>
    <mergeCell ref="J6:J7"/>
    <mergeCell ref="J8:J9"/>
    <mergeCell ref="J10:J11"/>
    <mergeCell ref="J12:J13"/>
    <mergeCell ref="J14:J15"/>
    <mergeCell ref="J16:J17"/>
    <mergeCell ref="J18:J19"/>
    <mergeCell ref="J20:J21"/>
    <mergeCell ref="J22:J23"/>
    <mergeCell ref="J24:J25"/>
    <mergeCell ref="J26:J27"/>
    <mergeCell ref="J28:J29"/>
    <mergeCell ref="J30:J31"/>
    <mergeCell ref="J32:J33"/>
    <mergeCell ref="J34:J35"/>
    <mergeCell ref="J36:J37"/>
    <mergeCell ref="J38:J39"/>
    <mergeCell ref="J40:J41"/>
    <mergeCell ref="J42:J43"/>
    <mergeCell ref="J44:J45"/>
    <mergeCell ref="J46:J47"/>
    <mergeCell ref="J48:J49"/>
    <mergeCell ref="J50:J51"/>
    <mergeCell ref="J52:J53"/>
    <mergeCell ref="J54:J55"/>
    <mergeCell ref="J56:J57"/>
    <mergeCell ref="J58:J59"/>
    <mergeCell ref="J60:J61"/>
    <mergeCell ref="J62:J63"/>
    <mergeCell ref="J64:J65"/>
    <mergeCell ref="J66:J67"/>
    <mergeCell ref="J68:J69"/>
    <mergeCell ref="J70:J71"/>
    <mergeCell ref="J72:J73"/>
    <mergeCell ref="J74:J75"/>
    <mergeCell ref="J76:J77"/>
    <mergeCell ref="J78:J79"/>
    <mergeCell ref="J80:J81"/>
    <mergeCell ref="J82:J83"/>
    <mergeCell ref="J84:J85"/>
    <mergeCell ref="J86:J87"/>
    <mergeCell ref="J88:J89"/>
    <mergeCell ref="J90:J91"/>
    <mergeCell ref="J92:J93"/>
    <mergeCell ref="J94:J95"/>
    <mergeCell ref="J96:J97"/>
    <mergeCell ref="J98:J99"/>
    <mergeCell ref="J100:J101"/>
    <mergeCell ref="J102:J103"/>
    <mergeCell ref="J104:J105"/>
    <mergeCell ref="J106:J107"/>
    <mergeCell ref="J108:J109"/>
    <mergeCell ref="J110:J111"/>
    <mergeCell ref="J112:J113"/>
    <mergeCell ref="J114:J115"/>
    <mergeCell ref="J116:J117"/>
    <mergeCell ref="J118:J119"/>
    <mergeCell ref="J120:J121"/>
    <mergeCell ref="J122:J123"/>
    <mergeCell ref="J124:J125"/>
    <mergeCell ref="J126:J127"/>
    <mergeCell ref="J128:J129"/>
    <mergeCell ref="J130:J131"/>
    <mergeCell ref="J132:J133"/>
    <mergeCell ref="J134:J135"/>
    <mergeCell ref="J136:J137"/>
    <mergeCell ref="J138:J139"/>
    <mergeCell ref="J140:J141"/>
    <mergeCell ref="J142:J143"/>
    <mergeCell ref="J144:J145"/>
    <mergeCell ref="J146:J147"/>
    <mergeCell ref="J148:J149"/>
    <mergeCell ref="J150:J151"/>
    <mergeCell ref="J152:J153"/>
    <mergeCell ref="J154:J155"/>
    <mergeCell ref="J156:J157"/>
    <mergeCell ref="J158:J159"/>
    <mergeCell ref="J160:J161"/>
    <mergeCell ref="J162:J163"/>
    <mergeCell ref="J164:J165"/>
    <mergeCell ref="J166:J167"/>
    <mergeCell ref="J168:J169"/>
    <mergeCell ref="J170:J171"/>
    <mergeCell ref="J172:J173"/>
    <mergeCell ref="J174:J175"/>
    <mergeCell ref="J176:J177"/>
    <mergeCell ref="J178:J179"/>
    <mergeCell ref="J180:J181"/>
    <mergeCell ref="J182:J183"/>
    <mergeCell ref="J184:J185"/>
    <mergeCell ref="J186:J187"/>
    <mergeCell ref="J188:J189"/>
    <mergeCell ref="J190:J191"/>
    <mergeCell ref="J192:J193"/>
    <mergeCell ref="J194:J195"/>
    <mergeCell ref="J196:J197"/>
    <mergeCell ref="J198:J199"/>
    <mergeCell ref="J200:J201"/>
    <mergeCell ref="J202:J203"/>
    <mergeCell ref="J204:J205"/>
    <mergeCell ref="J206:J207"/>
    <mergeCell ref="J208:J209"/>
    <mergeCell ref="J210:J211"/>
    <mergeCell ref="J212:J213"/>
    <mergeCell ref="J214:J215"/>
    <mergeCell ref="J216:J217"/>
    <mergeCell ref="J218:J219"/>
    <mergeCell ref="J220:J221"/>
    <mergeCell ref="J222:J223"/>
    <mergeCell ref="J224:J225"/>
    <mergeCell ref="J226:J227"/>
    <mergeCell ref="J228:J229"/>
    <mergeCell ref="J230:J231"/>
    <mergeCell ref="K2:K3"/>
    <mergeCell ref="K4:K5"/>
    <mergeCell ref="K6:K7"/>
    <mergeCell ref="K8:K9"/>
    <mergeCell ref="K10:K11"/>
    <mergeCell ref="K12:K13"/>
    <mergeCell ref="K14:K15"/>
    <mergeCell ref="K16:K17"/>
    <mergeCell ref="K18:K19"/>
    <mergeCell ref="K20:K21"/>
    <mergeCell ref="K22:K23"/>
    <mergeCell ref="K24:K25"/>
    <mergeCell ref="K26:K27"/>
    <mergeCell ref="K28:K29"/>
    <mergeCell ref="K30:K31"/>
    <mergeCell ref="K32:K33"/>
    <mergeCell ref="K34:K35"/>
    <mergeCell ref="K36:K37"/>
    <mergeCell ref="K38:K39"/>
    <mergeCell ref="K40:K41"/>
    <mergeCell ref="K42:K43"/>
    <mergeCell ref="K44:K45"/>
    <mergeCell ref="K46:K47"/>
    <mergeCell ref="K48:K49"/>
    <mergeCell ref="K50:K51"/>
    <mergeCell ref="K52:K53"/>
    <mergeCell ref="K54:K55"/>
    <mergeCell ref="K56:K57"/>
    <mergeCell ref="K58:K59"/>
    <mergeCell ref="K60:K61"/>
    <mergeCell ref="K62:K63"/>
    <mergeCell ref="K64:K65"/>
    <mergeCell ref="K66:K67"/>
    <mergeCell ref="K68:K69"/>
    <mergeCell ref="K70:K71"/>
    <mergeCell ref="K72:K73"/>
    <mergeCell ref="K74:K75"/>
    <mergeCell ref="K76:K77"/>
    <mergeCell ref="K78:K79"/>
    <mergeCell ref="K80:K81"/>
    <mergeCell ref="K82:K83"/>
    <mergeCell ref="K84:K85"/>
    <mergeCell ref="K86:K87"/>
    <mergeCell ref="K88:K89"/>
    <mergeCell ref="K90:K91"/>
    <mergeCell ref="K92:K93"/>
    <mergeCell ref="K94:K95"/>
    <mergeCell ref="K96:K97"/>
    <mergeCell ref="K98:K99"/>
    <mergeCell ref="K100:K101"/>
    <mergeCell ref="K102:K103"/>
    <mergeCell ref="K104:K105"/>
    <mergeCell ref="K106:K107"/>
    <mergeCell ref="K108:K109"/>
    <mergeCell ref="K110:K111"/>
    <mergeCell ref="K112:K113"/>
    <mergeCell ref="K114:K115"/>
    <mergeCell ref="K116:K117"/>
    <mergeCell ref="K118:K119"/>
    <mergeCell ref="K120:K121"/>
    <mergeCell ref="K122:K123"/>
    <mergeCell ref="K124:K125"/>
    <mergeCell ref="K126:K127"/>
    <mergeCell ref="K128:K129"/>
    <mergeCell ref="K130:K131"/>
    <mergeCell ref="K132:K133"/>
    <mergeCell ref="K134:K135"/>
    <mergeCell ref="K136:K137"/>
    <mergeCell ref="K138:K139"/>
    <mergeCell ref="K140:K141"/>
    <mergeCell ref="K142:K143"/>
    <mergeCell ref="K144:K145"/>
    <mergeCell ref="K146:K147"/>
    <mergeCell ref="K148:K149"/>
    <mergeCell ref="K150:K151"/>
    <mergeCell ref="K152:K153"/>
    <mergeCell ref="K154:K155"/>
    <mergeCell ref="K156:K157"/>
    <mergeCell ref="K158:K159"/>
    <mergeCell ref="K160:K161"/>
    <mergeCell ref="K162:K163"/>
    <mergeCell ref="K164:K165"/>
    <mergeCell ref="K166:K167"/>
    <mergeCell ref="K168:K169"/>
    <mergeCell ref="K170:K171"/>
    <mergeCell ref="K172:K173"/>
    <mergeCell ref="K174:K175"/>
    <mergeCell ref="K176:K177"/>
    <mergeCell ref="K178:K179"/>
    <mergeCell ref="K180:K181"/>
    <mergeCell ref="K182:K183"/>
    <mergeCell ref="K184:K185"/>
    <mergeCell ref="K186:K187"/>
    <mergeCell ref="K188:K189"/>
    <mergeCell ref="K190:K191"/>
    <mergeCell ref="K192:K193"/>
    <mergeCell ref="K194:K195"/>
    <mergeCell ref="K196:K197"/>
    <mergeCell ref="K198:K199"/>
    <mergeCell ref="K200:K201"/>
    <mergeCell ref="K202:K203"/>
    <mergeCell ref="K204:K205"/>
    <mergeCell ref="K206:K207"/>
    <mergeCell ref="K208:K209"/>
    <mergeCell ref="K210:K211"/>
    <mergeCell ref="K212:K213"/>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V257"/>
  <sheetViews>
    <sheetView zoomScale="70" zoomScaleNormal="70" topLeftCell="A231" workbookViewId="0">
      <selection activeCell="B252" sqref="B252"/>
    </sheetView>
  </sheetViews>
  <sheetFormatPr defaultColWidth="8.89090909090909" defaultRowHeight="16.2" customHeight="1"/>
  <cols>
    <col min="1" max="1" width="20.1090909090909" style="451" customWidth="1"/>
    <col min="2" max="2" width="18.2181818181818" style="451" customWidth="1"/>
    <col min="3" max="3" width="20.7818181818182" style="452" customWidth="1"/>
    <col min="4" max="4" width="15.2181818181818" style="451" customWidth="1"/>
    <col min="5" max="5" width="20.7818181818182" style="452" customWidth="1"/>
    <col min="6" max="10" width="8.89090909090909" style="451"/>
    <col min="11" max="11" width="12.3363636363636" style="453" customWidth="1"/>
    <col min="12" max="12" width="10.3363636363636" style="452" customWidth="1"/>
    <col min="13" max="13" width="6" style="451" customWidth="1"/>
    <col min="14" max="14" width="14.5545454545455" style="451" customWidth="1"/>
    <col min="15" max="15" width="6" style="451" customWidth="1"/>
    <col min="16" max="16" width="18.7818181818182" style="452" customWidth="1"/>
    <col min="17" max="17" width="14.1090909090909" style="451" customWidth="1"/>
    <col min="18" max="18" width="10.3363636363636" style="452" customWidth="1"/>
    <col min="19" max="19" width="6" style="451" customWidth="1"/>
    <col min="20" max="20" width="14.6636363636364" style="451" customWidth="1"/>
    <col min="21" max="21" width="6" style="451" customWidth="1"/>
    <col min="22" max="22" width="18.7818181818182" style="452" customWidth="1"/>
    <col min="23" max="16384" width="8.89090909090909" style="451"/>
  </cols>
  <sheetData>
    <row r="1" customHeight="1" spans="1:22">
      <c r="A1" s="454" t="str" cm="1">
        <f t="array" ref="A1">IFERROR(INDEX($B$1:$B$257,SMALL(IF($B$3:$B$257&lt;&gt;"",ROW($B$3:$B$257),4^8),ROW(B2)))&amp;"","")</f>
        <v>警戒</v>
      </c>
      <c r="L1" s="451"/>
      <c r="R1" s="451"/>
      <c r="V1" s="451"/>
    </row>
    <row r="2" customHeight="1" spans="1:22">
      <c r="A2" s="454" t="str" cm="1">
        <f t="array" ref="A2">IFERROR(INDEX($B$1:$B$257,SMALL(IF($B$3:$B$257&lt;&gt;"",ROW($B$3:$B$257),4^8),ROW(B3)))&amp;"","")</f>
        <v>巧匠</v>
      </c>
      <c r="L2" s="451"/>
      <c r="R2" s="451"/>
      <c r="V2" s="451"/>
    </row>
    <row r="3" customHeight="1" spans="1:22">
      <c r="A3" s="454" t="str" cm="1">
        <f t="array" ref="A3">IFERROR(INDEX($B$1:$B$257,SMALL(IF($B$3:$B$257&lt;&gt;"",ROW($B$3:$B$257),4^8),ROW(B4)))&amp;"","")</f>
        <v>医疗师</v>
      </c>
      <c r="B3" s="455" t="s">
        <v>6</v>
      </c>
      <c r="C3" s="456" t="s">
        <v>89</v>
      </c>
      <c r="D3" s="455" t="s">
        <v>6</v>
      </c>
      <c r="E3" s="456" t="s">
        <v>89</v>
      </c>
      <c r="F3" s="457" t="s">
        <v>6561</v>
      </c>
      <c r="G3" s="457" t="s">
        <v>6562</v>
      </c>
      <c r="H3" s="457" t="s">
        <v>6561</v>
      </c>
      <c r="I3" s="457" t="s">
        <v>6562</v>
      </c>
      <c r="K3" s="457" t="s">
        <v>6563</v>
      </c>
      <c r="L3" s="478" t="s">
        <v>6564</v>
      </c>
      <c r="M3" s="478" t="s">
        <v>6565</v>
      </c>
      <c r="N3" s="478" t="s">
        <v>6566</v>
      </c>
      <c r="O3" s="478" t="s">
        <v>6567</v>
      </c>
      <c r="P3" s="478" t="s">
        <v>6562</v>
      </c>
      <c r="Q3" s="455" t="s">
        <v>6568</v>
      </c>
      <c r="R3" s="456" t="s">
        <v>6569</v>
      </c>
      <c r="S3" s="456" t="s">
        <v>6570</v>
      </c>
      <c r="T3" s="456" t="s">
        <v>6571</v>
      </c>
      <c r="U3" s="456" t="s">
        <v>6572</v>
      </c>
      <c r="V3" s="456" t="s">
        <v>89</v>
      </c>
    </row>
    <row r="4" customHeight="1" spans="1:22">
      <c r="A4" s="454" t="str" cm="1">
        <f t="array" ref="A4">IFERROR(INDEX($B$1:$B$257,SMALL(IF($B$3:$B$257&lt;&gt;"",ROW($B$3:$B$257),4^8),ROW(B5)))&amp;"","")</f>
        <v>幸运</v>
      </c>
      <c r="B4" s="458" t="s">
        <v>6573</v>
      </c>
      <c r="C4" s="459" t="s">
        <v>6574</v>
      </c>
      <c r="D4" s="460" t="s">
        <v>6575</v>
      </c>
      <c r="E4" s="461" t="s">
        <v>6576</v>
      </c>
      <c r="F4" s="451">
        <f>主要!BU43</f>
        <v>0</v>
      </c>
      <c r="G4" s="451" t="str">
        <f t="shared" ref="G4:G14" si="0">IFERROR(VLOOKUP(F4,$B$4:$C$257,2,FALSE),"")</f>
        <v/>
      </c>
      <c r="H4" s="451">
        <f>主要!BT57</f>
        <v>0</v>
      </c>
      <c r="I4" s="451" t="str">
        <f>IFERROR(VLOOKUP(H4,$D$4:$E$17,2,FALSE),"")</f>
        <v/>
      </c>
      <c r="K4" s="453" t="s">
        <v>6577</v>
      </c>
      <c r="L4" s="479" t="s">
        <v>6578</v>
      </c>
      <c r="M4" s="451" t="s">
        <v>6579</v>
      </c>
      <c r="N4" s="451">
        <v>1</v>
      </c>
      <c r="O4" s="451" t="s">
        <v>6580</v>
      </c>
      <c r="P4" s="452" t="s">
        <v>6581</v>
      </c>
      <c r="Q4" s="472" t="str">
        <f>据点!B5</f>
        <v>奥术研究室</v>
      </c>
      <c r="R4" s="473" t="str">
        <f>IFERROR(VLOOKUP($Q$4,$K$4:$P$31,2,FALSE),"")</f>
        <v>可以使用奥术法器或可以将工具作为施法法器</v>
      </c>
      <c r="S4" s="473" t="str">
        <f>IFERROR(VLOOKUP($Q$4,$K$4:$P$31,3,FALSE),"")</f>
        <v>宽敞</v>
      </c>
      <c r="T4" s="473">
        <f>IFERROR(VLOOKUP($Q$4,$K$4:$P$31,4,FALSE),"")</f>
        <v>1</v>
      </c>
      <c r="U4" s="473" t="str">
        <f>IFERROR(VLOOKUP($Q$4,$K$4:$P$31,5,FALSE),"")</f>
        <v>制造</v>
      </c>
      <c r="V4" s="473" t="str">
        <f>IFERROR(VLOOKUP($Q$4,$K$4:$P$31,6,FALSE),"")</f>
        <v>奥术研究室是一个安静的实验场所，包含一台或更多的书桌与书架。
秘学护咒 Arcane Study Charm ：当你在据点内进行一次长休后，你获得一个魔法护咒Charm（见第三章“超自然恩惠 Supernatural Gifts”一节），此护咒持续7天或持续至你将其使用为止。此护咒允许你施展一次鉴定术Identify ，无需消耗法术位也无需准备施法材料。你无法在已拥有该护咒时再次获得它。
制造选项 Craft Option ：当你对此设施下达制造指令时，从以下选项中选择一项：
制造：奥术法器 Craft: Arcane Focus ：你委托该设施的雇员制造一个奥术法器Arcane Focus，这项工作需要7天且无需花费金钱。在你领取它之前，造好的法器会留在你的据点内。
制造：书卷 Craft：Book ：你委托该设施的雇员制造一本空白的书。 这项工作需要7天并且需要花费10GP。在你将其领取前，造出的书会留在你的据点内。
制造：魔法物品(奥秘) Craft：Magic Item（Arcana） ：如果你的等级达到或高于9级，你可以委托此设施的雇员制造一件由你选择的普通Common或非普通Uncommon魔法物品，该物品必须来自第七章的奥秘Arcana表格。此设施拥有制造该物品所需的工具，而其雇员拥有该工具的熟练以及奥秘Arcana技能的熟练。参考第七章“制造魔法物品 Crafting Magic Items”一节来决定制造该物品所需的时间与金钱花费。如果该物品允许使用者用它施展任何法术，你必须亲自制造它（设施雇员可以协助你），并且在制造该物品期间，你每天都必须准备所有该物品可以施展的法术。</v>
      </c>
    </row>
    <row r="5" customHeight="1" spans="1:16">
      <c r="A5" s="454" t="str" cm="1">
        <f t="array" ref="A5">IFERROR(INDEX($B$1:$B$257,SMALL(IF($B$3:$B$257&lt;&gt;"",ROW($B$3:$B$257),4^8),ROW(B6)))&amp;"","")</f>
        <v>魔法学徒</v>
      </c>
      <c r="B5" s="458" t="s">
        <v>6582</v>
      </c>
      <c r="C5" s="459" t="s">
        <v>6583</v>
      </c>
      <c r="D5" s="462" t="s">
        <v>6584</v>
      </c>
      <c r="E5" s="463" t="s">
        <v>6585</v>
      </c>
      <c r="F5" s="451">
        <f>主要!BU44</f>
        <v>0</v>
      </c>
      <c r="G5" s="451" t="str">
        <f t="shared" si="0"/>
        <v/>
      </c>
      <c r="H5" s="451">
        <f>主要!BT58</f>
        <v>0</v>
      </c>
      <c r="I5" s="451" t="str">
        <f t="shared" ref="I5:I7" si="1">IFERROR(VLOOKUP(H5,$D$4:$E$17,2,FALSE),"")</f>
        <v/>
      </c>
      <c r="K5" s="453" t="s">
        <v>6586</v>
      </c>
      <c r="L5" s="479" t="s">
        <v>624</v>
      </c>
      <c r="M5" s="451" t="s">
        <v>6579</v>
      </c>
      <c r="N5" s="451">
        <v>1</v>
      </c>
      <c r="O5" s="480" t="s">
        <v>6587</v>
      </c>
      <c r="P5" s="452" t="s">
        <v>6588</v>
      </c>
    </row>
    <row r="6" customHeight="1" spans="1:16">
      <c r="A6" s="454" t="str" cm="1">
        <f t="array" ref="A6">IFERROR(INDEX($B$1:$B$257,SMALL(IF($B$3:$B$257&lt;&gt;"",ROW($B$3:$B$257),4^8),ROW(B7)))&amp;"","")</f>
        <v>音乐家</v>
      </c>
      <c r="B6" s="458" t="s">
        <v>6589</v>
      </c>
      <c r="C6" s="459" t="s">
        <v>6590</v>
      </c>
      <c r="D6" s="462" t="s">
        <v>6591</v>
      </c>
      <c r="E6" s="463" t="s">
        <v>6592</v>
      </c>
      <c r="F6" s="451">
        <f>主要!BU45</f>
        <v>0</v>
      </c>
      <c r="G6" s="451" t="str">
        <f t="shared" si="0"/>
        <v/>
      </c>
      <c r="H6" s="451">
        <f>主要!BT59</f>
        <v>0</v>
      </c>
      <c r="I6" s="451" t="str">
        <f t="shared" si="1"/>
        <v/>
      </c>
      <c r="K6" s="481" t="s">
        <v>6593</v>
      </c>
      <c r="L6" s="479" t="s">
        <v>624</v>
      </c>
      <c r="M6" s="451" t="s">
        <v>6579</v>
      </c>
      <c r="N6" s="451">
        <v>1</v>
      </c>
      <c r="O6" s="480" t="s">
        <v>6594</v>
      </c>
      <c r="P6" s="452" t="s">
        <v>6595</v>
      </c>
    </row>
    <row r="7" customHeight="1" spans="1:16">
      <c r="A7" s="454" t="str" cm="1">
        <f t="array" ref="A7">IFERROR(INDEX($B$1:$B$257,SMALL(IF($B$3:$B$257&lt;&gt;"",ROW($B$3:$B$257),4^8),ROW(B8)))&amp;"","")</f>
        <v>凶蛮打手</v>
      </c>
      <c r="B7" s="458" t="s">
        <v>5607</v>
      </c>
      <c r="C7" s="459" t="s">
        <v>6596</v>
      </c>
      <c r="D7" s="462" t="s">
        <v>6597</v>
      </c>
      <c r="E7" s="463" t="s">
        <v>6598</v>
      </c>
      <c r="F7" s="451">
        <f>主要!BU46</f>
        <v>0</v>
      </c>
      <c r="G7" s="451" t="str">
        <f t="shared" si="0"/>
        <v/>
      </c>
      <c r="H7" s="451">
        <f>主要!BT60</f>
        <v>0</v>
      </c>
      <c r="I7" s="451" t="str">
        <f t="shared" si="1"/>
        <v/>
      </c>
      <c r="K7" s="481" t="s">
        <v>6599</v>
      </c>
      <c r="L7" s="479" t="s">
        <v>624</v>
      </c>
      <c r="M7" s="451" t="s">
        <v>6579</v>
      </c>
      <c r="N7" s="451">
        <v>1</v>
      </c>
      <c r="O7" s="480" t="s">
        <v>187</v>
      </c>
      <c r="P7" s="452" t="s">
        <v>6600</v>
      </c>
    </row>
    <row r="8" customHeight="1" spans="1:16">
      <c r="A8" s="454" t="str" cm="1">
        <f t="array" ref="A8">IFERROR(INDEX($B$1:$B$257,SMALL(IF($B$3:$B$257&lt;&gt;"",ROW($B$3:$B$257),4^8),ROW(B9)))&amp;"","")</f>
        <v>熟习</v>
      </c>
      <c r="B8" s="458" t="s">
        <v>6601</v>
      </c>
      <c r="C8" s="459" t="s">
        <v>6602</v>
      </c>
      <c r="D8" s="462" t="s">
        <v>6603</v>
      </c>
      <c r="E8" s="463" t="s">
        <v>6604</v>
      </c>
      <c r="F8" s="451">
        <f>主要!BU47</f>
        <v>0</v>
      </c>
      <c r="G8" s="451" t="str">
        <f t="shared" si="0"/>
        <v/>
      </c>
      <c r="K8" s="481" t="s">
        <v>6605</v>
      </c>
      <c r="L8" s="452" t="s">
        <v>6606</v>
      </c>
      <c r="M8" s="451" t="s">
        <v>6579</v>
      </c>
      <c r="N8" s="451">
        <v>1</v>
      </c>
      <c r="O8" s="480" t="s">
        <v>4913</v>
      </c>
      <c r="P8" s="452" t="s">
        <v>6607</v>
      </c>
    </row>
    <row r="9" customHeight="1" spans="1:16">
      <c r="A9" s="454" t="str" cm="1">
        <f t="array" ref="A9">IFERROR(INDEX($B$1:$B$257,SMALL(IF($B$3:$B$257&lt;&gt;"",ROW($B$3:$B$257),4^8),ROW(B10)))&amp;"","")</f>
        <v>酒馆斗殴者</v>
      </c>
      <c r="B9" s="458" t="s">
        <v>6608</v>
      </c>
      <c r="C9" s="459" t="s">
        <v>6609</v>
      </c>
      <c r="D9" s="462" t="s">
        <v>6610</v>
      </c>
      <c r="E9" s="463" t="s">
        <v>6611</v>
      </c>
      <c r="F9" s="451">
        <f>主要!BU48</f>
        <v>0</v>
      </c>
      <c r="G9" s="451" t="str">
        <f t="shared" si="0"/>
        <v/>
      </c>
      <c r="K9" s="481" t="s">
        <v>6612</v>
      </c>
      <c r="L9" s="479" t="s">
        <v>624</v>
      </c>
      <c r="M9" s="451" t="s">
        <v>6579</v>
      </c>
      <c r="N9" s="451">
        <v>2</v>
      </c>
      <c r="O9" s="480" t="s">
        <v>4913</v>
      </c>
      <c r="P9" s="452" t="s">
        <v>6613</v>
      </c>
    </row>
    <row r="10" customHeight="1" spans="1:16">
      <c r="A10" s="454" t="str" cm="1">
        <f t="array" ref="A10">IFERROR(INDEX($B$1:$B$257,SMALL(IF($B$3:$B$257&lt;&gt;"",ROW($B$3:$B$257),4^8),ROW(B11)))&amp;"","")</f>
        <v>健壮</v>
      </c>
      <c r="B10" s="458" t="s">
        <v>6614</v>
      </c>
      <c r="C10" s="459" t="s">
        <v>6615</v>
      </c>
      <c r="D10" s="462" t="s">
        <v>6616</v>
      </c>
      <c r="E10" s="463" t="s">
        <v>6617</v>
      </c>
      <c r="F10" s="451">
        <f>主要!BU49</f>
        <v>0</v>
      </c>
      <c r="G10" s="451" t="str">
        <f t="shared" si="0"/>
        <v/>
      </c>
      <c r="K10" s="481" t="s">
        <v>6618</v>
      </c>
      <c r="L10" s="479" t="s">
        <v>624</v>
      </c>
      <c r="M10" s="451" t="s">
        <v>6579</v>
      </c>
      <c r="N10" s="451">
        <v>1</v>
      </c>
      <c r="O10" s="480" t="s">
        <v>6587</v>
      </c>
      <c r="P10" s="452" t="s">
        <v>6619</v>
      </c>
    </row>
    <row r="11" customHeight="1" spans="1:16">
      <c r="A11" s="454" t="str" cm="1">
        <f t="array" ref="A11">IFERROR(INDEX($B$1:$B$257,SMALL(IF($B$3:$B$257&lt;&gt;"",ROW($B$3:$B$257),4^8),ROW(B12)))&amp;"","")</f>
        <v>属性值提升</v>
      </c>
      <c r="B11" s="458" t="s">
        <v>6620</v>
      </c>
      <c r="C11" s="459" t="s">
        <v>6621</v>
      </c>
      <c r="D11" s="462" t="s">
        <v>6622</v>
      </c>
      <c r="E11" s="463" t="s">
        <v>6623</v>
      </c>
      <c r="F11" s="451">
        <f>主要!BU50</f>
        <v>0</v>
      </c>
      <c r="G11" s="451" t="str">
        <f t="shared" si="0"/>
        <v/>
      </c>
      <c r="K11" s="481" t="s">
        <v>6624</v>
      </c>
      <c r="L11" s="479" t="s">
        <v>624</v>
      </c>
      <c r="M11" s="451" t="s">
        <v>6579</v>
      </c>
      <c r="N11" s="451">
        <v>3</v>
      </c>
      <c r="O11" s="480" t="s">
        <v>4913</v>
      </c>
      <c r="P11" s="452" t="s">
        <v>6625</v>
      </c>
    </row>
    <row r="12" customHeight="1" spans="1:16">
      <c r="A12" s="454" t="str" cm="1">
        <f t="array" ref="A12">IFERROR(INDEX($B$1:$B$257,SMALL(IF($B$3:$B$257&lt;&gt;"",ROW($B$3:$B$257),4^8),ROW(B13)))&amp;"","")</f>
        <v>演员</v>
      </c>
      <c r="B12" s="458" t="s">
        <v>6626</v>
      </c>
      <c r="C12" s="459" t="s">
        <v>6627</v>
      </c>
      <c r="D12" s="462" t="s">
        <v>6628</v>
      </c>
      <c r="E12" s="463" t="s">
        <v>6629</v>
      </c>
      <c r="F12" s="451">
        <f>主要!BU51</f>
        <v>0</v>
      </c>
      <c r="G12" s="451" t="str">
        <f t="shared" si="0"/>
        <v/>
      </c>
      <c r="K12" s="482" t="s">
        <v>6630</v>
      </c>
      <c r="L12" s="483" t="s">
        <v>624</v>
      </c>
      <c r="M12" s="484" t="s">
        <v>6579</v>
      </c>
      <c r="N12" s="484">
        <v>1</v>
      </c>
      <c r="O12" s="485" t="s">
        <v>6587</v>
      </c>
      <c r="P12" s="486" t="s">
        <v>6631</v>
      </c>
    </row>
    <row r="13" customHeight="1" spans="1:16">
      <c r="A13" s="454" t="str" cm="1">
        <f t="array" ref="A13">IFERROR(INDEX($B$1:$B$257,SMALL(IF($B$3:$B$257&lt;&gt;"",ROW($B$3:$B$257),4^8),ROW(B14)))&amp;"","")</f>
        <v>运动精英</v>
      </c>
      <c r="B13" s="458" t="s">
        <v>6632</v>
      </c>
      <c r="C13" s="459" t="s">
        <v>6633</v>
      </c>
      <c r="D13" s="462" t="s">
        <v>6634</v>
      </c>
      <c r="E13" s="463" t="s">
        <v>6635</v>
      </c>
      <c r="F13" s="451">
        <f>主要!BU52</f>
        <v>0</v>
      </c>
      <c r="G13" s="451" t="str">
        <f t="shared" si="0"/>
        <v/>
      </c>
      <c r="K13" s="482" t="s">
        <v>6636</v>
      </c>
      <c r="L13" s="483" t="s">
        <v>624</v>
      </c>
      <c r="M13" s="485" t="s">
        <v>6637</v>
      </c>
      <c r="N13" s="484">
        <v>4</v>
      </c>
      <c r="O13" s="485" t="s">
        <v>6587</v>
      </c>
      <c r="P13" s="486" t="s">
        <v>6638</v>
      </c>
    </row>
    <row r="14" customHeight="1" spans="1:16">
      <c r="A14" s="454" t="str" cm="1">
        <f t="array" ref="A14">IFERROR(INDEX($B$1:$B$257,SMALL(IF($B$3:$B$257&lt;&gt;"",ROW($B$3:$B$257),4^8),ROW(B15)))&amp;"","")</f>
        <v>冲锋手</v>
      </c>
      <c r="B14" s="464" t="s">
        <v>906</v>
      </c>
      <c r="C14" s="465" t="s">
        <v>6639</v>
      </c>
      <c r="D14" s="462" t="s">
        <v>6640</v>
      </c>
      <c r="E14" s="463" t="s">
        <v>6641</v>
      </c>
      <c r="F14" s="451">
        <f>主要!BU53</f>
        <v>0</v>
      </c>
      <c r="G14" s="451" t="str">
        <f t="shared" si="0"/>
        <v/>
      </c>
      <c r="I14" s="480" t="s">
        <v>6642</v>
      </c>
      <c r="K14" s="482" t="s">
        <v>6643</v>
      </c>
      <c r="L14" s="483" t="s">
        <v>624</v>
      </c>
      <c r="M14" s="484" t="s">
        <v>6579</v>
      </c>
      <c r="N14" s="484">
        <v>1</v>
      </c>
      <c r="O14" s="485" t="s">
        <v>6594</v>
      </c>
      <c r="P14" s="486" t="s">
        <v>6644</v>
      </c>
    </row>
    <row r="15" customHeight="1" spans="1:16">
      <c r="A15" s="454" t="str" cm="1">
        <f t="array" ref="A15">IFERROR(INDEX($B$1:$B$257,SMALL(IF($B$3:$B$257&lt;&gt;"",ROW($B$3:$B$257),4^8),ROW(B16)))&amp;"","")</f>
        <v>大厨</v>
      </c>
      <c r="B15" s="464" t="s">
        <v>6645</v>
      </c>
      <c r="C15" s="465" t="s">
        <v>6646</v>
      </c>
      <c r="D15" s="462" t="s">
        <v>6647</v>
      </c>
      <c r="E15" s="463" t="s">
        <v>6648</v>
      </c>
      <c r="I15" s="480" t="s">
        <v>6649</v>
      </c>
      <c r="K15" s="482" t="s">
        <v>6650</v>
      </c>
      <c r="L15" s="483" t="s">
        <v>624</v>
      </c>
      <c r="M15" s="484" t="s">
        <v>6579</v>
      </c>
      <c r="N15" s="484">
        <v>1</v>
      </c>
      <c r="O15" s="485" t="s">
        <v>4913</v>
      </c>
      <c r="P15" s="486" t="s">
        <v>6651</v>
      </c>
    </row>
    <row r="16" customHeight="1" spans="1:16">
      <c r="A16" s="454" t="str" cm="1">
        <f t="array" ref="A16">IFERROR(INDEX($B$1:$B$257,SMALL(IF($B$3:$B$257&lt;&gt;"",ROW($B$3:$B$257),4^8),ROW(B17)))&amp;"","")</f>
        <v>强弩专家</v>
      </c>
      <c r="B16" s="464" t="s">
        <v>6652</v>
      </c>
      <c r="C16" s="465" t="s">
        <v>6653</v>
      </c>
      <c r="D16" s="466" t="str">
        <f>自定义调整栏!Q24</f>
        <v>自定义战风1</v>
      </c>
      <c r="E16" s="467" t="str">
        <f>自定义调整栏!S24</f>
        <v>-</v>
      </c>
      <c r="I16" s="480" t="s">
        <v>6637</v>
      </c>
      <c r="K16" s="482" t="s">
        <v>6654</v>
      </c>
      <c r="L16" s="486" t="s">
        <v>6606</v>
      </c>
      <c r="M16" s="484" t="s">
        <v>6579</v>
      </c>
      <c r="N16" s="484">
        <v>1</v>
      </c>
      <c r="O16" s="485" t="s">
        <v>4913</v>
      </c>
      <c r="P16" s="486" t="s">
        <v>6655</v>
      </c>
    </row>
    <row r="17" customHeight="1" spans="1:16">
      <c r="A17" s="454" t="str" cm="1">
        <f t="array" ref="A17">IFERROR(INDEX($B$1:$B$257,SMALL(IF($B$3:$B$257&lt;&gt;"",ROW($B$3:$B$257),4^8),ROW(B18)))&amp;"","")</f>
        <v>粉碎者</v>
      </c>
      <c r="B17" s="464" t="s">
        <v>6656</v>
      </c>
      <c r="C17" s="465" t="s">
        <v>6657</v>
      </c>
      <c r="D17" s="468" t="str">
        <f>自定义调整栏!Q25</f>
        <v>自定义战风2</v>
      </c>
      <c r="E17" s="469" t="str">
        <f>自定义调整栏!S25</f>
        <v>-</v>
      </c>
      <c r="K17" s="482" t="s">
        <v>6658</v>
      </c>
      <c r="L17" s="483" t="s">
        <v>624</v>
      </c>
      <c r="M17" s="484" t="s">
        <v>6579</v>
      </c>
      <c r="N17" s="484">
        <v>1</v>
      </c>
      <c r="O17" s="485" t="s">
        <v>4913</v>
      </c>
      <c r="P17" s="486" t="s">
        <v>6659</v>
      </c>
    </row>
    <row r="18" customHeight="1" spans="1:16">
      <c r="A18" s="454" t="str" cm="1">
        <f t="array" ref="A18">IFERROR(INDEX($B$1:$B$257,SMALL(IF($B$3:$B$257&lt;&gt;"",ROW($B$3:$B$257),4^8),ROW(B19)))&amp;"","")</f>
        <v>防御式决斗</v>
      </c>
      <c r="B18" s="464" t="s">
        <v>6660</v>
      </c>
      <c r="C18" s="465" t="s">
        <v>6661</v>
      </c>
      <c r="I18" s="480" t="s">
        <v>4913</v>
      </c>
      <c r="K18" s="482" t="s">
        <v>6662</v>
      </c>
      <c r="L18" s="483" t="s">
        <v>624</v>
      </c>
      <c r="M18" s="484" t="s">
        <v>6579</v>
      </c>
      <c r="N18" s="484">
        <v>1</v>
      </c>
      <c r="O18" s="485" t="s">
        <v>6663</v>
      </c>
      <c r="P18" s="486" t="s">
        <v>6664</v>
      </c>
    </row>
    <row r="19" customHeight="1" spans="1:16">
      <c r="A19" s="454" t="str" cm="1">
        <f t="array" ref="A19">IFERROR(INDEX($B$1:$B$257,SMALL(IF($B$3:$B$257&lt;&gt;"",ROW($B$3:$B$257),4^8),ROW(B20)))&amp;"","")</f>
        <v>双持客</v>
      </c>
      <c r="B19" s="464" t="s">
        <v>6665</v>
      </c>
      <c r="C19" s="465" t="s">
        <v>6666</v>
      </c>
      <c r="I19" s="480" t="s">
        <v>6667</v>
      </c>
      <c r="K19" s="482" t="s">
        <v>6668</v>
      </c>
      <c r="L19" s="483" t="s">
        <v>624</v>
      </c>
      <c r="M19" s="485" t="s">
        <v>6637</v>
      </c>
      <c r="N19" s="484">
        <v>4</v>
      </c>
      <c r="O19" s="485" t="s">
        <v>6667</v>
      </c>
      <c r="P19" s="486" t="s">
        <v>6669</v>
      </c>
    </row>
    <row r="20" customHeight="1" spans="1:16">
      <c r="A20" s="454" t="str" cm="1">
        <f t="array" ref="A20">IFERROR(INDEX($B$1:$B$257,SMALL(IF($B$3:$B$257&lt;&gt;"",ROW($B$3:$B$257),4^8),ROW(B21)))&amp;"","")</f>
        <v>耐性</v>
      </c>
      <c r="B20" s="464" t="s">
        <v>6670</v>
      </c>
      <c r="C20" s="465" t="s">
        <v>6671</v>
      </c>
      <c r="I20" s="480" t="s">
        <v>6594</v>
      </c>
      <c r="K20" s="482" t="s">
        <v>6672</v>
      </c>
      <c r="L20" s="483" t="s">
        <v>624</v>
      </c>
      <c r="M20" s="485" t="s">
        <v>6637</v>
      </c>
      <c r="N20" s="484">
        <v>4</v>
      </c>
      <c r="O20" s="485" t="s">
        <v>6667</v>
      </c>
      <c r="P20" s="486" t="s">
        <v>6673</v>
      </c>
    </row>
    <row r="21" customHeight="1" spans="1:16">
      <c r="A21" s="454" t="str" cm="1">
        <f t="array" ref="A21">IFERROR(INDEX($B$1:$B$257,SMALL(IF($B$3:$B$257&lt;&gt;"",ROW($B$3:$B$257),4^8),ROW(B22)))&amp;"","")</f>
        <v>元素掌控</v>
      </c>
      <c r="B21" s="464" t="s">
        <v>6674</v>
      </c>
      <c r="C21" s="465" t="s">
        <v>6675</v>
      </c>
      <c r="I21" s="480" t="s">
        <v>6676</v>
      </c>
      <c r="K21" s="482" t="s">
        <v>6677</v>
      </c>
      <c r="L21" s="483" t="s">
        <v>624</v>
      </c>
      <c r="M21" s="484" t="s">
        <v>6579</v>
      </c>
      <c r="N21" s="484">
        <v>1</v>
      </c>
      <c r="O21" s="485" t="s">
        <v>187</v>
      </c>
      <c r="P21" s="486" t="s">
        <v>6678</v>
      </c>
    </row>
    <row r="22" customHeight="1" spans="1:16">
      <c r="A22" s="454" t="str" cm="1">
        <f t="array" ref="A22">IFERROR(INDEX($B$1:$B$257,SMALL(IF($B$3:$B$257&lt;&gt;"",ROW($B$3:$B$257),4^8),ROW(B23)))&amp;"","")</f>
        <v>妖精触碰</v>
      </c>
      <c r="B22" s="464" t="s">
        <v>6679</v>
      </c>
      <c r="C22" s="465" t="s">
        <v>6680</v>
      </c>
      <c r="I22" s="480" t="s">
        <v>6663</v>
      </c>
      <c r="K22" s="481" t="s">
        <v>6681</v>
      </c>
      <c r="L22" s="479" t="s">
        <v>624</v>
      </c>
      <c r="M22" s="451" t="s">
        <v>6579</v>
      </c>
      <c r="N22" s="451">
        <v>1</v>
      </c>
      <c r="O22" s="480" t="s">
        <v>187</v>
      </c>
      <c r="P22" s="452" t="s">
        <v>6682</v>
      </c>
    </row>
    <row r="23" customHeight="1" spans="1:16">
      <c r="A23" s="454" t="str" cm="1">
        <f t="array" ref="A23">IFERROR(INDEX($B$1:$B$257,SMALL(IF($B$3:$B$257&lt;&gt;"",ROW($B$3:$B$257),4^8),ROW(B24)))&amp;"","")</f>
        <v>擒抱者</v>
      </c>
      <c r="B23" s="464" t="s">
        <v>6683</v>
      </c>
      <c r="C23" s="465" t="s">
        <v>6684</v>
      </c>
      <c r="I23" s="480" t="s">
        <v>187</v>
      </c>
      <c r="K23" s="481" t="s">
        <v>6685</v>
      </c>
      <c r="L23" s="479" t="s">
        <v>624</v>
      </c>
      <c r="M23" s="487" t="s">
        <v>6642</v>
      </c>
      <c r="N23" s="451">
        <v>1</v>
      </c>
      <c r="O23" s="480" t="s">
        <v>6667</v>
      </c>
      <c r="P23" s="452" t="s">
        <v>6686</v>
      </c>
    </row>
    <row r="24" customHeight="1" spans="1:16">
      <c r="A24" s="454" t="str" cm="1">
        <f t="array" ref="A24">IFERROR(INDEX($B$1:$B$257,SMALL(IF($B$3:$B$257&lt;&gt;"",ROW($B$3:$B$257),4^8),ROW(B25)))&amp;"","")</f>
        <v>巨武器大师</v>
      </c>
      <c r="B24" s="464" t="s">
        <v>6687</v>
      </c>
      <c r="C24" s="465" t="s">
        <v>6688</v>
      </c>
      <c r="I24" s="480" t="s">
        <v>6587</v>
      </c>
      <c r="K24" s="481" t="s">
        <v>6689</v>
      </c>
      <c r="L24" s="479" t="s">
        <v>624</v>
      </c>
      <c r="M24" s="480" t="s">
        <v>6637</v>
      </c>
      <c r="N24" s="451">
        <v>2</v>
      </c>
      <c r="O24" s="480" t="s">
        <v>6663</v>
      </c>
      <c r="P24" s="452" t="s">
        <v>6690</v>
      </c>
    </row>
    <row r="25" customHeight="1" spans="1:16">
      <c r="A25" s="454" t="str" cm="1">
        <f t="array" ref="A25">IFERROR(INDEX($B$1:$B$257,SMALL(IF($B$3:$B$257&lt;&gt;"",ROW($B$3:$B$257),4^8),ROW(B26)))&amp;"","")</f>
        <v>重甲运用</v>
      </c>
      <c r="B25" s="464" t="s">
        <v>6691</v>
      </c>
      <c r="C25" s="465" t="s">
        <v>6692</v>
      </c>
      <c r="K25" s="481" t="s">
        <v>6693</v>
      </c>
      <c r="L25" s="479" t="s">
        <v>6694</v>
      </c>
      <c r="M25" s="451" t="s">
        <v>6579</v>
      </c>
      <c r="N25" s="451">
        <v>1</v>
      </c>
      <c r="O25" s="480" t="s">
        <v>6667</v>
      </c>
      <c r="P25" s="452" t="s">
        <v>6695</v>
      </c>
    </row>
    <row r="26" customHeight="1" spans="1:16">
      <c r="A26" s="454" t="str" cm="1">
        <f t="array" ref="A26">IFERROR(INDEX($B$1:$B$257,SMALL(IF($B$3:$B$257&lt;&gt;"",ROW($B$3:$B$257),4^8),ROW(B27)))&amp;"","")</f>
        <v>重甲大师</v>
      </c>
      <c r="B26" s="464" t="s">
        <v>6696</v>
      </c>
      <c r="C26" s="465" t="s">
        <v>6697</v>
      </c>
      <c r="K26" s="481" t="s">
        <v>6698</v>
      </c>
      <c r="L26" s="479" t="s">
        <v>624</v>
      </c>
      <c r="M26" s="451" t="s">
        <v>6579</v>
      </c>
      <c r="N26" s="451">
        <v>1</v>
      </c>
      <c r="O26" s="480" t="s">
        <v>187</v>
      </c>
      <c r="P26" s="452" t="s">
        <v>6699</v>
      </c>
    </row>
    <row r="27" customHeight="1" spans="1:16">
      <c r="A27" s="454" t="str" cm="1">
        <f t="array" ref="A27">IFERROR(INDEX($B$1:$B$257,SMALL(IF($B$3:$B$257&lt;&gt;"",ROW($B$3:$B$257),4^8),ROW(B28)))&amp;"","")</f>
        <v>领袖之证</v>
      </c>
      <c r="B27" s="464" t="s">
        <v>6700</v>
      </c>
      <c r="C27" s="465" t="s">
        <v>6701</v>
      </c>
      <c r="K27" s="481" t="s">
        <v>6702</v>
      </c>
      <c r="L27" s="452" t="s">
        <v>6606</v>
      </c>
      <c r="M27" s="487" t="s">
        <v>6642</v>
      </c>
      <c r="N27" s="451">
        <v>1</v>
      </c>
      <c r="O27" s="480" t="s">
        <v>6594</v>
      </c>
      <c r="P27" s="452" t="s">
        <v>6703</v>
      </c>
    </row>
    <row r="28" customHeight="1" spans="1:16">
      <c r="A28" s="454" t="str" cm="1">
        <f t="array" ref="A28">IFERROR(INDEX($B$1:$B$257,SMALL(IF($B$3:$B$257&lt;&gt;"",ROW($B$3:$B$257),4^8),ROW(B29)))&amp;"","")</f>
        <v>敏锐心灵</v>
      </c>
      <c r="B28" s="464" t="s">
        <v>6704</v>
      </c>
      <c r="C28" s="465" t="s">
        <v>6705</v>
      </c>
      <c r="K28" s="481" t="s">
        <v>6706</v>
      </c>
      <c r="L28" s="479" t="s">
        <v>6578</v>
      </c>
      <c r="M28" s="480" t="s">
        <v>6637</v>
      </c>
      <c r="N28" s="451">
        <v>1</v>
      </c>
      <c r="O28" s="480" t="s">
        <v>6667</v>
      </c>
      <c r="P28" s="452" t="s">
        <v>6707</v>
      </c>
    </row>
    <row r="29" customHeight="1" spans="1:16">
      <c r="A29" s="454" t="str" cm="1">
        <f t="array" ref="A29">IFERROR(INDEX($B$1:$B$257,SMALL(IF($B$3:$B$257&lt;&gt;"",ROW($B$3:$B$257),4^8),ROW(B30)))&amp;"","")</f>
        <v>轻甲运用</v>
      </c>
      <c r="B29" s="464" t="s">
        <v>6708</v>
      </c>
      <c r="C29" s="465" t="s">
        <v>6709</v>
      </c>
      <c r="K29" s="481" t="s">
        <v>6710</v>
      </c>
      <c r="L29" s="479" t="s">
        <v>6711</v>
      </c>
      <c r="M29" s="480" t="s">
        <v>6637</v>
      </c>
      <c r="N29" s="451">
        <v>1</v>
      </c>
      <c r="O29" s="480" t="s">
        <v>6663</v>
      </c>
      <c r="P29" s="452" t="s">
        <v>6712</v>
      </c>
    </row>
    <row r="30" customHeight="1" spans="1:16">
      <c r="A30" s="454" t="str" cm="1">
        <f t="array" ref="A30">IFERROR(INDEX($B$1:$B$257,SMALL(IF($B$3:$B$257&lt;&gt;"",ROW($B$3:$B$257),4^8),ROW(B31)))&amp;"","")</f>
        <v>巫师杀手</v>
      </c>
      <c r="B30" s="464" t="s">
        <v>6713</v>
      </c>
      <c r="C30" s="465" t="s">
        <v>6714</v>
      </c>
      <c r="K30" s="481" t="s">
        <v>6715</v>
      </c>
      <c r="L30" s="452" t="s">
        <v>6606</v>
      </c>
      <c r="M30" s="451" t="s">
        <v>6579</v>
      </c>
      <c r="N30" s="451">
        <v>4</v>
      </c>
      <c r="O30" s="480" t="s">
        <v>6667</v>
      </c>
      <c r="P30" s="452" t="s">
        <v>6716</v>
      </c>
    </row>
    <row r="31" customHeight="1" spans="1:16">
      <c r="A31" s="454" t="str" cm="1">
        <f t="array" ref="A31">IFERROR(INDEX($B$1:$B$257,SMALL(IF($B$3:$B$257&lt;&gt;"",ROW($B$3:$B$257),4^8),ROW(B32)))&amp;"","")</f>
        <v>军用武器训练</v>
      </c>
      <c r="B31" s="464" t="s">
        <v>6717</v>
      </c>
      <c r="C31" s="465" t="s">
        <v>6718</v>
      </c>
      <c r="K31" s="481" t="s">
        <v>6719</v>
      </c>
      <c r="L31" s="479" t="s">
        <v>6720</v>
      </c>
      <c r="M31" s="480" t="s">
        <v>6637</v>
      </c>
      <c r="N31" s="451" t="s">
        <v>6721</v>
      </c>
      <c r="O31" s="480" t="s">
        <v>6663</v>
      </c>
      <c r="P31" s="452" t="s">
        <v>6722</v>
      </c>
    </row>
    <row r="32" customHeight="1" spans="1:15">
      <c r="A32" s="454" t="str" cm="1">
        <f t="array" ref="A32">IFERROR(INDEX($B$1:$B$257,SMALL(IF($B$3:$B$257&lt;&gt;"",ROW($B$3:$B$257),4^8),ROW(B33)))&amp;"","")</f>
        <v>中甲大师</v>
      </c>
      <c r="B32" s="464" t="s">
        <v>6723</v>
      </c>
      <c r="C32" s="465" t="s">
        <v>6724</v>
      </c>
      <c r="K32" s="481"/>
      <c r="L32" s="479"/>
      <c r="O32" s="480"/>
    </row>
    <row r="33" customHeight="1" spans="1:15">
      <c r="A33" s="454" t="str" cm="1">
        <f t="array" ref="A33">IFERROR(INDEX($B$1:$B$257,SMALL(IF($B$3:$B$257&lt;&gt;"",ROW($B$3:$B$257),4^8),ROW(B34)))&amp;"","")</f>
        <v>中甲运用</v>
      </c>
      <c r="B33" s="464" t="s">
        <v>6725</v>
      </c>
      <c r="C33" s="465" t="s">
        <v>6726</v>
      </c>
      <c r="K33" s="481"/>
      <c r="L33" s="479"/>
      <c r="O33" s="480"/>
    </row>
    <row r="34" customHeight="1" spans="1:15">
      <c r="A34" s="454" t="str" cm="1">
        <f t="array" ref="A34">IFERROR(INDEX($B$1:$B$257,SMALL(IF($B$3:$B$257&lt;&gt;"",ROW($B$3:$B$257),4^8),ROW(B35)))&amp;"","")</f>
        <v>骑乘战斗</v>
      </c>
      <c r="B34" s="464" t="s">
        <v>6727</v>
      </c>
      <c r="C34" s="465" t="s">
        <v>6728</v>
      </c>
      <c r="K34" s="481"/>
      <c r="L34" s="479"/>
      <c r="O34" s="480"/>
    </row>
    <row r="35" customHeight="1" spans="1:3">
      <c r="A35" s="454" t="str" cm="1">
        <f t="array" ref="A35">IFERROR(INDEX($B$1:$B$257,SMALL(IF($B$3:$B$257&lt;&gt;"",ROW($B$3:$B$257),4^8),ROW(B36)))&amp;"","")</f>
        <v>观察力</v>
      </c>
      <c r="B35" s="464" t="s">
        <v>6729</v>
      </c>
      <c r="C35" s="465" t="s">
        <v>6730</v>
      </c>
    </row>
    <row r="36" customHeight="1" spans="1:3">
      <c r="A36" s="454" t="str" cm="1">
        <f t="array" ref="A36">IFERROR(INDEX($B$1:$B$257,SMALL(IF($B$3:$B$257&lt;&gt;"",ROW($B$3:$B$257),4^8),ROW(B37)))&amp;"","")</f>
        <v>穿刺者</v>
      </c>
      <c r="B36" s="464" t="s">
        <v>6731</v>
      </c>
      <c r="C36" s="465" t="s">
        <v>6732</v>
      </c>
    </row>
    <row r="37" customHeight="1" spans="1:3">
      <c r="A37" s="454" t="str" cm="1">
        <f t="array" ref="A37">IFERROR(INDEX($B$1:$B$257,SMALL(IF($B$3:$B$257&lt;&gt;"",ROW($B$3:$B$257),4^8),ROW(B38)))&amp;"","")</f>
        <v>毒师</v>
      </c>
      <c r="B37" s="464" t="s">
        <v>6733</v>
      </c>
      <c r="C37" s="465" t="s">
        <v>6734</v>
      </c>
    </row>
    <row r="38" customHeight="1" spans="1:3">
      <c r="A38" s="454" t="str" cm="1">
        <f t="array" ref="A38">IFERROR(INDEX($B$1:$B$257,SMALL(IF($B$3:$B$257&lt;&gt;"",ROW($B$3:$B$257),4^8),ROW(B39)))&amp;"","")</f>
        <v>长柄武器大师</v>
      </c>
      <c r="B38" s="464" t="s">
        <v>6735</v>
      </c>
      <c r="C38" s="465" t="s">
        <v>6736</v>
      </c>
    </row>
    <row r="39" customHeight="1" spans="1:3">
      <c r="A39" s="454" t="str" cm="1">
        <f t="array" ref="A39">IFERROR(INDEX($B$1:$B$257,SMALL(IF($B$3:$B$257&lt;&gt;"",ROW($B$3:$B$257),4^8),ROW(B40)))&amp;"","")</f>
        <v>强健身心</v>
      </c>
      <c r="B39" s="464" t="s">
        <v>6737</v>
      </c>
      <c r="C39" s="465" t="s">
        <v>6738</v>
      </c>
    </row>
    <row r="40" customHeight="1" spans="1:3">
      <c r="A40" s="454" t="str" cm="1">
        <f t="array" ref="A40">IFERROR(INDEX($B$1:$B$257,SMALL(IF($B$3:$B$257&lt;&gt;"",ROW($B$3:$B$257),4^8),ROW(B41)))&amp;"","")</f>
        <v>仪式施法者</v>
      </c>
      <c r="B40" s="464" t="s">
        <v>6739</v>
      </c>
      <c r="C40" s="465" t="s">
        <v>6740</v>
      </c>
    </row>
    <row r="41" customHeight="1" spans="1:3">
      <c r="A41" s="454" t="str" cm="1">
        <f t="array" ref="A41">IFERROR(INDEX($B$1:$B$257,SMALL(IF($B$3:$B$257&lt;&gt;"",ROW($B$3:$B$257),4^8),ROW(B42)))&amp;"","")</f>
        <v>哨兵</v>
      </c>
      <c r="B41" s="464" t="s">
        <v>6741</v>
      </c>
      <c r="C41" s="465" t="s">
        <v>6742</v>
      </c>
    </row>
    <row r="42" customHeight="1" spans="1:3">
      <c r="A42" s="454" t="str" cm="1">
        <f t="array" ref="A42">IFERROR(INDEX($B$1:$B$257,SMALL(IF($B$3:$B$257&lt;&gt;"",ROW($B$3:$B$257),4^8),ROW(B43)))&amp;"","")</f>
        <v>影界触碰</v>
      </c>
      <c r="B42" s="464" t="s">
        <v>6743</v>
      </c>
      <c r="C42" s="465" t="s">
        <v>6744</v>
      </c>
    </row>
    <row r="43" customHeight="1" spans="1:3">
      <c r="A43" s="454" t="str" cm="1">
        <f t="array" ref="A43">IFERROR(INDEX($B$1:$B$257,SMALL(IF($B$3:$B$257&lt;&gt;"",ROW($B$3:$B$257),4^8),ROW(B44)))&amp;"","")</f>
        <v>神射手</v>
      </c>
      <c r="B43" s="464" t="s">
        <v>6745</v>
      </c>
      <c r="C43" s="465" t="s">
        <v>6746</v>
      </c>
    </row>
    <row r="44" customHeight="1" spans="1:3">
      <c r="A44" s="454" t="str" cm="1">
        <f t="array" ref="A44">IFERROR(INDEX($B$1:$B$257,SMALL(IF($B$3:$B$257&lt;&gt;"",ROW($B$3:$B$257),4^8),ROW(B45)))&amp;"","")</f>
        <v>盾牌大师</v>
      </c>
      <c r="B44" s="464" t="s">
        <v>6747</v>
      </c>
      <c r="C44" s="465" t="s">
        <v>6748</v>
      </c>
    </row>
    <row r="45" customHeight="1" spans="1:3">
      <c r="A45" s="454" t="str" cm="1">
        <f t="array" ref="A45">IFERROR(INDEX($B$1:$B$257,SMALL(IF($B$3:$B$257&lt;&gt;"",ROW($B$3:$B$257),4^8),ROW(B46)))&amp;"","")</f>
        <v>技艺专家</v>
      </c>
      <c r="B45" s="464" t="s">
        <v>6749</v>
      </c>
      <c r="C45" s="465" t="s">
        <v>6750</v>
      </c>
    </row>
    <row r="46" customHeight="1" spans="1:3">
      <c r="A46" s="454" t="str" cm="1">
        <f t="array" ref="A46">IFERROR(INDEX($B$1:$B$257,SMALL(IF($B$3:$B$257&lt;&gt;"",ROW($B$3:$B$257),4^8),ROW(B47)))&amp;"","")</f>
        <v>隐伏者</v>
      </c>
      <c r="B46" s="464" t="s">
        <v>6751</v>
      </c>
      <c r="C46" s="465" t="s">
        <v>6752</v>
      </c>
    </row>
    <row r="47" customHeight="1" spans="1:3">
      <c r="A47" s="454" t="str" cm="1">
        <f t="array" ref="A47">IFERROR(INDEX($B$1:$B$257,SMALL(IF($B$3:$B$257&lt;&gt;"",ROW($B$3:$B$257),4^8),ROW(B48)))&amp;"","")</f>
        <v>劈砍者</v>
      </c>
      <c r="B47" s="464" t="s">
        <v>6753</v>
      </c>
      <c r="C47" s="465" t="s">
        <v>6754</v>
      </c>
    </row>
    <row r="48" customHeight="1" spans="1:3">
      <c r="A48" s="454" t="str" cm="1">
        <f t="array" ref="A48">IFERROR(INDEX($B$1:$B$257,SMALL(IF($B$3:$B$257&lt;&gt;"",ROW($B$3:$B$257),4^8),ROW(B49)))&amp;"","")</f>
        <v>飙速跑者</v>
      </c>
      <c r="B48" s="464" t="s">
        <v>6755</v>
      </c>
      <c r="C48" s="465" t="s">
        <v>6756</v>
      </c>
    </row>
    <row r="49" customHeight="1" spans="1:3">
      <c r="A49" s="454" t="str" cm="1">
        <f t="array" ref="A49">IFERROR(INDEX($B$1:$B$257,SMALL(IF($B$3:$B$257&lt;&gt;"",ROW($B$3:$B$257),4^8),ROW(B50)))&amp;"","")</f>
        <v>法术射手</v>
      </c>
      <c r="B49" s="464" t="s">
        <v>6757</v>
      </c>
      <c r="C49" s="465" t="s">
        <v>6758</v>
      </c>
    </row>
    <row r="50" customHeight="1" spans="1:3">
      <c r="A50" s="454" t="str" cm="1">
        <f t="array" ref="A50">IFERROR(INDEX($B$1:$B$257,SMALL(IF($B$3:$B$257&lt;&gt;"",ROW($B$3:$B$257),4^8),ROW(B51)))&amp;"","")</f>
        <v>念动力</v>
      </c>
      <c r="B50" s="464" t="s">
        <v>6759</v>
      </c>
      <c r="C50" s="465" t="s">
        <v>6760</v>
      </c>
    </row>
    <row r="51" customHeight="1" spans="1:3">
      <c r="A51" s="454" t="str" cm="1">
        <f t="array" ref="A51">IFERROR(INDEX($B$1:$B$257,SMALL(IF($B$3:$B$257&lt;&gt;"",ROW($B$3:$B$257),4^8),ROW(B52)))&amp;"","")</f>
        <v>心灵感应</v>
      </c>
      <c r="B51" s="464" t="s">
        <v>6761</v>
      </c>
      <c r="C51" s="465" t="s">
        <v>6762</v>
      </c>
    </row>
    <row r="52" customHeight="1" spans="1:3">
      <c r="A52" s="454" t="str" cm="1">
        <f t="array" ref="A52">IFERROR(INDEX($B$1:$B$257,SMALL(IF($B$3:$B$257&lt;&gt;"",ROW($B$3:$B$257),4^8),ROW(B53)))&amp;"","")</f>
        <v>战地施法者</v>
      </c>
      <c r="B52" s="464" t="s">
        <v>6763</v>
      </c>
      <c r="C52" s="465" t="s">
        <v>6764</v>
      </c>
    </row>
    <row r="53" customHeight="1" spans="1:3">
      <c r="A53" s="454" t="str" cm="1">
        <f t="array" ref="A53">IFERROR(INDEX($B$1:$B$257,SMALL(IF($B$3:$B$257&lt;&gt;"",ROW($B$3:$B$257),4^8),ROW(B54)))&amp;"","")</f>
        <v>武器大师</v>
      </c>
      <c r="B53" s="464" t="s">
        <v>6765</v>
      </c>
      <c r="C53" s="465" t="s">
        <v>6766</v>
      </c>
    </row>
    <row r="54" customHeight="1" spans="1:3">
      <c r="A54" s="454" t="str" cm="1">
        <f t="array" ref="A54">IFERROR(INDEX($B$1:$B$257,SMALL(IF($B$3:$B$257&lt;&gt;"",ROW($B$3:$B$257),4^8),ROW(B55)))&amp;"","")</f>
        <v>奇械学徒</v>
      </c>
      <c r="B54" s="464" t="s">
        <v>6423</v>
      </c>
      <c r="C54" s="465" t="s">
        <v>6767</v>
      </c>
    </row>
    <row r="55" customHeight="1" spans="1:3">
      <c r="A55" s="454" t="str" cm="1">
        <f t="array" ref="A55">IFERROR(INDEX($B$1:$B$257,SMALL(IF($B$3:$B$257&lt;&gt;"",ROW($B$3:$B$257),4^8),ROW(B56)))&amp;"","")</f>
        <v>魔能导师</v>
      </c>
      <c r="B55" s="464" t="s">
        <v>6768</v>
      </c>
      <c r="C55" s="465" t="s">
        <v>6769</v>
      </c>
    </row>
    <row r="56" customHeight="1" spans="1:3">
      <c r="A56" s="454" t="str" cm="1">
        <f t="array" ref="A56">IFERROR(INDEX($B$1:$B$257,SMALL(IF($B$3:$B$257&lt;&gt;"",ROW($B$3:$B$257),4^8),ROW(B57)))&amp;"","")</f>
        <v>战斗学徒</v>
      </c>
      <c r="B56" s="470" t="s">
        <v>6770</v>
      </c>
      <c r="C56" s="471" t="s">
        <v>6771</v>
      </c>
    </row>
    <row r="57" customHeight="1" spans="1:3">
      <c r="A57" s="454" t="str" cm="1">
        <f t="array" ref="A57">IFERROR(INDEX($B$1:$B$257,SMALL(IF($B$3:$B$257&lt;&gt;"",ROW($B$3:$B$257),4^8),ROW(B58)))&amp;"","")</f>
        <v>枪手</v>
      </c>
      <c r="B57" s="472" t="str">
        <f>IF(主要!$CD$4="O","奇械学徒","")</f>
        <v>奇械学徒</v>
      </c>
      <c r="C57" s="473" t="s">
        <v>6772</v>
      </c>
    </row>
    <row r="58" customHeight="1" spans="1:3">
      <c r="A58" s="454" t="str" cm="1">
        <f t="array" ref="A58">IFERROR(INDEX($B$1:$B$257,SMALL(IF($B$3:$B$257&lt;&gt;"",ROW($B$3:$B$257),4^8),ROW(B59)))&amp;"","")</f>
        <v>超魔法导师</v>
      </c>
      <c r="B58" s="472" t="str">
        <f>IF(主要!$CD$4="O","魔能导师","")</f>
        <v>魔能导师</v>
      </c>
      <c r="C58" s="473" t="s">
        <v>6773</v>
      </c>
    </row>
    <row r="59" customHeight="1" spans="1:3">
      <c r="A59" s="454" t="str" cm="1">
        <f t="array" ref="A59">IFERROR(INDEX($B$1:$B$257,SMALL(IF($B$3:$B$257&lt;&gt;"",ROW($B$3:$B$257),4^8),ROW(B60)))&amp;"","")</f>
        <v>斯翠海文学徒</v>
      </c>
      <c r="B59" s="472" t="str">
        <f>IF(主要!$CD$4="O","战斗学徒","")</f>
        <v>战斗学徒</v>
      </c>
      <c r="C59" s="473" t="s">
        <v>6774</v>
      </c>
    </row>
    <row r="60" customHeight="1" spans="1:3">
      <c r="A60" s="454" t="str" cm="1">
        <f t="array" ref="A60">IFERROR(INDEX($B$1:$B$257,SMALL(IF($B$3:$B$257&lt;&gt;"",ROW($B$3:$B$257),4^8),ROW(B61)))&amp;"","")</f>
        <v>斯翠海文苑像</v>
      </c>
      <c r="B60" s="472" t="str">
        <f>IF(主要!$CD$4="O","枪手","")</f>
        <v>枪手</v>
      </c>
      <c r="C60" s="473" t="s">
        <v>6775</v>
      </c>
    </row>
    <row r="61" customHeight="1" spans="1:3">
      <c r="A61" s="454" t="str" cm="1">
        <f t="array" ref="A61">IFERROR(INDEX($B$1:$B$257,SMALL(IF($B$3:$B$257&lt;&gt;"",ROW($B$3:$B$257),4^8),ROW(B62)))&amp;"","")</f>
        <v>色彩龙赋礼</v>
      </c>
      <c r="B61" s="474" t="str">
        <f>IF(主要!$CD$4="O","超魔法导师","")</f>
        <v>超魔法导师</v>
      </c>
      <c r="C61" s="475" t="s">
        <v>6776</v>
      </c>
    </row>
    <row r="62" customHeight="1" spans="1:3">
      <c r="A62" s="454" t="str" cm="1">
        <f t="array" ref="A62">IFERROR(INDEX($B$1:$B$257,SMALL(IF($B$3:$B$257&lt;&gt;"",ROW($B$3:$B$257),4^8),ROW(B63)))&amp;"","")</f>
        <v>宝石龙赋礼</v>
      </c>
      <c r="B62" s="476" t="str">
        <f>IF(职业!$AT$6&gt;=19,"英勇战斗之恩惠","")</f>
        <v/>
      </c>
      <c r="C62" s="477" t="s">
        <v>6777</v>
      </c>
    </row>
    <row r="63" customHeight="1" spans="1:3">
      <c r="A63" s="454" t="str" cm="1">
        <f t="array" ref="A63">IFERROR(INDEX($B$1:$B$257,SMALL(IF($B$3:$B$257&lt;&gt;"",ROW($B$3:$B$257),4^8),ROW(B64)))&amp;"","")</f>
        <v>金属龙赋礼</v>
      </c>
      <c r="B63" s="476" t="str">
        <f>IF(职业!$AT$6&gt;=19,"次元旅行之恩惠","")</f>
        <v/>
      </c>
      <c r="C63" s="477" t="s">
        <v>6778</v>
      </c>
    </row>
    <row r="64" customHeight="1" spans="1:3">
      <c r="A64" s="454" t="str" cm="1">
        <f t="array" ref="A64">IFERROR(INDEX($B$1:$B$257,SMALL(IF($B$3:$B$257&lt;&gt;"",ROW($B$3:$B$257),4^8),ROW(B65)))&amp;"","")</f>
        <v>符文塑形者</v>
      </c>
      <c r="B64" s="476" t="str">
        <f>IF(职业!$AT$6&gt;=19,"能量抗性之恩惠","")</f>
        <v/>
      </c>
      <c r="C64" s="477" t="s">
        <v>6779</v>
      </c>
    </row>
    <row r="65" customHeight="1" spans="1:3">
      <c r="A65" s="454" t="str" cm="1">
        <f t="array" ref="A65">IFERROR(INDEX($B$1:$B$257,SMALL(IF($B$3:$B$257&lt;&gt;"",ROW($B$3:$B$257),4^8),ROW(B66)))&amp;"","")</f>
        <v>巨人打击</v>
      </c>
      <c r="B65" s="488" t="str">
        <f>IF(职业!$AT$6&gt;=19,"扭曲命运之恩惠","")</f>
        <v/>
      </c>
      <c r="C65" s="477" t="s">
        <v>6780</v>
      </c>
    </row>
    <row r="66" customHeight="1" spans="1:3">
      <c r="A66" s="454" t="str" cm="1">
        <f t="array" ref="A66">IFERROR(INDEX($B$1:$B$257,SMALL(IF($B$3:$B$257&lt;&gt;"",ROW($B$3:$B$257),4^8),ROW(B67)))&amp;"","")</f>
        <v>火巨人之余烬</v>
      </c>
      <c r="B66" s="476" t="str">
        <f>IF(职业!$AT$6&gt;=19,"超凡强韧之恩惠","")</f>
        <v/>
      </c>
      <c r="C66" s="477" t="s">
        <v>6781</v>
      </c>
    </row>
    <row r="67" customHeight="1" spans="1:3">
      <c r="A67" s="454" t="str" cm="1">
        <f t="array" ref="A67">IFERROR(INDEX($B$1:$B$257,SMALL(IF($B$3:$B$257&lt;&gt;"",ROW($B$3:$B$257),4^8),ROW(B68)))&amp;"","")</f>
        <v>霜巨人之狂怒</v>
      </c>
      <c r="B67" s="476" t="str">
        <f>IF(职业!$AT$6&gt;=19,"无敌攻势之恩惠","")</f>
        <v/>
      </c>
      <c r="C67" s="477" t="s">
        <v>6782</v>
      </c>
    </row>
    <row r="68" customHeight="1" spans="1:3">
      <c r="A68" s="454" t="str" cm="1">
        <f t="array" ref="A68">IFERROR(INDEX($B$1:$B$257,SMALL(IF($B$3:$B$257&lt;&gt;"",ROW($B$3:$B$257),4^8),ROW(B69)))&amp;"","")</f>
        <v>云巨人之诡诈</v>
      </c>
      <c r="B68" s="476" t="str">
        <f>IF(职业!$AT$6&gt;=19,"强力恢复之恩惠","")</f>
        <v/>
      </c>
      <c r="C68" s="477" t="s">
        <v>6783</v>
      </c>
    </row>
    <row r="69" customHeight="1" spans="1:3">
      <c r="A69" s="454" t="str" cm="1">
        <f t="array" ref="A69">IFERROR(INDEX($B$1:$B$257,SMALL(IF($B$3:$B$257&lt;&gt;"",ROW($B$3:$B$257),4^8),ROW(B70)))&amp;"","")</f>
        <v>石巨人之敏锐</v>
      </c>
      <c r="B69" s="476" t="str">
        <f>IF(职业!$AT$6&gt;=19,"博学多才之恩惠","")</f>
        <v/>
      </c>
      <c r="C69" s="477" t="s">
        <v>6784</v>
      </c>
    </row>
    <row r="70" customHeight="1" spans="1:3">
      <c r="A70" s="454" t="str" cm="1">
        <f t="array" ref="A70">IFERROR(INDEX($B$1:$B$257,SMALL(IF($B$3:$B$257&lt;&gt;"",ROW($B$3:$B$257),4^8),ROW(B71)))&amp;"","")</f>
        <v>风暴巨人之灵魂</v>
      </c>
      <c r="B70" s="476" t="str">
        <f>IF(职业!$AT$6&gt;=19,"神行无拘之恩惠","")</f>
        <v/>
      </c>
      <c r="C70" s="477" t="s">
        <v>6785</v>
      </c>
    </row>
    <row r="71" customHeight="1" spans="1:3">
      <c r="A71" s="454" t="str" cm="1">
        <f t="array" ref="A71">IFERROR(INDEX($B$1:$B$257,SMALL(IF($B$3:$B$257&lt;&gt;"",ROW($B$3:$B$257),4^8),ROW(B72)))&amp;"","")</f>
        <v>山丘巨人之健强</v>
      </c>
      <c r="B71" s="476" t="str">
        <f>IF(职业!$AT$6&gt;=19,"法术溯回之恩惠","")</f>
        <v/>
      </c>
      <c r="C71" s="477" t="s">
        <v>6786</v>
      </c>
    </row>
    <row r="72" customHeight="1" spans="1:3">
      <c r="A72" s="454" t="str" cm="1">
        <f t="array" ref="A72">IFERROR(INDEX($B$1:$B$257,SMALL(IF($B$3:$B$257&lt;&gt;"",ROW($B$3:$B$257),4^8),ROW(B73)))&amp;"","")</f>
        <v>卡牌占卜师</v>
      </c>
      <c r="B72" s="476" t="str">
        <f>IF(职业!$AT$6&gt;=19,"暗夜精魂之恩惠","")</f>
        <v/>
      </c>
      <c r="C72" s="477" t="s">
        <v>6787</v>
      </c>
    </row>
    <row r="73" customHeight="1" spans="1:3">
      <c r="A73" s="454" t="str" cm="1">
        <f t="array" ref="A73">IFERROR(INDEX($B$1:$B$257,SMALL(IF($B$3:$B$257&lt;&gt;"",ROW($B$3:$B$257),4^8),ROW(B74)))&amp;"","")</f>
        <v>异种龙纹</v>
      </c>
      <c r="B73" s="489" t="str">
        <f>IF(职业!$AT$6&gt;=19,"真实视觉之恩惠","")</f>
        <v/>
      </c>
      <c r="C73" s="490" t="s">
        <v>6788</v>
      </c>
    </row>
    <row r="74" customHeight="1" spans="1:3">
      <c r="A74" s="454" t="str" cm="1">
        <f t="array" ref="A74">IFERROR(INDEX($B$1:$B$257,SMALL(IF($B$3:$B$257&lt;&gt;"",ROW($B$3:$B$257),4^8),ROW(B75)))&amp;"","")</f>
        <v>英魂之刃</v>
      </c>
      <c r="B74" s="472" t="str">
        <f>IF(主要!$CD$20="O","斯翠海文学徒","")</f>
        <v>斯翠海文学徒</v>
      </c>
      <c r="C74" s="473" t="s">
        <v>6789</v>
      </c>
    </row>
    <row r="75" customHeight="1" spans="1:3">
      <c r="A75" s="454" t="str" cm="1">
        <f t="array" ref="A75">IFERROR(INDEX($B$1:$B$257,SMALL(IF($B$3:$B$257&lt;&gt;"",ROW($B$3:$B$257),4^8),ROW(B76)))&amp;"","")</f>
        <v>慷慨吉运</v>
      </c>
      <c r="B75" s="474" t="str">
        <f>IF(主要!$CD$20="O","斯翠海文苑像","")</f>
        <v>斯翠海文苑像</v>
      </c>
      <c r="C75" s="475" t="s">
        <v>6790</v>
      </c>
    </row>
    <row r="76" customHeight="1" spans="1:3">
      <c r="A76" s="454" t="str" cm="1">
        <f t="array" ref="A76">IFERROR(INDEX($B$1:$B$257,SMALL(IF($B$3:$B$257&lt;&gt;"",ROW($B$3:$B$257),4^8),ROW(B77)))&amp;"","")</f>
        <v>龙之威怖</v>
      </c>
      <c r="B76" s="472" t="str">
        <f>IF(主要!$CD$20="O","色彩龙赋礼","")</f>
        <v>色彩龙赋礼</v>
      </c>
      <c r="C76" s="473" t="s">
        <v>6791</v>
      </c>
    </row>
    <row r="77" customHeight="1" spans="1:3">
      <c r="A77" s="454" t="str" cm="1">
        <f t="array" ref="A77">IFERROR(INDEX($B$1:$B$257,SMALL(IF($B$3:$B$257&lt;&gt;"",ROW($B$3:$B$257),4^8),ROW(B78)))&amp;"","")</f>
        <v>龙之鳞爪</v>
      </c>
      <c r="B77" s="472" t="str">
        <f>IF(主要!$CD$20="O","宝石龙赋礼","")</f>
        <v>宝石龙赋礼</v>
      </c>
      <c r="C77" s="473" t="s">
        <v>6792</v>
      </c>
    </row>
    <row r="78" customHeight="1" spans="1:3">
      <c r="A78" s="454" t="str" cm="1">
        <f t="array" ref="A78">IFERROR(INDEX($B$1:$B$257,SMALL(IF($B$3:$B$257&lt;&gt;"",ROW($B$3:$B$257),4^8),ROW(B79)))&amp;"","")</f>
        <v>高等卓尔魔法</v>
      </c>
      <c r="B78" s="474" t="str">
        <f>IF(主要!$CD$20="O","金属龙赋礼","")</f>
        <v>金属龙赋礼</v>
      </c>
      <c r="C78" s="475" t="s">
        <v>6793</v>
      </c>
    </row>
    <row r="79" customHeight="1" spans="1:3">
      <c r="A79" s="454" t="str" cm="1">
        <f t="array" ref="A79">IFERROR(INDEX($B$1:$B$257,SMALL(IF($B$3:$B$257&lt;&gt;"",ROW($B$3:$B$257),4^8),ROW(B80)))&amp;"","")</f>
        <v>矮人坚毅</v>
      </c>
      <c r="B79" s="472" t="str">
        <f>IF(主要!$CD$21="O","符文塑形者","")</f>
        <v>符文塑形者</v>
      </c>
      <c r="C79" s="473" t="s">
        <v>6794</v>
      </c>
    </row>
    <row r="80" customHeight="1" spans="1:3">
      <c r="A80" s="454" t="str" cm="1">
        <f t="array" ref="A80">IFERROR(INDEX($B$1:$B$257,SMALL(IF($B$3:$B$257&lt;&gt;"",ROW($B$3:$B$257),4^8),ROW(B81)))&amp;"","")</f>
        <v>精灵之准</v>
      </c>
      <c r="B80" s="472" t="str">
        <f>IF(主要!$CD$21="O","巨人打击","")</f>
        <v>巨人打击</v>
      </c>
      <c r="C80" s="473" t="s">
        <v>6795</v>
      </c>
    </row>
    <row r="81" customHeight="1" spans="1:3">
      <c r="A81" s="454" t="str" cm="1">
        <f t="array" ref="A81">IFERROR(INDEX($B$1:$B$257,SMALL(IF($B$3:$B$257&lt;&gt;"",ROW($B$3:$B$257),4^8),ROW(B82)))&amp;"","")</f>
        <v>匿影无踪</v>
      </c>
      <c r="B81" s="472" t="str">
        <f>IF(主要!$CD$21="O","火巨人之余烬","")</f>
        <v>火巨人之余烬</v>
      </c>
      <c r="C81" s="473" t="s">
        <v>6796</v>
      </c>
    </row>
    <row r="82" customHeight="1" spans="1:3">
      <c r="A82" s="454" t="str" cm="1">
        <f t="array" ref="A82">IFERROR(INDEX($B$1:$B$257,SMALL(IF($B$3:$B$257&lt;&gt;"",ROW($B$3:$B$257),4^8),ROW(B83)))&amp;"","")</f>
        <v>妖精传送</v>
      </c>
      <c r="B82" s="472" t="str">
        <f>IF(主要!$CD$21="O","霜巨人之狂怒","")</f>
        <v>霜巨人之狂怒</v>
      </c>
      <c r="C82" s="473" t="s">
        <v>6797</v>
      </c>
    </row>
    <row r="83" customHeight="1" spans="1:3">
      <c r="A83" s="454" t="str" cm="1">
        <f t="array" ref="A83">IFERROR(INDEX($B$1:$B$257,SMALL(IF($B$3:$B$257&lt;&gt;"",ROW($B$3:$B$257),4^8),ROW(B84)))&amp;"","")</f>
        <v>弗莱格索斯之焰</v>
      </c>
      <c r="B83" s="472" t="str">
        <f>IF(主要!$CD$21="O","云巨人之诡诈","")</f>
        <v>云巨人之诡诈</v>
      </c>
      <c r="C83" s="473" t="s">
        <v>6798</v>
      </c>
    </row>
    <row r="84" customHeight="1" spans="1:3">
      <c r="A84" s="454" t="str" cm="1">
        <f t="array" ref="A84">IFERROR(INDEX($B$1:$B$257,SMALL(IF($B$3:$B$257&lt;&gt;"",ROW($B$3:$B$257),4^8),ROW(B85)))&amp;"","")</f>
        <v>炼狱体质</v>
      </c>
      <c r="B84" s="472" t="str">
        <f>IF(主要!$CD$21="O","石巨人之敏锐","")</f>
        <v>石巨人之敏锐</v>
      </c>
      <c r="C84" s="473" t="s">
        <v>6799</v>
      </c>
    </row>
    <row r="85" customHeight="1" spans="1:3">
      <c r="A85" s="454" t="str" cm="1">
        <f t="array" ref="A85">IFERROR(INDEX($B$1:$B$257,SMALL(IF($B$3:$B$257&lt;&gt;"",ROW($B$3:$B$257),4^8),ROW(B86)))&amp;"","")</f>
        <v>兽人狂怒</v>
      </c>
      <c r="B85" s="472" t="str">
        <f>IF(主要!$CD$21="O","风暴巨人之灵魂","")</f>
        <v>风暴巨人之灵魂</v>
      </c>
      <c r="C85" s="473" t="s">
        <v>6800</v>
      </c>
    </row>
    <row r="86" customHeight="1" spans="1:3">
      <c r="A86" s="454" t="str" cm="1">
        <f t="array" ref="A86">IFERROR(INDEX($B$1:$B$257,SMALL(IF($B$3:$B$257&lt;&gt;"",ROW($B$3:$B$257),4^8),ROW(B87)))&amp;"","")</f>
        <v>天赋异禀</v>
      </c>
      <c r="B86" s="474" t="str">
        <f>IF(主要!$CD$21="O","山丘巨人之健强","")</f>
        <v>山丘巨人之健强</v>
      </c>
      <c r="C86" s="475" t="s">
        <v>6801</v>
      </c>
    </row>
    <row r="87" customHeight="1" spans="1:3">
      <c r="A87" s="454" t="str" cm="1">
        <f t="array" ref="A87">IFERROR(INDEX($B$1:$B$257,SMALL(IF($B$3:$B$257&lt;&gt;"",ROW($B$3:$B$257),4^8),ROW(B88)))&amp;"","")</f>
        <v>花开二度</v>
      </c>
      <c r="B87" s="474" t="str">
        <f>IF(主要!$CD$8="O","卡牌占卜师","")</f>
        <v>卡牌占卜师</v>
      </c>
      <c r="C87" s="475" t="s">
        <v>6802</v>
      </c>
    </row>
    <row r="88" customHeight="1" spans="1:3">
      <c r="A88" s="454" t="str" cm="1">
        <f t="array" ref="A88">IFERROR(INDEX($B$1:$B$257,SMALL(IF($B$3:$B$257&lt;&gt;"",ROW($B$3:$B$257),4^8),ROW(B89)))&amp;"","")</f>
        <v>低身机敏</v>
      </c>
      <c r="B88" s="472" t="str">
        <f>IF(主要!$CD$16="O","异种龙纹","")</f>
        <v>异种龙纹</v>
      </c>
      <c r="C88" s="473" t="s">
        <v>6803</v>
      </c>
    </row>
    <row r="89" customHeight="1" spans="1:3">
      <c r="A89" s="454" t="str" cm="1">
        <f t="array" ref="A89">IFERROR(INDEX($B$1:$B$257,SMALL(IF($B$3:$B$257&lt;&gt;"",ROW($B$3:$B$257),4^8),ROW(B90)))&amp;"","")</f>
        <v>木精灵魔法</v>
      </c>
      <c r="B89" s="474" t="str">
        <f>IF(主要!$CD$16="O","英魂之刃","")</f>
        <v>英魂之刃</v>
      </c>
      <c r="C89" s="475" t="s">
        <v>6804</v>
      </c>
    </row>
    <row r="90" customHeight="1" spans="1:3">
      <c r="A90" s="454" t="str" cm="1">
        <f t="array" ref="A90">IFERROR(INDEX($B$1:$B$257,SMALL(IF($B$3:$B$257&lt;&gt;"",ROW($B$3:$B$257),4^8),ROW(B91)))&amp;"","")</f>
        <v>外层位面后裔</v>
      </c>
      <c r="B90" s="472" t="str">
        <f>IF(主要!$CD$3="O","慷慨吉运","")</f>
        <v>慷慨吉运</v>
      </c>
      <c r="C90" s="473" t="s">
        <v>6805</v>
      </c>
    </row>
    <row r="91" customHeight="1" spans="1:3">
      <c r="A91" s="454" t="str" cm="1">
        <f t="array" ref="A91">IFERROR(INDEX($B$1:$B$257,SMALL(IF($B$3:$B$257&lt;&gt;"",ROW($B$3:$B$257),4^8),ROW(B92)))&amp;"","")</f>
        <v>混乱与共者</v>
      </c>
      <c r="B91" s="472" t="str">
        <f>IF(主要!$CD$3="O","龙之威怖","")</f>
        <v>龙之威怖</v>
      </c>
      <c r="C91" s="473" t="s">
        <v>6806</v>
      </c>
    </row>
    <row r="92" customHeight="1" spans="1:3">
      <c r="A92" s="454" t="str" cm="1">
        <f t="array" ref="A92">IFERROR(INDEX($B$1:$B$257,SMALL(IF($B$3:$B$257&lt;&gt;"",ROW($B$3:$B$257),4^8),ROW(B93)))&amp;"","")</f>
        <v>恶意后继者</v>
      </c>
      <c r="B92" s="472" t="str">
        <f>IF(主要!$CD$3="O","龙之鳞爪","")</f>
        <v>龙之鳞爪</v>
      </c>
      <c r="C92" s="473" t="s">
        <v>6807</v>
      </c>
    </row>
    <row r="93" customHeight="1" spans="1:3">
      <c r="A93" s="454" t="str" cm="1">
        <f t="array" ref="A93">IFERROR(INDEX($B$1:$B$257,SMALL(IF($B$3:$B$257&lt;&gt;"",ROW($B$3:$B$257),4^8),ROW(B94)))&amp;"","")</f>
        <v>公义传承者</v>
      </c>
      <c r="B93" s="472" t="str">
        <f>IF(主要!$CD$3="O","高等卓尔魔法","")</f>
        <v>高等卓尔魔法</v>
      </c>
      <c r="C93" s="473" t="s">
        <v>6808</v>
      </c>
    </row>
    <row r="94" customHeight="1" spans="1:3">
      <c r="A94" s="454" t="str" cm="1">
        <f t="array" ref="A94">IFERROR(INDEX($B$1:$B$257,SMALL(IF($B$3:$B$257&lt;&gt;"",ROW($B$3:$B$257),4^8),ROW(B95)))&amp;"","")</f>
        <v>秩序代行者</v>
      </c>
      <c r="B94" s="472" t="str">
        <f>IF(主要!$CD$3="O","矮人坚毅","")</f>
        <v>矮人坚毅</v>
      </c>
      <c r="C94" s="473" t="s">
        <v>6809</v>
      </c>
    </row>
    <row r="95" customHeight="1" spans="1:3">
      <c r="A95" s="454" t="str" cm="1">
        <f t="array" ref="A95">IFERROR(INDEX($B$1:$B$257,SMALL(IF($B$3:$B$257&lt;&gt;"",ROW($B$3:$B$257),4^8),ROW(B96)))&amp;"","")</f>
        <v>外域使节</v>
      </c>
      <c r="B95" s="472" t="str">
        <f>IF(主要!$CD$3="O","精灵之准","")</f>
        <v>精灵之准</v>
      </c>
      <c r="C95" s="473" t="s">
        <v>6810</v>
      </c>
    </row>
    <row r="96" customHeight="1" spans="1:3">
      <c r="A96" s="454" t="str" cm="1">
        <f t="array" ref="A96">IFERROR(INDEX($B$1:$B$257,SMALL(IF($B$3:$B$257&lt;&gt;"",ROW($B$3:$B$257),4^8),ROW(B97)))&amp;"","")</f>
        <v>位面漫游者</v>
      </c>
      <c r="B96" s="472" t="str">
        <f>IF(主要!$CD$3="O","匿影无踪","")</f>
        <v>匿影无踪</v>
      </c>
      <c r="C96" s="473" t="s">
        <v>6811</v>
      </c>
    </row>
    <row r="97" customHeight="1" spans="1:3">
      <c r="A97" s="454" t="str" cm="1">
        <f t="array" ref="A97">IFERROR(INDEX($B$1:$B$257,SMALL(IF($B$3:$B$257&lt;&gt;"",ROW($B$3:$B$257),4^8),ROW(B98)))&amp;"","")</f>
        <v>我曾斗战而归</v>
      </c>
      <c r="B97" s="472" t="str">
        <f>IF(主要!$CD$3="O","妖精传送","")</f>
        <v>妖精传送</v>
      </c>
      <c r="C97" s="473" t="s">
        <v>6812</v>
      </c>
    </row>
    <row r="98" customHeight="1" spans="1:3">
      <c r="A98" s="454" t="str" cm="1">
        <f t="array" ref="A98">IFERROR(INDEX($B$1:$B$257,SMALL(IF($B$3:$B$257&lt;&gt;"",ROW($B$3:$B$257),4^8),ROW(B99)))&amp;"","")</f>
        <v>我曾躲过惧怖</v>
      </c>
      <c r="B98" s="472" t="str">
        <f>IF(主要!$CD$3="O","弗莱格索斯之焰","")</f>
        <v>弗莱格索斯之焰</v>
      </c>
      <c r="C98" s="473" t="s">
        <v>6813</v>
      </c>
    </row>
    <row r="99" customHeight="1" spans="1:3">
      <c r="A99" s="454" t="str" cm="1">
        <f t="array" ref="A99">IFERROR(INDEX($B$1:$B$257,SMALL(IF($B$3:$B$257&lt;&gt;"",ROW($B$3:$B$257),4^8),ROW(B100)))&amp;"","")</f>
        <v>我曾冲破幻象</v>
      </c>
      <c r="B99" s="472" t="str">
        <f>IF(主要!$CD$3="O","炼狱体质","")</f>
        <v>炼狱体质</v>
      </c>
      <c r="C99" s="473" t="s">
        <v>6814</v>
      </c>
    </row>
    <row r="100" customHeight="1" spans="1:3">
      <c r="A100" s="454" t="str" cm="1">
        <f t="array" ref="A100">IFERROR(INDEX($B$1:$B$257,SMALL(IF($B$3:$B$257&lt;&gt;"",ROW($B$3:$B$257),4^8),ROW(B101)))&amp;"","")</f>
        <v>我曾打开大门</v>
      </c>
      <c r="B100" s="472" t="str">
        <f>IF(主要!$CD$3="O","兽人狂怒","")</f>
        <v>兽人狂怒</v>
      </c>
      <c r="C100" s="473" t="s">
        <v>6815</v>
      </c>
    </row>
    <row r="101" customHeight="1" spans="1:3">
      <c r="A101" s="454" t="str" cm="1">
        <f t="array" ref="A101">IFERROR(INDEX($B$1:$B$257,SMALL(IF($B$3:$B$257&lt;&gt;"",ROW($B$3:$B$257),4^8),ROW(B102)))&amp;"","")</f>
        <v>我曾幸存以述</v>
      </c>
      <c r="B101" s="472" t="str">
        <f>IF(主要!$CD$3="O","天赋异禀","")</f>
        <v>天赋异禀</v>
      </c>
      <c r="C101" s="473" t="s">
        <v>6816</v>
      </c>
    </row>
    <row r="102" customHeight="1" spans="1:3">
      <c r="A102" s="454" t="str" cm="1">
        <f t="array" ref="A102">IFERROR(INDEX($B$1:$B$257,SMALL(IF($B$3:$B$257&lt;&gt;"",ROW($B$3:$B$257),4^8),ROW(B103)))&amp;"","")</f>
        <v>天气操作</v>
      </c>
      <c r="B102" s="472" t="str">
        <f>IF(主要!$CD$3="O","花开二度","")</f>
        <v>花开二度</v>
      </c>
      <c r="C102" s="473" t="s">
        <v>6817</v>
      </c>
    </row>
    <row r="103" customHeight="1" spans="1:3">
      <c r="A103" s="454" t="str" cm="1">
        <f t="array" ref="A103">IFERROR(INDEX($B$1:$B$257,SMALL(IF($B$3:$B$257&lt;&gt;"",ROW($B$3:$B$257),4^8),ROW(B104)))&amp;"","")</f>
        <v>生体操纵</v>
      </c>
      <c r="B103" s="472" t="str">
        <f>IF(主要!$CD$3="O","低身机敏","")</f>
        <v>低身机敏</v>
      </c>
      <c r="C103" s="473" t="s">
        <v>6818</v>
      </c>
    </row>
    <row r="104" customHeight="1" spans="1:3">
      <c r="A104" s="454" t="str" cm="1">
        <f t="array" ref="A104">IFERROR(INDEX($B$1:$B$257,SMALL(IF($B$3:$B$257&lt;&gt;"",ROW($B$3:$B$257),4^8),ROW(B105)))&amp;"","")</f>
        <v>超感知</v>
      </c>
      <c r="B104" s="474" t="str">
        <f>IF(主要!$CD$3="O","木精灵魔法","")</f>
        <v>木精灵魔法</v>
      </c>
      <c r="C104" s="475" t="s">
        <v>6819</v>
      </c>
    </row>
    <row r="105" customHeight="1" spans="1:3">
      <c r="A105" s="454" t="str" cm="1">
        <f t="array" ref="A105">IFERROR(INDEX($B$1:$B$257,SMALL(IF($B$3:$B$257&lt;&gt;"",ROW($B$3:$B$257),4^8),ROW(B106)))&amp;"","")</f>
        <v>低温控制</v>
      </c>
      <c r="B105" s="472" t="str">
        <f>IF(主要!$CD$22="O","外层位面后裔","")</f>
        <v>外层位面后裔</v>
      </c>
      <c r="C105" s="473" t="s">
        <v>6820</v>
      </c>
    </row>
    <row r="106" customHeight="1" spans="1:3">
      <c r="A106" s="454" t="str" cm="1">
        <f t="array" ref="A106">IFERROR(INDEX($B$1:$B$257,SMALL(IF($B$3:$B$257&lt;&gt;"",ROW($B$3:$B$257),4^8),ROW(B107)))&amp;"","")</f>
        <v>超共感</v>
      </c>
      <c r="B106" s="472" t="str">
        <f>IF(主要!$CD$22="O","混乱与共者","")</f>
        <v>混乱与共者</v>
      </c>
      <c r="C106" s="473" t="s">
        <v>6821</v>
      </c>
    </row>
    <row r="107" customHeight="1" spans="1:3">
      <c r="A107" s="454" t="str" cm="1">
        <f t="array" ref="A107">IFERROR(INDEX($B$1:$B$257,SMALL(IF($B$3:$B$257&lt;&gt;"",ROW($B$3:$B$257),4^8),ROW(B108)))&amp;"","")</f>
        <v>肉体变化</v>
      </c>
      <c r="B107" s="472" t="str">
        <f>IF(主要!$CD$22="O","恶意后继者","")</f>
        <v>恶意后继者</v>
      </c>
      <c r="C107" s="473" t="s">
        <v>6822</v>
      </c>
    </row>
    <row r="108" customHeight="1" spans="1:3">
      <c r="A108" s="454" t="str" cm="1">
        <f t="array" ref="A108">IFERROR(INDEX($B$1:$B$257,SMALL(IF($B$3:$B$257&lt;&gt;"",ROW($B$3:$B$257),4^8),ROW(B109)))&amp;"","")</f>
        <v>思语者</v>
      </c>
      <c r="B108" s="472" t="str">
        <f>IF(主要!$CD$22="O","公义传承者","")</f>
        <v>公义传承者</v>
      </c>
      <c r="C108" s="473" t="s">
        <v>6823</v>
      </c>
    </row>
    <row r="109" customHeight="1" spans="1:3">
      <c r="A109" s="454" t="str" cm="1">
        <f t="array" ref="A109">IFERROR(INDEX($B$1:$B$257,SMALL(IF($B$3:$B$257&lt;&gt;"",ROW($B$3:$B$257),4^8),ROW(B110)))&amp;"","")</f>
        <v>灵能骗徒</v>
      </c>
      <c r="B109" s="472" t="str">
        <f>IF(主要!$CD$22="O","秩序代行者","")</f>
        <v>秩序代行者</v>
      </c>
      <c r="C109" s="473" t="s">
        <v>6824</v>
      </c>
    </row>
    <row r="110" customHeight="1" spans="1:3">
      <c r="A110" s="454" t="str" cm="1">
        <f t="array" ref="A110">IFERROR(INDEX($B$1:$B$257,SMALL(IF($B$3:$B$257&lt;&gt;"",ROW($B$3:$B$257),4^8),ROW(B111)))&amp;"","")</f>
        <v>心动力</v>
      </c>
      <c r="B110" s="472" t="str">
        <f>IF(主要!$CD$22="O","外域使节","")</f>
        <v>外域使节</v>
      </c>
      <c r="C110" s="473" t="s">
        <v>6825</v>
      </c>
    </row>
    <row r="111" customHeight="1" spans="1:3">
      <c r="A111" s="454" t="str" cm="1">
        <f t="array" ref="A111">IFERROR(INDEX($B$1:$B$257,SMALL(IF($B$3:$B$257&lt;&gt;"",ROW($B$3:$B$257),4^8),ROW(B112)))&amp;"","")</f>
        <v>发火能力</v>
      </c>
      <c r="B111" s="472" t="str">
        <f>IF(主要!$CD$22="O","位面漫游者","")</f>
        <v>位面漫游者</v>
      </c>
      <c r="C111" s="473" t="s">
        <v>6826</v>
      </c>
    </row>
    <row r="112" customHeight="1" spans="1:3">
      <c r="A112" s="454" t="str" cm="1">
        <f t="array" ref="A112">IFERROR(INDEX($B$1:$B$257,SMALL(IF($B$3:$B$257&lt;&gt;"",ROW($B$3:$B$257),4^8),ROW(B113)))&amp;"","")</f>
        <v>残酷</v>
      </c>
      <c r="B112" s="491" t="str">
        <f>IF(主要!$CO$14="O","我曾斗战而归","")</f>
        <v>我曾斗战而归</v>
      </c>
      <c r="C112" s="492" t="s">
        <v>6827</v>
      </c>
    </row>
    <row r="113" customHeight="1" spans="1:3">
      <c r="A113" s="454" t="str" cm="1">
        <f t="array" ref="A113">IFERROR(INDEX($B$1:$B$257,SMALL(IF($B$3:$B$257&lt;&gt;"",ROW($B$3:$B$257),4^8),ROW(B114)))&amp;"","")</f>
        <v>闪回记忆</v>
      </c>
      <c r="B113" s="458" t="str">
        <f>IF(主要!$CO$14="O","我曾躲过惧怖","")</f>
        <v>我曾躲过惧怖</v>
      </c>
      <c r="C113" s="459" t="s">
        <v>6828</v>
      </c>
    </row>
    <row r="114" customHeight="1" spans="1:3">
      <c r="A114" s="454" t="str" cm="1">
        <f t="array" ref="A114">IFERROR(INDEX($B$1:$B$257,SMALL(IF($B$3:$B$257&lt;&gt;"",ROW($B$3:$B$257),4^8),ROW(B115)))&amp;"","")</f>
        <v>秘法汇流</v>
      </c>
      <c r="B114" s="458" t="str">
        <f>IF(主要!$CO$14="O","我曾冲破幻象","")</f>
        <v>我曾冲破幻象</v>
      </c>
      <c r="C114" s="459" t="s">
        <v>6829</v>
      </c>
    </row>
    <row r="115" customHeight="1" spans="1:3">
      <c r="A115" s="454" t="str" cm="1">
        <f t="array" ref="A115">IFERROR(INDEX($B$1:$B$257,SMALL(IF($B$3:$B$257&lt;&gt;"",ROW($B$3:$B$257),4^8),ROW(B116)))&amp;"","")</f>
        <v>惊人恢复力</v>
      </c>
      <c r="B115" s="458" t="str">
        <f>IF(主要!$CO$14="O","我曾打开大门","")</f>
        <v>我曾打开大门</v>
      </c>
      <c r="C115" s="459" t="s">
        <v>6830</v>
      </c>
    </row>
    <row r="116" customHeight="1" spans="1:3">
      <c r="A116" s="454" t="str" cm="1">
        <f t="array" ref="A116">IFERROR(INDEX($B$1:$B$257,SMALL(IF($B$3:$B$257&lt;&gt;"",ROW($B$3:$B$257),4^8),ROW(B117)))&amp;"","")</f>
        <v>驱法者</v>
      </c>
      <c r="B116" s="458" t="str">
        <f>IF(主要!$CO$14="O","我曾幸存以述","")</f>
        <v>我曾幸存以述</v>
      </c>
      <c r="C116" s="459" t="s">
        <v>6831</v>
      </c>
    </row>
    <row r="117" customHeight="1" spans="1:3">
      <c r="A117" s="454" t="str" cm="1">
        <f t="array" ref="A117">IFERROR(INDEX($B$1:$B$257,SMALL(IF($B$3:$B$257&lt;&gt;"",ROW($B$3:$B$257),4^8),ROW(B118)))&amp;"","")</f>
        <v>武器投掷大师</v>
      </c>
      <c r="B117" s="491" t="str">
        <f>IF(主要!$CO$23="O","天气操作","")</f>
        <v>天气操作</v>
      </c>
      <c r="C117" s="492" t="s">
        <v>6832</v>
      </c>
    </row>
    <row r="118" customHeight="1" spans="1:3">
      <c r="A118" s="454" t="str" cm="1">
        <f t="array" ref="A118">IFERROR(INDEX($B$1:$B$257,SMALL(IF($B$3:$B$257&lt;&gt;"",ROW($B$3:$B$257),4^8),ROW(B119)))&amp;"","")</f>
        <v>生命献祭</v>
      </c>
      <c r="B118" s="458" t="str">
        <f>IF(主要!$CO$23="O","生体操纵","")</f>
        <v>生体操纵</v>
      </c>
      <c r="C118" s="459" t="s">
        <v>6833</v>
      </c>
    </row>
    <row r="119" customHeight="1" spans="1:3">
      <c r="A119" s="454" t="str" cm="1">
        <f t="array" ref="A119">IFERROR(INDEX($B$1:$B$257,SMALL(IF($B$3:$B$257&lt;&gt;"",ROW($B$3:$B$257),4^8),ROW(B120)))&amp;"","")</f>
        <v>残暴之握</v>
      </c>
      <c r="B119" s="458" t="str">
        <f>IF(主要!$CO$23="O","超感知","")</f>
        <v>超感知</v>
      </c>
      <c r="C119" s="459" t="s">
        <v>6834</v>
      </c>
    </row>
    <row r="120" customHeight="1" spans="1:3">
      <c r="A120" s="454" t="str" cm="1">
        <f t="array" ref="A120">IFERROR(INDEX($B$1:$B$257,SMALL(IF($B$3:$B$257&lt;&gt;"",ROW($B$3:$B$257),4^8),ROW(B121)))&amp;"","")</f>
        <v>战地指挥</v>
      </c>
      <c r="B120" s="458" t="str">
        <f>IF(主要!$CO$23="O","低温控制","")</f>
        <v>低温控制</v>
      </c>
      <c r="C120" s="459" t="s">
        <v>6835</v>
      </c>
    </row>
    <row r="121" customHeight="1" spans="1:3">
      <c r="A121" s="454" t="str" cm="1">
        <f t="array" ref="A121">IFERROR(INDEX($B$1:$B$257,SMALL(IF($B$3:$B$257&lt;&gt;"",ROW($B$3:$B$257),4^8),ROW(B122)))&amp;"","")</f>
        <v>专注重击</v>
      </c>
      <c r="B121" s="458" t="str">
        <f>IF(主要!$CO$23="O","超共感","")</f>
        <v>超共感</v>
      </c>
      <c r="C121" s="459" t="s">
        <v>6836</v>
      </c>
    </row>
    <row r="122" customHeight="1" spans="1:3">
      <c r="A122" s="454" t="str" cm="1">
        <f t="array" ref="A122">IFERROR(INDEX($B$1:$B$257,SMALL(IF($B$3:$B$257&lt;&gt;"",ROW($B$3:$B$257),4^8),ROW(B123)))&amp;"","")</f>
        <v>魔枪掌控</v>
      </c>
      <c r="B122" s="458" t="str">
        <f>IF(主要!$CO$23="O","肉体变化","")</f>
        <v>肉体变化</v>
      </c>
      <c r="C122" s="459" t="s">
        <v>6837</v>
      </c>
    </row>
    <row r="123" customHeight="1" spans="1:3">
      <c r="A123" s="454" t="str" cm="1">
        <f t="array" ref="A123">IFERROR(INDEX($B$1:$B$257,SMALL(IF($B$3:$B$257&lt;&gt;"",ROW($B$3:$B$257),4^8),ROW(B124)))&amp;"","")</f>
        <v>铁血英雄</v>
      </c>
      <c r="B123" s="458" t="str">
        <f>IF(主要!$CO$23="O","思语者","")</f>
        <v>思语者</v>
      </c>
      <c r="C123" s="459" t="s">
        <v>6838</v>
      </c>
    </row>
    <row r="124" customHeight="1" spans="1:3">
      <c r="A124" s="454" t="str" cm="1">
        <f t="array" ref="A124">IFERROR(INDEX($B$1:$B$257,SMALL(IF($B$3:$B$257&lt;&gt;"",ROW($B$3:$B$257),4^8),ROW(B125)))&amp;"","")</f>
        <v>神射手吉运</v>
      </c>
      <c r="B124" s="458" t="str">
        <f>IF(主要!$CO$23="O","灵能骗徒","")</f>
        <v>灵能骗徒</v>
      </c>
      <c r="C124" s="459" t="s">
        <v>6839</v>
      </c>
    </row>
    <row r="125" customHeight="1" spans="1:3">
      <c r="A125" s="454" t="str" cm="1">
        <f t="array" ref="A125">IFERROR(INDEX($B$1:$B$257,SMALL(IF($B$3:$B$257&lt;&gt;"",ROW($B$3:$B$257),4^8),ROW(B126)))&amp;"","")</f>
        <v>回旋镖专家</v>
      </c>
      <c r="B125" s="458" t="str">
        <f>IF(主要!$CO$23="O","心动力","")</f>
        <v>心动力</v>
      </c>
      <c r="C125" s="459" t="s">
        <v>6840</v>
      </c>
    </row>
    <row r="126" customHeight="1" spans="1:3">
      <c r="A126" s="454" t="str" cm="1">
        <f t="array" ref="A126">IFERROR(INDEX($B$1:$B$257,SMALL(IF($B$3:$B$257&lt;&gt;"",ROW($B$3:$B$257),4^8),ROW(B127)))&amp;"","")</f>
        <v>傻人傻福</v>
      </c>
      <c r="B126" s="458" t="str">
        <f>IF(主要!$CO$23="O","发火能力","")</f>
        <v>发火能力</v>
      </c>
      <c r="C126" s="459" t="s">
        <v>6841</v>
      </c>
    </row>
    <row r="127" customHeight="1" spans="1:3">
      <c r="A127" s="454" t="str" cm="1">
        <f t="array" ref="A127">IFERROR(INDEX($B$1:$B$257,SMALL(IF($B$3:$B$257&lt;&gt;"",ROW($B$3:$B$257),4^8),ROW(B128)))&amp;"","")</f>
        <v>寒传月闪流精要</v>
      </c>
      <c r="B127" s="472" t="str">
        <f>IF(主要!$CO$4="O","残酷","")</f>
        <v>残酷</v>
      </c>
      <c r="C127" s="473" t="s">
        <v>6842</v>
      </c>
    </row>
    <row r="128" customHeight="1" spans="1:3">
      <c r="A128" s="454" t="str" cm="1">
        <f t="array" ref="A128">IFERROR(INDEX($B$1:$B$257,SMALL(IF($B$3:$B$257&lt;&gt;"",ROW($B$3:$B$257),4^8),ROW(B129)))&amp;"","")</f>
        <v>云端漫步者</v>
      </c>
      <c r="B128" s="472" t="str">
        <f>IF(主要!$CO$4="O","闪回记忆","")</f>
        <v>闪回记忆</v>
      </c>
      <c r="C128" s="473" t="s">
        <v>6843</v>
      </c>
    </row>
    <row r="129" customHeight="1" spans="1:3">
      <c r="A129" s="454" t="str" cm="1">
        <f t="array" ref="A129">IFERROR(INDEX($B$1:$B$257,SMALL(IF($B$3:$B$257&lt;&gt;"",ROW($B$3:$B$257),4^8),ROW(B130)))&amp;"","")</f>
        <v>魔女盟誓</v>
      </c>
      <c r="B129" s="472" t="str">
        <f>IF(主要!$CO$4="O","秘法汇流","")</f>
        <v>秘法汇流</v>
      </c>
      <c r="C129" s="473" t="s">
        <v>6844</v>
      </c>
    </row>
    <row r="130" customHeight="1" spans="1:3">
      <c r="A130" s="454" t="str" cm="1">
        <f t="array" ref="A130">IFERROR(INDEX($B$1:$B$257,SMALL(IF($B$3:$B$257&lt;&gt;"",ROW($B$3:$B$257),4^8),ROW(B131)))&amp;"","")</f>
        <v>采集者</v>
      </c>
      <c r="B130" s="472" t="str">
        <f>IF(主要!$CO$4="O","惊人恢复力","")</f>
        <v>惊人恢复力</v>
      </c>
      <c r="C130" s="473" t="s">
        <v>6845</v>
      </c>
    </row>
    <row r="131" customHeight="1" spans="1:3">
      <c r="A131" s="454" t="str" cm="1">
        <f t="array" ref="A131">IFERROR(INDEX($B$1:$B$257,SMALL(IF($B$3:$B$257&lt;&gt;"",ROW($B$3:$B$257),4^8),ROW(B132)))&amp;"","")</f>
        <v>自由潜者</v>
      </c>
      <c r="B131" s="472" t="str">
        <f>IF(主要!$CO$4="O","驱法者","")</f>
        <v>驱法者</v>
      </c>
      <c r="C131" s="473" t="s">
        <v>6846</v>
      </c>
    </row>
    <row r="132" customHeight="1" spans="1:3">
      <c r="A132" s="454" t="str" cm="1">
        <f t="array" ref="A132">IFERROR(INDEX($B$1:$B$257,SMALL(IF($B$3:$B$257&lt;&gt;"",ROW($B$3:$B$257),4^8),ROW(B133)))&amp;"","")</f>
        <v>群战专家</v>
      </c>
      <c r="B132" s="472" t="str">
        <f>IF(主要!$CO$4="O","武器投掷大师","")</f>
        <v>武器投掷大师</v>
      </c>
      <c r="C132" s="473" t="s">
        <v>6847</v>
      </c>
    </row>
    <row r="133" customHeight="1" spans="1:3">
      <c r="A133" s="454" t="str" cm="1">
        <f t="array" ref="A133">IFERROR(INDEX($B$1:$B$257,SMALL(IF($B$3:$B$257&lt;&gt;"",ROW($B$3:$B$257),4^8),ROW(B134)))&amp;"","")</f>
        <v>身轻如燕</v>
      </c>
      <c r="B133" s="474" t="str">
        <f>IF(主要!$CO$4="O","生命献祭","")</f>
        <v>生命献祭</v>
      </c>
      <c r="C133" s="475" t="s">
        <v>6848</v>
      </c>
    </row>
    <row r="134" customHeight="1" spans="1:3">
      <c r="A134" s="454" t="str" cm="1">
        <f t="array" ref="A134">IFERROR(INDEX($B$1:$B$257,SMALL(IF($B$3:$B$257&lt;&gt;"",ROW($B$3:$B$257),4^8),ROW(B135)))&amp;"","")</f>
        <v>捣蛋魔偷</v>
      </c>
      <c r="B134" s="472" t="str">
        <f>IF(主要!$CO$12="O","残暴之握","")</f>
        <v>残暴之握</v>
      </c>
      <c r="C134" s="473" t="s">
        <v>6849</v>
      </c>
    </row>
    <row r="135" customHeight="1" spans="1:3">
      <c r="A135" s="454" t="str" cm="1">
        <f t="array" ref="A135">IFERROR(INDEX($B$1:$B$257,SMALL(IF($B$3:$B$257&lt;&gt;"",ROW($B$3:$B$257),4^8),ROW(B136)))&amp;"","")</f>
        <v>AHA成员</v>
      </c>
      <c r="B135" s="472" t="str">
        <f>IF(主要!$CO$12="O","战地指挥","")</f>
        <v>战地指挥</v>
      </c>
      <c r="C135" s="473" t="s">
        <v>6850</v>
      </c>
    </row>
    <row r="136" customHeight="1" spans="1:3">
      <c r="A136" s="454" t="str" cm="1">
        <f t="array" ref="A136">IFERROR(INDEX($B$1:$B$257,SMALL(IF($B$3:$B$257&lt;&gt;"",ROW($B$3:$B$257),4^8),ROW(B137)))&amp;"","")</f>
        <v>轻度侵蚀</v>
      </c>
      <c r="B136" s="472" t="str">
        <f>IF(主要!$CO$12="O","专注重击","")</f>
        <v>专注重击</v>
      </c>
      <c r="C136" s="473" t="s">
        <v>6851</v>
      </c>
    </row>
    <row r="137" customHeight="1" spans="1:3">
      <c r="A137" s="454" t="str" cm="1">
        <f t="array" ref="A137">IFERROR(INDEX($B$1:$B$257,SMALL(IF($B$3:$B$257&lt;&gt;"",ROW($B$3:$B$257),4^8),ROW(B138)))&amp;"","")</f>
        <v>雷血鸣玉</v>
      </c>
      <c r="B137" s="472" t="s">
        <v>6852</v>
      </c>
      <c r="C137" s="473" t="s">
        <v>6853</v>
      </c>
    </row>
    <row r="138" customHeight="1" spans="1:3">
      <c r="A138" s="454" t="str" cm="1">
        <f t="array" ref="A138">IFERROR(INDEX($B$1:$B$257,SMALL(IF($B$3:$B$257&lt;&gt;"",ROW($B$3:$B$257),4^8),ROW(B139)))&amp;"","")</f>
        <v>毒血鸣玉</v>
      </c>
      <c r="B138" s="472" t="str">
        <f>IF(主要!$CO$12="O","铁血英雄","")</f>
        <v>铁血英雄</v>
      </c>
      <c r="C138" s="473" t="s">
        <v>6854</v>
      </c>
    </row>
    <row r="139" customHeight="1" spans="1:3">
      <c r="A139" s="454" t="str" cm="1">
        <f t="array" ref="A139">IFERROR(INDEX($B$1:$B$257,SMALL(IF($B$3:$B$257&lt;&gt;"",ROW($B$3:$B$257),4^8),ROW(B140)))&amp;"","")</f>
        <v>驿骑士</v>
      </c>
      <c r="B139" s="474" t="str">
        <f>IF(主要!$CO$12="O","神射手吉运","")</f>
        <v>神射手吉运</v>
      </c>
      <c r="C139" s="475" t="s">
        <v>6855</v>
      </c>
    </row>
    <row r="140" customHeight="1" spans="1:3">
      <c r="A140" s="454" t="str" cm="1">
        <f t="array" ref="A140">IFERROR(INDEX($B$1:$B$257,SMALL(IF($B$3:$B$257&lt;&gt;"",ROW($B$3:$B$257),4^8),ROW(B141)))&amp;"","")</f>
        <v>药剂师</v>
      </c>
      <c r="B140" s="472" t="str">
        <f>IF(主要!$CO$11="O","回旋镖专家","")</f>
        <v>回旋镖专家</v>
      </c>
      <c r="C140" s="473" t="s">
        <v>6856</v>
      </c>
    </row>
    <row r="141" customHeight="1" spans="1:3">
      <c r="A141" s="454" t="str" cm="1">
        <f t="array" ref="A141">IFERROR(INDEX($B$1:$B$257,SMALL(IF($B$3:$B$257&lt;&gt;"",ROW($B$3:$B$257),4^8),ROW(B142)))&amp;"","")</f>
        <v>辉流鳞斩流精要</v>
      </c>
      <c r="B141" s="472" t="str">
        <f>IF(主要!$CO$11="O","傻人傻福","")</f>
        <v>傻人傻福</v>
      </c>
      <c r="C141" s="473" t="s">
        <v>6857</v>
      </c>
    </row>
    <row r="142" customHeight="1" spans="1:3">
      <c r="A142" s="454" t="str" cm="1">
        <f t="array" ref="A142">IFERROR(INDEX($B$1:$B$257,SMALL(IF($B$3:$B$257&lt;&gt;"",ROW($B$3:$B$257),4^8),ROW(B143)))&amp;"","")</f>
        <v>虎岚断岩流精要</v>
      </c>
      <c r="B142" s="472" t="str">
        <f>IF(主要!$CO$11="O","寒传月闪流精要","")</f>
        <v>寒传月闪流精要</v>
      </c>
      <c r="C142" s="473" t="s">
        <v>6858</v>
      </c>
    </row>
    <row r="143" customHeight="1" spans="1:3">
      <c r="A143" s="454" t="str" cm="1">
        <f t="array" ref="A143">IFERROR(INDEX($B$1:$B$257,SMALL(IF($B$3:$B$257&lt;&gt;"",ROW($B$3:$B$257),4^8),ROW(B144)))&amp;"","")</f>
        <v>咏术师</v>
      </c>
      <c r="B143" s="472" t="str">
        <f>IF(主要!$CO$11="O","云端漫步者","")</f>
        <v>云端漫步者</v>
      </c>
      <c r="C143" s="473" t="s">
        <v>6859</v>
      </c>
    </row>
    <row r="144" customHeight="1" spans="1:3">
      <c r="A144" s="454" t="str" cm="1">
        <f t="array" ref="A144">IFERROR(INDEX($B$1:$B$257,SMALL(IF($B$3:$B$257&lt;&gt;"",ROW($B$3:$B$257),4^8),ROW(B145)))&amp;"","")</f>
        <v>沼地探索者</v>
      </c>
      <c r="B144" s="472" t="str">
        <f>IF(主要!$CO$11="O","魔女盟誓","")</f>
        <v>魔女盟誓</v>
      </c>
      <c r="C144" s="473" t="s">
        <v>6860</v>
      </c>
    </row>
    <row r="145" customHeight="1" spans="1:3">
      <c r="A145" s="454" t="str" cm="1">
        <f t="array" ref="A145">IFERROR(INDEX($B$1:$B$257,SMALL(IF($B$3:$B$257&lt;&gt;"",ROW($B$3:$B$257),4^8),ROW(B146)))&amp;"","")</f>
        <v>异变者-水栖适应</v>
      </c>
      <c r="B145" s="472" t="str">
        <f>IF(主要!$CO$11="O","采集者","")</f>
        <v>采集者</v>
      </c>
      <c r="C145" s="473" t="s">
        <v>6861</v>
      </c>
    </row>
    <row r="146" customHeight="1" spans="1:3">
      <c r="A146" s="454" t="str" cm="1">
        <f t="array" ref="A146">IFERROR(INDEX($B$1:$B$257,SMALL(IF($B$3:$B$257&lt;&gt;"",ROW($B$3:$B$257),4^8),ROW(B147)))&amp;"","")</f>
        <v>异变者-天生护甲</v>
      </c>
      <c r="B146" s="472" t="str">
        <f>IF(主要!$CO$11="O","自由潜者","")</f>
        <v>自由潜者</v>
      </c>
      <c r="C146" s="473" t="s">
        <v>6862</v>
      </c>
    </row>
    <row r="147" customHeight="1" spans="1:3">
      <c r="A147" s="454" t="str" cm="1">
        <f t="array" ref="A147">IFERROR(INDEX($B$1:$B$257,SMALL(IF($B$3:$B$257&lt;&gt;"",ROW($B$3:$B$257),4^8),ROW(B148)))&amp;"","")</f>
        <v>异变者-天生武器</v>
      </c>
      <c r="B147" s="472" t="str">
        <f>IF(主要!$CO$11="O","群战专家","")</f>
        <v>群战专家</v>
      </c>
      <c r="C147" s="473" t="s">
        <v>6863</v>
      </c>
    </row>
    <row r="148" customHeight="1" spans="1:3">
      <c r="A148" s="454" t="str" cm="1">
        <f t="array" ref="A148">IFERROR(INDEX($B$1:$B$257,SMALL(IF($B$3:$B$257&lt;&gt;"",ROW($B$3:$B$257),4^8),ROW(B149)))&amp;"","")</f>
        <v>异变者-夜视</v>
      </c>
      <c r="B148" s="472" t="str">
        <f>IF(主要!$CO$11="O","身轻如燕","")</f>
        <v>身轻如燕</v>
      </c>
      <c r="C148" s="473" t="s">
        <v>6864</v>
      </c>
    </row>
    <row r="149" customHeight="1" spans="1:3">
      <c r="A149" s="454" t="str" cm="1">
        <f t="array" ref="A149">IFERROR(INDEX($B$1:$B$257,SMALL(IF($B$3:$B$257&lt;&gt;"",ROW($B$3:$B$257),4^8),ROW(B150)))&amp;"","")</f>
        <v>咒饰编织者</v>
      </c>
      <c r="B149" s="472" t="str">
        <f>IF(主要!$CO$11="O","捣蛋魔偷","")</f>
        <v>捣蛋魔偷</v>
      </c>
      <c r="C149" s="473" t="s">
        <v>6865</v>
      </c>
    </row>
    <row r="150" customHeight="1" spans="1:3">
      <c r="A150" s="454" t="str" cm="1">
        <f t="array" ref="A150">IFERROR(INDEX($B$1:$B$257,SMALL(IF($B$3:$B$257&lt;&gt;"",ROW($B$3:$B$257),4^8),ROW(B151)))&amp;"","")</f>
        <v>猩红祭仪师</v>
      </c>
      <c r="B150" s="472" t="str">
        <f>IF(主要!$CO$11="O","AHA成员","")</f>
        <v>AHA成员</v>
      </c>
      <c r="C150" s="473" t="s">
        <v>6866</v>
      </c>
    </row>
    <row r="151" customHeight="1" spans="1:3">
      <c r="A151" s="454" t="str" cm="1">
        <f t="array" ref="A151">IFERROR(INDEX($B$1:$B$257,SMALL(IF($B$3:$B$257&lt;&gt;"",ROW($B$3:$B$257),4^8),ROW(B152)))&amp;"","")</f>
        <v>教团新进者</v>
      </c>
      <c r="B151" s="472" t="str">
        <f>IF(主要!$CO$11="O","轻度侵蚀","")</f>
        <v>轻度侵蚀</v>
      </c>
      <c r="C151" s="473" t="s">
        <v>6867</v>
      </c>
    </row>
    <row r="152" customHeight="1" spans="1:3">
      <c r="A152" s="454" t="str" cm="1">
        <f t="array" ref="A152">IFERROR(INDEX($B$1:$B$257,SMALL(IF($B$3:$B$257&lt;&gt;"",ROW($B$3:$B$257),4^8),ROW(B153)))&amp;"","")</f>
        <v>恐惧秘言</v>
      </c>
      <c r="B152" s="472" t="str">
        <f>IF(主要!$CO$11="O","雷血鸣玉","")</f>
        <v>雷血鸣玉</v>
      </c>
      <c r="C152" s="473" t="s">
        <v>6868</v>
      </c>
    </row>
    <row r="153" customHeight="1" spans="1:3">
      <c r="A153" s="454" t="str" cm="1">
        <f t="array" ref="A153">IFERROR(INDEX($B$1:$B$257,SMALL(IF($B$3:$B$257&lt;&gt;"",ROW($B$3:$B$257),4^8),ROW(B154)))&amp;"","")</f>
        <v>命运赌徒</v>
      </c>
      <c r="B153" s="472" t="str">
        <f>IF(主要!$CO$11="O","毒血鸣玉","")</f>
        <v>毒血鸣玉</v>
      </c>
      <c r="C153" s="473" t="s">
        <v>6869</v>
      </c>
    </row>
    <row r="154" customHeight="1" spans="1:3">
      <c r="A154" s="454" t="str" cm="1">
        <f t="array" ref="A154">IFERROR(INDEX($B$1:$B$257,SMALL(IF($B$3:$B$257&lt;&gt;"",ROW($B$3:$B$257),4^8),ROW(B155)))&amp;"","")</f>
        <v>幽灯灵媒</v>
      </c>
      <c r="B154" s="472" t="str">
        <f>IF(主要!$CO$11="O","驿骑士","")</f>
        <v>驿骑士</v>
      </c>
      <c r="C154" s="473" t="s">
        <v>6870</v>
      </c>
    </row>
    <row r="155" customHeight="1" spans="1:3">
      <c r="A155" s="454" t="str" cm="1">
        <f t="array" ref="A155">IFERROR(INDEX($B$1:$B$257,SMALL(IF($B$3:$B$257&lt;&gt;"",ROW($B$3:$B$257),4^8),ROW(B156)))&amp;"","")</f>
        <v>守墓人</v>
      </c>
      <c r="B155" s="472" t="str">
        <f>IF(主要!$CO$11="O","药剂师","")</f>
        <v>药剂师</v>
      </c>
      <c r="C155" s="473" t="s">
        <v>6871</v>
      </c>
    </row>
    <row r="156" customHeight="1" spans="1:3">
      <c r="A156" s="454" t="str" cm="1">
        <f t="array" ref="A156">IFERROR(INDEX($B$1:$B$257,SMALL(IF($B$3:$B$257&lt;&gt;"",ROW($B$3:$B$257),4^8),ROW(B157)))&amp;"","")</f>
        <v>猎兽猎手</v>
      </c>
      <c r="B156" s="472" t="str">
        <f>IF(主要!$CO$11="O","辉流鳞斩流精要","")</f>
        <v>辉流鳞斩流精要</v>
      </c>
      <c r="C156" s="473" t="s">
        <v>6872</v>
      </c>
    </row>
    <row r="157" customHeight="1" spans="1:3">
      <c r="A157" s="454" t="str" cm="1">
        <f t="array" ref="A157">IFERROR(INDEX($B$1:$B$257,SMALL(IF($B$3:$B$257&lt;&gt;"",ROW($B$3:$B$257),4^8),ROW(B158)))&amp;"","")</f>
        <v>记忆饥渴</v>
      </c>
      <c r="B157" s="472" t="str">
        <f>IF(主要!$CO$11="O","虎岚断岩流精要","")</f>
        <v>虎岚断岩流精要</v>
      </c>
      <c r="C157" s="473" t="s">
        <v>6873</v>
      </c>
    </row>
    <row r="158" customHeight="1" spans="1:3">
      <c r="A158" s="454" t="str" cm="1">
        <f t="array" ref="A158">IFERROR(INDEX($B$1:$B$257,SMALL(IF($B$3:$B$257&lt;&gt;"",ROW($B$3:$B$257),4^8),ROW(B159)))&amp;"","")</f>
        <v>狂欢愚者</v>
      </c>
      <c r="B158" s="472" t="str">
        <f>IF(主要!$CO$11="O","咏术师","")</f>
        <v>咏术师</v>
      </c>
      <c r="C158" s="473" t="s">
        <v>6874</v>
      </c>
    </row>
    <row r="159" customHeight="1" spans="1:3">
      <c r="A159" s="454" t="str" cm="1">
        <f t="array" ref="A159">IFERROR(INDEX($B$1:$B$257,SMALL(IF($B$3:$B$257&lt;&gt;"",ROW($B$3:$B$257),4^8),ROW(B160)))&amp;"","")</f>
        <v>无影之形</v>
      </c>
      <c r="B159" s="474" t="str">
        <f>IF(主要!$CO$11="O","沼地探索者","")</f>
        <v>沼地探索者</v>
      </c>
      <c r="C159" s="475" t="s">
        <v>6875</v>
      </c>
    </row>
    <row r="160" customHeight="1" spans="1:3">
      <c r="A160" s="454" t="str" cm="1">
        <f t="array" ref="A160">IFERROR(INDEX($B$1:$B$257,SMALL(IF($B$3:$B$257&lt;&gt;"",ROW($B$3:$B$257),4^8),ROW(B161)))&amp;"","")</f>
        <v>拒绝死亡</v>
      </c>
      <c r="B160" s="458" t="str">
        <f>IF(主要!$CO$13="O","异变者-水栖适应","")</f>
        <v>异变者-水栖适应</v>
      </c>
      <c r="C160" s="459" t="s">
        <v>6876</v>
      </c>
    </row>
    <row r="161" customHeight="1" spans="1:3">
      <c r="A161" s="454" t="str" cm="1">
        <f t="array" ref="A161">IFERROR(INDEX($B$1:$B$257,SMALL(IF($B$3:$B$257&lt;&gt;"",ROW($B$3:$B$257),4^8),ROW(B162)))&amp;"","")</f>
        <v>迅捷巫术</v>
      </c>
      <c r="B161" s="458" t="str">
        <f>IF(主要!$CO$13="O","异变者-天生护甲","")</f>
        <v>异变者-天生护甲</v>
      </c>
      <c r="C161" s="459" t="s">
        <v>6877</v>
      </c>
    </row>
    <row r="162" customHeight="1" spans="1:3">
      <c r="A162" s="454" t="str" cm="1">
        <f t="array" ref="A162">IFERROR(INDEX($B$1:$B$257,SMALL(IF($B$3:$B$257&lt;&gt;"",ROW($B$3:$B$257),4^8),ROW(B163)))&amp;"","")</f>
        <v>飞翔专家</v>
      </c>
      <c r="B162" s="458" t="str">
        <f>IF(主要!$CO$13="O","异变者-天生武器","")</f>
        <v>异变者-天生武器</v>
      </c>
      <c r="C162" s="459" t="s">
        <v>6878</v>
      </c>
    </row>
    <row r="163" customHeight="1" spans="1:3">
      <c r="A163" s="454" t="str" cm="1">
        <f t="array" ref="A163">IFERROR(INDEX($B$1:$B$257,SMALL(IF($B$3:$B$257&lt;&gt;"",ROW($B$3:$B$257),4^8),ROW(B164)))&amp;"","")</f>
        <v>强盗狡诈</v>
      </c>
      <c r="B163" s="458" t="str">
        <f>IF(主要!$CO$13="O","异变者-夜视","")</f>
        <v>异变者-夜视</v>
      </c>
      <c r="C163" s="459" t="s">
        <v>6879</v>
      </c>
    </row>
    <row r="164" customHeight="1" spans="1:3">
      <c r="A164" s="454" t="str" cm="1">
        <f t="array" ref="A164">IFERROR(INDEX($B$1:$B$257,SMALL(IF($B$3:$B$257&lt;&gt;"",ROW($B$3:$B$257),4^8),ROW(B165)))&amp;"","")</f>
        <v>空中堡垒</v>
      </c>
      <c r="B164" s="458" t="str">
        <f>IF(主要!$CO$13="O","咒饰编织者","")</f>
        <v>咒饰编织者</v>
      </c>
      <c r="C164" s="459" t="s">
        <v>6880</v>
      </c>
    </row>
    <row r="165" customHeight="1" spans="1:3">
      <c r="A165" s="454" t="str" cm="1">
        <f t="array" ref="A165">IFERROR(INDEX($B$1:$B$257,SMALL(IF($B$3:$B$257&lt;&gt;"",ROW($B$3:$B$257),4^8),ROW(B166)))&amp;"","")</f>
        <v>见机行窃</v>
      </c>
      <c r="B165" s="458" t="str">
        <f>IF(主要!$CO$13="O","猩红祭仪师","")</f>
        <v>猩红祭仪师</v>
      </c>
      <c r="C165" s="459" t="s">
        <v>6881</v>
      </c>
    </row>
    <row r="166" customHeight="1" spans="1:3">
      <c r="A166" s="454" t="str" cm="1">
        <f t="array" ref="A166">IFERROR(INDEX($B$1:$B$257,SMALL(IF($B$3:$B$257&lt;&gt;"",ROW($B$3:$B$257),4^8),ROW(B167)))&amp;"","")</f>
        <v>完美着陆</v>
      </c>
      <c r="B166" s="458" t="str">
        <f>IF(主要!$CO$13="O","教团新进者","")</f>
        <v>教团新进者</v>
      </c>
      <c r="C166" s="459" t="s">
        <v>6882</v>
      </c>
    </row>
    <row r="167" customHeight="1" spans="1:3">
      <c r="A167" s="454" t="str" cm="1">
        <f t="array" ref="A167">IFERROR(INDEX($B$1:$B$257,SMALL(IF($B$3:$B$257&lt;&gt;"",ROW($B$3:$B$257),4^8),ROW(B168)))&amp;"","")</f>
        <v>远古野兽之语</v>
      </c>
      <c r="B167" s="458" t="str">
        <f>IF(主要!$CO$13="O","恐惧秘言","")</f>
        <v>恐惧秘言</v>
      </c>
      <c r="C167" s="459" t="s">
        <v>6883</v>
      </c>
    </row>
    <row r="168" customHeight="1" spans="1:3">
      <c r="A168" s="454" t="str" cm="1">
        <f t="array" ref="A168">IFERROR(INDEX($B$1:$B$257,SMALL(IF($B$3:$B$257&lt;&gt;"",ROW($B$3:$B$257),4^8),ROW(B169)))&amp;"","")</f>
        <v>林木之睿</v>
      </c>
      <c r="B168" s="458" t="str">
        <f>IF(主要!$CO$13="O","命运赌徒","")</f>
        <v>命运赌徒</v>
      </c>
      <c r="C168" s="459" t="s">
        <v>6884</v>
      </c>
    </row>
    <row r="169" customHeight="1" spans="1:3">
      <c r="A169" s="454" t="str" cm="1">
        <f t="array" ref="A169">IFERROR(INDEX($B$1:$B$257,SMALL(IF($B$3:$B$257&lt;&gt;"",ROW($B$3:$B$257),4^8),ROW(B170)))&amp;"","")</f>
        <v>战地医者</v>
      </c>
      <c r="B169" s="458" t="str">
        <f>IF(主要!$CO$13="O","幽灯灵媒","")</f>
        <v>幽灯灵媒</v>
      </c>
      <c r="C169" s="459" t="s">
        <v>6885</v>
      </c>
    </row>
    <row r="170" customHeight="1" spans="1:3">
      <c r="A170" s="454" t="str" cm="1">
        <f t="array" ref="A170">IFERROR(INDEX($B$1:$B$257,SMALL(IF($B$3:$B$257&lt;&gt;"",ROW($B$3:$B$257),4^8),ROW(B171)))&amp;"","")</f>
        <v>炎焱觉者</v>
      </c>
      <c r="B170" s="458" t="str">
        <f>IF(主要!$CO$13="O","守墓人","")</f>
        <v>守墓人</v>
      </c>
      <c r="C170" s="459" t="s">
        <v>6886</v>
      </c>
    </row>
    <row r="171" customHeight="1" spans="1:3">
      <c r="A171" s="454" t="str" cm="1">
        <f t="array" ref="A171">IFERROR(INDEX($B$1:$B$257,SMALL(IF($B$3:$B$257&lt;&gt;"",ROW($B$3:$B$257),4^8),ROW(B172)))&amp;"","")</f>
        <v>森木贤者</v>
      </c>
      <c r="B171" s="458" t="str">
        <f>IF(主要!$CO$13="O","猎兽猎手","")</f>
        <v>猎兽猎手</v>
      </c>
      <c r="C171" s="459" t="s">
        <v>6887</v>
      </c>
    </row>
    <row r="172" customHeight="1" spans="1:3">
      <c r="A172" s="454" t="str" cm="1">
        <f t="array" ref="A172">IFERROR(INDEX($B$1:$B$257,SMALL(IF($B$3:$B$257&lt;&gt;"",ROW($B$3:$B$257),4^8),ROW(B173)))&amp;"","")</f>
        <v>植物缮者</v>
      </c>
      <c r="B172" s="458" t="str">
        <f>IF(主要!$CO$13="O","记忆饥渴","")</f>
        <v>记忆饥渴</v>
      </c>
      <c r="C172" s="459" t="s">
        <v>6888</v>
      </c>
    </row>
    <row r="173" customHeight="1" spans="1:3">
      <c r="A173" s="454" t="str" cm="1">
        <f t="array" ref="A173">IFERROR(INDEX($B$1:$B$257,SMALL(IF($B$3:$B$257&lt;&gt;"",ROW($B$3:$B$257),4^8),ROW(B174)))&amp;"","")</f>
        <v>新晋龙巫教徒</v>
      </c>
      <c r="B173" s="458" t="str">
        <f>IF(主要!$CO$13="O","狂欢愚者","")</f>
        <v>狂欢愚者</v>
      </c>
      <c r="C173" s="459" t="s">
        <v>6889</v>
      </c>
    </row>
    <row r="174" customHeight="1" spans="1:3">
      <c r="A174" s="454" t="str" cm="1">
        <f t="array" ref="A174">IFERROR(INDEX($B$1:$B$257,SMALL(IF($B$3:$B$257&lt;&gt;"",ROW($B$3:$B$257),4^8),ROW(B175)))&amp;"","")</f>
        <v>翠绿闲庭新羽</v>
      </c>
      <c r="B174" s="458" t="str">
        <f>IF(主要!$CO$13="O","无影之形","")</f>
        <v>无影之形</v>
      </c>
      <c r="C174" s="459" t="s">
        <v>6890</v>
      </c>
    </row>
    <row r="175" customHeight="1" spans="1:3">
      <c r="A175" s="454" t="str" cm="1">
        <f t="array" ref="A175">IFERROR(INDEX($B$1:$B$257,SMALL(IF($B$3:$B$257&lt;&gt;"",ROW($B$3:$B$257),4^8),ROW(B176)))&amp;"","")</f>
        <v>竖琴手特工</v>
      </c>
      <c r="B175" s="472" t="str">
        <f>IF(主要!$CO$13="O","拒绝死亡","")</f>
        <v>拒绝死亡</v>
      </c>
      <c r="C175" s="473" t="s">
        <v>6891</v>
      </c>
    </row>
    <row r="176" customHeight="1" spans="1:3">
      <c r="A176" s="454" t="str" cm="1">
        <f t="array" ref="A176">IFERROR(INDEX($B$1:$B$257,SMALL(IF($B$3:$B$257&lt;&gt;"",ROW($B$3:$B$257),4^8),ROW(B177)))&amp;"","")</f>
        <v>领主联盟特工</v>
      </c>
      <c r="B176" s="474" t="str">
        <f>IF(主要!$CO$13="O","迅捷巫术","")</f>
        <v>迅捷巫术</v>
      </c>
      <c r="C176" s="475" t="s">
        <v>6892</v>
      </c>
    </row>
    <row r="177" customHeight="1" spans="1:3">
      <c r="A177" s="454" t="str" cm="1">
        <f t="array" ref="A177">IFERROR(INDEX($B$1:$B$257,SMALL(IF($B$3:$B$257&lt;&gt;"",ROW($B$3:$B$257),4^8),ROW(B178)))&amp;"","")</f>
        <v>紫龙新兵</v>
      </c>
      <c r="B177" s="472" t="str">
        <f>IF(主要!$CO$7="O","飞翔专家","")</f>
        <v>飞翔专家</v>
      </c>
      <c r="C177" s="473" t="s">
        <v>6893</v>
      </c>
    </row>
    <row r="178" customHeight="1" spans="1:3">
      <c r="A178" s="454" t="str" cm="1">
        <f t="array" ref="A178">IFERROR(INDEX($B$1:$B$257,SMALL(IF($B$3:$B$257&lt;&gt;"",ROW($B$3:$B$257),4^8),ROW(B179)))&amp;"","")</f>
        <v>咒火火花</v>
      </c>
      <c r="B178" s="472" t="str">
        <f>IF(主要!$CO$7="O","强盗狡诈","")</f>
        <v>强盗狡诈</v>
      </c>
      <c r="C178" s="473" t="s">
        <v>6894</v>
      </c>
    </row>
    <row r="179" customHeight="1" spans="1:3">
      <c r="A179" s="454" t="str" cm="1">
        <f t="array" ref="A179">IFERROR(INDEX($B$1:$B$257,SMALL(IF($B$3:$B$257&lt;&gt;"",ROW($B$3:$B$257),4^8),ROW(B180)))&amp;"","")</f>
        <v>新锻臂铠</v>
      </c>
      <c r="B179" s="472" t="str">
        <f>IF(主要!$CO$7="O","空中堡垒","")</f>
        <v>空中堡垒</v>
      </c>
      <c r="C179" s="473" t="s">
        <v>6895</v>
      </c>
    </row>
    <row r="180" customHeight="1" spans="1:3">
      <c r="A180" s="454" t="str" cm="1">
        <f t="array" ref="A180">IFERROR(INDEX($B$1:$B$257,SMALL(IF($B$3:$B$257&lt;&gt;"",ROW($B$3:$B$257),4^8),ROW(B181)))&amp;"","")</f>
        <v>散塔林会暴徒</v>
      </c>
      <c r="B180" s="472" t="str">
        <f>IF(主要!$CO$7="O","见机行窃","")</f>
        <v>见机行窃</v>
      </c>
      <c r="C180" s="473" t="s">
        <v>6896</v>
      </c>
    </row>
    <row r="181" customHeight="1" spans="1:3">
      <c r="A181" s="454" t="str" cm="1">
        <f t="array" ref="A181">IFERROR(INDEX($B$1:$B$257,SMALL(IF($B$3:$B$257&lt;&gt;"",ROW($B$3:$B$257),4^8),ROW(B182)))&amp;"","")</f>
        <v>龙之瘢</v>
      </c>
      <c r="B181" s="472" t="str">
        <f>IF(主要!$CO$7="O","完美着陆","")</f>
        <v>完美着陆</v>
      </c>
      <c r="C181" s="473" t="s">
        <v>6897</v>
      </c>
    </row>
    <row r="182" customHeight="1" spans="1:3">
      <c r="A182" s="454" t="str" cm="1">
        <f t="array" ref="A182">IFERROR(INDEX($B$1:$B$257,SMALL(IF($B$3:$B$257&lt;&gt;"",ROW($B$3:$B$257),4^8),ROW(B183)))&amp;"","")</f>
        <v>翠色魔法</v>
      </c>
      <c r="B182" s="472" t="str">
        <f>IF(主要!$CO$7="O","远古野兽之语","")</f>
        <v>远古野兽之语</v>
      </c>
      <c r="C182" s="473" t="s">
        <v>6898</v>
      </c>
    </row>
    <row r="183" customHeight="1" spans="1:3">
      <c r="A183" s="454" t="str" cm="1">
        <f t="array" ref="A183">IFERROR(INDEX($B$1:$B$257,SMALL(IF($B$3:$B$257&lt;&gt;"",ROW($B$3:$B$257),4^8),ROW(B184)))&amp;"","")</f>
        <v>竖琴手协同</v>
      </c>
      <c r="B183" s="480" t="str">
        <f>IF(主要!$CO$7="O","林木之睿","")</f>
        <v>林木之睿</v>
      </c>
      <c r="C183" s="493" t="s">
        <v>6899</v>
      </c>
    </row>
    <row r="184" customHeight="1" spans="1:3">
      <c r="A184" s="454" t="str" cm="1">
        <f t="array" ref="A184">IFERROR(INDEX($B$1:$B$257,SMALL(IF($B$3:$B$257&lt;&gt;"",ROW($B$3:$B$257),4^8),ROW(B185)))&amp;"","")</f>
        <v>教团韧性</v>
      </c>
      <c r="B184" s="480" t="str">
        <f>IF(主要!$CO$7="O","战地医者","")</f>
        <v>战地医者</v>
      </c>
      <c r="C184" s="493" t="s">
        <v>6900</v>
      </c>
    </row>
    <row r="185" customHeight="1" spans="1:3">
      <c r="A185" s="454" t="str" cm="1">
        <f t="array" ref="A185">IFERROR(INDEX($B$1:$B$257,SMALL(IF($B$3:$B$257&lt;&gt;"",ROW($B$3:$B$257),4^8),ROW(B186)))&amp;"","")</f>
        <v>贵族信念</v>
      </c>
      <c r="B185" s="480" t="str">
        <f>IF(主要!$CO$7="O","炎焱觉者","")</f>
        <v>炎焱觉者</v>
      </c>
      <c r="C185" s="493" t="s">
        <v>6901</v>
      </c>
    </row>
    <row r="186" customHeight="1" spans="1:3">
      <c r="A186" s="454" t="str" cm="1">
        <f t="array" ref="A186">IFERROR(INDEX($B$1:$B$257,SMALL(IF($B$3:$B$257&lt;&gt;"",ROW($B$3:$B$257),4^8),ROW(B187)))&amp;"","")</f>
        <v>紫龙指挥官</v>
      </c>
      <c r="B186" s="480" t="str">
        <f>IF(主要!$CO$7="O","森木贤者","")</f>
        <v>森木贤者</v>
      </c>
      <c r="C186" s="493" t="s">
        <v>6902</v>
      </c>
    </row>
    <row r="187" customHeight="1" spans="1:3">
      <c r="A187" s="454" t="str" cm="1">
        <f t="array" ref="A187">IFERROR(INDEX($B$1:$B$257,SMALL(IF($B$3:$B$257&lt;&gt;"",ROW($B$3:$B$257),4^8),ROW(B188)))&amp;"","")</f>
        <v>咒火专家</v>
      </c>
      <c r="B187" s="480" t="str">
        <f>IF(主要!$CO$7="O","植物缮者","")</f>
        <v>植物缮者</v>
      </c>
      <c r="C187" s="493" t="s">
        <v>6903</v>
      </c>
    </row>
    <row r="188" customHeight="1" spans="1:3">
      <c r="A188" s="454" t="str" cm="1">
        <f t="array" ref="A188">IFERROR(INDEX($B$1:$B$257,SMALL(IF($B$3:$B$257&lt;&gt;"",ROW($B$3:$B$257),4^8),ROW(B189)))&amp;"","")</f>
        <v>散塔林会战术</v>
      </c>
      <c r="B188" s="494" t="str">
        <f>IF(主要!$CD$10="O","新晋龙巫教徒","")</f>
        <v>新晋龙巫教徒</v>
      </c>
      <c r="C188" s="495" t="s">
        <v>6904</v>
      </c>
    </row>
    <row r="189" customHeight="1" spans="1:3">
      <c r="A189" s="454" t="str" cm="1">
        <f t="array" ref="A189">IFERROR(INDEX($B$1:$B$257,SMALL(IF($B$3:$B$257&lt;&gt;"",ROW($B$3:$B$257),4^8),ROW(B190)))&amp;"","")</f>
        <v>寒地施法者</v>
      </c>
      <c r="B189" s="485" t="str">
        <f>IF(主要!$CD$10="O","翠绿闲庭新羽","")</f>
        <v>翠绿闲庭新羽</v>
      </c>
      <c r="C189" s="496" t="s">
        <v>6905</v>
      </c>
    </row>
    <row r="190" customHeight="1" spans="1:3">
      <c r="A190" s="454" t="str" cm="1">
        <f t="array" ref="A190">IFERROR(INDEX($B$1:$B$257,SMALL(IF($B$3:$B$257&lt;&gt;"",ROW($B$3:$B$257),4^8),ROW(B191)))&amp;"","")</f>
        <v>妖精诡术</v>
      </c>
      <c r="B190" s="485" t="str">
        <f>IF(主要!$CD$10="O","竖琴手特工","")</f>
        <v>竖琴手特工</v>
      </c>
      <c r="C190" s="496" t="s">
        <v>6906</v>
      </c>
    </row>
    <row r="191" customHeight="1" spans="1:3">
      <c r="A191" s="454" t="str" cm="1">
        <f t="array" ref="A191">IFERROR(INDEX($B$1:$B$257,SMALL(IF($B$3:$B$257&lt;&gt;"",ROW($B$3:$B$257),4^8),ROW(B192)))&amp;"","")</f>
        <v>巨灵魔法</v>
      </c>
      <c r="B191" s="485" t="str">
        <f>IF(主要!$CD$10="O","领主联盟特工","")</f>
        <v>领主联盟特工</v>
      </c>
      <c r="C191" s="496" t="s">
        <v>6907</v>
      </c>
    </row>
    <row r="192" customHeight="1" spans="1:3">
      <c r="A192" s="454" t="str" cm="1">
        <f t="array" ref="A192">IFERROR(INDEX($B$1:$B$257,SMALL(IF($B$3:$B$257&lt;&gt;"",ROW($B$3:$B$257),4^8),ROW(B193)))&amp;"","")</f>
        <v>迷锁触碰</v>
      </c>
      <c r="B192" s="485" t="str">
        <f>IF(主要!$CD$10="O","紫龙新兵","")</f>
        <v>紫龙新兵</v>
      </c>
      <c r="C192" s="496" t="s">
        <v>6908</v>
      </c>
    </row>
    <row r="193" customHeight="1" spans="1:3">
      <c r="A193" s="454" t="str" cm="1">
        <f t="array" ref="A193">IFERROR(INDEX($B$1:$B$257,SMALL(IF($B$3:$B$257&lt;&gt;"",ROW($B$3:$B$257),4^8),ROW(B194)))&amp;"","")</f>
        <v>街头正义</v>
      </c>
      <c r="B193" s="485" t="str">
        <f>IF(主要!$CD$10="O","咒火火花","")</f>
        <v>咒火火花</v>
      </c>
      <c r="C193" s="496" t="s">
        <v>6909</v>
      </c>
    </row>
    <row r="194" customHeight="1" spans="1:3">
      <c r="A194" s="454" t="str" cm="1">
        <f t="array" ref="A194">IFERROR(INDEX($B$1:$B$257,SMALL(IF($B$3:$B$257&lt;&gt;"",ROW($B$3:$B$257),4^8),ROW(B195)))&amp;"","")</f>
        <v>骄阳之子</v>
      </c>
      <c r="B194" s="485" t="str">
        <f>IF(主要!$CD$10="O","新锻臂铠","")</f>
        <v>新锻臂铠</v>
      </c>
      <c r="C194" s="496" t="s">
        <v>6910</v>
      </c>
    </row>
    <row r="195" customHeight="1" spans="1:3">
      <c r="A195" s="454" t="str" cm="1">
        <f t="array" ref="A195">IFERROR(INDEX($B$1:$B$257,SMALL(IF($B$3:$B$257&lt;&gt;"",ROW($B$3:$B$257),4^8),ROW(B196)))&amp;"","")</f>
        <v>影原咒者</v>
      </c>
      <c r="B195" s="485" t="str">
        <f>IF(主要!$CD$10="O","散塔林会暴徒","")</f>
        <v>散塔林会暴徒</v>
      </c>
      <c r="C195" s="496" t="s">
        <v>6911</v>
      </c>
    </row>
    <row r="196" customHeight="1" spans="1:3">
      <c r="A196" s="454" t="str" cm="1">
        <f t="array" ref="A196">IFERROR(INDEX($B$1:$B$257,SMALL(IF($B$3:$B$257&lt;&gt;"",ROW($B$3:$B$257),4^8),ROW(B197)))&amp;"","")</f>
        <v>异种龙纹</v>
      </c>
      <c r="B196" s="480" t="str">
        <f>IF(主要!$CD$10="O","龙之瘢","")</f>
        <v>龙之瘢</v>
      </c>
      <c r="C196" s="493" t="s">
        <v>6912</v>
      </c>
    </row>
    <row r="197" customHeight="1" spans="1:3">
      <c r="A197" s="454" t="str" cm="1">
        <f t="array" ref="A197">IFERROR(INDEX($B$1:$B$257,SMALL(IF($B$3:$B$257&lt;&gt;"",ROW($B$3:$B$257),4^8),ROW(B198)))&amp;"","")</f>
        <v>侦测龙纹</v>
      </c>
      <c r="B197" s="480" t="str">
        <f>IF(主要!$CD$10="O","翠色魔法","")</f>
        <v>翠色魔法</v>
      </c>
      <c r="C197" s="493" t="s">
        <v>6913</v>
      </c>
    </row>
    <row r="198" customHeight="1" spans="1:3">
      <c r="A198" s="454" t="str" cm="1">
        <f t="array" ref="A198">IFERROR(INDEX($B$1:$B$257,SMALL(IF($B$3:$B$257&lt;&gt;"",ROW($B$3:$B$257),4^8),ROW(B199)))&amp;"","")</f>
        <v>探索龙纹</v>
      </c>
      <c r="B198" s="480" t="str">
        <f>IF(主要!$CD$10="O","竖琴手协同","")</f>
        <v>竖琴手协同</v>
      </c>
      <c r="C198" s="493" t="s">
        <v>6914</v>
      </c>
    </row>
    <row r="199" customHeight="1" spans="1:3">
      <c r="A199" s="454" t="str" cm="1">
        <f t="array" ref="A199">IFERROR(INDEX($B$1:$B$257,SMALL(IF($B$3:$B$257&lt;&gt;"",ROW($B$3:$B$257),4^8),ROW(B200)))&amp;"","")</f>
        <v>畜牧龙纹</v>
      </c>
      <c r="B199" s="480" t="str">
        <f>IF(主要!$CD$10="O","教团韧性","")</f>
        <v>教团韧性</v>
      </c>
      <c r="C199" s="493" t="s">
        <v>6915</v>
      </c>
    </row>
    <row r="200" customHeight="1" spans="1:3">
      <c r="A200" s="454" t="str" cm="1">
        <f t="array" ref="A200">IFERROR(INDEX($B$1:$B$257,SMALL(IF($B$3:$B$257&lt;&gt;"",ROW($B$3:$B$257),4^8),ROW(B201)))&amp;"","")</f>
        <v>医疗龙纹</v>
      </c>
      <c r="B200" s="480" t="str">
        <f>IF(主要!$CD$10="O","贵族信念","")</f>
        <v>贵族信念</v>
      </c>
      <c r="C200" s="493" t="s">
        <v>6916</v>
      </c>
    </row>
    <row r="201" customHeight="1" spans="1:3">
      <c r="A201" s="454" t="str" cm="1">
        <f t="array" ref="A201">IFERROR(INDEX($B$1:$B$257,SMALL(IF($B$3:$B$257&lt;&gt;"",ROW($B$3:$B$257),4^8),ROW(B202)))&amp;"","")</f>
        <v>招待龙纹</v>
      </c>
      <c r="B201" s="480" t="str">
        <f>IF(主要!$CD$10="O","紫龙指挥官","")</f>
        <v>紫龙指挥官</v>
      </c>
      <c r="C201" s="493" t="s">
        <v>6917</v>
      </c>
    </row>
    <row r="202" customHeight="1" spans="1:3">
      <c r="A202" s="454" t="str" cm="1">
        <f t="array" ref="A202">IFERROR(INDEX($B$1:$B$257,SMALL(IF($B$3:$B$257&lt;&gt;"",ROW($B$3:$B$257),4^8),ROW(B203)))&amp;"","")</f>
        <v>创造龙纹</v>
      </c>
      <c r="B202" s="480" t="str">
        <f>IF(主要!$CD$10="O","咒火专家","")</f>
        <v>咒火专家</v>
      </c>
      <c r="C202" s="493" t="s">
        <v>6918</v>
      </c>
    </row>
    <row r="203" customHeight="1" spans="1:3">
      <c r="A203" s="454" t="str" cm="1">
        <f t="array" ref="A203">IFERROR(INDEX($B$1:$B$257,SMALL(IF($B$3:$B$257&lt;&gt;"",ROW($B$3:$B$257),4^8),ROW(B204)))&amp;"","")</f>
        <v>通行龙纹</v>
      </c>
      <c r="B203" s="480" t="str">
        <f>IF(主要!$CD$10="O","散塔林会战术","")</f>
        <v>散塔林会战术</v>
      </c>
      <c r="C203" s="493" t="s">
        <v>6919</v>
      </c>
    </row>
    <row r="204" customHeight="1" spans="1:3">
      <c r="A204" s="454" t="str" cm="1">
        <f t="array" ref="A204">IFERROR(INDEX($B$1:$B$257,SMALL(IF($B$3:$B$257&lt;&gt;"",ROW($B$3:$B$257),4^8),ROW(B205)))&amp;"","")</f>
        <v>抄录龙纹</v>
      </c>
      <c r="B204" s="480" t="str">
        <f>IF(主要!$CD$10="O","寒地施法者","")</f>
        <v>寒地施法者</v>
      </c>
      <c r="C204" s="493" t="s">
        <v>6920</v>
      </c>
    </row>
    <row r="205" customHeight="1" spans="1:3">
      <c r="A205" s="454" t="str" cm="1">
        <f t="array" ref="A205">IFERROR(INDEX($B$1:$B$257,SMALL(IF($B$3:$B$257&lt;&gt;"",ROW($B$3:$B$257),4^8),ROW(B206)))&amp;"","")</f>
        <v>哨戒龙纹</v>
      </c>
      <c r="B205" s="480" t="str">
        <f>IF(主要!$CD$10="O","妖精诡术","")</f>
        <v>妖精诡术</v>
      </c>
      <c r="C205" s="493" t="s">
        <v>6921</v>
      </c>
    </row>
    <row r="206" customHeight="1" spans="1:3">
      <c r="A206" s="454" t="str" cm="1">
        <f t="array" ref="A206">IFERROR(INDEX($B$1:$B$257,SMALL(IF($B$3:$B$257&lt;&gt;"",ROW($B$3:$B$257),4^8),ROW(B207)))&amp;"","")</f>
        <v>阴影龙纹</v>
      </c>
      <c r="B206" s="480" t="str">
        <f>IF(主要!$CD$10="O","巨灵魔法","")</f>
        <v>巨灵魔法</v>
      </c>
      <c r="C206" s="493" t="s">
        <v>6922</v>
      </c>
    </row>
    <row r="207" customHeight="1" spans="1:3">
      <c r="A207" s="454" t="str" cm="1">
        <f t="array" ref="A207">IFERROR(INDEX($B$1:$B$257,SMALL(IF($B$3:$B$257&lt;&gt;"",ROW($B$3:$B$257),4^8),ROW(B208)))&amp;"","")</f>
        <v>暴风龙纹</v>
      </c>
      <c r="B207" s="480" t="str">
        <f>IF(主要!$CD$10="O","迷锁触碰","")</f>
        <v>迷锁触碰</v>
      </c>
      <c r="C207" s="493" t="s">
        <v>6923</v>
      </c>
    </row>
    <row r="208" customHeight="1" spans="1:3">
      <c r="A208" s="454" t="str" cm="1">
        <f t="array" ref="A208">IFERROR(INDEX($B$1:$B$257,SMALL(IF($B$3:$B$257&lt;&gt;"",ROW($B$3:$B$257),4^8),ROW(B209)))&amp;"","")</f>
        <v>守御龙纹</v>
      </c>
      <c r="B208" s="480" t="str">
        <f>IF(主要!$CD$10="O","街头正义","")</f>
        <v>街头正义</v>
      </c>
      <c r="C208" s="493" t="s">
        <v>6924</v>
      </c>
    </row>
    <row r="209" customHeight="1" spans="1:3">
      <c r="A209" s="454" t="str" cm="1">
        <f t="array" ref="A209">IFERROR(INDEX($B$1:$B$257,SMALL(IF($B$3:$B$257&lt;&gt;"",ROW($B$3:$B$257),4^8),ROW(B210)))&amp;"","")</f>
        <v>高等异种龙纹</v>
      </c>
      <c r="B209" s="497" t="str">
        <f>IF(职业!$AT$6&gt;=19,IF(主要!$CD$10="O","血海漂橹之恩惠",""),"")</f>
        <v/>
      </c>
      <c r="C209" s="498" t="s">
        <v>6925</v>
      </c>
    </row>
    <row r="210" customHeight="1" spans="1:3">
      <c r="A210" s="454" t="str" cm="1">
        <f t="array" ref="A210">IFERROR(INDEX($B$1:$B$257,SMALL(IF($B$3:$B$257&lt;&gt;"",ROW($B$3:$B$257),4^8),ROW(B211)))&amp;"","")</f>
        <v>高等侦测龙纹</v>
      </c>
      <c r="B210" s="497" t="str">
        <f>IF(职业!$AT$6&gt;=19,IF(主要!$CD$10="O","生机勃发之恩惠",""),"")</f>
        <v/>
      </c>
      <c r="C210" s="498" t="s">
        <v>6926</v>
      </c>
    </row>
    <row r="211" customHeight="1" spans="1:3">
      <c r="A211" s="454" t="str" cm="1">
        <f t="array" ref="A211">IFERROR(INDEX($B$1:$B$257,SMALL(IF($B$3:$B$257&lt;&gt;"",ROW($B$3:$B$257),4^8),ROW(B212)))&amp;"","")</f>
        <v>高等探索龙纹</v>
      </c>
      <c r="B211" s="497" t="str">
        <f>IF(职业!$AT$6&gt;=19,IF(主要!$CD$10="O","八面玲珑之恩惠",""),"")</f>
        <v/>
      </c>
      <c r="C211" s="498" t="s">
        <v>6927</v>
      </c>
    </row>
    <row r="212" customHeight="1" spans="1:3">
      <c r="A212" s="454" t="str" cm="1">
        <f t="array" ref="A212">IFERROR(INDEX($B$1:$B$257,SMALL(IF($B$3:$B$257&lt;&gt;"",ROW($B$3:$B$257),4^8),ROW(B213)))&amp;"","")</f>
        <v>高等畜牧龙纹</v>
      </c>
      <c r="B212" s="497" t="str">
        <f>IF(职业!$AT$6&gt;=19,IF(主要!$CD$10="O","绝境逢生之恩惠",""),"")</f>
        <v/>
      </c>
      <c r="C212" s="498" t="s">
        <v>6928</v>
      </c>
    </row>
    <row r="213" customHeight="1" spans="1:3">
      <c r="A213" s="454" t="str" cm="1">
        <f t="array" ref="A213">IFERROR(INDEX($B$1:$B$257,SMALL(IF($B$3:$B$257&lt;&gt;"",ROW($B$3:$B$257),4^8),ROW(B214)))&amp;"","")</f>
        <v>高等医疗龙纹</v>
      </c>
      <c r="B213" s="497" t="str">
        <f>IF(职业!$AT$6&gt;=19,IF(主要!$CD$10="O","熠熠生辉之恩惠",""),"")</f>
        <v/>
      </c>
      <c r="C213" s="498" t="s">
        <v>6929</v>
      </c>
    </row>
    <row r="214" customHeight="1" spans="1:3">
      <c r="A214" s="454" t="str" cm="1">
        <f t="array" ref="A214">IFERROR(INDEX($B$1:$B$257,SMALL(IF($B$3:$B$257&lt;&gt;"",ROW($B$3:$B$257),4^8),ROW(B215)))&amp;"","")</f>
        <v>高等招待龙纹</v>
      </c>
      <c r="B214" s="497" t="str">
        <f>IF(职业!$AT$6&gt;=19,IF(主要!$CD$10="O","变幻无常之恩惠",""),"")</f>
        <v/>
      </c>
      <c r="C214" s="498" t="s">
        <v>6930</v>
      </c>
    </row>
    <row r="215" customHeight="1" spans="1:3">
      <c r="A215" s="454" t="str" cm="1">
        <f t="array" ref="A215">IFERROR(INDEX($B$1:$B$257,SMALL(IF($B$3:$B$257&lt;&gt;"",ROW($B$3:$B$257),4^8),ROW(B216)))&amp;"","")</f>
        <v>高等创造龙纹</v>
      </c>
      <c r="B215" s="497" t="str">
        <f>IF(职业!$AT$6&gt;=19,IF(主要!$CD$10="O","命运眷顾之恩惠",""),"")</f>
        <v/>
      </c>
      <c r="C215" s="498" t="s">
        <v>6931</v>
      </c>
    </row>
    <row r="216" customHeight="1" spans="1:3">
      <c r="A216" s="454" t="str" cm="1">
        <f t="array" ref="A216">IFERROR(INDEX($B$1:$B$257,SMALL(IF($B$3:$B$257&lt;&gt;"",ROW($B$3:$B$257),4^8),ROW(B217)))&amp;"","")</f>
        <v>高等通行龙纹</v>
      </c>
      <c r="B216" s="497" t="str">
        <f>IF(职业!$AT$6&gt;=19,IF(主要!$CD$10="O","毒手殁心之恩惠",""),"")</f>
        <v/>
      </c>
      <c r="C216" s="498" t="s">
        <v>6932</v>
      </c>
    </row>
    <row r="217" customHeight="1" spans="1:3">
      <c r="A217" s="454" t="str" cm="1">
        <f t="array" ref="A217">IFERROR(INDEX($B$1:$B$257,SMALL(IF($B$3:$B$257&lt;&gt;"",ROW($B$3:$B$257),4^8),ROW(B218)))&amp;"","")</f>
        <v>高等抄录龙纹</v>
      </c>
      <c r="B217" s="497" t="str">
        <f>IF(职业!$AT$6&gt;=19,IF(主要!$CD$10="O","夜宴狂欢之恩惠",""),"")</f>
        <v/>
      </c>
      <c r="C217" s="498" t="s">
        <v>6933</v>
      </c>
    </row>
    <row r="218" customHeight="1" spans="1:3">
      <c r="A218" s="454" t="str" cm="1">
        <f t="array" ref="A218">IFERROR(INDEX($B$1:$B$257,SMALL(IF($B$3:$B$257&lt;&gt;"",ROW($B$3:$B$257),4^8),ROW(B219)))&amp;"","")</f>
        <v>高等哨戒龙纹</v>
      </c>
      <c r="B218" s="497" t="str">
        <f>IF(职业!$AT$6&gt;=19,IF(主要!$CD$10="O","惊魂落魄之恩惠",""),"")</f>
        <v/>
      </c>
      <c r="C218" s="498" t="s">
        <v>6934</v>
      </c>
    </row>
    <row r="219" customHeight="1" spans="1:3">
      <c r="A219" s="454" t="str" cm="1">
        <f t="array" ref="A219">IFERROR(INDEX($B$1:$B$257,SMALL(IF($B$3:$B$257&lt;&gt;"",ROW($B$3:$B$257),4^8),ROW(B220)))&amp;"","")</f>
        <v>高等阴影龙纹</v>
      </c>
      <c r="B219" s="497" t="str">
        <f>IF(职业!$AT$6&gt;=19,IF(主要!$CD$10="O","旭日骄阳之恩惠",""),"")</f>
        <v/>
      </c>
      <c r="C219" s="498" t="s">
        <v>6935</v>
      </c>
    </row>
    <row r="220" customHeight="1" spans="1:3">
      <c r="A220" s="454" t="str" cm="1">
        <f t="array" ref="A220">IFERROR(INDEX($B$1:$B$257,SMALL(IF($B$3:$B$257&lt;&gt;"",ROW($B$3:$B$257),4^8),ROW(B221)))&amp;"","")</f>
        <v>高等暴风龙纹</v>
      </c>
      <c r="B220" s="497" t="str">
        <f>IF(职业!$AT$6&gt;=19,IF(主要!$CD$10="O","暴风骤岚之恩惠",""),"")</f>
        <v/>
      </c>
      <c r="C220" s="498" t="s">
        <v>6936</v>
      </c>
    </row>
    <row r="221" customHeight="1" spans="1:3">
      <c r="A221" s="454" t="str" cm="1">
        <f t="array" ref="A221">IFERROR(INDEX($B$1:$B$257,SMALL(IF($B$3:$B$257&lt;&gt;"",ROW($B$3:$B$257),4^8),ROW(B222)))&amp;"","")</f>
        <v>高等守御龙纹</v>
      </c>
      <c r="B221" s="497" t="str">
        <f>IF(职业!$AT$6&gt;=19,IF(主要!$CD$10="O","饮魂汲魄之恩惠",""),"")</f>
        <v/>
      </c>
      <c r="C221" s="498" t="s">
        <v>6937</v>
      </c>
    </row>
    <row r="222" customHeight="1" spans="1:3">
      <c r="A222" s="454" t="str" cm="1">
        <f t="array" ref="A222">IFERROR(INDEX($B$1:$B$257,SMALL(IF($B$3:$B$257&lt;&gt;"",ROW($B$3:$B$257),4^8),ROW(B223)))&amp;"","")</f>
        <v>强效龙纹</v>
      </c>
      <c r="B222" s="499" t="str">
        <f>IF(主要!$CD$11="O","骄阳之子","")</f>
        <v>骄阳之子</v>
      </c>
      <c r="C222" s="500" t="s">
        <v>6938</v>
      </c>
    </row>
    <row r="223" customHeight="1" spans="1:3">
      <c r="A223" s="454" t="str" cm="1">
        <f t="array" ref="A223">IFERROR(INDEX($B$1:$B$257,SMALL(IF($B$3:$B$257&lt;&gt;"",ROW($B$3:$B$257),4^8),ROW(B224)))&amp;"","")</f>
        <v>自定义专长1</v>
      </c>
      <c r="B223" s="480" t="str">
        <f>IF(主要!$CD$11="O","影原咒者","")</f>
        <v>影原咒者</v>
      </c>
      <c r="C223" s="493" t="s">
        <v>6939</v>
      </c>
    </row>
    <row r="224" customHeight="1" spans="1:3">
      <c r="A224" s="454" t="str" cm="1">
        <f t="array" ref="A224">IFERROR(INDEX($B$1:$B$257,SMALL(IF($B$3:$B$257&lt;&gt;"",ROW($B$3:$B$257),4^8),ROW(B225)))&amp;"","")</f>
        <v>自定义专长2</v>
      </c>
      <c r="B224" s="501" t="str">
        <f>IF(主要!$CD$13="O","异种龙纹","")</f>
        <v>异种龙纹</v>
      </c>
      <c r="C224" s="502" t="s">
        <v>6940</v>
      </c>
    </row>
    <row r="225" customHeight="1" spans="1:3">
      <c r="A225" s="454" t="str" cm="1">
        <f t="array" ref="A225">IFERROR(INDEX($B$1:$B$257,SMALL(IF($B$3:$B$257&lt;&gt;"",ROW($B$3:$B$257),4^8),ROW(B226)))&amp;"","")</f>
        <v>自定义专长3</v>
      </c>
      <c r="B225" s="503" t="str">
        <f>IF(主要!$CD$13="O","侦测龙纹","")</f>
        <v>侦测龙纹</v>
      </c>
      <c r="C225" s="504" t="s">
        <v>6941</v>
      </c>
    </row>
    <row r="226" customHeight="1" spans="1:3">
      <c r="A226" s="454" t="str" cm="1">
        <f t="array" ref="A226">IFERROR(INDEX($B$1:$B$257,SMALL(IF($B$3:$B$257&lt;&gt;"",ROW($B$3:$B$257),4^8),ROW(B227)))&amp;"","")</f>
        <v/>
      </c>
      <c r="B226" s="503" t="str">
        <f>IF(主要!$CD$13="O","探索龙纹","")</f>
        <v>探索龙纹</v>
      </c>
      <c r="C226" s="504" t="s">
        <v>6942</v>
      </c>
    </row>
    <row r="227" customHeight="1" spans="1:3">
      <c r="A227" s="454" t="str" cm="1">
        <f t="array" ref="A227">IFERROR(INDEX($B$1:$B$257,SMALL(IF($B$3:$B$257&lt;&gt;"",ROW($B$3:$B$257),4^8),ROW(B228)))&amp;"","")</f>
        <v/>
      </c>
      <c r="B227" s="503" t="str">
        <f>IF(主要!$CD$13="O","畜牧龙纹","")</f>
        <v>畜牧龙纹</v>
      </c>
      <c r="C227" s="504" t="s">
        <v>6943</v>
      </c>
    </row>
    <row r="228" customHeight="1" spans="1:3">
      <c r="A228" s="454" t="str" cm="1">
        <f t="array" ref="A228">IFERROR(INDEX($B$1:$B$257,SMALL(IF($B$3:$B$257&lt;&gt;"",ROW($B$3:$B$257),4^8),ROW(B229)))&amp;"","")</f>
        <v/>
      </c>
      <c r="B228" s="503" t="str">
        <f>IF(主要!$CD$13="O","医疗龙纹","")</f>
        <v>医疗龙纹</v>
      </c>
      <c r="C228" s="504" t="s">
        <v>6944</v>
      </c>
    </row>
    <row r="229" customHeight="1" spans="1:3">
      <c r="A229" s="454" t="str" cm="1">
        <f t="array" ref="A229">IFERROR(INDEX($B$1:$B$257,SMALL(IF($B$3:$B$257&lt;&gt;"",ROW($B$3:$B$257),4^8),ROW(B230)))&amp;"","")</f>
        <v/>
      </c>
      <c r="B229" s="503" t="str">
        <f>IF(主要!$CD$13="O","招待龙纹","")</f>
        <v>招待龙纹</v>
      </c>
      <c r="C229" s="504" t="s">
        <v>6945</v>
      </c>
    </row>
    <row r="230" customHeight="1" spans="1:3">
      <c r="A230" s="454" t="str" cm="1">
        <f t="array" ref="A230">IFERROR(INDEX($B$1:$B$257,SMALL(IF($B$3:$B$257&lt;&gt;"",ROW($B$3:$B$257),4^8),ROW(B231)))&amp;"","")</f>
        <v/>
      </c>
      <c r="B230" s="503" t="str">
        <f>IF(主要!$CD$13="O","创造龙纹","")</f>
        <v>创造龙纹</v>
      </c>
      <c r="C230" s="504" t="s">
        <v>6946</v>
      </c>
    </row>
    <row r="231" customHeight="1" spans="1:3">
      <c r="A231" s="454" t="str" cm="1">
        <f t="array" ref="A231">IFERROR(INDEX($B$1:$B$257,SMALL(IF($B$3:$B$257&lt;&gt;"",ROW($B$3:$B$257),4^8),ROW(B232)))&amp;"","")</f>
        <v/>
      </c>
      <c r="B231" s="503" t="str">
        <f>IF(主要!$CD$13="O","通行龙纹","")</f>
        <v>通行龙纹</v>
      </c>
      <c r="C231" s="504" t="s">
        <v>6947</v>
      </c>
    </row>
    <row r="232" customHeight="1" spans="1:3">
      <c r="A232" s="454" t="str" cm="1">
        <f t="array" ref="A232">IFERROR(INDEX($B$1:$B$257,SMALL(IF($B$3:$B$257&lt;&gt;"",ROW($B$3:$B$257),4^8),ROW(B233)))&amp;"","")</f>
        <v/>
      </c>
      <c r="B232" s="503" t="str">
        <f>IF(主要!$CD$13="O","抄录龙纹","")</f>
        <v>抄录龙纹</v>
      </c>
      <c r="C232" s="504" t="s">
        <v>6948</v>
      </c>
    </row>
    <row r="233" customHeight="1" spans="1:3">
      <c r="A233" s="454" t="str" cm="1">
        <f t="array" ref="A233">IFERROR(INDEX($B$1:$B$257,SMALL(IF($B$3:$B$257&lt;&gt;"",ROW($B$3:$B$257),4^8),ROW(B234)))&amp;"","")</f>
        <v/>
      </c>
      <c r="B233" s="503" t="str">
        <f>IF(主要!$CD$13="O","哨戒龙纹","")</f>
        <v>哨戒龙纹</v>
      </c>
      <c r="C233" s="504" t="s">
        <v>6949</v>
      </c>
    </row>
    <row r="234" customHeight="1" spans="1:3">
      <c r="A234" s="454" t="str" cm="1">
        <f t="array" ref="A234">IFERROR(INDEX($B$1:$B$257,SMALL(IF($B$3:$B$257&lt;&gt;"",ROW($B$3:$B$257),4^8),ROW(B235)))&amp;"","")</f>
        <v/>
      </c>
      <c r="B234" s="503" t="str">
        <f>IF(主要!$CD$13="O","阴影龙纹","")</f>
        <v>阴影龙纹</v>
      </c>
      <c r="C234" s="504" t="s">
        <v>6950</v>
      </c>
    </row>
    <row r="235" customHeight="1" spans="1:3">
      <c r="A235" s="454" t="str" cm="1">
        <f t="array" ref="A235">IFERROR(INDEX($B$1:$B$257,SMALL(IF($B$3:$B$257&lt;&gt;"",ROW($B$3:$B$257),4^8),ROW(B236)))&amp;"","")</f>
        <v/>
      </c>
      <c r="B235" s="503" t="str">
        <f>IF(主要!$CD$13="O","暴风龙纹","")</f>
        <v>暴风龙纹</v>
      </c>
      <c r="C235" s="504" t="s">
        <v>6951</v>
      </c>
    </row>
    <row r="236" customHeight="1" spans="1:3">
      <c r="A236" s="454" t="str" cm="1">
        <f t="array" ref="A236">IFERROR(INDEX($B$1:$B$257,SMALL(IF($B$3:$B$257&lt;&gt;"",ROW($B$3:$B$257),4^8),ROW(B237)))&amp;"","")</f>
        <v/>
      </c>
      <c r="B236" s="503" t="str">
        <f>IF(主要!$CD$13="O","守御龙纹","")</f>
        <v>守御龙纹</v>
      </c>
      <c r="C236" s="504" t="s">
        <v>6952</v>
      </c>
    </row>
    <row r="237" customHeight="1" spans="1:3">
      <c r="A237" s="454" t="str" cm="1">
        <f t="array" ref="A237">IFERROR(INDEX($B$1:$B$257,SMALL(IF($B$3:$B$257&lt;&gt;"",ROW($B$3:$B$257),4^8),ROW(B238)))&amp;"","")</f>
        <v/>
      </c>
      <c r="B237" s="503" t="str">
        <f>IF(主要!$CD$13="O","高等异种龙纹","")</f>
        <v>高等异种龙纹</v>
      </c>
      <c r="C237" s="504" t="s">
        <v>6953</v>
      </c>
    </row>
    <row r="238" customHeight="1" spans="1:3">
      <c r="A238" s="454" t="str" cm="1">
        <f t="array" ref="A238">IFERROR(INDEX($B$1:$B$257,SMALL(IF($B$3:$B$257&lt;&gt;"",ROW($B$3:$B$257),4^8),ROW(B239)))&amp;"","")</f>
        <v/>
      </c>
      <c r="B238" s="503" t="str">
        <f>IF(主要!$CD$13="O","高等侦测龙纹","")</f>
        <v>高等侦测龙纹</v>
      </c>
      <c r="C238" s="504" t="s">
        <v>6954</v>
      </c>
    </row>
    <row r="239" customHeight="1" spans="1:3">
      <c r="A239" s="454" t="str" cm="1">
        <f t="array" ref="A239">IFERROR(INDEX($B$1:$B$257,SMALL(IF($B$3:$B$257&lt;&gt;"",ROW($B$3:$B$257),4^8),ROW(B240)))&amp;"","")</f>
        <v/>
      </c>
      <c r="B239" s="503" t="str">
        <f>IF(主要!$CD$13="O","高等探索龙纹","")</f>
        <v>高等探索龙纹</v>
      </c>
      <c r="C239" s="504" t="s">
        <v>6955</v>
      </c>
    </row>
    <row r="240" customHeight="1" spans="1:3">
      <c r="A240" s="454" t="str" cm="1">
        <f t="array" ref="A240">IFERROR(INDEX($B$1:$B$257,SMALL(IF($B$3:$B$257&lt;&gt;"",ROW($B$3:$B$257),4^8),ROW(B241)))&amp;"","")</f>
        <v/>
      </c>
      <c r="B240" s="503" t="str">
        <f>IF(主要!$CD$13="O","高等畜牧龙纹","")</f>
        <v>高等畜牧龙纹</v>
      </c>
      <c r="C240" s="504" t="s">
        <v>6956</v>
      </c>
    </row>
    <row r="241" customHeight="1" spans="1:3">
      <c r="A241" s="454" t="str" cm="1">
        <f t="array" ref="A241">IFERROR(INDEX($B$1:$B$257,SMALL(IF($B$3:$B$257&lt;&gt;"",ROW($B$3:$B$257),4^8),ROW(B242)))&amp;"","")</f>
        <v/>
      </c>
      <c r="B241" s="503" t="str">
        <f>IF(主要!$CD$13="O","高等医疗龙纹","")</f>
        <v>高等医疗龙纹</v>
      </c>
      <c r="C241" s="504" t="s">
        <v>6957</v>
      </c>
    </row>
    <row r="242" customHeight="1" spans="1:3">
      <c r="A242" s="454" t="str" cm="1">
        <f t="array" ref="A242">IFERROR(INDEX($B$1:$B$257,SMALL(IF($B$3:$B$257&lt;&gt;"",ROW($B$3:$B$257),4^8),ROW(B243)))&amp;"","")</f>
        <v/>
      </c>
      <c r="B242" s="503" t="str">
        <f>IF(主要!$CD$13="O","高等招待龙纹","")</f>
        <v>高等招待龙纹</v>
      </c>
      <c r="C242" s="504" t="s">
        <v>6958</v>
      </c>
    </row>
    <row r="243" customHeight="1" spans="1:3">
      <c r="A243" s="454" t="str" cm="1">
        <f t="array" ref="A243">IFERROR(INDEX($B$1:$B$257,SMALL(IF($B$3:$B$257&lt;&gt;"",ROW($B$3:$B$257),4^8),ROW(B244)))&amp;"","")</f>
        <v/>
      </c>
      <c r="B243" s="503" t="str">
        <f>IF(主要!$CD$13="O","高等创造龙纹","")</f>
        <v>高等创造龙纹</v>
      </c>
      <c r="C243" s="504" t="s">
        <v>6959</v>
      </c>
    </row>
    <row r="244" customHeight="1" spans="1:3">
      <c r="A244" s="454" t="str" cm="1">
        <f t="array" ref="A244">IFERROR(INDEX($B$1:$B$257,SMALL(IF($B$3:$B$257&lt;&gt;"",ROW($B$3:$B$257),4^8),ROW(B245)))&amp;"","")</f>
        <v/>
      </c>
      <c r="B244" s="503" t="str">
        <f>IF(主要!$CD$13="O","高等通行龙纹","")</f>
        <v>高等通行龙纹</v>
      </c>
      <c r="C244" s="504" t="s">
        <v>6960</v>
      </c>
    </row>
    <row r="245" customHeight="1" spans="1:3">
      <c r="A245" s="454" t="str" cm="1">
        <f t="array" ref="A245">IFERROR(INDEX($B$1:$B$257,SMALL(IF($B$3:$B$257&lt;&gt;"",ROW($B$3:$B$257),4^8),ROW(B246)))&amp;"","")</f>
        <v/>
      </c>
      <c r="B245" s="503" t="str">
        <f>IF(主要!$CD$13="O","高等抄录龙纹","")</f>
        <v>高等抄录龙纹</v>
      </c>
      <c r="C245" s="504" t="s">
        <v>6961</v>
      </c>
    </row>
    <row r="246" customHeight="1" spans="1:3">
      <c r="A246" s="454" t="str" cm="1">
        <f t="array" ref="A246">IFERROR(INDEX($B$1:$B$257,SMALL(IF($B$3:$B$257&lt;&gt;"",ROW($B$3:$B$257),4^8),ROW(B247)))&amp;"","")</f>
        <v/>
      </c>
      <c r="B246" s="503" t="str">
        <f>IF(主要!$CD$13="O","高等哨戒龙纹","")</f>
        <v>高等哨戒龙纹</v>
      </c>
      <c r="C246" s="504" t="s">
        <v>6962</v>
      </c>
    </row>
    <row r="247" customHeight="1" spans="1:3">
      <c r="A247" s="454" t="str" cm="1">
        <f t="array" ref="A247">IFERROR(INDEX($B$1:$B$257,SMALL(IF($B$3:$B$257&lt;&gt;"",ROW($B$3:$B$257),4^8),ROW(B248)))&amp;"","")</f>
        <v/>
      </c>
      <c r="B247" s="503" t="str">
        <f>IF(主要!$CD$13="O","高等阴影龙纹","")</f>
        <v>高等阴影龙纹</v>
      </c>
      <c r="C247" s="504" t="s">
        <v>6963</v>
      </c>
    </row>
    <row r="248" customHeight="1" spans="1:3">
      <c r="A248" s="454" t="str" cm="1">
        <f t="array" ref="A248">IFERROR(INDEX($B$1:$B$257,SMALL(IF($B$3:$B$257&lt;&gt;"",ROW($B$3:$B$257),4^8),ROW(B249)))&amp;"","")</f>
        <v/>
      </c>
      <c r="B248" s="503" t="str">
        <f>IF(主要!$CD$13="O","高等暴风龙纹","")</f>
        <v>高等暴风龙纹</v>
      </c>
      <c r="C248" s="504" t="s">
        <v>6964</v>
      </c>
    </row>
    <row r="249" customHeight="1" spans="1:3">
      <c r="A249" s="454" t="str" cm="1">
        <f t="array" ref="A249">IFERROR(INDEX($B$1:$B$257,SMALL(IF($B$3:$B$257&lt;&gt;"",ROW($B$3:$B$257),4^8),ROW(B250)))&amp;"","")</f>
        <v/>
      </c>
      <c r="B249" s="503" t="str">
        <f>IF(主要!$CD$13="O","高等守御龙纹","")</f>
        <v>高等守御龙纹</v>
      </c>
      <c r="C249" s="504" t="s">
        <v>6965</v>
      </c>
    </row>
    <row r="250" customHeight="1" spans="1:3">
      <c r="A250" s="454" t="str" cm="1">
        <f t="array" ref="A250">IFERROR(INDEX($B$1:$B$257,SMALL(IF($B$3:$B$257&lt;&gt;"",ROW($B$3:$B$257),4^8),ROW(B251)))&amp;"","")</f>
        <v/>
      </c>
      <c r="B250" s="503" t="str">
        <f>IF(主要!$CD$13="O","强效龙纹","")</f>
        <v>强效龙纹</v>
      </c>
      <c r="C250" s="504" t="s">
        <v>6966</v>
      </c>
    </row>
    <row r="251" customHeight="1" spans="1:3">
      <c r="A251" s="454" t="str" cm="1">
        <f t="array" ref="A251">IFERROR(INDEX($B$1:$B$257,SMALL(IF($B$3:$B$257&lt;&gt;"",ROW($B$3:$B$257),4^8),ROW(B252)))&amp;"","")</f>
        <v/>
      </c>
      <c r="B251" s="503" t="str">
        <f>IF(职业!$AT$6&gt;=19,IF(主要!$CD$13="O","西伯瑞斯之恩惠",""),"")</f>
        <v/>
      </c>
      <c r="C251" s="504" t="s">
        <v>6967</v>
      </c>
    </row>
    <row r="252" customHeight="1" spans="1:3">
      <c r="A252" s="454" t="str" cm="1">
        <f t="array" ref="A252">IFERROR(INDEX($B$1:$B$257,SMALL(IF($B$3:$B$257&lt;&gt;"",ROW($B$3:$B$257),4^8),ROW(B253)))&amp;"","")</f>
        <v/>
      </c>
      <c r="B252" s="480"/>
      <c r="C252" s="493"/>
    </row>
    <row r="253" customHeight="1" spans="1:3">
      <c r="A253" s="454" t="str" cm="1">
        <f t="array" ref="A253">IFERROR(INDEX($B$1:$B$257,SMALL(IF($B$3:$B$257&lt;&gt;"",ROW($B$3:$B$257),4^8),ROW(B254)))&amp;"","")</f>
        <v/>
      </c>
      <c r="B253" s="480"/>
      <c r="C253" s="493"/>
    </row>
    <row r="254" customHeight="1" spans="1:1">
      <c r="A254" s="454" t="str" cm="1">
        <f t="array" ref="A254">IFERROR(INDEX($B$1:$B$257,SMALL(IF($B$3:$B$257&lt;&gt;"",ROW($B$3:$B$257),4^8),ROW(B255)))&amp;"","")</f>
        <v/>
      </c>
    </row>
    <row r="255" customHeight="1" spans="1:3">
      <c r="A255" s="454" t="str" cm="1">
        <f t="array" ref="A255">IFERROR(INDEX($B$1:$B$257,SMALL(IF($B$3:$B$257&lt;&gt;"",ROW($B$3:$B$257),4^8),ROW(B256)))&amp;"","")</f>
        <v/>
      </c>
      <c r="B255" s="505" t="str">
        <f>自定义调整栏!Q20</f>
        <v>自定义专长1</v>
      </c>
      <c r="C255" s="506" t="str">
        <f>自定义调整栏!S20</f>
        <v>-</v>
      </c>
    </row>
    <row r="256" customHeight="1" spans="1:3">
      <c r="A256" s="454" t="str" cm="1">
        <f t="array" ref="A256">IFERROR(INDEX($B$1:$B$257,SMALL(IF($B$3:$B$257&lt;&gt;"",ROW($B$3:$B$257),4^8),ROW(B257)))&amp;"","")</f>
        <v/>
      </c>
      <c r="B256" s="507" t="str">
        <f>自定义调整栏!Q21</f>
        <v>自定义专长2</v>
      </c>
      <c r="C256" s="508" t="str">
        <f>自定义调整栏!S21</f>
        <v>-</v>
      </c>
    </row>
    <row r="257" customHeight="1" spans="1:3">
      <c r="A257" s="454" t="str" cm="1">
        <f t="array" ref="A257">IFERROR(INDEX($B$1:$B$257,SMALL(IF($B$3:$B$257&lt;&gt;"",ROW($B$3:$B$257),4^8),ROW(B258)))&amp;"","")</f>
        <v/>
      </c>
      <c r="B257" s="509" t="str">
        <f>自定义调整栏!Q22</f>
        <v>自定义专长3</v>
      </c>
      <c r="C257" s="510" t="str">
        <f>自定义调整栏!S22</f>
        <v>-</v>
      </c>
    </row>
  </sheetData>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O142"/>
  <sheetViews>
    <sheetView zoomScale="85" zoomScaleNormal="85" workbookViewId="0">
      <pane ySplit="1" topLeftCell="A116" activePane="bottomLeft" state="frozen"/>
      <selection/>
      <selection pane="bottomLeft" activeCell="C143" sqref="C143"/>
    </sheetView>
  </sheetViews>
  <sheetFormatPr defaultColWidth="9.33636363636364" defaultRowHeight="14.4" customHeight="1"/>
  <cols>
    <col min="1" max="1" width="29.5545454545455" style="442" customWidth="1"/>
    <col min="2" max="2" width="20.4454545454545" style="442" customWidth="1"/>
    <col min="3" max="3" width="10.7818181818182" style="442" customWidth="1"/>
    <col min="4" max="4" width="16.6636363636364" style="442" customWidth="1"/>
    <col min="5" max="7" width="19.4454545454545" style="442" customWidth="1"/>
    <col min="8" max="8" width="62.7818181818182" style="442" customWidth="1"/>
    <col min="9" max="16384" width="9.33636363636364" style="442"/>
  </cols>
  <sheetData>
    <row r="1" customHeight="1" spans="2:15">
      <c r="B1" s="443" t="s">
        <v>9</v>
      </c>
      <c r="C1" s="443" t="s">
        <v>5</v>
      </c>
      <c r="D1" s="443" t="s">
        <v>6</v>
      </c>
      <c r="E1" s="443" t="s">
        <v>8</v>
      </c>
      <c r="F1" s="443" t="s">
        <v>11</v>
      </c>
      <c r="G1" s="443" t="s">
        <v>155</v>
      </c>
      <c r="H1" s="444" t="s">
        <v>3</v>
      </c>
      <c r="I1" s="443" t="s">
        <v>6968</v>
      </c>
      <c r="J1" s="443" t="s">
        <v>5</v>
      </c>
      <c r="K1" s="443" t="s">
        <v>6</v>
      </c>
      <c r="L1" s="443" t="s">
        <v>8</v>
      </c>
      <c r="M1" s="443" t="s">
        <v>11</v>
      </c>
      <c r="N1" s="443" t="s">
        <v>155</v>
      </c>
      <c r="O1" s="443" t="s">
        <v>3</v>
      </c>
    </row>
    <row r="2" customHeight="1" spans="1:15">
      <c r="A2" s="442" t="str" cm="1">
        <f t="array" ref="A2">IFERROR(INDEX($B$1:$B$141,SMALL(IF($B$1:$B$141&lt;&gt;"",ROW($B$1:$B$141),4^8),ROW(2:2)))&amp;"","")</f>
        <v>自定义背景</v>
      </c>
      <c r="B2" s="442" t="s">
        <v>10</v>
      </c>
      <c r="C2" s="442" t="s">
        <v>6969</v>
      </c>
      <c r="D2" s="442" t="s">
        <v>6970</v>
      </c>
      <c r="E2" s="442" t="s">
        <v>6971</v>
      </c>
      <c r="F2" s="442" t="s">
        <v>6972</v>
      </c>
      <c r="G2" s="442" t="s">
        <v>6973</v>
      </c>
      <c r="H2" s="445" t="s">
        <v>6974</v>
      </c>
      <c r="I2" s="442" t="str">
        <f>起源!E6</f>
        <v>自定义背景</v>
      </c>
      <c r="J2" s="442" t="str">
        <f>IFERROR(VLOOKUP($I$2,$B$2:$H$141,2,FALSE),"")</f>
        <v>见注释，或自选至多三项</v>
      </c>
      <c r="K2" s="442" t="str">
        <f>IFERROR(VLOOKUP($I$2,$B$2:$H$141,3,FALSE),"")</f>
        <v>自选一项起源专长</v>
      </c>
      <c r="L2" s="442" t="str">
        <f>IFERROR(VLOOKUP($I$2,$B$2:$H$141,4,FALSE),"")</f>
        <v>自选两个适合背景的技能</v>
      </c>
      <c r="M2" s="442" t="str">
        <f>IFERROR(VLOOKUP($I$2,$B$2:$H$141,5,FALSE),"")</f>
        <v>选择一个工具，它与该背景有关，或是经常被该背景的人使用</v>
      </c>
      <c r="N2" s="442" t="str">
        <f>IFERROR(VLOOKUP($I$2,$B$2:$H$141,6,FALSE),"")</f>
        <v>组合一套价值50GP的装备（购买完毕后多余的钱也会包含在其内）。不要将包含军用武器和护甲包含在背景给予的装备中，角色会从其职业中获得这两样装备。</v>
      </c>
      <c r="O2" s="442" t="str">
        <f>IFERROR(VLOOKUP($I$2,$B$2:$H$141,7,FALSE),"")</f>
        <v>角色的背景代表了这个角色在成为冒险者之前的经历。通过创建一个独特的背景或对玩家手册中现有的背景进行修改，你可以反映战役的特定主题或是你世界中的独特元素。你也可以通过创建新的背景来帮助玩家为他们的角色制作心目中的起源故事。</v>
      </c>
    </row>
    <row r="3" customHeight="1" spans="1:8">
      <c r="A3" s="442" t="str" cm="1">
        <f t="array" ref="A3">IFERROR(INDEX($B$1:$B$141,SMALL(IF($B$1:$B$141&lt;&gt;"",ROW($B$1:$B$141),4^8),ROW(3:3)))&amp;"","")</f>
        <v>侍僧</v>
      </c>
      <c r="B3" s="442" t="s">
        <v>6975</v>
      </c>
      <c r="C3" s="442" t="s">
        <v>6976</v>
      </c>
      <c r="D3" s="442" t="s">
        <v>6977</v>
      </c>
      <c r="E3" s="442" t="s">
        <v>6978</v>
      </c>
      <c r="F3" s="442" t="s">
        <v>4947</v>
      </c>
      <c r="G3" s="442" t="s">
        <v>6979</v>
      </c>
      <c r="H3" s="445" t="s">
        <v>6980</v>
      </c>
    </row>
    <row r="4" customHeight="1" spans="1:8">
      <c r="A4" s="442" t="str" cm="1">
        <f t="array" ref="A4">IFERROR(INDEX($B$1:$B$141,SMALL(IF($B$1:$B$141&lt;&gt;"",ROW($B$1:$B$141),4^8),ROW(4:4)))&amp;"","")</f>
        <v>工匠</v>
      </c>
      <c r="B4" s="442" t="s">
        <v>6981</v>
      </c>
      <c r="C4" s="442" t="s">
        <v>6982</v>
      </c>
      <c r="D4" s="442" t="s">
        <v>6582</v>
      </c>
      <c r="E4" s="442" t="s">
        <v>6983</v>
      </c>
      <c r="F4" s="442" t="s">
        <v>6984</v>
      </c>
      <c r="G4" s="442" t="s">
        <v>6985</v>
      </c>
      <c r="H4" s="445" t="s">
        <v>6986</v>
      </c>
    </row>
    <row r="5" customHeight="1" spans="1:8">
      <c r="A5" s="442" t="str" cm="1">
        <f t="array" ref="A5">IFERROR(INDEX($B$1:$B$141,SMALL(IF($B$1:$B$141&lt;&gt;"",ROW($B$1:$B$141),4^8),ROW(5:5)))&amp;"","")</f>
        <v>骗子</v>
      </c>
      <c r="B5" s="442" t="s">
        <v>6987</v>
      </c>
      <c r="C5" s="442" t="s">
        <v>6988</v>
      </c>
      <c r="D5" s="442" t="s">
        <v>6620</v>
      </c>
      <c r="E5" s="442" t="s">
        <v>6989</v>
      </c>
      <c r="F5" s="442" t="s">
        <v>5102</v>
      </c>
      <c r="G5" s="442" t="s">
        <v>6990</v>
      </c>
      <c r="H5" s="445" t="s">
        <v>6991</v>
      </c>
    </row>
    <row r="6" customHeight="1" spans="1:8">
      <c r="A6" s="442" t="str" cm="1">
        <f t="array" ref="A6">IFERROR(INDEX($B$1:$B$141,SMALL(IF($B$1:$B$141&lt;&gt;"",ROW($B$1:$B$141),4^8),ROW(6:6)))&amp;"","")</f>
        <v>罪犯</v>
      </c>
      <c r="B6" s="442" t="s">
        <v>6992</v>
      </c>
      <c r="C6" s="442" t="s">
        <v>6993</v>
      </c>
      <c r="D6" s="442" t="s">
        <v>6994</v>
      </c>
      <c r="E6" s="442" t="s">
        <v>6995</v>
      </c>
      <c r="F6" s="442" t="s">
        <v>5286</v>
      </c>
      <c r="G6" s="442" t="s">
        <v>6996</v>
      </c>
      <c r="H6" s="445" t="s">
        <v>6997</v>
      </c>
    </row>
    <row r="7" customHeight="1" spans="1:8">
      <c r="A7" s="442" t="str" cm="1">
        <f t="array" ref="A7">IFERROR(INDEX($B$1:$B$141,SMALL(IF($B$1:$B$141&lt;&gt;"",ROW($B$1:$B$141),4^8),ROW(7:7)))&amp;"","")</f>
        <v>艺人</v>
      </c>
      <c r="B7" s="442" t="s">
        <v>6998</v>
      </c>
      <c r="C7" s="442" t="s">
        <v>6999</v>
      </c>
      <c r="D7" s="442" t="s">
        <v>6608</v>
      </c>
      <c r="E7" s="442" t="s">
        <v>7000</v>
      </c>
      <c r="F7" s="442" t="s">
        <v>7001</v>
      </c>
      <c r="G7" s="442" t="s">
        <v>7002</v>
      </c>
      <c r="H7" s="445" t="s">
        <v>7003</v>
      </c>
    </row>
    <row r="8" customHeight="1" spans="1:8">
      <c r="A8" s="442" t="str" cm="1">
        <f t="array" ref="A8">IFERROR(INDEX($B$1:$B$141,SMALL(IF($B$1:$B$141&lt;&gt;"",ROW($B$1:$B$141),4^8),ROW(8:8)))&amp;"","")</f>
        <v>农民</v>
      </c>
      <c r="B8" s="442" t="s">
        <v>7004</v>
      </c>
      <c r="C8" s="442" t="s">
        <v>7005</v>
      </c>
      <c r="D8" s="442" t="s">
        <v>6632</v>
      </c>
      <c r="E8" s="442" t="s">
        <v>7006</v>
      </c>
      <c r="F8" s="442" t="s">
        <v>4958</v>
      </c>
      <c r="G8" s="442" t="s">
        <v>7007</v>
      </c>
      <c r="H8" s="445" t="s">
        <v>7008</v>
      </c>
    </row>
    <row r="9" customHeight="1" spans="1:8">
      <c r="A9" s="442" t="str" cm="1">
        <f t="array" ref="A9">IFERROR(INDEX($B$1:$B$141,SMALL(IF($B$1:$B$141&lt;&gt;"",ROW($B$1:$B$141),4^8),ROW(9:9)))&amp;"","")</f>
        <v>警卫</v>
      </c>
      <c r="B9" s="442" t="s">
        <v>7009</v>
      </c>
      <c r="C9" s="442" t="s">
        <v>7010</v>
      </c>
      <c r="D9" s="442" t="s">
        <v>6994</v>
      </c>
      <c r="E9" s="442" t="s">
        <v>7011</v>
      </c>
      <c r="F9" s="442" t="s">
        <v>7012</v>
      </c>
      <c r="G9" s="442" t="s">
        <v>7013</v>
      </c>
      <c r="H9" s="445" t="s">
        <v>7014</v>
      </c>
    </row>
    <row r="10" customHeight="1" spans="1:8">
      <c r="A10" s="442" t="str" cm="1">
        <f t="array" ref="A10">IFERROR(INDEX($B$1:$B$141,SMALL(IF($B$1:$B$141&lt;&gt;"",ROW($B$1:$B$141),4^8),ROW(10:10)))&amp;"","")</f>
        <v>向导</v>
      </c>
      <c r="B10" s="442" t="s">
        <v>7015</v>
      </c>
      <c r="C10" s="442" t="s">
        <v>7016</v>
      </c>
      <c r="D10" s="442" t="s">
        <v>7017</v>
      </c>
      <c r="E10" s="442" t="s">
        <v>7018</v>
      </c>
      <c r="F10" s="442" t="s">
        <v>4971</v>
      </c>
      <c r="G10" s="442" t="s">
        <v>7019</v>
      </c>
      <c r="H10" s="445" t="s">
        <v>7020</v>
      </c>
    </row>
    <row r="11" customHeight="1" spans="1:8">
      <c r="A11" s="442" t="str" cm="1">
        <f t="array" ref="A11">IFERROR(INDEX($B$1:$B$141,SMALL(IF($B$1:$B$141&lt;&gt;"",ROW($B$1:$B$141),4^8),ROW(11:11)))&amp;"","")</f>
        <v>隐士</v>
      </c>
      <c r="B11" s="442" t="s">
        <v>7021</v>
      </c>
      <c r="C11" s="442" t="s">
        <v>7022</v>
      </c>
      <c r="D11" s="442" t="s">
        <v>6589</v>
      </c>
      <c r="E11" s="442" t="s">
        <v>7023</v>
      </c>
      <c r="F11" s="442" t="s">
        <v>5149</v>
      </c>
      <c r="G11" s="442" t="s">
        <v>7024</v>
      </c>
      <c r="H11" s="445" t="s">
        <v>7025</v>
      </c>
    </row>
    <row r="12" customHeight="1" spans="1:8">
      <c r="A12" s="442" t="str" cm="1">
        <f t="array" ref="A12">IFERROR(INDEX($B$1:$B$141,SMALL(IF($B$1:$B$141&lt;&gt;"",ROW($B$1:$B$141),4^8),ROW(12:12)))&amp;"","")</f>
        <v>商人</v>
      </c>
      <c r="B12" s="442" t="s">
        <v>7026</v>
      </c>
      <c r="C12" s="442" t="s">
        <v>7027</v>
      </c>
      <c r="D12" s="442" t="s">
        <v>5607</v>
      </c>
      <c r="E12" s="442" t="s">
        <v>7028</v>
      </c>
      <c r="F12" s="442" t="s">
        <v>5272</v>
      </c>
      <c r="G12" s="442" t="s">
        <v>7029</v>
      </c>
      <c r="H12" s="445" t="s">
        <v>7030</v>
      </c>
    </row>
    <row r="13" customHeight="1" spans="1:8">
      <c r="A13" s="442" t="str" cm="1">
        <f t="array" ref="A13">IFERROR(INDEX($B$1:$B$141,SMALL(IF($B$1:$B$141&lt;&gt;"",ROW($B$1:$B$141),4^8),ROW(13:13)))&amp;"","")</f>
        <v>贵族</v>
      </c>
      <c r="B13" s="442" t="s">
        <v>7031</v>
      </c>
      <c r="C13" s="442" t="s">
        <v>7032</v>
      </c>
      <c r="D13" s="442" t="s">
        <v>6620</v>
      </c>
      <c r="E13" s="442" t="s">
        <v>7033</v>
      </c>
      <c r="F13" s="442" t="s">
        <v>7012</v>
      </c>
      <c r="G13" s="442" t="s">
        <v>7034</v>
      </c>
      <c r="H13" s="445" t="s">
        <v>7035</v>
      </c>
    </row>
    <row r="14" customHeight="1" spans="1:8">
      <c r="A14" s="442" t="str" cm="1">
        <f t="array" ref="A14">IFERROR(INDEX($B$1:$B$141,SMALL(IF($B$1:$B$141&lt;&gt;"",ROW($B$1:$B$141),4^8),ROW(14:14)))&amp;"","")</f>
        <v>智者</v>
      </c>
      <c r="B14" s="442" t="s">
        <v>7036</v>
      </c>
      <c r="C14" s="442" t="s">
        <v>7037</v>
      </c>
      <c r="D14" s="442" t="s">
        <v>7038</v>
      </c>
      <c r="E14" s="442" t="s">
        <v>7039</v>
      </c>
      <c r="F14" s="442" t="s">
        <v>4947</v>
      </c>
      <c r="G14" s="442" t="s">
        <v>7040</v>
      </c>
      <c r="H14" s="445" t="s">
        <v>7041</v>
      </c>
    </row>
    <row r="15" customHeight="1" spans="1:8">
      <c r="A15" s="442" t="str" cm="1">
        <f t="array" ref="A15">IFERROR(INDEX($B$1:$B$141,SMALL(IF($B$1:$B$141&lt;&gt;"",ROW($B$1:$B$141),4^8),ROW(15:15)))&amp;"","")</f>
        <v>水手</v>
      </c>
      <c r="B15" s="442" t="s">
        <v>7042</v>
      </c>
      <c r="C15" s="442" t="s">
        <v>7043</v>
      </c>
      <c r="D15" s="442" t="s">
        <v>6626</v>
      </c>
      <c r="E15" s="442" t="s">
        <v>7044</v>
      </c>
      <c r="F15" s="442" t="s">
        <v>5272</v>
      </c>
      <c r="G15" s="442" t="s">
        <v>7045</v>
      </c>
      <c r="H15" s="445" t="s">
        <v>7046</v>
      </c>
    </row>
    <row r="16" customHeight="1" spans="1:8">
      <c r="A16" s="442" t="str" cm="1">
        <f t="array" ref="A16">IFERROR(INDEX($B$1:$B$141,SMALL(IF($B$1:$B$141&lt;&gt;"",ROW($B$1:$B$141),4^8),ROW(16:16)))&amp;"","")</f>
        <v>抄写员</v>
      </c>
      <c r="B16" s="442" t="s">
        <v>7047</v>
      </c>
      <c r="C16" s="442" t="s">
        <v>7048</v>
      </c>
      <c r="D16" s="442" t="s">
        <v>6620</v>
      </c>
      <c r="E16" s="442" t="s">
        <v>7049</v>
      </c>
      <c r="F16" s="442" t="s">
        <v>4947</v>
      </c>
      <c r="G16" s="442" t="s">
        <v>7050</v>
      </c>
      <c r="H16" s="445" t="s">
        <v>7051</v>
      </c>
    </row>
    <row r="17" customHeight="1" spans="1:8">
      <c r="A17" s="442" t="str" cm="1">
        <f t="array" ref="A17">IFERROR(INDEX($B$1:$B$141,SMALL(IF($B$1:$B$141&lt;&gt;"",ROW($B$1:$B$141),4^8),ROW(17:17)))&amp;"","")</f>
        <v>士兵</v>
      </c>
      <c r="B17" s="442" t="s">
        <v>7052</v>
      </c>
      <c r="C17" s="442" t="s">
        <v>7053</v>
      </c>
      <c r="D17" s="442" t="s">
        <v>6614</v>
      </c>
      <c r="E17" s="442" t="s">
        <v>7054</v>
      </c>
      <c r="F17" s="442" t="s">
        <v>7012</v>
      </c>
      <c r="G17" s="442" t="s">
        <v>7055</v>
      </c>
      <c r="H17" s="445" t="s">
        <v>7056</v>
      </c>
    </row>
    <row r="18" customHeight="1" spans="1:8">
      <c r="A18" s="442" t="str" cm="1">
        <f t="array" ref="A18">IFERROR(INDEX($B$1:$B$141,SMALL(IF($B$1:$B$141&lt;&gt;"",ROW($B$1:$B$141),4^8),ROW(18:18)))&amp;"","")</f>
        <v>流浪者</v>
      </c>
      <c r="B18" s="442" t="s">
        <v>7057</v>
      </c>
      <c r="C18" s="442" t="s">
        <v>7058</v>
      </c>
      <c r="D18" s="442" t="s">
        <v>5607</v>
      </c>
      <c r="E18" s="442" t="s">
        <v>7059</v>
      </c>
      <c r="F18" s="442" t="s">
        <v>5286</v>
      </c>
      <c r="G18" s="442" t="s">
        <v>7060</v>
      </c>
      <c r="H18" s="445" t="s">
        <v>7061</v>
      </c>
    </row>
    <row r="19" customHeight="1" spans="1:8">
      <c r="A19" s="442" t="str" cm="1">
        <f t="array" ref="A19">IFERROR(INDEX($B$1:$B$141,SMALL(IF($B$1:$B$141&lt;&gt;"",ROW($B$1:$B$141),4^8),ROW(19:19)))&amp;"","")</f>
        <v>城市守卫</v>
      </c>
      <c r="B19" s="446" t="str">
        <f>IF(主要!$CD$14="O","城市守卫","")</f>
        <v>城市守卫</v>
      </c>
      <c r="C19" s="446" t="s">
        <v>6969</v>
      </c>
      <c r="D19" s="446" t="s">
        <v>6970</v>
      </c>
      <c r="E19" s="446" t="s">
        <v>7062</v>
      </c>
      <c r="F19" s="446" t="s">
        <v>4935</v>
      </c>
      <c r="G19" s="446" t="s">
        <v>7063</v>
      </c>
      <c r="H19" s="446" t="s">
        <v>7064</v>
      </c>
    </row>
    <row r="20" customHeight="1" spans="1:8">
      <c r="A20" s="442" t="str" cm="1">
        <f t="array" ref="A20">IFERROR(INDEX($B$1:$B$141,SMALL(IF($B$1:$B$141&lt;&gt;"",ROW($B$1:$B$141),4^8),ROW(20:20)))&amp;"","")</f>
        <v>城市守卫变体-调查员</v>
      </c>
      <c r="B20" s="446" t="str">
        <f>IF(主要!$CD$14="O","城市守卫变体-调查员","")</f>
        <v>城市守卫变体-调查员</v>
      </c>
      <c r="C20" s="446" t="s">
        <v>6969</v>
      </c>
      <c r="D20" s="446" t="s">
        <v>6970</v>
      </c>
      <c r="E20" s="446" t="s">
        <v>7062</v>
      </c>
      <c r="F20" s="446" t="s">
        <v>4935</v>
      </c>
      <c r="G20" s="446" t="s">
        <v>7063</v>
      </c>
      <c r="H20" s="446" t="s">
        <v>7065</v>
      </c>
    </row>
    <row r="21" customHeight="1" spans="1:8">
      <c r="A21" s="442" t="str" cm="1">
        <f t="array" ref="A21">IFERROR(INDEX($B$1:$B$141,SMALL(IF($B$1:$B$141&lt;&gt;"",ROW($B$1:$B$141),4^8),ROW(21:21)))&amp;"","")</f>
        <v>宗族工匠</v>
      </c>
      <c r="B21" s="446" t="str">
        <f>IF(主要!$CD$14="O","宗族工匠","")</f>
        <v>宗族工匠</v>
      </c>
      <c r="C21" s="446" t="s">
        <v>6969</v>
      </c>
      <c r="D21" s="446" t="s">
        <v>6970</v>
      </c>
      <c r="E21" s="446" t="s">
        <v>7066</v>
      </c>
      <c r="F21" s="446" t="s">
        <v>7067</v>
      </c>
      <c r="G21" s="446" t="s">
        <v>7068</v>
      </c>
      <c r="H21" s="446" t="s">
        <v>7069</v>
      </c>
    </row>
    <row r="22" customHeight="1" spans="1:8">
      <c r="A22" s="442" t="str" cm="1">
        <f t="array" ref="A22">IFERROR(INDEX($B$1:$B$141,SMALL(IF($B$1:$B$141&lt;&gt;"",ROW($B$1:$B$141),4^8),ROW(22:22)))&amp;"","")</f>
        <v>与世隔绝的学者</v>
      </c>
      <c r="B22" s="446" t="str">
        <f>IF(主要!$CD$14="O","与世隔绝的学者","")</f>
        <v>与世隔绝的学者</v>
      </c>
      <c r="C22" s="446" t="s">
        <v>6969</v>
      </c>
      <c r="D22" s="446" t="s">
        <v>6970</v>
      </c>
      <c r="E22" s="446" t="s">
        <v>7070</v>
      </c>
      <c r="F22" s="446" t="s">
        <v>4935</v>
      </c>
      <c r="G22" s="446" t="s">
        <v>7071</v>
      </c>
      <c r="H22" s="446" t="s">
        <v>7072</v>
      </c>
    </row>
    <row r="23" customHeight="1" spans="1:8">
      <c r="A23" s="442" t="str" cm="1">
        <f t="array" ref="A23">IFERROR(INDEX($B$1:$B$141,SMALL(IF($B$1:$B$141&lt;&gt;"",ROW($B$1:$B$141),4^8),ROW(23:23)))&amp;"","")</f>
        <v>朝臣</v>
      </c>
      <c r="B23" s="446" t="str">
        <f>IF(主要!$CD$14="O","朝臣","")</f>
        <v>朝臣</v>
      </c>
      <c r="C23" s="446" t="s">
        <v>6969</v>
      </c>
      <c r="D23" s="446" t="s">
        <v>6970</v>
      </c>
      <c r="E23" s="446" t="s">
        <v>7073</v>
      </c>
      <c r="F23" s="446" t="s">
        <v>4935</v>
      </c>
      <c r="G23" s="446" t="s">
        <v>7074</v>
      </c>
      <c r="H23" s="446" t="s">
        <v>7075</v>
      </c>
    </row>
    <row r="24" customHeight="1" spans="1:8">
      <c r="A24" s="442" t="str" cm="1">
        <f t="array" ref="A24">IFERROR(INDEX($B$1:$B$141,SMALL(IF($B$1:$B$141&lt;&gt;"",ROW($B$1:$B$141),4^8),ROW(24:24)))&amp;"","")</f>
        <v>派系特工</v>
      </c>
      <c r="B24" s="446" t="str">
        <f>IF(主要!$CD$14="O","派系特工","")</f>
        <v>派系特工</v>
      </c>
      <c r="C24" s="446" t="s">
        <v>6969</v>
      </c>
      <c r="D24" s="446" t="s">
        <v>6970</v>
      </c>
      <c r="E24" s="446" t="s">
        <v>7076</v>
      </c>
      <c r="F24" s="446" t="s">
        <v>4935</v>
      </c>
      <c r="G24" s="446" t="s">
        <v>7077</v>
      </c>
      <c r="H24" s="446" t="s">
        <v>7078</v>
      </c>
    </row>
    <row r="25" customHeight="1" spans="1:8">
      <c r="A25" s="442" t="str" cm="1">
        <f t="array" ref="A25">IFERROR(INDEX($B$1:$B$141,SMALL(IF($B$1:$B$141&lt;&gt;"",ROW($B$1:$B$141),4^8),ROW(25:25)))&amp;"","")</f>
        <v>远行者</v>
      </c>
      <c r="B25" s="446" t="str">
        <f>IF(主要!$CD$14="O","远行者","")</f>
        <v>远行者</v>
      </c>
      <c r="C25" s="446" t="s">
        <v>6969</v>
      </c>
      <c r="D25" s="446" t="s">
        <v>6970</v>
      </c>
      <c r="E25" s="446" t="s">
        <v>7079</v>
      </c>
      <c r="F25" s="446" t="s">
        <v>7080</v>
      </c>
      <c r="G25" s="446" t="s">
        <v>7081</v>
      </c>
      <c r="H25" s="446" t="s">
        <v>7082</v>
      </c>
    </row>
    <row r="26" customHeight="1" spans="1:8">
      <c r="A26" s="442" t="str" cm="1">
        <f t="array" ref="A26">IFERROR(INDEX($B$1:$B$141,SMALL(IF($B$1:$B$141&lt;&gt;"",ROW($B$1:$B$141),4^8),ROW(26:26)))&amp;"","")</f>
        <v>继承者</v>
      </c>
      <c r="B26" s="446" t="str">
        <f>IF(主要!$CD$14="O","继承者","")</f>
        <v>继承者</v>
      </c>
      <c r="C26" s="446" t="s">
        <v>6969</v>
      </c>
      <c r="D26" s="446" t="s">
        <v>6970</v>
      </c>
      <c r="E26" s="446" t="s">
        <v>7083</v>
      </c>
      <c r="F26" s="446" t="s">
        <v>7084</v>
      </c>
      <c r="G26" s="446" t="s">
        <v>7085</v>
      </c>
      <c r="H26" s="446" t="s">
        <v>7086</v>
      </c>
    </row>
    <row r="27" customHeight="1" spans="1:8">
      <c r="A27" s="442" t="str" cm="1">
        <f t="array" ref="A27">IFERROR(INDEX($B$1:$B$141,SMALL(IF($B$1:$B$141&lt;&gt;"",ROW($B$1:$B$141),4^8),ROW(27:27)))&amp;"","")</f>
        <v>骑士团成员</v>
      </c>
      <c r="B27" s="446" t="str">
        <f>IF(主要!$CD$14="O","骑士团成员","")</f>
        <v>骑士团成员</v>
      </c>
      <c r="C27" s="446" t="s">
        <v>6969</v>
      </c>
      <c r="D27" s="446" t="s">
        <v>6970</v>
      </c>
      <c r="E27" s="446" t="s">
        <v>7087</v>
      </c>
      <c r="F27" s="446" t="s">
        <v>7088</v>
      </c>
      <c r="G27" s="446" t="s">
        <v>7089</v>
      </c>
      <c r="H27" s="446" t="s">
        <v>7090</v>
      </c>
    </row>
    <row r="28" customHeight="1" spans="1:8">
      <c r="A28" s="442" t="str" cm="1">
        <f t="array" ref="A28">IFERROR(INDEX($B$1:$B$141,SMALL(IF($B$1:$B$141&lt;&gt;"",ROW($B$1:$B$141),4^8),ROW(28:28)))&amp;"","")</f>
        <v>老佣兵</v>
      </c>
      <c r="B28" s="446" t="str">
        <f>IF(主要!$CD$14="O","老佣兵","")</f>
        <v>老佣兵</v>
      </c>
      <c r="C28" s="446" t="s">
        <v>6969</v>
      </c>
      <c r="D28" s="446" t="s">
        <v>6970</v>
      </c>
      <c r="E28" s="446" t="s">
        <v>7091</v>
      </c>
      <c r="F28" s="446" t="s">
        <v>7092</v>
      </c>
      <c r="G28" s="446" t="s">
        <v>7093</v>
      </c>
      <c r="H28" s="446" t="s">
        <v>7094</v>
      </c>
    </row>
    <row r="29" customHeight="1" spans="1:8">
      <c r="A29" s="442" t="str" cm="1">
        <f t="array" ref="A29">IFERROR(INDEX($B$1:$B$141,SMALL(IF($B$1:$B$141&lt;&gt;"",ROW($B$1:$B$141),4^8),ROW(29:29)))&amp;"","")</f>
        <v>城市猎人</v>
      </c>
      <c r="B29" s="446" t="str">
        <f>IF(主要!$CD$14="O","城市猎人","")</f>
        <v>城市猎人</v>
      </c>
      <c r="C29" s="446" t="s">
        <v>6969</v>
      </c>
      <c r="D29" s="446" t="s">
        <v>6970</v>
      </c>
      <c r="E29" s="446" t="s">
        <v>7095</v>
      </c>
      <c r="F29" s="446" t="s">
        <v>7096</v>
      </c>
      <c r="G29" s="446" t="s">
        <v>7097</v>
      </c>
      <c r="H29" s="446" t="s">
        <v>7098</v>
      </c>
    </row>
    <row r="30" customHeight="1" spans="1:8">
      <c r="A30" s="442" t="str" cm="1">
        <f t="array" ref="A30">IFERROR(INDEX($B$1:$B$141,SMALL(IF($B$1:$B$141&lt;&gt;"",ROW($B$1:$B$141),4^8),ROW(30:30)))&amp;"","")</f>
        <v>乌斯伽部族成员</v>
      </c>
      <c r="B30" s="446" t="str">
        <f>IF(主要!$CD$14="O","乌斯伽部族成员","")</f>
        <v>乌斯伽部族成员</v>
      </c>
      <c r="C30" s="446" t="s">
        <v>6969</v>
      </c>
      <c r="D30" s="446" t="s">
        <v>6970</v>
      </c>
      <c r="E30" s="446" t="s">
        <v>7099</v>
      </c>
      <c r="F30" s="446" t="s">
        <v>7100</v>
      </c>
      <c r="G30" s="446" t="s">
        <v>7101</v>
      </c>
      <c r="H30" s="446" t="s">
        <v>7102</v>
      </c>
    </row>
    <row r="31" customHeight="1" spans="1:8">
      <c r="A31" s="442" t="str" cm="1">
        <f t="array" ref="A31">IFERROR(INDEX($B$1:$B$141,SMALL(IF($B$1:$B$141&lt;&gt;"",ROW($B$1:$B$141),4^8),ROW(31:31)))&amp;"","")</f>
        <v>深水城贵族</v>
      </c>
      <c r="B31" s="446" t="str">
        <f>IF(主要!$CD$14="O","深水城贵族","")</f>
        <v>深水城贵族</v>
      </c>
      <c r="C31" s="446" t="s">
        <v>6969</v>
      </c>
      <c r="D31" s="446" t="s">
        <v>6970</v>
      </c>
      <c r="E31" s="446" t="s">
        <v>7103</v>
      </c>
      <c r="F31" s="446" t="s">
        <v>7104</v>
      </c>
      <c r="G31" s="446" t="s">
        <v>7105</v>
      </c>
      <c r="H31" s="446" t="s">
        <v>7106</v>
      </c>
    </row>
    <row r="32" customHeight="1" spans="1:8">
      <c r="A32" s="442" t="str" cm="1">
        <f t="array" ref="A32">IFERROR(INDEX($B$1:$B$141,SMALL(IF($B$1:$B$141&lt;&gt;"",ROW($B$1:$B$141),4^8),ROW(32:32)))&amp;"","")</f>
        <v>俄佐立官员</v>
      </c>
      <c r="B32" s="442" t="str">
        <f>IF(主要!$CD$15="O","俄佐立官员","")</f>
        <v>俄佐立官员</v>
      </c>
      <c r="C32" s="442" t="s">
        <v>6969</v>
      </c>
      <c r="D32" s="442" t="s">
        <v>6970</v>
      </c>
      <c r="E32" s="442" t="s">
        <v>7107</v>
      </c>
      <c r="F32" s="442" t="s">
        <v>4935</v>
      </c>
      <c r="G32" s="442" t="s">
        <v>7108</v>
      </c>
      <c r="H32" s="442" t="s">
        <v>7109</v>
      </c>
    </row>
    <row r="33" customHeight="1" spans="1:8">
      <c r="A33" s="442" t="str" cm="1">
        <f t="array" ref="A33">IFERROR(INDEX($B$1:$B$141,SMALL(IF($B$1:$B$141&lt;&gt;"",ROW($B$1:$B$141),4^8),ROW(33:33)))&amp;"","")</f>
        <v>波洛斯教团兵</v>
      </c>
      <c r="B33" s="442" t="str">
        <f>IF(主要!$CD$15="O","波洛斯教团兵","")</f>
        <v>波洛斯教团兵</v>
      </c>
      <c r="C33" s="442" t="s">
        <v>6969</v>
      </c>
      <c r="D33" s="442" t="s">
        <v>6970</v>
      </c>
      <c r="E33" s="442" t="s">
        <v>7110</v>
      </c>
      <c r="F33" s="442" t="s">
        <v>7111</v>
      </c>
      <c r="G33" s="442" t="s">
        <v>7112</v>
      </c>
      <c r="H33" s="442" t="s">
        <v>7113</v>
      </c>
    </row>
    <row r="34" customHeight="1" spans="1:8">
      <c r="A34" s="442" t="str" cm="1">
        <f t="array" ref="A34">IFERROR(INDEX($B$1:$B$141,SMALL(IF($B$1:$B$141&lt;&gt;"",ROW($B$1:$B$141),4^8),ROW(34:34)))&amp;"","")</f>
        <v>底密尔特务</v>
      </c>
      <c r="B34" s="442" t="str">
        <f>IF(主要!$CD$15="O","底密尔特务","")</f>
        <v>底密尔特务</v>
      </c>
      <c r="C34" s="442" t="s">
        <v>6969</v>
      </c>
      <c r="D34" s="442" t="s">
        <v>6970</v>
      </c>
      <c r="E34" s="442" t="s">
        <v>7114</v>
      </c>
      <c r="F34" s="442" t="s">
        <v>5092</v>
      </c>
      <c r="G34" s="442" t="s">
        <v>7115</v>
      </c>
      <c r="H34" s="442" t="s">
        <v>7116</v>
      </c>
    </row>
    <row r="35" customHeight="1" spans="1:8">
      <c r="A35" s="442" t="str" cm="1">
        <f t="array" ref="A35">IFERROR(INDEX($B$1:$B$141,SMALL(IF($B$1:$B$141&lt;&gt;"",ROW($B$1:$B$141),4^8),ROW(35:35)))&amp;"","")</f>
        <v>葛加理成员</v>
      </c>
      <c r="B35" s="442" t="str">
        <f>IF(主要!$CD$15="O","葛加理成员","")</f>
        <v>葛加理成员</v>
      </c>
      <c r="C35" s="442" t="s">
        <v>6969</v>
      </c>
      <c r="D35" s="442" t="s">
        <v>6970</v>
      </c>
      <c r="E35" s="442" t="s">
        <v>7117</v>
      </c>
      <c r="F35" s="442" t="s">
        <v>5279</v>
      </c>
      <c r="G35" s="442" t="s">
        <v>7118</v>
      </c>
      <c r="H35" s="442" t="s">
        <v>7119</v>
      </c>
    </row>
    <row r="36" customHeight="1" spans="1:8">
      <c r="A36" s="442" t="str" cm="1">
        <f t="array" ref="A36">IFERROR(INDEX($B$1:$B$141,SMALL(IF($B$1:$B$141&lt;&gt;"",ROW($B$1:$B$141),4^8),ROW(36:36)))&amp;"","")</f>
        <v>古鲁反抗者</v>
      </c>
      <c r="B36" s="442" t="str">
        <f>IF(主要!$CD$15="O","古鲁反抗者","")</f>
        <v>古鲁反抗者</v>
      </c>
      <c r="C36" s="442" t="s">
        <v>6969</v>
      </c>
      <c r="D36" s="442" t="s">
        <v>6970</v>
      </c>
      <c r="E36" s="442" t="s">
        <v>7120</v>
      </c>
      <c r="F36" s="442" t="s">
        <v>5149</v>
      </c>
      <c r="G36" s="442" t="s">
        <v>7121</v>
      </c>
      <c r="H36" s="442" t="s">
        <v>7122</v>
      </c>
    </row>
    <row r="37" customHeight="1" spans="1:8">
      <c r="A37" s="442" t="str" cm="1">
        <f t="array" ref="A37">IFERROR(INDEX($B$1:$B$141,SMALL(IF($B$1:$B$141&lt;&gt;"",ROW($B$1:$B$141),4^8),ROW(37:37)))&amp;"","")</f>
        <v>伊捷工程师</v>
      </c>
      <c r="B37" s="442" t="str">
        <f>IF(主要!$CD$15="O","伊捷工程师","")</f>
        <v>伊捷工程师</v>
      </c>
      <c r="C37" s="442" t="s">
        <v>6969</v>
      </c>
      <c r="D37" s="442" t="s">
        <v>6970</v>
      </c>
      <c r="E37" s="442" t="s">
        <v>7123</v>
      </c>
      <c r="F37" s="442" t="s">
        <v>7124</v>
      </c>
      <c r="G37" s="442" t="s">
        <v>7125</v>
      </c>
      <c r="H37" s="442" t="s">
        <v>7126</v>
      </c>
    </row>
    <row r="38" customHeight="1" spans="1:8">
      <c r="A38" s="442" t="str" cm="1">
        <f t="array" ref="A38">IFERROR(INDEX($B$1:$B$141,SMALL(IF($B$1:$B$141&lt;&gt;"",ROW($B$1:$B$141),4^8),ROW(38:38)))&amp;"","")</f>
        <v>欧佐夫议员</v>
      </c>
      <c r="B38" s="442" t="str">
        <f>IF(主要!$CD$15="O","欧佐夫议员","")</f>
        <v>欧佐夫议员</v>
      </c>
      <c r="C38" s="442" t="s">
        <v>6969</v>
      </c>
      <c r="D38" s="442" t="s">
        <v>6970</v>
      </c>
      <c r="E38" s="442" t="s">
        <v>7127</v>
      </c>
      <c r="F38" s="442" t="s">
        <v>4935</v>
      </c>
      <c r="G38" s="442" t="s">
        <v>7128</v>
      </c>
      <c r="H38" s="442" t="s">
        <v>7129</v>
      </c>
    </row>
    <row r="39" customHeight="1" spans="1:8">
      <c r="A39" s="442" t="str" cm="1">
        <f t="array" ref="A39">IFERROR(INDEX($B$1:$B$141,SMALL(IF($B$1:$B$141&lt;&gt;"",ROW($B$1:$B$141),4^8),ROW(39:39)))&amp;"","")</f>
        <v>拉铎司邪教徒</v>
      </c>
      <c r="B39" s="442" t="str">
        <f>IF(主要!$CD$15="O","拉铎司邪教徒","")</f>
        <v>拉铎司邪教徒</v>
      </c>
      <c r="C39" s="442" t="s">
        <v>6969</v>
      </c>
      <c r="D39" s="442" t="s">
        <v>6970</v>
      </c>
      <c r="E39" s="442" t="s">
        <v>7130</v>
      </c>
      <c r="F39" s="442" t="s">
        <v>7131</v>
      </c>
      <c r="G39" s="442" t="s">
        <v>7132</v>
      </c>
      <c r="H39" s="442" t="s">
        <v>7133</v>
      </c>
    </row>
    <row r="40" customHeight="1" spans="1:8">
      <c r="A40" s="442" t="str" cm="1">
        <f t="array" ref="A40">IFERROR(INDEX($B$1:$B$141,SMALL(IF($B$1:$B$141&lt;&gt;"",ROW($B$1:$B$141),4^8),ROW(40:40)))&amp;"","")</f>
        <v>瑟雷尼亚祀徒</v>
      </c>
      <c r="B40" s="442" t="str">
        <f>IF(主要!$CD$15="O","瑟雷尼亚祀徒","")</f>
        <v>瑟雷尼亚祀徒</v>
      </c>
      <c r="C40" s="442" t="s">
        <v>6969</v>
      </c>
      <c r="D40" s="442" t="s">
        <v>6970</v>
      </c>
      <c r="E40" s="442" t="s">
        <v>7134</v>
      </c>
      <c r="F40" s="442" t="s">
        <v>7135</v>
      </c>
      <c r="G40" s="442" t="s">
        <v>7136</v>
      </c>
      <c r="H40" s="442" t="s">
        <v>7137</v>
      </c>
    </row>
    <row r="41" customHeight="1" spans="1:8">
      <c r="A41" s="442" t="str" cm="1">
        <f t="array" ref="A41">IFERROR(INDEX($B$1:$B$141,SMALL(IF($B$1:$B$141&lt;&gt;"",ROW($B$1:$B$141),4^8),ROW(41:41)))&amp;"","")</f>
        <v>析米克科学家</v>
      </c>
      <c r="B41" s="442" t="str">
        <f>IF(主要!$CD$15="O","析米克科学家","")</f>
        <v>析米克科学家</v>
      </c>
      <c r="C41" s="442" t="s">
        <v>6969</v>
      </c>
      <c r="D41" s="442" t="s">
        <v>6970</v>
      </c>
      <c r="E41" s="442" t="s">
        <v>7138</v>
      </c>
      <c r="F41" s="442" t="s">
        <v>4935</v>
      </c>
      <c r="G41" s="442" t="s">
        <v>7139</v>
      </c>
      <c r="H41" s="442" t="s">
        <v>7140</v>
      </c>
    </row>
    <row r="42" customHeight="1" spans="1:8">
      <c r="A42" s="442" t="str" cm="1">
        <f t="array" ref="A42">IFERROR(INDEX($B$1:$B$141,SMALL(IF($B$1:$B$141&lt;&gt;"",ROW($B$1:$B$141),4^8),ROW(42:42)))&amp;"","")</f>
        <v>名人冒险家的子孙</v>
      </c>
      <c r="B42" s="446" t="str">
        <f>IF(主要!$CD$17="O","名人冒险家的子孙","")</f>
        <v>名人冒险家的子孙</v>
      </c>
      <c r="C42" s="446" t="s">
        <v>6969</v>
      </c>
      <c r="D42" s="446" t="s">
        <v>6970</v>
      </c>
      <c r="E42" s="446" t="s">
        <v>7141</v>
      </c>
      <c r="F42" s="446" t="s">
        <v>5092</v>
      </c>
      <c r="G42" s="446" t="s">
        <v>7142</v>
      </c>
      <c r="H42" s="446" t="s">
        <v>7143</v>
      </c>
    </row>
    <row r="43" customHeight="1" spans="1:8">
      <c r="A43" s="442" t="str" cm="1">
        <f t="array" ref="A43">IFERROR(INDEX($B$1:$B$141,SMALL(IF($B$1:$B$141&lt;&gt;"",ROW($B$1:$B$141),4^8),ROW(43:43)))&amp;"","")</f>
        <v>失败商人</v>
      </c>
      <c r="B43" s="446" t="str">
        <f>IF(主要!$CD$17="O","失败商人","")</f>
        <v>失败商人</v>
      </c>
      <c r="C43" s="446" t="s">
        <v>6969</v>
      </c>
      <c r="D43" s="446" t="s">
        <v>6970</v>
      </c>
      <c r="E43" s="446" t="s">
        <v>7144</v>
      </c>
      <c r="F43" s="446" t="s">
        <v>7145</v>
      </c>
      <c r="G43" s="446" t="s">
        <v>7146</v>
      </c>
      <c r="H43" s="446" t="s">
        <v>7147</v>
      </c>
    </row>
    <row r="44" customHeight="1" spans="1:8">
      <c r="A44" s="442" t="str" cm="1">
        <f t="array" ref="A44">IFERROR(INDEX($B$1:$B$141,SMALL(IF($B$1:$B$141&lt;&gt;"",ROW($B$1:$B$141),4^8),ROW(44:44)))&amp;"","")</f>
        <v>赌徒</v>
      </c>
      <c r="B44" s="446" t="str">
        <f>IF(主要!$CD$17="O","赌徒","")</f>
        <v>赌徒</v>
      </c>
      <c r="C44" s="446" t="s">
        <v>6969</v>
      </c>
      <c r="D44" s="446" t="s">
        <v>6970</v>
      </c>
      <c r="E44" s="446" t="s">
        <v>7148</v>
      </c>
      <c r="F44" s="446" t="s">
        <v>7111</v>
      </c>
      <c r="G44" s="446" t="s">
        <v>7149</v>
      </c>
      <c r="H44" s="446" t="s">
        <v>7150</v>
      </c>
    </row>
    <row r="45" customHeight="1" spans="1:8">
      <c r="A45" s="442" t="str" cm="1">
        <f t="array" ref="A45">IFERROR(INDEX($B$1:$B$141,SMALL(IF($B$1:$B$141&lt;&gt;"",ROW($B$1:$B$141),4^8),ROW(45:45)))&amp;"","")</f>
        <v>起诉人</v>
      </c>
      <c r="B45" s="446" t="str">
        <f>IF(主要!$CD$17="O","起诉人","")</f>
        <v>起诉人</v>
      </c>
      <c r="C45" s="446" t="s">
        <v>6969</v>
      </c>
      <c r="D45" s="446" t="s">
        <v>6970</v>
      </c>
      <c r="E45" s="446" t="s">
        <v>7151</v>
      </c>
      <c r="F45" s="446" t="s">
        <v>7145</v>
      </c>
      <c r="G45" s="446" t="s">
        <v>7152</v>
      </c>
      <c r="H45" s="446" t="s">
        <v>7153</v>
      </c>
    </row>
    <row r="46" customHeight="1" spans="1:8">
      <c r="A46" s="442" t="str" cm="1">
        <f t="array" ref="A46">IFERROR(INDEX($B$1:$B$141,SMALL(IF($B$1:$B$141&lt;&gt;"",ROW($B$1:$B$141),4^8),ROW(46:46)))&amp;"","")</f>
        <v>竞争对手实习生</v>
      </c>
      <c r="B46" s="446" t="str">
        <f>IF(主要!$CD$17="O","竞争对手实习生","")</f>
        <v>竞争对手实习生</v>
      </c>
      <c r="C46" s="446" t="s">
        <v>6969</v>
      </c>
      <c r="D46" s="446" t="s">
        <v>6970</v>
      </c>
      <c r="E46" s="446" t="s">
        <v>7154</v>
      </c>
      <c r="F46" s="446" t="s">
        <v>7145</v>
      </c>
      <c r="G46" s="446" t="s">
        <v>7155</v>
      </c>
      <c r="H46" s="446" t="s">
        <v>7156</v>
      </c>
    </row>
    <row r="47" customHeight="1" spans="1:8">
      <c r="A47" s="442" t="str" cm="1">
        <f t="array" ref="A47">IFERROR(INDEX($B$1:$B$141,SMALL(IF($B$1:$B$141&lt;&gt;"",ROW($B$1:$B$141),4^8),ROW(47:47)))&amp;"","")</f>
        <v>运动员</v>
      </c>
      <c r="B47" s="442" t="str">
        <f>IF(主要!$CD$18="O","运动员","")</f>
        <v>运动员</v>
      </c>
      <c r="C47" s="442" t="s">
        <v>6969</v>
      </c>
      <c r="D47" s="442" t="s">
        <v>6970</v>
      </c>
      <c r="E47" s="442" t="s">
        <v>7157</v>
      </c>
      <c r="F47" s="442" t="s">
        <v>7158</v>
      </c>
      <c r="G47" s="442" t="s">
        <v>7159</v>
      </c>
      <c r="H47" s="442" t="s">
        <v>7160</v>
      </c>
    </row>
    <row r="48" customHeight="1" spans="1:8">
      <c r="A48" s="442" t="str" cm="1">
        <f t="array" ref="A48">IFERROR(INDEX($B$1:$B$141,SMALL(IF($B$1:$B$141&lt;&gt;"",ROW($B$1:$B$141),4^8),ROW(48:48)))&amp;"","")</f>
        <v>噩梦缠身</v>
      </c>
      <c r="B48" s="446" t="str">
        <f>IF(主要!$CD$19="O","噩梦缠身","")</f>
        <v>噩梦缠身</v>
      </c>
      <c r="C48" s="446" t="s">
        <v>6969</v>
      </c>
      <c r="D48" s="446" t="s">
        <v>6970</v>
      </c>
      <c r="E48" s="446" t="s">
        <v>7161</v>
      </c>
      <c r="F48" s="446" t="s">
        <v>4935</v>
      </c>
      <c r="G48" s="446" t="s">
        <v>7162</v>
      </c>
      <c r="H48" s="446" t="s">
        <v>7163</v>
      </c>
    </row>
    <row r="49" customHeight="1" spans="1:8">
      <c r="A49" s="442" t="str" cm="1">
        <f t="array" ref="A49">IFERROR(INDEX($B$1:$B$141,SMALL(IF($B$1:$B$141&lt;&gt;"",ROW($B$1:$B$141),4^8),ROW(49:49)))&amp;"","")</f>
        <v>调查员</v>
      </c>
      <c r="B49" s="446" t="str">
        <f>IF(主要!$CD$19="O","调查员","")</f>
        <v>调查员</v>
      </c>
      <c r="C49" s="446" t="s">
        <v>6969</v>
      </c>
      <c r="D49" s="446" t="s">
        <v>6970</v>
      </c>
      <c r="E49" s="446" t="s">
        <v>7164</v>
      </c>
      <c r="F49" s="446" t="s">
        <v>7165</v>
      </c>
      <c r="G49" s="446" t="s">
        <v>7166</v>
      </c>
      <c r="H49" s="446" t="s">
        <v>7167</v>
      </c>
    </row>
    <row r="50" customHeight="1" spans="1:8">
      <c r="A50" s="442" t="str" cm="1">
        <f t="array" ref="A50">IFERROR(INDEX($B$1:$B$141,SMALL(IF($B$1:$B$141&lt;&gt;"",ROW($B$1:$B$141),4^8),ROW(50:50)))&amp;"","")</f>
        <v>衡鉴学生</v>
      </c>
      <c r="B50" s="442" t="str">
        <f>IF(主要!$CD$20="O","衡鉴学生","")</f>
        <v>衡鉴学生</v>
      </c>
      <c r="C50" s="442" t="s">
        <v>6969</v>
      </c>
      <c r="D50" s="442" t="s">
        <v>7168</v>
      </c>
      <c r="E50" s="442" t="s">
        <v>7169</v>
      </c>
      <c r="F50" s="442" t="s">
        <v>4935</v>
      </c>
      <c r="G50" s="442" t="s">
        <v>7170</v>
      </c>
      <c r="H50" s="442" t="s">
        <v>7171</v>
      </c>
    </row>
    <row r="51" customHeight="1" spans="1:8">
      <c r="A51" s="442" t="str" cm="1">
        <f t="array" ref="A51">IFERROR(INDEX($B$1:$B$141,SMALL(IF($B$1:$B$141&lt;&gt;"",ROW($B$1:$B$141),4^8),ROW(51:51)))&amp;"","")</f>
        <v>粹丽学生</v>
      </c>
      <c r="B51" s="442" t="str">
        <f>IF(主要!$CD$20="O","粹丽学生","")</f>
        <v>粹丽学生</v>
      </c>
      <c r="C51" s="442" t="s">
        <v>6969</v>
      </c>
      <c r="D51" s="442" t="s">
        <v>7172</v>
      </c>
      <c r="E51" s="442" t="s">
        <v>7130</v>
      </c>
      <c r="F51" s="442" t="s">
        <v>7173</v>
      </c>
      <c r="G51" s="442" t="s">
        <v>7174</v>
      </c>
      <c r="H51" s="442" t="s">
        <v>7175</v>
      </c>
    </row>
    <row r="52" customHeight="1" spans="1:8">
      <c r="A52" s="442" t="str" cm="1">
        <f t="array" ref="A52">IFERROR(INDEX($B$1:$B$141,SMALL(IF($B$1:$B$141&lt;&gt;"",ROW($B$1:$B$141),4^8),ROW(52:52)))&amp;"","")</f>
        <v>量析学生</v>
      </c>
      <c r="B52" s="442" t="str">
        <f>IF(主要!$CD$20="O","量析学生","")</f>
        <v>量析学生</v>
      </c>
      <c r="C52" s="442" t="s">
        <v>6969</v>
      </c>
      <c r="D52" s="442" t="s">
        <v>7176</v>
      </c>
      <c r="E52" s="442" t="s">
        <v>7177</v>
      </c>
      <c r="F52" s="442" t="s">
        <v>7145</v>
      </c>
      <c r="G52" s="442" t="s">
        <v>7178</v>
      </c>
      <c r="H52" s="442" t="s">
        <v>7179</v>
      </c>
    </row>
    <row r="53" customHeight="1" spans="1:8">
      <c r="A53" s="442" t="str" cm="1">
        <f t="array" ref="A53">IFERROR(INDEX($B$1:$B$141,SMALL(IF($B$1:$B$141&lt;&gt;"",ROW($B$1:$B$141),4^8),ROW(53:53)))&amp;"","")</f>
        <v>银毫学生</v>
      </c>
      <c r="B53" s="442" t="str">
        <f>IF(主要!$CD$20="O","银毫学生","")</f>
        <v>银毫学生</v>
      </c>
      <c r="C53" s="442" t="s">
        <v>6969</v>
      </c>
      <c r="D53" s="442" t="s">
        <v>7180</v>
      </c>
      <c r="E53" s="442" t="s">
        <v>7181</v>
      </c>
      <c r="F53" s="442" t="s">
        <v>4935</v>
      </c>
      <c r="G53" s="442" t="s">
        <v>7182</v>
      </c>
      <c r="H53" s="442" t="s">
        <v>7183</v>
      </c>
    </row>
    <row r="54" customHeight="1" spans="1:8">
      <c r="A54" s="442" t="str" cm="1">
        <f t="array" ref="A54">IFERROR(INDEX($B$1:$B$141,SMALL(IF($B$1:$B$141&lt;&gt;"",ROW($B$1:$B$141),4^8),ROW(54:54)))&amp;"","")</f>
        <v>靡华学生</v>
      </c>
      <c r="B54" s="442" t="str">
        <f>IF(主要!$CD$20="O","靡华学生","")</f>
        <v>靡华学生</v>
      </c>
      <c r="C54" s="442" t="s">
        <v>6969</v>
      </c>
      <c r="D54" s="442" t="s">
        <v>7184</v>
      </c>
      <c r="E54" s="442" t="s">
        <v>7117</v>
      </c>
      <c r="F54" s="442" t="s">
        <v>5149</v>
      </c>
      <c r="G54" s="442" t="s">
        <v>7185</v>
      </c>
      <c r="H54" s="442" t="s">
        <v>7186</v>
      </c>
    </row>
    <row r="55" customHeight="1" spans="1:8">
      <c r="A55" s="442" t="str" cm="1">
        <f t="array" ref="A55">IFERROR(INDEX($B$1:$B$141,SMALL(IF($B$1:$B$141&lt;&gt;"",ROW($B$1:$B$141),4^8),ROW(55:55)))&amp;"","")</f>
        <v>星界浪客</v>
      </c>
      <c r="B55" s="446" t="str">
        <f>IF(主要!$CD$21="O","星界浪客","")</f>
        <v>星界浪客</v>
      </c>
      <c r="C55" s="446" t="s">
        <v>6969</v>
      </c>
      <c r="D55" s="446" t="s">
        <v>6977</v>
      </c>
      <c r="E55" s="446" t="s">
        <v>7187</v>
      </c>
      <c r="F55" s="446" t="s">
        <v>4935</v>
      </c>
      <c r="G55" s="446" t="s">
        <v>7188</v>
      </c>
      <c r="H55" s="446" t="s">
        <v>7189</v>
      </c>
    </row>
    <row r="56" customHeight="1" spans="1:8">
      <c r="A56" s="442" t="str" cm="1">
        <f t="array" ref="A56">IFERROR(INDEX($B$1:$B$141,SMALL(IF($B$1:$B$141&lt;&gt;"",ROW($B$1:$B$141),4^8),ROW(56:56)))&amp;"","")</f>
        <v>荒宇人</v>
      </c>
      <c r="B56" s="446" t="str">
        <f>IF(主要!$CD$21="O","荒宇人","")</f>
        <v>荒宇人</v>
      </c>
      <c r="C56" s="446" t="s">
        <v>6969</v>
      </c>
      <c r="D56" s="446" t="s">
        <v>6632</v>
      </c>
      <c r="E56" s="446" t="s">
        <v>7099</v>
      </c>
      <c r="F56" s="446" t="s">
        <v>7190</v>
      </c>
      <c r="G56" s="446" t="s">
        <v>7191</v>
      </c>
      <c r="H56" s="446" t="s">
        <v>7192</v>
      </c>
    </row>
    <row r="57" customHeight="1" spans="1:8">
      <c r="A57" s="442" t="str" cm="1">
        <f t="array" ref="A57">IFERROR(INDEX($B$1:$B$141,SMALL(IF($B$1:$B$141&lt;&gt;"",ROW($B$1:$B$141),4^8),ROW(57:57)))&amp;"","")</f>
        <v>巨人养子</v>
      </c>
      <c r="B57" s="442" t="str">
        <f>IF(主要!$CD$7="O","巨人养子","")</f>
        <v>巨人养子</v>
      </c>
      <c r="C57" s="442" t="s">
        <v>6969</v>
      </c>
      <c r="D57" s="442" t="s">
        <v>7193</v>
      </c>
      <c r="E57" s="442" t="s">
        <v>7194</v>
      </c>
      <c r="F57" s="442" t="s">
        <v>4935</v>
      </c>
      <c r="G57" s="442" t="s">
        <v>7195</v>
      </c>
      <c r="H57" s="442" t="s">
        <v>7196</v>
      </c>
    </row>
    <row r="58" customHeight="1" spans="1:8">
      <c r="A58" s="442" t="str" cm="1">
        <f t="array" ref="A58">IFERROR(INDEX($B$1:$B$141,SMALL(IF($B$1:$B$141&lt;&gt;"",ROW($B$1:$B$141),4^8),ROW(58:58)))&amp;"","")</f>
        <v>符文雕刻者</v>
      </c>
      <c r="B58" s="442" t="str">
        <f>IF(主要!$CD$7="O","符文雕刻者","")</f>
        <v>符文雕刻者</v>
      </c>
      <c r="C58" s="442" t="s">
        <v>6969</v>
      </c>
      <c r="D58" s="442" t="s">
        <v>7197</v>
      </c>
      <c r="E58" s="442" t="s">
        <v>7198</v>
      </c>
      <c r="F58" s="442" t="s">
        <v>7199</v>
      </c>
      <c r="G58" s="442" t="s">
        <v>7200</v>
      </c>
      <c r="H58" s="442" t="s">
        <v>7201</v>
      </c>
    </row>
    <row r="59" customHeight="1" spans="1:8">
      <c r="A59" s="442" t="str" cm="1">
        <f t="array" ref="A59">IFERROR(INDEX($B$1:$B$141,SMALL(IF($B$1:$B$141&lt;&gt;"",ROW($B$1:$B$141),4^8),ROW(59:59)))&amp;"","")</f>
        <v>门镇守卫</v>
      </c>
      <c r="B59" s="446" t="str">
        <f>IF(主要!$CD$22="O","门镇守卫","")</f>
        <v>门镇守卫</v>
      </c>
      <c r="C59" s="446" t="s">
        <v>6969</v>
      </c>
      <c r="D59" s="446" t="s">
        <v>7202</v>
      </c>
      <c r="E59" s="446" t="s">
        <v>7203</v>
      </c>
      <c r="F59" s="1076" t="s">
        <v>4935</v>
      </c>
      <c r="G59" s="446" t="s">
        <v>7204</v>
      </c>
      <c r="H59" s="446" t="s">
        <v>7205</v>
      </c>
    </row>
    <row r="60" customHeight="1" spans="1:8">
      <c r="A60" s="442" t="str" cm="1">
        <f t="array" ref="A60">IFERROR(INDEX($B$1:$B$141,SMALL(IF($B$1:$B$141&lt;&gt;"",ROW($B$1:$B$141),4^8),ROW(60:60)))&amp;"","")</f>
        <v>位面哲学家</v>
      </c>
      <c r="B60" s="446" t="str">
        <f>IF(主要!$CD$22="O","位面哲学家","")</f>
        <v>位面哲学家</v>
      </c>
      <c r="C60" s="446" t="s">
        <v>6969</v>
      </c>
      <c r="D60" s="446" t="s">
        <v>7202</v>
      </c>
      <c r="E60" s="446" t="s">
        <v>7206</v>
      </c>
      <c r="F60" s="446" t="s">
        <v>4935</v>
      </c>
      <c r="G60" s="446" t="s">
        <v>7207</v>
      </c>
      <c r="H60" s="446" t="s">
        <v>7208</v>
      </c>
    </row>
    <row r="61" customHeight="1" spans="1:8">
      <c r="A61" s="442" t="str" cm="1">
        <f t="array" ref="A61">IFERROR(INDEX($B$1:$B$141,SMALL(IF($B$1:$B$141&lt;&gt;"",ROW($B$1:$B$141),4^8),ROW(61:61)))&amp;"","")</f>
        <v>受宠者</v>
      </c>
      <c r="B61" s="442" t="str">
        <f>IF(主要!$CD$8="O","受宠者","")</f>
        <v>受宠者</v>
      </c>
      <c r="C61" s="442" t="s">
        <v>6969</v>
      </c>
      <c r="D61" s="442" t="s">
        <v>7209</v>
      </c>
      <c r="E61" s="442" t="s">
        <v>7073</v>
      </c>
      <c r="F61" s="442" t="s">
        <v>7210</v>
      </c>
      <c r="G61" s="442" t="s">
        <v>7211</v>
      </c>
      <c r="H61" s="442" t="s">
        <v>7212</v>
      </c>
    </row>
    <row r="62" customHeight="1" spans="1:8">
      <c r="A62" s="442" t="str" cm="1">
        <f t="array" ref="A62">IFERROR(INDEX($B$1:$B$141,SMALL(IF($B$1:$B$141&lt;&gt;"",ROW($B$1:$B$141),4^8),ROW(62:62)))&amp;"","")</f>
        <v>受难者</v>
      </c>
      <c r="B62" s="442" t="str">
        <f>IF(主要!$CD$8="O","受难者","")</f>
        <v>受难者</v>
      </c>
      <c r="C62" s="442" t="s">
        <v>6969</v>
      </c>
      <c r="D62" s="442" t="s">
        <v>7213</v>
      </c>
      <c r="E62" s="442" t="s">
        <v>7214</v>
      </c>
      <c r="F62" s="442" t="s">
        <v>7210</v>
      </c>
      <c r="G62" s="442" t="s">
        <v>7215</v>
      </c>
      <c r="H62" s="442" t="s">
        <v>7216</v>
      </c>
    </row>
    <row r="63" customHeight="1" spans="1:8">
      <c r="A63" s="442" t="str" cm="1">
        <f t="array" ref="A63">IFERROR(INDEX($B$1:$B$141,SMALL(IF($B$1:$B$141&lt;&gt;"",ROW($B$1:$B$141),4^8),ROW(63:63)))&amp;"","")</f>
        <v>神话调查员</v>
      </c>
      <c r="B63" s="446" t="str">
        <f>IF(主要!$CO$14="O","神话调查员","")</f>
        <v>神话调查员</v>
      </c>
      <c r="C63" s="446" t="s">
        <v>6969</v>
      </c>
      <c r="D63" s="446" t="s">
        <v>6970</v>
      </c>
      <c r="E63" s="446" t="s">
        <v>7217</v>
      </c>
      <c r="F63" s="446" t="s">
        <v>7067</v>
      </c>
      <c r="G63" s="446" t="s">
        <v>4931</v>
      </c>
      <c r="H63" s="446" t="s">
        <v>7218</v>
      </c>
    </row>
    <row r="64" customHeight="1" spans="1:8">
      <c r="A64" s="442" t="str" cm="1">
        <f t="array" ref="A64">IFERROR(INDEX($B$1:$B$141,SMALL(IF($B$1:$B$141&lt;&gt;"",ROW($B$1:$B$141),4^8),ROW(64:64)))&amp;"","")</f>
        <v>笑面人</v>
      </c>
      <c r="B64" s="442" t="str">
        <f>IF(主要!$CD$23="O","笑面人","")</f>
        <v>笑面人</v>
      </c>
      <c r="C64" s="442" t="s">
        <v>6969</v>
      </c>
      <c r="D64" s="442" t="s">
        <v>6970</v>
      </c>
      <c r="E64" s="442" t="s">
        <v>7219</v>
      </c>
      <c r="F64" s="442" t="s">
        <v>7220</v>
      </c>
      <c r="G64" s="442" t="s">
        <v>7221</v>
      </c>
      <c r="H64" s="442" t="s">
        <v>7222</v>
      </c>
    </row>
    <row r="65" customHeight="1" spans="1:8">
      <c r="A65" s="442" t="str" cm="1">
        <f t="array" ref="A65">IFERROR(INDEX($B$1:$B$141,SMALL(IF($B$1:$B$141&lt;&gt;"",ROW($B$1:$B$141),4^8),ROW(65:65)))&amp;"","")</f>
        <v>沃什塔克特工</v>
      </c>
      <c r="B65" s="442" t="str">
        <f>IF(主要!$CD$23="O","沃什塔克特工","")</f>
        <v>沃什塔克特工</v>
      </c>
      <c r="C65" s="442" t="s">
        <v>6969</v>
      </c>
      <c r="D65" s="442" t="s">
        <v>6970</v>
      </c>
      <c r="E65" s="442" t="s">
        <v>7114</v>
      </c>
      <c r="F65" s="442" t="s">
        <v>7223</v>
      </c>
      <c r="G65" s="442" t="s">
        <v>7224</v>
      </c>
      <c r="H65" s="442" t="s">
        <v>7225</v>
      </c>
    </row>
    <row r="66" customHeight="1" spans="1:8">
      <c r="A66" s="442" t="str" cm="1">
        <f t="array" ref="A66">IFERROR(INDEX($B$1:$B$141,SMALL(IF($B$1:$B$141&lt;&gt;"",ROW($B$1:$B$141),4^8),ROW(66:66)))&amp;"","")</f>
        <v>大陆贵族</v>
      </c>
      <c r="B66" s="446" t="str">
        <f>IF(主要!$CO$6="O","大陆贵族","")</f>
        <v>大陆贵族</v>
      </c>
      <c r="C66" s="446" t="s">
        <v>6969</v>
      </c>
      <c r="D66" s="446" t="s">
        <v>6970</v>
      </c>
      <c r="E66" s="446" t="s">
        <v>7226</v>
      </c>
      <c r="F66" s="446" t="s">
        <v>4935</v>
      </c>
      <c r="G66" s="446" t="s">
        <v>7227</v>
      </c>
      <c r="H66" s="446" t="s">
        <v>7228</v>
      </c>
    </row>
    <row r="67" customHeight="1" spans="1:8">
      <c r="A67" s="442" t="str" cm="1">
        <f t="array" ref="A67">IFERROR(INDEX($B$1:$B$141,SMALL(IF($B$1:$B$141&lt;&gt;"",ROW($B$1:$B$141),4^8),ROW(67:67)))&amp;"","")</f>
        <v>大陆贵族变体-末裔</v>
      </c>
      <c r="B67" s="446" t="str">
        <f>IF(主要!$CO$6="O","大陆贵族变体-末裔","")</f>
        <v>大陆贵族变体-末裔</v>
      </c>
      <c r="C67" s="446" t="s">
        <v>6969</v>
      </c>
      <c r="D67" s="446" t="s">
        <v>6970</v>
      </c>
      <c r="E67" s="446" t="s">
        <v>7226</v>
      </c>
      <c r="F67" s="446" t="s">
        <v>4935</v>
      </c>
      <c r="G67" s="446" t="s">
        <v>7227</v>
      </c>
      <c r="H67" s="446" t="s">
        <v>7229</v>
      </c>
    </row>
    <row r="68" customHeight="1" spans="1:8">
      <c r="A68" s="442" t="str" cm="1">
        <f t="array" ref="A68">IFERROR(INDEX($B$1:$B$141,SMALL(IF($B$1:$B$141&lt;&gt;"",ROW($B$1:$B$141),4^8),ROW(68:68)))&amp;"","")</f>
        <v>魔法血脉</v>
      </c>
      <c r="B68" s="446" t="str">
        <f>IF(主要!$CO$6="O","魔法血脉","")</f>
        <v>魔法血脉</v>
      </c>
      <c r="C68" s="446" t="s">
        <v>6969</v>
      </c>
      <c r="D68" s="446" t="s">
        <v>6970</v>
      </c>
      <c r="E68" s="446" t="s">
        <v>7230</v>
      </c>
      <c r="F68" s="446" t="s">
        <v>7231</v>
      </c>
      <c r="G68" s="446" t="s">
        <v>7232</v>
      </c>
      <c r="H68" s="446" t="s">
        <v>7233</v>
      </c>
    </row>
    <row r="69" customHeight="1" spans="1:8">
      <c r="A69" s="442" t="str" cm="1">
        <f t="array" ref="A69">IFERROR(INDEX($B$1:$B$141,SMALL(IF($B$1:$B$141&lt;&gt;"",ROW($B$1:$B$141),4^8),ROW(69:69)))&amp;"","")</f>
        <v>魔法血脉变体-叛道法师</v>
      </c>
      <c r="B69" s="446" t="str">
        <f>IF(主要!$CO$6="O","魔法血脉变体-叛道法师","")</f>
        <v>魔法血脉变体-叛道法师</v>
      </c>
      <c r="C69" s="446" t="s">
        <v>6969</v>
      </c>
      <c r="D69" s="446" t="s">
        <v>6970</v>
      </c>
      <c r="E69" s="446" t="s">
        <v>7230</v>
      </c>
      <c r="F69" s="446" t="s">
        <v>7231</v>
      </c>
      <c r="G69" s="446" t="s">
        <v>7232</v>
      </c>
      <c r="H69" s="446" t="s">
        <v>7234</v>
      </c>
    </row>
    <row r="70" customHeight="1" spans="1:8">
      <c r="A70" s="442" t="str" cm="1">
        <f t="array" ref="A70">IFERROR(INDEX($B$1:$B$141,SMALL(IF($B$1:$B$141&lt;&gt;"",ROW($B$1:$B$141),4^8),ROW(70:70)))&amp;"","")</f>
        <v>虔诚传教士</v>
      </c>
      <c r="B70" s="446" t="str">
        <f>IF(主要!$CO$6="O","虔诚传教士","")</f>
        <v>虔诚传教士</v>
      </c>
      <c r="C70" s="446" t="s">
        <v>6969</v>
      </c>
      <c r="D70" s="446" t="s">
        <v>6970</v>
      </c>
      <c r="E70" s="446" t="s">
        <v>7235</v>
      </c>
      <c r="F70" s="446" t="s">
        <v>4935</v>
      </c>
      <c r="G70" s="446" t="s">
        <v>7236</v>
      </c>
      <c r="H70" s="446" t="s">
        <v>7237</v>
      </c>
    </row>
    <row r="71" customHeight="1" spans="1:8">
      <c r="A71" s="442" t="str" cm="1">
        <f t="array" ref="A71">IFERROR(INDEX($B$1:$B$141,SMALL(IF($B$1:$B$141&lt;&gt;"",ROW($B$1:$B$141),4^8),ROW(71:71)))&amp;"","")</f>
        <v>虔诚传教士变体-观星者</v>
      </c>
      <c r="B71" s="446" t="str">
        <f>IF(主要!$CO$6="O","虔诚传教士变体-观星者","")</f>
        <v>虔诚传教士变体-观星者</v>
      </c>
      <c r="C71" s="446" t="s">
        <v>6969</v>
      </c>
      <c r="D71" s="446" t="s">
        <v>6970</v>
      </c>
      <c r="E71" s="446" t="s">
        <v>7235</v>
      </c>
      <c r="F71" s="446" t="s">
        <v>4935</v>
      </c>
      <c r="G71" s="446" t="s">
        <v>7236</v>
      </c>
      <c r="H71" s="446" t="s">
        <v>7238</v>
      </c>
    </row>
    <row r="72" customHeight="1" spans="1:8">
      <c r="A72" s="442" t="str" cm="1">
        <f t="array" ref="A72">IFERROR(INDEX($B$1:$B$141,SMALL(IF($B$1:$B$141&lt;&gt;"",ROW($B$1:$B$141),4^8),ROW(72:72)))&amp;"","")</f>
        <v>幸存者</v>
      </c>
      <c r="B72" s="446" t="str">
        <f>IF(主要!$CO$6="O","幸存者","")</f>
        <v>幸存者</v>
      </c>
      <c r="C72" s="446" t="s">
        <v>6969</v>
      </c>
      <c r="D72" s="446" t="s">
        <v>6970</v>
      </c>
      <c r="E72" s="446" t="s">
        <v>7239</v>
      </c>
      <c r="F72" s="446" t="s">
        <v>7240</v>
      </c>
      <c r="G72" s="446" t="s">
        <v>7241</v>
      </c>
      <c r="H72" s="446" t="s">
        <v>7242</v>
      </c>
    </row>
    <row r="73" customHeight="1" spans="1:8">
      <c r="A73" s="442" t="str" cm="1">
        <f t="array" ref="A73">IFERROR(INDEX($B$1:$B$141,SMALL(IF($B$1:$B$141&lt;&gt;"",ROW($B$1:$B$141),4^8),ROW(73:73)))&amp;"","")</f>
        <v>幸存者变体-内战老兵</v>
      </c>
      <c r="B73" s="446" t="str">
        <f>IF(主要!$CO$6="O","幸存者变体-内战老兵","")</f>
        <v>幸存者变体-内战老兵</v>
      </c>
      <c r="C73" s="446" t="s">
        <v>6969</v>
      </c>
      <c r="D73" s="446" t="s">
        <v>6970</v>
      </c>
      <c r="E73" s="446" t="s">
        <v>7239</v>
      </c>
      <c r="F73" s="446" t="s">
        <v>7240</v>
      </c>
      <c r="G73" s="446" t="s">
        <v>7241</v>
      </c>
      <c r="H73" s="446" t="s">
        <v>7243</v>
      </c>
    </row>
    <row r="74" customHeight="1" spans="1:8">
      <c r="A74" s="442" t="str" cm="1">
        <f t="array" ref="A74">IFERROR(INDEX($B$1:$B$141,SMALL(IF($B$1:$B$141&lt;&gt;"",ROW($B$1:$B$141),4^8),ROW(74:74)))&amp;"","")</f>
        <v>寻宝者</v>
      </c>
      <c r="B74" s="446" t="str">
        <f>IF(主要!$CO$6="O","寻宝者","")</f>
        <v>寻宝者</v>
      </c>
      <c r="C74" s="446" t="s">
        <v>6969</v>
      </c>
      <c r="D74" s="446" t="s">
        <v>6970</v>
      </c>
      <c r="E74" s="446" t="s">
        <v>7244</v>
      </c>
      <c r="F74" s="446" t="s">
        <v>7245</v>
      </c>
      <c r="G74" s="446" t="s">
        <v>7246</v>
      </c>
      <c r="H74" s="446" t="s">
        <v>7247</v>
      </c>
    </row>
    <row r="75" customHeight="1" spans="1:8">
      <c r="A75" s="442" t="str" cm="1">
        <f t="array" ref="A75">IFERROR(INDEX($B$1:$B$141,SMALL(IF($B$1:$B$141&lt;&gt;"",ROW($B$1:$B$141),4^8),ROW(75:75)))&amp;"","")</f>
        <v>寻宝者变体-赏金客</v>
      </c>
      <c r="B75" s="446" t="str">
        <f>IF(主要!$CO$6="O","寻宝者变体-赏金客","")</f>
        <v>寻宝者变体-赏金客</v>
      </c>
      <c r="C75" s="446" t="s">
        <v>6969</v>
      </c>
      <c r="D75" s="446" t="s">
        <v>6970</v>
      </c>
      <c r="E75" s="446" t="s">
        <v>7244</v>
      </c>
      <c r="F75" s="446" t="s">
        <v>7245</v>
      </c>
      <c r="G75" s="446" t="s">
        <v>7246</v>
      </c>
      <c r="H75" s="446" t="s">
        <v>7248</v>
      </c>
    </row>
    <row r="76" customHeight="1" spans="1:8">
      <c r="A76" s="442" t="str" cm="1">
        <f t="array" ref="A76">IFERROR(INDEX($B$1:$B$141,SMALL(IF($B$1:$B$141&lt;&gt;"",ROW($B$1:$B$141),4^8),ROW(76:76)))&amp;"","")</f>
        <v>阿沙里人</v>
      </c>
      <c r="B76" s="446" t="str">
        <f>IF(主要!$CO$4="O","阿沙里人","")</f>
        <v>阿沙里人</v>
      </c>
      <c r="C76" s="446" t="s">
        <v>6969</v>
      </c>
      <c r="D76" s="446" t="s">
        <v>6970</v>
      </c>
      <c r="E76" s="446" t="s">
        <v>7249</v>
      </c>
      <c r="F76" s="446" t="s">
        <v>5149</v>
      </c>
      <c r="G76" s="446" t="s">
        <v>7250</v>
      </c>
      <c r="H76" s="446" t="s">
        <v>7251</v>
      </c>
    </row>
    <row r="77" customHeight="1" spans="1:8">
      <c r="A77" s="442" t="str" cm="1">
        <f t="array" ref="A77">IFERROR(INDEX($B$1:$B$141,SMALL(IF($B$1:$B$141&lt;&gt;"",ROW($B$1:$B$141),4^8),ROW(77:77)))&amp;"","")</f>
        <v>扣环帮成员</v>
      </c>
      <c r="B77" s="446" t="str">
        <f>IF(主要!$CO$4="O","扣环帮成员","")</f>
        <v>扣环帮成员</v>
      </c>
      <c r="C77" s="446" t="s">
        <v>6969</v>
      </c>
      <c r="D77" s="446" t="s">
        <v>6970</v>
      </c>
      <c r="E77" s="446" t="s">
        <v>7252</v>
      </c>
      <c r="F77" s="446" t="s">
        <v>7253</v>
      </c>
      <c r="G77" s="446" t="s">
        <v>7254</v>
      </c>
      <c r="H77" s="446" t="s">
        <v>7255</v>
      </c>
    </row>
    <row r="78" customHeight="1" spans="1:8">
      <c r="A78" s="442" t="str" cm="1">
        <f t="array" ref="A78">IFERROR(INDEX($B$1:$B$141,SMALL(IF($B$1:$B$141&lt;&gt;"",ROW($B$1:$B$141),4^8),ROW(78:78)))&amp;"","")</f>
        <v>扣环帮成员变体-万象会特工</v>
      </c>
      <c r="B78" s="446" t="str">
        <f>IF(主要!$CO$4="O","扣环帮成员变体-万象会特工","")</f>
        <v>扣环帮成员变体-万象会特工</v>
      </c>
      <c r="C78" s="446" t="s">
        <v>6969</v>
      </c>
      <c r="D78" s="446" t="s">
        <v>6970</v>
      </c>
      <c r="E78" s="446" t="s">
        <v>7252</v>
      </c>
      <c r="F78" s="446" t="s">
        <v>7253</v>
      </c>
      <c r="G78" s="446" t="s">
        <v>7254</v>
      </c>
      <c r="H78" s="446" t="s">
        <v>7256</v>
      </c>
    </row>
    <row r="79" customHeight="1" spans="1:8">
      <c r="A79" s="442" t="str" cm="1">
        <f t="array" ref="A79">IFERROR(INDEX($B$1:$B$141,SMALL(IF($B$1:$B$141&lt;&gt;"",ROW($B$1:$B$141),4^8),ROW(79:79)))&amp;"","")</f>
        <v>学苑学者</v>
      </c>
      <c r="B79" s="446" t="str">
        <f>IF(主要!$CO$4="O","学苑学者","")</f>
        <v>学苑学者</v>
      </c>
      <c r="C79" s="446" t="s">
        <v>6969</v>
      </c>
      <c r="D79" s="446" t="s">
        <v>6970</v>
      </c>
      <c r="E79" s="446" t="s">
        <v>7257</v>
      </c>
      <c r="F79" s="446" t="s">
        <v>4935</v>
      </c>
      <c r="G79" s="446" t="s">
        <v>7258</v>
      </c>
      <c r="H79" s="446" t="s">
        <v>7259</v>
      </c>
    </row>
    <row r="80" customHeight="1" spans="1:8">
      <c r="A80" s="442" t="str" cm="1">
        <f t="array" ref="A80">IFERROR(INDEX($B$1:$B$141,SMALL(IF($B$1:$B$141&lt;&gt;"",ROW($B$1:$B$141),4^8),ROW(80:80)))&amp;"","")</f>
        <v>白石城步枪团</v>
      </c>
      <c r="B80" s="446" t="str">
        <f>IF(主要!$CO$4="O","白石城步枪团","")</f>
        <v>白石城步枪团</v>
      </c>
      <c r="C80" s="446" t="s">
        <v>6969</v>
      </c>
      <c r="D80" s="446" t="s">
        <v>6970</v>
      </c>
      <c r="E80" s="446" t="s">
        <v>7260</v>
      </c>
      <c r="F80" s="446" t="s">
        <v>4935</v>
      </c>
      <c r="G80" s="446" t="s">
        <v>7261</v>
      </c>
      <c r="H80" s="446" t="s">
        <v>7262</v>
      </c>
    </row>
    <row r="81" customHeight="1" spans="1:8">
      <c r="A81" s="442" t="str" cm="1">
        <f t="array" ref="A81">IFERROR(INDEX($B$1:$B$141,SMALL(IF($B$1:$B$141&lt;&gt;"",ROW($B$1:$B$141),4^8),ROW(81:81)))&amp;"","")</f>
        <v>白石城步枪团变体-灰色猎手</v>
      </c>
      <c r="B81" s="446" t="str">
        <f>IF(主要!$CO$4="O","白石城步枪团变体-灰色猎手","")</f>
        <v>白石城步枪团变体-灰色猎手</v>
      </c>
      <c r="C81" s="446" t="s">
        <v>6969</v>
      </c>
      <c r="D81" s="446" t="s">
        <v>6970</v>
      </c>
      <c r="E81" s="446" t="s">
        <v>7260</v>
      </c>
      <c r="F81" s="446" t="s">
        <v>4935</v>
      </c>
      <c r="G81" s="446" t="s">
        <v>7261</v>
      </c>
      <c r="H81" s="446" t="s">
        <v>7263</v>
      </c>
    </row>
    <row r="82" customHeight="1" spans="1:8">
      <c r="A82" s="442" t="str" cm="1">
        <f t="array" ref="A82">IFERROR(INDEX($B$1:$B$141,SMALL(IF($B$1:$B$141&lt;&gt;"",ROW($B$1:$B$141),4^8),ROW(82:82)))&amp;"","")</f>
        <v>前邪教徒</v>
      </c>
      <c r="B82" s="446" t="str">
        <f>IF(主要!$CO$4="O","前邪教徒","")</f>
        <v>前邪教徒</v>
      </c>
      <c r="C82" s="446" t="s">
        <v>6969</v>
      </c>
      <c r="D82" s="446" t="s">
        <v>6970</v>
      </c>
      <c r="E82" s="446" t="s">
        <v>7264</v>
      </c>
      <c r="F82" s="446" t="s">
        <v>4935</v>
      </c>
      <c r="G82" s="446" t="s">
        <v>7265</v>
      </c>
      <c r="H82" s="446" t="s">
        <v>7266</v>
      </c>
    </row>
    <row r="83" customHeight="1" spans="1:8">
      <c r="A83" s="442" t="str" cm="1">
        <f t="array" ref="A83">IFERROR(INDEX($B$1:$B$141,SMALL(IF($B$1:$B$141&lt;&gt;"",ROW($B$1:$B$141),4^8),ROW(83:83)))&amp;"","")</f>
        <v>AHA学徒</v>
      </c>
      <c r="B83" s="442" t="str">
        <f>IF(主要!$CO$11="O","AHA学徒","")</f>
        <v>AHA学徒</v>
      </c>
      <c r="C83" s="442" t="s">
        <v>6969</v>
      </c>
      <c r="D83" s="442" t="s">
        <v>6970</v>
      </c>
      <c r="E83" s="442" t="s">
        <v>7154</v>
      </c>
      <c r="F83" s="442" t="s">
        <v>7145</v>
      </c>
      <c r="G83" s="442" t="s">
        <v>7267</v>
      </c>
      <c r="H83" s="442" t="s">
        <v>7268</v>
      </c>
    </row>
    <row r="84" customHeight="1" spans="1:8">
      <c r="A84" s="442" t="str" cm="1">
        <f t="array" ref="A84">IFERROR(INDEX($B$1:$B$141,SMALL(IF($B$1:$B$141&lt;&gt;"",ROW($B$1:$B$141),4^8),ROW(84:84)))&amp;"","")</f>
        <v>潜水学徒</v>
      </c>
      <c r="B84" s="442" t="str">
        <f>IF(主要!$CO$11="O","潜水学徒","")</f>
        <v>潜水学徒</v>
      </c>
      <c r="C84" s="442" t="s">
        <v>6969</v>
      </c>
      <c r="D84" s="442" t="s">
        <v>6970</v>
      </c>
      <c r="E84" s="442" t="s">
        <v>7269</v>
      </c>
      <c r="F84" s="442" t="s">
        <v>7270</v>
      </c>
      <c r="G84" s="442" t="s">
        <v>7271</v>
      </c>
      <c r="H84" s="442" t="s">
        <v>7272</v>
      </c>
    </row>
    <row r="85" customHeight="1" spans="1:8">
      <c r="A85" s="442" t="str" cm="1">
        <f t="array" ref="A85">IFERROR(INDEX($B$1:$B$141,SMALL(IF($B$1:$B$141&lt;&gt;"",ROW($B$1:$B$141),4^8),ROW(85:85)))&amp;"","")</f>
        <v>魔女学徒</v>
      </c>
      <c r="B85" s="442" t="str">
        <f>IF(主要!$CO$11="O","魔女学徒","")</f>
        <v>魔女学徒</v>
      </c>
      <c r="C85" s="442" t="s">
        <v>6969</v>
      </c>
      <c r="D85" s="442" t="s">
        <v>6970</v>
      </c>
      <c r="E85" s="442" t="s">
        <v>7273</v>
      </c>
      <c r="F85" s="442" t="s">
        <v>4928</v>
      </c>
      <c r="G85" s="442" t="s">
        <v>7274</v>
      </c>
      <c r="H85" s="442" t="s">
        <v>7275</v>
      </c>
    </row>
    <row r="86" customHeight="1" spans="1:8">
      <c r="A86" s="442" t="str" cm="1">
        <f t="array" ref="A86">IFERROR(INDEX($B$1:$B$141,SMALL(IF($B$1:$B$141&lt;&gt;"",ROW($B$1:$B$141),4^8),ROW(86:86)))&amp;"","")</f>
        <v>速递队学员</v>
      </c>
      <c r="B86" s="442" t="str">
        <f>IF(主要!$CO$11="O","速递队学员","")</f>
        <v>速递队学员</v>
      </c>
      <c r="C86" s="442" t="s">
        <v>6969</v>
      </c>
      <c r="D86" s="442" t="s">
        <v>6970</v>
      </c>
      <c r="E86" s="442" t="s">
        <v>7214</v>
      </c>
      <c r="F86" s="442" t="s">
        <v>4984</v>
      </c>
      <c r="G86" s="442" t="s">
        <v>7276</v>
      </c>
      <c r="H86" s="442" t="s">
        <v>7277</v>
      </c>
    </row>
    <row r="87" customHeight="1" spans="1:8">
      <c r="A87" s="442" t="str" cm="1">
        <f t="array" ref="A87">IFERROR(INDEX($B$1:$B$141,SMALL(IF($B$1:$B$141&lt;&gt;"",ROW($B$1:$B$141),4^8),ROW(87:87)))&amp;"","")</f>
        <v>机械师</v>
      </c>
      <c r="B87" s="442" t="str">
        <f>IF(主要!$CO$11="O","机械师","")</f>
        <v>机械师</v>
      </c>
      <c r="C87" s="442" t="s">
        <v>6969</v>
      </c>
      <c r="D87" s="442" t="s">
        <v>6970</v>
      </c>
      <c r="E87" s="442" t="s">
        <v>7278</v>
      </c>
      <c r="F87" s="442" t="s">
        <v>7279</v>
      </c>
      <c r="G87" s="442" t="s">
        <v>7280</v>
      </c>
      <c r="H87" s="442" t="s">
        <v>7281</v>
      </c>
    </row>
    <row r="88" customHeight="1" spans="1:8">
      <c r="A88" s="442" t="str" cm="1">
        <f t="array" ref="A88">IFERROR(INDEX($B$1:$B$141,SMALL(IF($B$1:$B$141&lt;&gt;"",ROW($B$1:$B$141),4^8),ROW(88:88)))&amp;"","")</f>
        <v>亲灵者</v>
      </c>
      <c r="B88" s="442" t="str">
        <f>IF(主要!$CO$11="O","亲灵者","")</f>
        <v>亲灵者</v>
      </c>
      <c r="C88" s="442" t="s">
        <v>6969</v>
      </c>
      <c r="D88" s="442" t="s">
        <v>6970</v>
      </c>
      <c r="E88" s="442" t="s">
        <v>7282</v>
      </c>
      <c r="F88" s="442" t="s">
        <v>4935</v>
      </c>
      <c r="G88" s="442" t="s">
        <v>7283</v>
      </c>
      <c r="H88" s="442" t="s">
        <v>7284</v>
      </c>
    </row>
    <row r="89" customHeight="1" spans="1:8">
      <c r="A89" s="442" t="str" cm="1">
        <f t="array" ref="A89">IFERROR(INDEX($B$1:$B$141,SMALL(IF($B$1:$B$141&lt;&gt;"",ROW($B$1:$B$141),4^8),ROW(89:89)))&amp;"","")</f>
        <v>德鲁斯肯瓦尔德居民</v>
      </c>
      <c r="B89" s="446" t="str">
        <f>IF(主要!$CO$13="O","德鲁斯肯瓦尔德居民","")</f>
        <v>德鲁斯肯瓦尔德居民</v>
      </c>
      <c r="C89" s="446" t="s">
        <v>6969</v>
      </c>
      <c r="D89" s="446" t="s">
        <v>6970</v>
      </c>
      <c r="E89" s="446" t="s">
        <v>7285</v>
      </c>
      <c r="F89" s="446" t="s">
        <v>7286</v>
      </c>
      <c r="G89" s="446" t="s">
        <v>7287</v>
      </c>
      <c r="H89" s="446" t="s">
        <v>7288</v>
      </c>
    </row>
    <row r="90" customHeight="1" spans="1:8">
      <c r="A90" s="442" t="str" cm="1">
        <f t="array" ref="A90">IFERROR(INDEX($B$1:$B$141,SMALL(IF($B$1:$B$141&lt;&gt;"",ROW($B$1:$B$141),4^8),ROW(90:90)))&amp;"","")</f>
        <v>实验体</v>
      </c>
      <c r="B90" s="446" t="str">
        <f>IF(主要!$CO$13="O","实验体","")</f>
        <v>实验体</v>
      </c>
      <c r="C90" s="446" t="s">
        <v>6969</v>
      </c>
      <c r="D90" s="446" t="s">
        <v>7289</v>
      </c>
      <c r="E90" s="446" t="s">
        <v>7290</v>
      </c>
      <c r="F90" s="446" t="s">
        <v>4928</v>
      </c>
      <c r="G90" s="446" t="s">
        <v>7291</v>
      </c>
      <c r="H90" s="446" t="s">
        <v>7292</v>
      </c>
    </row>
    <row r="91" customHeight="1" spans="1:8">
      <c r="A91" s="442" t="str" cm="1">
        <f t="array" ref="A91">IFERROR(INDEX($B$1:$B$141,SMALL(IF($B$1:$B$141&lt;&gt;"",ROW($B$1:$B$141),4^8),ROW(91:91)))&amp;"","")</f>
        <v>柳编咒匠</v>
      </c>
      <c r="B91" s="446" t="str">
        <f>IF(主要!$CO$13="O","柳编咒匠","")</f>
        <v>柳编咒匠</v>
      </c>
      <c r="C91" s="446" t="s">
        <v>6969</v>
      </c>
      <c r="D91" s="446" t="s">
        <v>7293</v>
      </c>
      <c r="E91" s="446" t="s">
        <v>7294</v>
      </c>
      <c r="F91" s="446" t="s">
        <v>5072</v>
      </c>
      <c r="G91" s="446" t="s">
        <v>7295</v>
      </c>
      <c r="H91" s="446" t="s">
        <v>7296</v>
      </c>
    </row>
    <row r="92" customHeight="1" spans="1:8">
      <c r="A92" s="442" t="str" cm="1">
        <f t="array" ref="A92">IFERROR(INDEX($B$1:$B$141,SMALL(IF($B$1:$B$141&lt;&gt;"",ROW($B$1:$B$141),4^8),ROW(92:92)))&amp;"","")</f>
        <v>猩红求道者</v>
      </c>
      <c r="B92" s="446" t="str">
        <f>IF(主要!$CO$13="O","猩红求道者","")</f>
        <v>猩红求道者</v>
      </c>
      <c r="C92" s="446" t="s">
        <v>6969</v>
      </c>
      <c r="D92" s="446" t="s">
        <v>7297</v>
      </c>
      <c r="E92" s="446" t="s">
        <v>7298</v>
      </c>
      <c r="F92" s="446" t="s">
        <v>5149</v>
      </c>
      <c r="G92" s="446" t="s">
        <v>7299</v>
      </c>
      <c r="H92" s="446" t="s">
        <v>7300</v>
      </c>
    </row>
    <row r="93" customHeight="1" spans="1:8">
      <c r="A93" s="442" t="str" cm="1">
        <f t="array" ref="A93">IFERROR(INDEX($B$1:$B$141,SMALL(IF($B$1:$B$141&lt;&gt;"",ROW($B$1:$B$141),4^8),ROW(93:93)))&amp;"","")</f>
        <v>密教徒</v>
      </c>
      <c r="B93" s="446" t="str">
        <f>IF(主要!$CO$13="O","密教徒","")</f>
        <v>密教徒</v>
      </c>
      <c r="C93" s="446" t="s">
        <v>6969</v>
      </c>
      <c r="D93" s="446" t="s">
        <v>7301</v>
      </c>
      <c r="E93" s="446" t="s">
        <v>7302</v>
      </c>
      <c r="F93" s="446" t="s">
        <v>4947</v>
      </c>
      <c r="G93" s="446" t="s">
        <v>7303</v>
      </c>
      <c r="H93" s="446" t="s">
        <v>7304</v>
      </c>
    </row>
    <row r="94" customHeight="1" spans="1:8">
      <c r="A94" s="442" t="str" cm="1">
        <f t="array" ref="A94">IFERROR(INDEX($B$1:$B$141,SMALL(IF($B$1:$B$141&lt;&gt;"",ROW($B$1:$B$141),4^8),ROW(94:94)))&amp;"","")</f>
        <v>禁忌学者</v>
      </c>
      <c r="B94" s="446" t="str">
        <f>IF(主要!$CO$13="O","禁忌学者","")</f>
        <v>禁忌学者</v>
      </c>
      <c r="C94" s="446" t="s">
        <v>6969</v>
      </c>
      <c r="D94" s="446" t="s">
        <v>7305</v>
      </c>
      <c r="E94" s="446" t="s">
        <v>7306</v>
      </c>
      <c r="F94" s="446" t="s">
        <v>4947</v>
      </c>
      <c r="G94" s="446" t="s">
        <v>7307</v>
      </c>
      <c r="H94" s="446" t="s">
        <v>7308</v>
      </c>
    </row>
    <row r="95" customHeight="1" spans="1:8">
      <c r="A95" s="442" t="str" cm="1">
        <f t="array" ref="A95">IFERROR(INDEX($B$1:$B$141,SMALL(IF($B$1:$B$141&lt;&gt;"",ROW($B$1:$B$141),4^8),ROW(95:95)))&amp;"","")</f>
        <v>岔路赌徒</v>
      </c>
      <c r="B95" s="446" t="str">
        <f>IF(主要!$CO$13="O","岔路赌徒","")</f>
        <v>岔路赌徒</v>
      </c>
      <c r="C95" s="446" t="s">
        <v>6969</v>
      </c>
      <c r="D95" s="446" t="s">
        <v>7309</v>
      </c>
      <c r="E95" s="446" t="s">
        <v>7148</v>
      </c>
      <c r="F95" s="446" t="s">
        <v>7012</v>
      </c>
      <c r="G95" s="446" t="s">
        <v>7310</v>
      </c>
      <c r="H95" s="446" t="s">
        <v>7311</v>
      </c>
    </row>
    <row r="96" customHeight="1" spans="1:8">
      <c r="A96" s="442" t="str" cm="1">
        <f t="array" ref="A96">IFERROR(INDEX($B$1:$B$141,SMALL(IF($B$1:$B$141&lt;&gt;"",ROW($B$1:$B$141),4^8),ROW(96:96)))&amp;"","")</f>
        <v>幽灯乘客</v>
      </c>
      <c r="B96" s="446" t="str">
        <f>IF(主要!$CO$13="O","幽灯乘客","")</f>
        <v>幽灯乘客</v>
      </c>
      <c r="C96" s="446" t="s">
        <v>6969</v>
      </c>
      <c r="D96" s="446" t="s">
        <v>7312</v>
      </c>
      <c r="E96" s="446" t="s">
        <v>7073</v>
      </c>
      <c r="F96" s="446" t="s">
        <v>5054</v>
      </c>
      <c r="G96" s="446" t="s">
        <v>7313</v>
      </c>
      <c r="H96" s="446" t="s">
        <v>7314</v>
      </c>
    </row>
    <row r="97" customHeight="1" spans="1:8">
      <c r="A97" s="442" t="str" cm="1">
        <f t="array" ref="A97">IFERROR(INDEX($B$1:$B$141,SMALL(IF($B$1:$B$141&lt;&gt;"",ROW($B$1:$B$141),4^8),ROW(97:97)))&amp;"","")</f>
        <v>安魂墓卫</v>
      </c>
      <c r="B97" s="446" t="str">
        <f>IF(主要!$CO$13="O","安魂墓卫","")</f>
        <v>安魂墓卫</v>
      </c>
      <c r="C97" s="446" t="s">
        <v>6969</v>
      </c>
      <c r="D97" s="446" t="s">
        <v>7315</v>
      </c>
      <c r="E97" s="446" t="s">
        <v>7316</v>
      </c>
      <c r="F97" s="446" t="s">
        <v>5029</v>
      </c>
      <c r="G97" s="446" t="s">
        <v>7317</v>
      </c>
      <c r="H97" s="446" t="s">
        <v>7318</v>
      </c>
    </row>
    <row r="98" customHeight="1" spans="1:8">
      <c r="A98" s="442" t="str" cm="1">
        <f t="array" ref="A98">IFERROR(INDEX($B$1:$B$141,SMALL(IF($B$1:$B$141&lt;&gt;"",ROW($B$1:$B$141),4^8),ROW(98:98)))&amp;"","")</f>
        <v>暗夜猎手</v>
      </c>
      <c r="B98" s="446" t="str">
        <f>IF(主要!$CO$13="O","暗夜猎手","")</f>
        <v>暗夜猎手</v>
      </c>
      <c r="C98" s="446" t="s">
        <v>6969</v>
      </c>
      <c r="D98" s="446" t="s">
        <v>7319</v>
      </c>
      <c r="E98" s="446" t="s">
        <v>7320</v>
      </c>
      <c r="F98" s="446" t="s">
        <v>5019</v>
      </c>
      <c r="G98" s="446" t="s">
        <v>7321</v>
      </c>
      <c r="H98" s="446" t="s">
        <v>7322</v>
      </c>
    </row>
    <row r="99" customHeight="1" spans="1:8">
      <c r="A99" s="442" t="str" cm="1">
        <f t="array" ref="A99">IFERROR(INDEX($B$1:$B$141,SMALL(IF($B$1:$B$141&lt;&gt;"",ROW($B$1:$B$141),4^8),ROW(99:99)))&amp;"","")</f>
        <v>失忆者</v>
      </c>
      <c r="B99" s="446" t="str">
        <f>IF(主要!$CO$13="O","失忆者","")</f>
        <v>失忆者</v>
      </c>
      <c r="C99" s="446" t="s">
        <v>6969</v>
      </c>
      <c r="D99" s="446" t="s">
        <v>7323</v>
      </c>
      <c r="E99" s="446" t="s">
        <v>4935</v>
      </c>
      <c r="F99" s="446" t="s">
        <v>4935</v>
      </c>
      <c r="G99" s="446" t="s">
        <v>7324</v>
      </c>
      <c r="H99" s="446" t="s">
        <v>7325</v>
      </c>
    </row>
    <row r="100" customHeight="1" spans="1:8">
      <c r="A100" s="442" t="str" cm="1">
        <f t="array" ref="A100">IFERROR(INDEX($B$1:$B$141,SMALL(IF($B$1:$B$141&lt;&gt;"",ROW($B$1:$B$141),4^8),ROW(100:100)))&amp;"","")</f>
        <v>狂欢者</v>
      </c>
      <c r="B100" s="446" t="str">
        <f>IF(主要!$CO$13="O","狂欢者","")</f>
        <v>狂欢者</v>
      </c>
      <c r="C100" s="446" t="s">
        <v>6969</v>
      </c>
      <c r="D100" s="446" t="s">
        <v>7326</v>
      </c>
      <c r="E100" s="446" t="s">
        <v>7327</v>
      </c>
      <c r="F100" s="446" t="s">
        <v>7001</v>
      </c>
      <c r="G100" s="446" t="s">
        <v>7328</v>
      </c>
      <c r="H100" s="446" t="s">
        <v>7329</v>
      </c>
    </row>
    <row r="101" customHeight="1" spans="1:8">
      <c r="A101" s="442" t="str" cm="1">
        <f t="array" ref="A101">IFERROR(INDEX($B$1:$B$141,SMALL(IF($B$1:$B$141&lt;&gt;"",ROW($B$1:$B$141),4^8),ROW(101:101)))&amp;"","")</f>
        <v>彷徨镜影</v>
      </c>
      <c r="B101" s="446" t="str">
        <f>IF(主要!$CO$13="O","彷徨镜影","")</f>
        <v>彷徨镜影</v>
      </c>
      <c r="C101" s="446" t="s">
        <v>6969</v>
      </c>
      <c r="D101" s="446" t="s">
        <v>7330</v>
      </c>
      <c r="E101" s="446" t="s">
        <v>7331</v>
      </c>
      <c r="F101" s="446" t="s">
        <v>5092</v>
      </c>
      <c r="G101" s="446" t="s">
        <v>7332</v>
      </c>
      <c r="H101" s="446" t="s">
        <v>7333</v>
      </c>
    </row>
    <row r="102" customHeight="1" spans="1:8">
      <c r="A102" s="442" t="str" cm="1">
        <f t="array" ref="A102">IFERROR(INDEX($B$1:$B$141,SMALL(IF($B$1:$B$141&lt;&gt;"",ROW($B$1:$B$141),4^8),ROW(102:102)))&amp;"","")</f>
        <v>琼达斯海盗</v>
      </c>
      <c r="B102" s="442" t="str">
        <f>IF(主要!$CD$10="O","琼达斯海盗","")</f>
        <v>琼达斯海盗</v>
      </c>
      <c r="C102" s="442" t="s">
        <v>7043</v>
      </c>
      <c r="D102" s="442" t="s">
        <v>6620</v>
      </c>
      <c r="E102" s="442" t="s">
        <v>7334</v>
      </c>
      <c r="F102" s="442" t="s">
        <v>5072</v>
      </c>
      <c r="G102" s="442" t="s">
        <v>7335</v>
      </c>
      <c r="H102" s="442" t="s">
        <v>7336</v>
      </c>
    </row>
    <row r="103" customHeight="1" spans="1:8">
      <c r="A103" s="442" t="str" cm="1">
        <f t="array" ref="A103">IFERROR(INDEX($B$1:$B$141,SMALL(IF($B$1:$B$141&lt;&gt;"",ROW($B$1:$B$141),4^8),ROW(103:103)))&amp;"","")</f>
        <v>死魔法区住民</v>
      </c>
      <c r="B103" s="442" t="str">
        <f>IF(主要!$CD$10="O","死魔法区住民","")</f>
        <v>死魔法区住民</v>
      </c>
      <c r="C103" s="442" t="s">
        <v>7005</v>
      </c>
      <c r="D103" s="442" t="s">
        <v>6589</v>
      </c>
      <c r="E103" s="442" t="s">
        <v>7337</v>
      </c>
      <c r="F103" s="442" t="s">
        <v>7338</v>
      </c>
      <c r="G103" s="442" t="s">
        <v>7339</v>
      </c>
      <c r="H103" s="442" t="s">
        <v>7340</v>
      </c>
    </row>
    <row r="104" customHeight="1" spans="1:8">
      <c r="A104" s="442" t="str" cm="1">
        <f t="array" ref="A104">IFERROR(INDEX($B$1:$B$141,SMALL(IF($B$1:$B$141&lt;&gt;"",ROW($B$1:$B$141),4^8),ROW(104:104)))&amp;"","")</f>
        <v>焰拳佣兵</v>
      </c>
      <c r="B104" s="442" t="str">
        <f>IF(主要!$CD$10="O","焰拳佣兵","")</f>
        <v>焰拳佣兵</v>
      </c>
      <c r="C104" s="442" t="s">
        <v>7341</v>
      </c>
      <c r="D104" s="442" t="s">
        <v>6632</v>
      </c>
      <c r="E104" s="442" t="s">
        <v>7342</v>
      </c>
      <c r="F104" s="442" t="s">
        <v>5054</v>
      </c>
      <c r="G104" s="442" t="s">
        <v>7343</v>
      </c>
      <c r="H104" s="442" t="s">
        <v>7344</v>
      </c>
    </row>
    <row r="105" customHeight="1" spans="1:8">
      <c r="A105" s="442" t="str" cm="1">
        <f t="array" ref="A105">IFERROR(INDEX($B$1:$B$141,SMALL(IF($B$1:$B$141&lt;&gt;"",ROW($B$1:$B$141),4^8),ROW(105:105)))&amp;"","")</f>
        <v>巨灵接触者</v>
      </c>
      <c r="B105" s="442" t="str">
        <f>IF(主要!$CD$10="O","巨灵接触者","")</f>
        <v>巨灵接触者</v>
      </c>
      <c r="C105" s="442" t="s">
        <v>7058</v>
      </c>
      <c r="D105" s="442" t="s">
        <v>7038</v>
      </c>
      <c r="E105" s="442" t="s">
        <v>7345</v>
      </c>
      <c r="F105" s="442" t="s">
        <v>5002</v>
      </c>
      <c r="G105" s="442" t="s">
        <v>7346</v>
      </c>
      <c r="H105" s="442" t="s">
        <v>7347</v>
      </c>
    </row>
    <row r="106" customHeight="1" spans="1:8">
      <c r="A106" s="442" t="str" cm="1">
        <f t="array" ref="A106">IFERROR(INDEX($B$1:$B$141,SMALL(IF($B$1:$B$141&lt;&gt;"",ROW($B$1:$B$141),4^8),ROW(106:106)))&amp;"","")</f>
        <v>冰上钓客</v>
      </c>
      <c r="B106" s="442" t="str">
        <f>IF(主要!$CD$10="O","冰上钓客","")</f>
        <v>冰上钓客</v>
      </c>
      <c r="C106" s="442" t="s">
        <v>7053</v>
      </c>
      <c r="D106" s="442" t="s">
        <v>6573</v>
      </c>
      <c r="E106" s="442" t="s">
        <v>7348</v>
      </c>
      <c r="F106" s="442" t="s">
        <v>5083</v>
      </c>
      <c r="G106" s="442" t="s">
        <v>7349</v>
      </c>
      <c r="H106" s="442" t="s">
        <v>7350</v>
      </c>
    </row>
    <row r="107" customHeight="1" spans="1:8">
      <c r="A107" s="442" t="str" cm="1">
        <f t="array" ref="A107">IFERROR(INDEX($B$1:$B$141,SMALL(IF($B$1:$B$141&lt;&gt;"",ROW($B$1:$B$141),4^8),ROW(107:107)))&amp;"","")</f>
        <v>月井朝圣者</v>
      </c>
      <c r="B107" s="442" t="str">
        <f>IF(主要!$CD$10="O","月井朝圣者","")</f>
        <v>月井朝圣者</v>
      </c>
      <c r="C107" s="442" t="s">
        <v>7022</v>
      </c>
      <c r="D107" s="442" t="s">
        <v>7017</v>
      </c>
      <c r="E107" s="442" t="s">
        <v>7351</v>
      </c>
      <c r="F107" s="442" t="s">
        <v>5037</v>
      </c>
      <c r="G107" s="442" t="s">
        <v>7352</v>
      </c>
      <c r="H107" s="442" t="s">
        <v>7353</v>
      </c>
    </row>
    <row r="108" customHeight="1" spans="1:8">
      <c r="A108" s="442" t="str" cm="1">
        <f t="array" ref="A108">IFERROR(INDEX($B$1:$B$141,SMALL(IF($B$1:$B$141&lt;&gt;"",ROW($B$1:$B$141),4^8),ROW(108:108)))&amp;"","")</f>
        <v>穆尔霍兰德盗墓者</v>
      </c>
      <c r="B108" s="442" t="str">
        <f>IF(主要!$CD$10="O","穆尔霍兰德盗墓者","")</f>
        <v>穆尔霍兰德盗墓者</v>
      </c>
      <c r="C108" s="442" t="s">
        <v>6993</v>
      </c>
      <c r="D108" s="442" t="s">
        <v>5607</v>
      </c>
      <c r="E108" s="442" t="s">
        <v>7354</v>
      </c>
      <c r="F108" s="442" t="s">
        <v>5029</v>
      </c>
      <c r="G108" s="442" t="s">
        <v>7355</v>
      </c>
      <c r="H108" s="442" t="s">
        <v>7356</v>
      </c>
    </row>
    <row r="109" customHeight="1" spans="1:8">
      <c r="A109" s="442" t="str" cm="1">
        <f t="array" ref="A109">IFERROR(INDEX($B$1:$B$141,SMALL(IF($B$1:$B$141&lt;&gt;"",ROW($B$1:$B$141),4^8),ROW(109:109)))&amp;"","")</f>
        <v>迷锁守卫者</v>
      </c>
      <c r="B109" s="442" t="str">
        <f>IF(主要!$CD$10="O","迷锁守卫者","")</f>
        <v>迷锁守卫者</v>
      </c>
      <c r="C109" s="442" t="s">
        <v>6976</v>
      </c>
      <c r="D109" s="442" t="s">
        <v>6582</v>
      </c>
      <c r="E109" s="442" t="s">
        <v>7357</v>
      </c>
      <c r="F109" s="442" t="s">
        <v>5010</v>
      </c>
      <c r="G109" s="442" t="s">
        <v>7358</v>
      </c>
      <c r="H109" s="442" t="s">
        <v>7359</v>
      </c>
    </row>
    <row r="110" customHeight="1" spans="1:8">
      <c r="A110" s="442" t="str" cm="1">
        <f t="array" ref="A110">IFERROR(INDEX($B$1:$B$141,SMALL(IF($B$1:$B$141&lt;&gt;"",ROW($B$1:$B$141),4^8),ROW(110:110)))&amp;"","")</f>
        <v>莱瑟曼流浪者</v>
      </c>
      <c r="B110" s="442" t="str">
        <f>IF(主要!$CD$10="O","莱瑟曼流浪者","")</f>
        <v>莱瑟曼流浪者</v>
      </c>
      <c r="C110" s="442" t="s">
        <v>7341</v>
      </c>
      <c r="D110" s="442" t="s">
        <v>6632</v>
      </c>
      <c r="E110" s="442" t="s">
        <v>7342</v>
      </c>
      <c r="F110" s="442" t="s">
        <v>4971</v>
      </c>
      <c r="G110" s="442" t="s">
        <v>7360</v>
      </c>
      <c r="H110" s="442" t="s">
        <v>7361</v>
      </c>
    </row>
    <row r="111" customHeight="1" spans="1:8">
      <c r="A111" s="442" t="str" cm="1">
        <f t="array" ref="A111">IFERROR(INDEX($B$1:$B$141,SMALL(IF($B$1:$B$141&lt;&gt;"",ROW($B$1:$B$141),4^8),ROW(111:111)))&amp;"","")</f>
        <v>影宗放逐者</v>
      </c>
      <c r="B111" s="442" t="str">
        <f>IF(主要!$CD$10="O","影宗放逐者","")</f>
        <v>影宗放逐者</v>
      </c>
      <c r="C111" s="442" t="s">
        <v>7362</v>
      </c>
      <c r="D111" s="442" t="s">
        <v>6614</v>
      </c>
      <c r="E111" s="442" t="s">
        <v>7363</v>
      </c>
      <c r="F111" s="442" t="s">
        <v>5286</v>
      </c>
      <c r="G111" s="442" t="s">
        <v>7364</v>
      </c>
      <c r="H111" s="442" t="s">
        <v>7365</v>
      </c>
    </row>
    <row r="112" customHeight="1" spans="1:8">
      <c r="A112" s="442" t="str" cm="1">
        <f t="array" ref="A112">IFERROR(INDEX($B$1:$B$141,SMALL(IF($B$1:$B$141&lt;&gt;"",ROW($B$1:$B$141),4^8),ROW(112:112)))&amp;"","")</f>
        <v>咒火学徒</v>
      </c>
      <c r="B112" s="442" t="str">
        <f>IF(主要!$CD$10="O","咒火学徒","")</f>
        <v>咒火学徒</v>
      </c>
      <c r="C112" s="442" t="s">
        <v>7027</v>
      </c>
      <c r="D112" s="442" t="s">
        <v>7366</v>
      </c>
      <c r="E112" s="442" t="s">
        <v>7367</v>
      </c>
      <c r="F112" s="442" t="s">
        <v>7368</v>
      </c>
      <c r="G112" s="442" t="s">
        <v>7369</v>
      </c>
      <c r="H112" s="442" t="s">
        <v>7370</v>
      </c>
    </row>
    <row r="113" customHeight="1" spans="1:8">
      <c r="A113" s="442" t="str" cm="1">
        <f t="array" ref="A113">IFERROR(INDEX($B$1:$B$141,SMALL(IF($B$1:$B$141&lt;&gt;"",ROW($B$1:$B$141),4^8),ROW(113:113)))&amp;"","")</f>
        <v>龙巫教信徒</v>
      </c>
      <c r="B113" s="442" t="str">
        <f>IF(主要!$CD$10="O","龙巫教信徒","")</f>
        <v>龙巫教信徒</v>
      </c>
      <c r="C113" s="442" t="s">
        <v>6993</v>
      </c>
      <c r="D113" s="442" t="s">
        <v>7371</v>
      </c>
      <c r="E113" s="442" t="s">
        <v>7372</v>
      </c>
      <c r="F113" s="442" t="s">
        <v>4947</v>
      </c>
      <c r="G113" s="442" t="s">
        <v>7373</v>
      </c>
      <c r="H113" s="442" t="s">
        <v>7374</v>
      </c>
    </row>
    <row r="114" customHeight="1" spans="1:8">
      <c r="A114" s="442" t="str" cm="1">
        <f t="array" ref="A114">IFERROR(INDEX($B$1:$B$141,SMALL(IF($B$1:$B$141&lt;&gt;"",ROW($B$1:$B$141),4^8),ROW(114:114)))&amp;"","")</f>
        <v>翠绿闲庭庇护者</v>
      </c>
      <c r="B114" s="442" t="str">
        <f>IF(主要!$CD$10="O","翠绿闲庭庇护者","")</f>
        <v>翠绿闲庭庇护者</v>
      </c>
      <c r="C114" s="442" t="s">
        <v>7037</v>
      </c>
      <c r="D114" s="442" t="s">
        <v>7375</v>
      </c>
      <c r="E114" s="442" t="s">
        <v>7376</v>
      </c>
      <c r="F114" s="442" t="s">
        <v>5149</v>
      </c>
      <c r="G114" s="442" t="s">
        <v>7377</v>
      </c>
      <c r="H114" s="442" t="s">
        <v>7378</v>
      </c>
    </row>
    <row r="115" customHeight="1" spans="1:8">
      <c r="A115" s="442" t="str" cm="1">
        <f t="array" ref="A115">IFERROR(INDEX($B$1:$B$141,SMALL(IF($B$1:$B$141&lt;&gt;"",ROW($B$1:$B$141),4^8),ROW(115:115)))&amp;"","")</f>
        <v>竖琴手</v>
      </c>
      <c r="B115" s="442" t="str">
        <f>IF(主要!$CD$10="O","竖琴手","")</f>
        <v>竖琴手</v>
      </c>
      <c r="C115" s="442" t="s">
        <v>7362</v>
      </c>
      <c r="D115" s="442" t="s">
        <v>7379</v>
      </c>
      <c r="E115" s="442" t="s">
        <v>7380</v>
      </c>
      <c r="F115" s="442" t="s">
        <v>5092</v>
      </c>
      <c r="G115" s="442" t="s">
        <v>7381</v>
      </c>
      <c r="H115" s="442" t="s">
        <v>7382</v>
      </c>
    </row>
    <row r="116" customHeight="1" spans="1:8">
      <c r="A116" s="442" t="str" cm="1">
        <f t="array" ref="A116">IFERROR(INDEX($B$1:$B$141,SMALL(IF($B$1:$B$141&lt;&gt;"",ROW($B$1:$B$141),4^8),ROW(116:116)))&amp;"","")</f>
        <v>臂铠骑士</v>
      </c>
      <c r="B116" s="442" t="str">
        <f>IF(主要!$CD$10="O","臂铠骑士","")</f>
        <v>臂铠骑士</v>
      </c>
      <c r="C116" s="442" t="s">
        <v>7010</v>
      </c>
      <c r="D116" s="442" t="s">
        <v>7383</v>
      </c>
      <c r="E116" s="442" t="s">
        <v>7384</v>
      </c>
      <c r="F116" s="442" t="s">
        <v>5054</v>
      </c>
      <c r="G116" s="442" t="s">
        <v>7385</v>
      </c>
      <c r="H116" s="442" t="s">
        <v>7386</v>
      </c>
    </row>
    <row r="117" customHeight="1" spans="1:8">
      <c r="A117" s="442" t="str" cm="1">
        <f t="array" ref="A117">IFERROR(INDEX($B$1:$B$141,SMALL(IF($B$1:$B$141&lt;&gt;"",ROW($B$1:$B$141),4^8),ROW(117:117)))&amp;"","")</f>
        <v>领主联盟臣属</v>
      </c>
      <c r="B117" s="442" t="str">
        <f>IF(主要!$CD$10="O","领主联盟臣属","")</f>
        <v>领主联盟臣属</v>
      </c>
      <c r="C117" s="442" t="s">
        <v>7032</v>
      </c>
      <c r="D117" s="442" t="s">
        <v>7387</v>
      </c>
      <c r="E117" s="442" t="s">
        <v>7388</v>
      </c>
      <c r="F117" s="442" t="s">
        <v>4947</v>
      </c>
      <c r="G117" s="442" t="s">
        <v>7389</v>
      </c>
      <c r="H117" s="442" t="s">
        <v>7390</v>
      </c>
    </row>
    <row r="118" customHeight="1" spans="1:8">
      <c r="A118" s="442" t="str" cm="1">
        <f t="array" ref="A118">IFERROR(INDEX($B$1:$B$141,SMALL(IF($B$1:$B$141&lt;&gt;"",ROW($B$1:$B$141),4^8),ROW(118:118)))&amp;"","")</f>
        <v>紫龙骑士侍从</v>
      </c>
      <c r="B118" s="442" t="str">
        <f>IF(主要!$CD$10="O","紫龙骑士侍从","")</f>
        <v>紫龙骑士侍从</v>
      </c>
      <c r="C118" s="442" t="s">
        <v>7391</v>
      </c>
      <c r="D118" s="442" t="s">
        <v>7392</v>
      </c>
      <c r="E118" s="442" t="s">
        <v>7393</v>
      </c>
      <c r="F118" s="442" t="s">
        <v>5272</v>
      </c>
      <c r="G118" s="442" t="s">
        <v>7394</v>
      </c>
      <c r="H118" s="442" t="s">
        <v>7395</v>
      </c>
    </row>
    <row r="119" customHeight="1" spans="1:8">
      <c r="A119" s="442" t="str" cm="1">
        <f t="array" ref="A119">IFERROR(INDEX($B$1:$B$141,SMALL(IF($B$1:$B$141&lt;&gt;"",ROW($B$1:$B$141),4^8),ROW(119:119)))&amp;"","")</f>
        <v>散塔林会佣兵</v>
      </c>
      <c r="B119" s="442" t="str">
        <f>IF(主要!$CD$10="O","散塔林会佣兵","")</f>
        <v>散塔林会佣兵</v>
      </c>
      <c r="C119" s="442" t="s">
        <v>6999</v>
      </c>
      <c r="D119" s="442" t="s">
        <v>7396</v>
      </c>
      <c r="E119" s="442" t="s">
        <v>7342</v>
      </c>
      <c r="F119" s="442" t="s">
        <v>5102</v>
      </c>
      <c r="G119" s="442" t="s">
        <v>7397</v>
      </c>
      <c r="H119" s="442" t="s">
        <v>7398</v>
      </c>
    </row>
    <row r="120" customHeight="1" spans="1:8">
      <c r="A120" s="442" t="str" cm="1">
        <f t="array" ref="A120">IFERROR(INDEX($B$1:$B$141,SMALL(IF($B$1:$B$141&lt;&gt;"",ROW($B$1:$B$141),4^8),ROW(120:120)))&amp;"","")</f>
        <v>洛温专家</v>
      </c>
      <c r="B120" s="446" t="str">
        <f>IF(主要!$CD$11="O","洛温专家","")</f>
        <v>洛温专家</v>
      </c>
      <c r="C120" s="446" t="s">
        <v>7005</v>
      </c>
      <c r="D120" s="446" t="s">
        <v>7399</v>
      </c>
      <c r="E120" s="446" t="s">
        <v>7400</v>
      </c>
      <c r="F120" s="446" t="s">
        <v>4971</v>
      </c>
      <c r="G120" s="446" t="s">
        <v>7401</v>
      </c>
      <c r="H120" s="446" t="s">
        <v>7402</v>
      </c>
    </row>
    <row r="121" customHeight="1" spans="1:8">
      <c r="A121" s="442" t="str" cm="1">
        <f t="array" ref="A121">IFERROR(INDEX($B$1:$B$141,SMALL(IF($B$1:$B$141&lt;&gt;"",ROW($B$1:$B$141),4^8),ROW(121:121)))&amp;"","")</f>
        <v>影原专家</v>
      </c>
      <c r="B121" s="446" t="str">
        <f>IF(主要!$CD$11="O","影原专家","")</f>
        <v>影原专家</v>
      </c>
      <c r="C121" s="446" t="s">
        <v>7362</v>
      </c>
      <c r="D121" s="446" t="s">
        <v>7403</v>
      </c>
      <c r="E121" s="446" t="s">
        <v>7404</v>
      </c>
      <c r="F121" s="446" t="s">
        <v>5002</v>
      </c>
      <c r="G121" s="446" t="s">
        <v>7405</v>
      </c>
      <c r="H121" s="446" t="s">
        <v>7406</v>
      </c>
    </row>
    <row r="122" customHeight="1" spans="1:8">
      <c r="A122" s="442" t="str" cm="1">
        <f t="array" ref="A122">IFERROR(INDEX($B$1:$B$141,SMALL(IF($B$1:$B$141&lt;&gt;"",ROW($B$1:$B$141),4^8),ROW(122:122)))&amp;"","")</f>
        <v>考古学家</v>
      </c>
      <c r="B122" s="442" t="str">
        <f>IF(主要!$CD$13="O","考古学家","")</f>
        <v>考古学家</v>
      </c>
      <c r="C122" s="442" t="s">
        <v>7048</v>
      </c>
      <c r="D122" s="442" t="s">
        <v>6620</v>
      </c>
      <c r="E122" s="442" t="s">
        <v>7407</v>
      </c>
      <c r="F122" s="442" t="s">
        <v>4971</v>
      </c>
      <c r="G122" s="442" t="s">
        <v>7408</v>
      </c>
      <c r="H122" s="442" t="s">
        <v>7409</v>
      </c>
    </row>
    <row r="123" customHeight="1" spans="1:8">
      <c r="A123" s="442" t="str" cm="1">
        <f t="array" ref="A123">IFERROR(INDEX($B$1:$B$141,SMALL(IF($B$1:$B$141&lt;&gt;"",ROW($B$1:$B$141),4^8),ROW(123:123)))&amp;"","")</f>
        <v>家族代理人</v>
      </c>
      <c r="B123" s="442" t="str">
        <f>IF(主要!$CD$13="O","家族代理人","")</f>
        <v>家族代理人</v>
      </c>
      <c r="C123" s="442" t="s">
        <v>7032</v>
      </c>
      <c r="D123" s="442" t="s">
        <v>5607</v>
      </c>
      <c r="E123" s="442" t="s">
        <v>6983</v>
      </c>
      <c r="F123" s="442" t="s">
        <v>6984</v>
      </c>
      <c r="G123" s="442" t="s">
        <v>7410</v>
      </c>
      <c r="H123" s="442" t="s">
        <v>7411</v>
      </c>
    </row>
    <row r="124" customHeight="1" spans="1:8">
      <c r="A124" s="442" t="str" cm="1">
        <f t="array" ref="A124">IFERROR(INDEX($B$1:$B$141,SMALL(IF($B$1:$B$141&lt;&gt;"",ROW($B$1:$B$141),4^8),ROW(124:124)))&amp;"","")</f>
        <v>探事员</v>
      </c>
      <c r="B124" s="442" t="str">
        <f>IF(主要!$CD$13="O","探事员","")</f>
        <v>探事员</v>
      </c>
      <c r="C124" s="442" t="s">
        <v>7027</v>
      </c>
      <c r="D124" s="442" t="s">
        <v>6573</v>
      </c>
      <c r="E124" s="442" t="s">
        <v>7412</v>
      </c>
      <c r="F124" s="442" t="s">
        <v>5286</v>
      </c>
      <c r="G124" s="442" t="s">
        <v>7413</v>
      </c>
      <c r="H124" s="442" t="s">
        <v>7414</v>
      </c>
    </row>
    <row r="125" customHeight="1" spans="1:8">
      <c r="A125" s="442" t="str" cm="1">
        <f t="array" ref="A125">IFERROR(INDEX($B$1:$B$141,SMALL(IF($B$1:$B$141&lt;&gt;"",ROW($B$1:$B$141),4^8),ROW(125:125)))&amp;"","")</f>
        <v>异种家族后裔</v>
      </c>
      <c r="B125" s="442" t="str">
        <f>IF(主要!$CD$13="O","异种家族后裔","")</f>
        <v>异种家族后裔</v>
      </c>
      <c r="C125" s="442" t="s">
        <v>7341</v>
      </c>
      <c r="D125" s="442" t="s">
        <v>7415</v>
      </c>
      <c r="E125" s="442" t="s">
        <v>7416</v>
      </c>
      <c r="F125" s="442" t="s">
        <v>5092</v>
      </c>
      <c r="G125" s="442" t="s">
        <v>7417</v>
      </c>
      <c r="H125" s="442" t="s">
        <v>7418</v>
      </c>
    </row>
    <row r="126" customHeight="1" spans="1:8">
      <c r="A126" s="442" t="str" cm="1">
        <f t="array" ref="A126">IFERROR(INDEX($B$1:$B$141,SMALL(IF($B$1:$B$141&lt;&gt;"",ROW($B$1:$B$141),4^8),ROW(126:126)))&amp;"","")</f>
        <v>梅丹尼家族后裔</v>
      </c>
      <c r="B126" s="442" t="str">
        <f>IF(主要!$CD$13="O","梅丹尼家族后裔","")</f>
        <v>梅丹尼家族后裔</v>
      </c>
      <c r="C126" s="442" t="s">
        <v>7048</v>
      </c>
      <c r="D126" s="442" t="s">
        <v>7419</v>
      </c>
      <c r="E126" s="442" t="s">
        <v>7412</v>
      </c>
      <c r="F126" s="442" t="s">
        <v>5092</v>
      </c>
      <c r="G126" s="442" t="s">
        <v>7420</v>
      </c>
      <c r="H126" s="442" t="s">
        <v>7421</v>
      </c>
    </row>
    <row r="127" customHeight="1" spans="1:8">
      <c r="A127" s="442" t="str" cm="1">
        <f t="array" ref="A127">IFERROR(INDEX($B$1:$B$141,SMALL(IF($B$1:$B$141&lt;&gt;"",ROW($B$1:$B$141),4^8),ROW(127:127)))&amp;"","")</f>
        <v>萨拉释克家族后裔</v>
      </c>
      <c r="B127" s="442" t="str">
        <f>IF(主要!$CD$13="O","萨拉释克家族后裔","")</f>
        <v>萨拉释克家族后裔</v>
      </c>
      <c r="C127" s="442" t="s">
        <v>7037</v>
      </c>
      <c r="D127" s="442" t="s">
        <v>7422</v>
      </c>
      <c r="E127" s="442" t="s">
        <v>7423</v>
      </c>
      <c r="F127" s="442" t="s">
        <v>7012</v>
      </c>
      <c r="G127" s="442" t="s">
        <v>7424</v>
      </c>
      <c r="H127" s="442" t="s">
        <v>7425</v>
      </c>
    </row>
    <row r="128" customHeight="1" spans="1:8">
      <c r="A128" s="442" t="str" cm="1">
        <f t="array" ref="A128">IFERROR(INDEX($B$1:$B$141,SMALL(IF($B$1:$B$141&lt;&gt;"",ROW($B$1:$B$141),4^8),ROW(128:128)))&amp;"","")</f>
        <v>瓦达利斯家族后裔</v>
      </c>
      <c r="B128" s="442" t="str">
        <f>IF(主要!$CD$13="O","瓦达利斯家族后裔","")</f>
        <v>瓦达利斯家族后裔</v>
      </c>
      <c r="C128" s="442" t="s">
        <v>7022</v>
      </c>
      <c r="D128" s="442" t="s">
        <v>7426</v>
      </c>
      <c r="E128" s="442" t="s">
        <v>7427</v>
      </c>
      <c r="F128" s="442" t="s">
        <v>5149</v>
      </c>
      <c r="G128" s="442" t="s">
        <v>7428</v>
      </c>
      <c r="H128" s="442" t="s">
        <v>7429</v>
      </c>
    </row>
    <row r="129" customHeight="1" spans="1:8">
      <c r="A129" s="442" t="str" cm="1">
        <f t="array" ref="A129">IFERROR(INDEX($B$1:$B$141,SMALL(IF($B$1:$B$141&lt;&gt;"",ROW($B$1:$B$141),4^8),ROW(129:129)))&amp;"","")</f>
        <v>乔拉斯科家族家族后裔</v>
      </c>
      <c r="B129" s="442" t="str">
        <f>IF(主要!$CD$13="O","乔拉斯科家族家族后裔","")</f>
        <v>乔拉斯科家族家族后裔</v>
      </c>
      <c r="C129" s="442" t="s">
        <v>7016</v>
      </c>
      <c r="D129" s="442" t="s">
        <v>7430</v>
      </c>
      <c r="E129" s="442" t="s">
        <v>7431</v>
      </c>
      <c r="F129" s="442" t="s">
        <v>5149</v>
      </c>
      <c r="G129" s="442" t="s">
        <v>7432</v>
      </c>
      <c r="H129" s="442" t="s">
        <v>7433</v>
      </c>
    </row>
    <row r="130" customHeight="1" spans="1:8">
      <c r="A130" s="442" t="str" cm="1">
        <f t="array" ref="A130">IFERROR(INDEX($B$1:$B$141,SMALL(IF($B$1:$B$141&lt;&gt;"",ROW($B$1:$B$141),4^8),ROW(130:130)))&amp;"","")</f>
        <v>伽兰达家族后裔</v>
      </c>
      <c r="B130" s="442" t="str">
        <f>IF(主要!$CD$13="O","伽兰达家族后裔","")</f>
        <v>伽兰达家族后裔</v>
      </c>
      <c r="C130" s="442" t="s">
        <v>7058</v>
      </c>
      <c r="D130" s="442" t="s">
        <v>7434</v>
      </c>
      <c r="E130" s="442" t="s">
        <v>7435</v>
      </c>
      <c r="F130" s="442" t="s">
        <v>4995</v>
      </c>
      <c r="G130" s="442" t="s">
        <v>7436</v>
      </c>
      <c r="H130" s="442" t="s">
        <v>7437</v>
      </c>
    </row>
    <row r="131" customHeight="1" spans="1:8">
      <c r="A131" s="442" t="str" cm="1">
        <f t="array" ref="A131">IFERROR(INDEX($B$1:$B$141,SMALL(IF($B$1:$B$141&lt;&gt;"",ROW($B$1:$B$141),4^8),ROW(131:131)))&amp;"","")</f>
        <v>坎尼斯家族后裔</v>
      </c>
      <c r="B131" s="442" t="str">
        <f>IF(主要!$CD$13="O","坎尼斯家族后裔","")</f>
        <v>坎尼斯家族后裔</v>
      </c>
      <c r="C131" s="442" t="s">
        <v>6982</v>
      </c>
      <c r="D131" s="442" t="s">
        <v>7438</v>
      </c>
      <c r="E131" s="442" t="s">
        <v>7439</v>
      </c>
      <c r="F131" s="442" t="s">
        <v>6984</v>
      </c>
      <c r="G131" s="442" t="s">
        <v>7440</v>
      </c>
      <c r="H131" s="442" t="s">
        <v>7441</v>
      </c>
    </row>
    <row r="132" customHeight="1" spans="1:8">
      <c r="A132" s="442" t="str" cm="1">
        <f t="array" ref="A132">IFERROR(INDEX($B$1:$B$141,SMALL(IF($B$1:$B$141&lt;&gt;"",ROW($B$1:$B$141),4^8),ROW(132:132)))&amp;"","")</f>
        <v>欧瑞恩家族后裔</v>
      </c>
      <c r="B132" s="442" t="str">
        <f>IF(主要!$CD$13="O","欧瑞恩家族后裔","")</f>
        <v>欧瑞恩家族后裔</v>
      </c>
      <c r="C132" s="442" t="s">
        <v>6993</v>
      </c>
      <c r="D132" s="442" t="s">
        <v>7442</v>
      </c>
      <c r="E132" s="442" t="s">
        <v>7443</v>
      </c>
      <c r="F132" s="442" t="s">
        <v>4971</v>
      </c>
      <c r="G132" s="442" t="s">
        <v>7444</v>
      </c>
      <c r="H132" s="442" t="s">
        <v>7445</v>
      </c>
    </row>
    <row r="133" customHeight="1" spans="1:8">
      <c r="A133" s="442" t="str" cm="1">
        <f t="array" ref="A133">IFERROR(INDEX($B$1:$B$141,SMALL(IF($B$1:$B$141&lt;&gt;"",ROW($B$1:$B$141),4^8),ROW(133:133)))&amp;"","")</f>
        <v>西维斯家族后裔</v>
      </c>
      <c r="B133" s="442" t="str">
        <f>IF(主要!$CD$13="O","西维斯家族后裔","")</f>
        <v>西维斯家族后裔</v>
      </c>
      <c r="C133" s="442" t="s">
        <v>6976</v>
      </c>
      <c r="D133" s="442" t="s">
        <v>7446</v>
      </c>
      <c r="E133" s="442" t="s">
        <v>7447</v>
      </c>
      <c r="F133" s="442" t="s">
        <v>4947</v>
      </c>
      <c r="G133" s="442" t="s">
        <v>7448</v>
      </c>
      <c r="H133" s="442" t="s">
        <v>7449</v>
      </c>
    </row>
    <row r="134" customHeight="1" spans="1:8">
      <c r="A134" s="442" t="str" cm="1">
        <f t="array" ref="A134">IFERROR(INDEX($B$1:$B$141,SMALL(IF($B$1:$B$141&lt;&gt;"",ROW($B$1:$B$141),4^8),ROW(134:134)))&amp;"","")</f>
        <v>邓内斯家族后裔</v>
      </c>
      <c r="B134" s="442" t="str">
        <f>IF(主要!$CD$13="O","邓内斯家族后裔","")</f>
        <v>邓内斯家族后裔</v>
      </c>
      <c r="C134" s="442" t="s">
        <v>7005</v>
      </c>
      <c r="D134" s="442" t="s">
        <v>7450</v>
      </c>
      <c r="E134" s="442" t="s">
        <v>7451</v>
      </c>
      <c r="F134" s="442" t="s">
        <v>7012</v>
      </c>
      <c r="G134" s="442" t="s">
        <v>7452</v>
      </c>
      <c r="H134" s="442" t="s">
        <v>7453</v>
      </c>
    </row>
    <row r="135" customHeight="1" spans="1:8">
      <c r="A135" s="442" t="str" cm="1">
        <f t="array" ref="A135">IFERROR(INDEX($B$1:$B$141,SMALL(IF($B$1:$B$141&lt;&gt;"",ROW($B$1:$B$141),4^8),ROW(135:135)))&amp;"","")</f>
        <v>费亚兰家族后裔</v>
      </c>
      <c r="B135" s="442" t="str">
        <f>IF(主要!$CD$13="O","费亚兰家族后裔","")</f>
        <v>费亚兰家族后裔</v>
      </c>
      <c r="C135" s="442" t="s">
        <v>7058</v>
      </c>
      <c r="D135" s="442" t="s">
        <v>7454</v>
      </c>
      <c r="E135" s="442" t="s">
        <v>7372</v>
      </c>
      <c r="F135" s="442" t="s">
        <v>5092</v>
      </c>
      <c r="G135" s="442" t="s">
        <v>7420</v>
      </c>
      <c r="H135" s="442" t="s">
        <v>7455</v>
      </c>
    </row>
    <row r="136" customHeight="1" spans="1:8">
      <c r="A136" s="442" t="str" cm="1">
        <f t="array" ref="A136">IFERROR(INDEX($B$1:$B$141,SMALL(IF($B$1:$B$141&lt;&gt;"",ROW($B$1:$B$141),4^8),ROW(136:136)))&amp;"","")</f>
        <v>苏兰尼家族后裔</v>
      </c>
      <c r="B136" s="442" t="str">
        <f>IF(主要!$CD$13="O","苏兰尼家族后裔","")</f>
        <v>苏兰尼家族后裔</v>
      </c>
      <c r="C136" s="442" t="s">
        <v>7362</v>
      </c>
      <c r="D136" s="442" t="s">
        <v>7454</v>
      </c>
      <c r="E136" s="442" t="s">
        <v>7456</v>
      </c>
      <c r="F136" s="442" t="s">
        <v>7001</v>
      </c>
      <c r="G136" s="442" t="s">
        <v>7457</v>
      </c>
      <c r="H136" s="442" t="s">
        <v>7458</v>
      </c>
    </row>
    <row r="137" customHeight="1" spans="1:8">
      <c r="A137" s="442" t="str" cm="1">
        <f t="array" ref="A137">IFERROR(INDEX($B$1:$B$141,SMALL(IF($B$1:$B$141&lt;&gt;"",ROW($B$1:$B$141),4^8),ROW(137:137)))&amp;"","")</f>
        <v>黎兰达家族后裔</v>
      </c>
      <c r="B137" s="442" t="str">
        <f>IF(主要!$CD$13="O","黎兰达家族后裔","")</f>
        <v>黎兰达家族后裔</v>
      </c>
      <c r="C137" s="442" t="s">
        <v>6999</v>
      </c>
      <c r="D137" s="442" t="s">
        <v>7459</v>
      </c>
      <c r="E137" s="442" t="s">
        <v>7460</v>
      </c>
      <c r="F137" s="442" t="s">
        <v>5272</v>
      </c>
      <c r="G137" s="442" t="s">
        <v>7461</v>
      </c>
      <c r="H137" s="442" t="s">
        <v>7462</v>
      </c>
    </row>
    <row r="138" customHeight="1" spans="1:8">
      <c r="A138" s="442" t="str" cm="1">
        <f t="array" ref="A138">IFERROR(INDEX($B$1:$B$141,SMALL(IF($B$1:$B$141&lt;&gt;"",ROW($B$1:$B$141),4^8),ROW(138:138)))&amp;"","")</f>
        <v>昆达拉克家族后裔</v>
      </c>
      <c r="B138" s="442" t="str">
        <f>IF(主要!$CD$13="O","昆达拉克家族后裔","")</f>
        <v>昆达拉克家族后裔</v>
      </c>
      <c r="C138" s="442" t="s">
        <v>7463</v>
      </c>
      <c r="D138" s="442" t="s">
        <v>7464</v>
      </c>
      <c r="E138" s="442" t="s">
        <v>7465</v>
      </c>
      <c r="F138" s="442" t="s">
        <v>5286</v>
      </c>
      <c r="G138" s="442" t="s">
        <v>7466</v>
      </c>
      <c r="H138" s="442" t="s">
        <v>7467</v>
      </c>
    </row>
    <row r="139" customHeight="1" spans="1:1">
      <c r="A139" s="442" t="str" cm="1">
        <f t="array" ref="A139">IFERROR(INDEX($B$1:$B$141,SMALL(IF($B$1:$B$141&lt;&gt;"",ROW($B$1:$B$141),4^8),ROW(139:139)))&amp;"","")</f>
        <v>自定义背景1</v>
      </c>
    </row>
    <row r="140" customHeight="1" spans="1:8">
      <c r="A140" s="442" t="str" cm="1">
        <f t="array" ref="A140">IFERROR(INDEX($B$1:$B$141,SMALL(IF($B$1:$B$141&lt;&gt;"",ROW($B$1:$B$141),4^8),ROW(140:140)))&amp;"","")</f>
        <v>自定义背景2</v>
      </c>
      <c r="B140" s="447" t="str">
        <f>自定义调整栏!Q29</f>
        <v>自定义背景1</v>
      </c>
      <c r="C140" s="448" t="str">
        <f>自定义调整栏!S29</f>
        <v>见注释，或自选至多三项</v>
      </c>
      <c r="D140" s="448" t="str">
        <f>自定义调整栏!U29</f>
        <v>自选一项起源专长</v>
      </c>
      <c r="E140" s="448" t="str">
        <f>自定义调整栏!W29</f>
        <v>自选两个适合背景的技能</v>
      </c>
      <c r="F140" s="448" t="str">
        <f>自定义调整栏!Q32</f>
        <v>选择一个工具，它与该背景有关，或是经常被该背景的人使用</v>
      </c>
      <c r="G140" s="448" t="str">
        <f>自定义调整栏!S32</f>
        <v>组合一套价值50GP的装备（购买完毕后多余的钱也会包含在其内）。不要将包含军用武器和护甲包含在背景给予的装备中，角色会从其职业中获得这两样装备。</v>
      </c>
      <c r="H140" s="449" t="str">
        <f>自定义调整栏!U32</f>
        <v>角色的背景代表了这个角色在成为冒险者之前的经历。通过创建一个独特的背景或对玩家手册中现有的背景进行修改，你可以反映战役的特定主题或是你世界中的独特元素。你也可以通过创建新的背景来帮助玩家为他们的角色制作心目中的起源故事。</v>
      </c>
    </row>
    <row r="141" customHeight="1" spans="1:8">
      <c r="A141" s="442" t="str" cm="1">
        <f t="array" ref="A141">IFERROR(INDEX($B$1:$B$141,SMALL(IF($B$1:$B$141&lt;&gt;"",ROW($B$1:$B$141),4^8),ROW(141:141)))&amp;"","")</f>
        <v/>
      </c>
      <c r="B141" s="450" t="str">
        <f>自定义调整栏!Q35</f>
        <v>自定义背景2</v>
      </c>
      <c r="C141" s="443" t="str">
        <f>自定义调整栏!S35</f>
        <v>见注释，或自选至多三项</v>
      </c>
      <c r="D141" s="443" t="str">
        <f>自定义调整栏!U35</f>
        <v>自选一项起源专长</v>
      </c>
      <c r="E141" s="443" t="str">
        <f>自定义调整栏!W35</f>
        <v>自选两个适合背景的技能</v>
      </c>
      <c r="F141" s="443" t="str">
        <f>自定义调整栏!Q38</f>
        <v>选择一个工具，它与该背景有关，或是经常被该背景的人使用</v>
      </c>
      <c r="G141" s="443" t="str">
        <f>自定义调整栏!S38</f>
        <v>组合一套价值50GP的装备（购买完毕后多余的钱也会包含在其内）。不要将包含军用武器和护甲包含在背景给予的装备中，角色会从其职业中获得这两样装备。</v>
      </c>
      <c r="H141" s="444" t="str">
        <f>自定义调整栏!U38</f>
        <v>角色的背景代表了这个角色在成为冒险者之前的经历。通过创建一个独特的背景或对玩家手册中现有的背景进行修改，你可以反映战役的特定主题或是你世界中的独特元素。你也可以通过创建新的背景来帮助玩家为他们的角色制作心目中的起源故事。</v>
      </c>
    </row>
    <row r="142" customHeight="1" spans="1:1">
      <c r="A142" s="442" t="str" cm="1">
        <f t="array" ref="A142">IFERROR(INDEX($B$1:$B$141,SMALL(IF($B$1:$B$141&lt;&gt;"",ROW($B$1:$B$141),4^8),ROW(143:143)))&amp;"","")</f>
        <v/>
      </c>
    </row>
  </sheetData>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7" tint="0.399945066682943"/>
  </sheetPr>
  <dimension ref="A1:BR49"/>
  <sheetViews>
    <sheetView zoomScale="80" zoomScaleNormal="80" workbookViewId="0">
      <selection activeCell="B5" sqref="B5:E5"/>
    </sheetView>
  </sheetViews>
  <sheetFormatPr defaultColWidth="3.33636363636364" defaultRowHeight="16.95" customHeight="1"/>
  <cols>
    <col min="1" max="33" width="3.33636363636364" style="207"/>
    <col min="34" max="34" width="3.33636363636364" style="207" customWidth="1"/>
    <col min="35" max="16384" width="3.33636363636364" style="207"/>
  </cols>
  <sheetData>
    <row r="1" customHeight="1" spans="1:70">
      <c r="A1" s="397" t="s">
        <v>7468</v>
      </c>
      <c r="B1" s="397"/>
      <c r="C1" s="397"/>
      <c r="D1" s="397"/>
      <c r="E1" s="397"/>
      <c r="F1" s="397"/>
      <c r="G1" s="397"/>
      <c r="H1" s="397"/>
      <c r="I1" s="397"/>
      <c r="J1" s="397"/>
      <c r="K1" s="397"/>
      <c r="L1" s="397"/>
      <c r="M1" s="397"/>
      <c r="N1" s="397"/>
      <c r="O1" s="397"/>
      <c r="P1" s="397"/>
      <c r="Q1" s="397"/>
      <c r="R1" s="397"/>
      <c r="S1" s="397"/>
      <c r="T1" s="397"/>
      <c r="U1" s="397"/>
      <c r="V1" s="397"/>
      <c r="W1" s="397"/>
      <c r="X1" s="397"/>
      <c r="Y1" s="397"/>
      <c r="Z1" s="397"/>
      <c r="AA1" s="397"/>
      <c r="AB1" s="397"/>
      <c r="AC1" s="397"/>
      <c r="AD1" s="397"/>
      <c r="AE1" s="397"/>
      <c r="AF1" s="397"/>
      <c r="AG1" s="397"/>
      <c r="AH1" s="397"/>
      <c r="AI1" s="397"/>
      <c r="AJ1" s="397"/>
      <c r="AK1" s="397"/>
      <c r="AL1" s="397"/>
      <c r="AM1" s="397"/>
      <c r="AN1" s="397"/>
      <c r="AO1" s="397"/>
      <c r="AP1" s="397"/>
      <c r="AQ1" s="397"/>
      <c r="AR1" s="397"/>
      <c r="AS1" s="397"/>
      <c r="AT1" s="397"/>
      <c r="AU1" s="397"/>
      <c r="AV1" s="397"/>
      <c r="AW1" s="397"/>
      <c r="AX1" s="397"/>
      <c r="AY1" s="397"/>
      <c r="AZ1" s="397"/>
      <c r="BA1" s="397"/>
      <c r="BB1" s="397"/>
      <c r="BC1" s="397"/>
      <c r="BD1" s="397"/>
      <c r="BE1" s="397"/>
      <c r="BF1" s="397"/>
      <c r="BG1" s="397"/>
      <c r="BH1" s="397"/>
      <c r="BI1" s="397"/>
      <c r="BJ1" s="397"/>
      <c r="BK1" s="397"/>
      <c r="BL1" s="397"/>
      <c r="BM1" s="397"/>
      <c r="BN1" s="397"/>
      <c r="BO1" s="397"/>
      <c r="BP1" s="397"/>
      <c r="BQ1" s="397"/>
      <c r="BR1" s="397"/>
    </row>
    <row r="2" ht="7.95" customHeight="1"/>
    <row r="3" customHeight="1" spans="2:69">
      <c r="B3" s="398" t="s">
        <v>7469</v>
      </c>
      <c r="C3" s="398"/>
      <c r="D3" s="398"/>
      <c r="E3" s="398"/>
      <c r="F3" s="398"/>
      <c r="G3" s="398"/>
      <c r="H3" s="398"/>
      <c r="I3" s="398"/>
      <c r="J3" s="398"/>
      <c r="K3" s="398"/>
      <c r="L3" s="398"/>
      <c r="M3" s="398"/>
      <c r="N3" s="398"/>
      <c r="O3" s="398"/>
      <c r="P3" s="398"/>
      <c r="Q3" s="398"/>
      <c r="R3" s="398"/>
      <c r="S3" s="398"/>
      <c r="T3" s="398"/>
      <c r="U3" s="398"/>
      <c r="V3" s="398"/>
      <c r="W3" s="398"/>
      <c r="Y3" s="398" t="s">
        <v>202</v>
      </c>
      <c r="Z3" s="398"/>
      <c r="AA3" s="398"/>
      <c r="AB3" s="398"/>
      <c r="AC3" s="398"/>
      <c r="AD3" s="398"/>
      <c r="AE3" s="398"/>
      <c r="AF3" s="398"/>
      <c r="AG3" s="398"/>
      <c r="AH3" s="398"/>
      <c r="AI3" s="398"/>
      <c r="AJ3" s="398"/>
      <c r="AK3" s="398"/>
      <c r="AL3" s="398"/>
      <c r="AM3" s="398"/>
      <c r="AN3" s="398"/>
      <c r="AO3" s="398"/>
      <c r="AP3" s="398"/>
      <c r="AQ3" s="398"/>
      <c r="AR3" s="398"/>
      <c r="AS3" s="407" cm="1">
        <f t="array" ref="AS3">SUM(装备!E14:E23+装备!E25:E34)</f>
        <v>0</v>
      </c>
      <c r="AT3" s="407"/>
      <c r="AV3" s="412" t="s">
        <v>346</v>
      </c>
      <c r="AW3" s="420"/>
      <c r="AX3" s="420"/>
      <c r="AY3" s="420"/>
      <c r="AZ3" s="420"/>
      <c r="BA3" s="420"/>
      <c r="BB3" s="420"/>
      <c r="BC3" s="420"/>
      <c r="BD3" s="420"/>
      <c r="BE3" s="420"/>
      <c r="BF3" s="420"/>
      <c r="BG3" s="420"/>
      <c r="BH3" s="420"/>
      <c r="BI3" s="420"/>
      <c r="BJ3" s="420"/>
      <c r="BK3" s="420"/>
      <c r="BL3" s="420"/>
      <c r="BM3" s="420"/>
      <c r="BN3" s="420"/>
      <c r="BO3" s="420"/>
      <c r="BP3" s="420"/>
      <c r="BQ3" s="437"/>
    </row>
    <row r="4" customHeight="1" spans="2:69">
      <c r="B4" s="293" t="s">
        <v>7470</v>
      </c>
      <c r="C4" s="293"/>
      <c r="D4" s="293"/>
      <c r="E4" s="293"/>
      <c r="F4" s="293" t="s">
        <v>89</v>
      </c>
      <c r="G4" s="293"/>
      <c r="H4" s="293"/>
      <c r="I4" s="293"/>
      <c r="J4" s="293"/>
      <c r="K4" s="293"/>
      <c r="L4" s="293"/>
      <c r="M4" s="293"/>
      <c r="N4" s="293"/>
      <c r="O4" s="293"/>
      <c r="P4" s="293"/>
      <c r="Q4" s="293"/>
      <c r="R4" s="293"/>
      <c r="S4" s="293"/>
      <c r="T4" s="293" t="s">
        <v>7471</v>
      </c>
      <c r="U4" s="293"/>
      <c r="V4" s="293" t="s">
        <v>4910</v>
      </c>
      <c r="W4" s="293"/>
      <c r="X4" s="404"/>
      <c r="Y4" s="293" t="s">
        <v>88</v>
      </c>
      <c r="Z4" s="293"/>
      <c r="AA4" s="293"/>
      <c r="AB4" s="293"/>
      <c r="AC4" s="293" t="s">
        <v>89</v>
      </c>
      <c r="AD4" s="293"/>
      <c r="AE4" s="293"/>
      <c r="AF4" s="293"/>
      <c r="AG4" s="293"/>
      <c r="AH4" s="293"/>
      <c r="AI4" s="293"/>
      <c r="AJ4" s="293"/>
      <c r="AK4" s="293"/>
      <c r="AL4" s="293"/>
      <c r="AM4" s="293"/>
      <c r="AN4" s="293"/>
      <c r="AO4" s="293"/>
      <c r="AP4" s="293" t="s">
        <v>7471</v>
      </c>
      <c r="AQ4" s="293"/>
      <c r="AR4" s="408"/>
      <c r="AS4" s="293" t="s">
        <v>319</v>
      </c>
      <c r="AT4" s="293"/>
      <c r="AV4" s="413" t="s">
        <v>350</v>
      </c>
      <c r="AW4" s="421"/>
      <c r="AX4" s="421"/>
      <c r="AY4" s="421"/>
      <c r="AZ4" s="421"/>
      <c r="BA4" s="421"/>
      <c r="BB4" s="421"/>
      <c r="BC4" s="421"/>
      <c r="BD4" s="421"/>
      <c r="BE4" s="421"/>
      <c r="BF4" s="421"/>
      <c r="BG4" s="431">
        <f>ROUND(SUM(BA6:BF45)-SUM(BL6:BQ45),2)</f>
        <v>0</v>
      </c>
      <c r="BH4" s="431"/>
      <c r="BI4" s="431"/>
      <c r="BJ4" s="431"/>
      <c r="BK4" s="431"/>
      <c r="BL4" s="431"/>
      <c r="BM4" s="431"/>
      <c r="BN4" s="431"/>
      <c r="BO4" s="431"/>
      <c r="BP4" s="431"/>
      <c r="BQ4" s="438"/>
    </row>
    <row r="5" customHeight="1" spans="2:69">
      <c r="B5" s="399"/>
      <c r="C5" s="399"/>
      <c r="D5" s="399"/>
      <c r="E5" s="399"/>
      <c r="F5" s="295"/>
      <c r="G5" s="295"/>
      <c r="H5" s="295"/>
      <c r="I5" s="295"/>
      <c r="J5" s="295"/>
      <c r="K5" s="295"/>
      <c r="L5" s="295"/>
      <c r="M5" s="295"/>
      <c r="N5" s="295"/>
      <c r="O5" s="295"/>
      <c r="P5" s="295"/>
      <c r="Q5" s="295"/>
      <c r="R5" s="295"/>
      <c r="S5" s="295"/>
      <c r="T5" s="405" t="str">
        <f>装备!H2</f>
        <v/>
      </c>
      <c r="U5" s="405"/>
      <c r="V5" s="405" t="str">
        <f>装备!G2</f>
        <v/>
      </c>
      <c r="W5" s="405"/>
      <c r="X5" s="404"/>
      <c r="Y5" s="399"/>
      <c r="Z5" s="399"/>
      <c r="AA5" s="399"/>
      <c r="AB5" s="399"/>
      <c r="AC5" s="295"/>
      <c r="AD5" s="295"/>
      <c r="AE5" s="295"/>
      <c r="AF5" s="295"/>
      <c r="AG5" s="295"/>
      <c r="AH5" s="295"/>
      <c r="AI5" s="295"/>
      <c r="AJ5" s="295"/>
      <c r="AK5" s="295"/>
      <c r="AL5" s="295"/>
      <c r="AM5" s="295"/>
      <c r="AN5" s="295"/>
      <c r="AO5" s="295"/>
      <c r="AP5" s="409"/>
      <c r="AQ5" s="409"/>
      <c r="AR5" s="408" t="s">
        <v>7472</v>
      </c>
      <c r="AS5" s="320"/>
      <c r="AT5" s="320"/>
      <c r="AV5" s="414" t="s">
        <v>353</v>
      </c>
      <c r="AW5" s="422"/>
      <c r="AX5" s="422"/>
      <c r="AY5" s="422"/>
      <c r="AZ5" s="422"/>
      <c r="BA5" s="423" t="s">
        <v>354</v>
      </c>
      <c r="BB5" s="423"/>
      <c r="BC5" s="423"/>
      <c r="BD5" s="423"/>
      <c r="BE5" s="423"/>
      <c r="BF5" s="423"/>
      <c r="BG5" s="423" t="s">
        <v>353</v>
      </c>
      <c r="BH5" s="423"/>
      <c r="BI5" s="423"/>
      <c r="BJ5" s="423"/>
      <c r="BK5" s="423"/>
      <c r="BL5" s="423" t="s">
        <v>354</v>
      </c>
      <c r="BM5" s="423"/>
      <c r="BN5" s="423"/>
      <c r="BO5" s="423"/>
      <c r="BP5" s="423"/>
      <c r="BQ5" s="439"/>
    </row>
    <row r="6" customHeight="1" spans="2:69">
      <c r="B6" s="400"/>
      <c r="C6" s="400"/>
      <c r="D6" s="400"/>
      <c r="E6" s="400"/>
      <c r="F6" s="297"/>
      <c r="G6" s="297"/>
      <c r="H6" s="297"/>
      <c r="I6" s="297"/>
      <c r="J6" s="297"/>
      <c r="K6" s="297"/>
      <c r="L6" s="297"/>
      <c r="M6" s="297"/>
      <c r="N6" s="297"/>
      <c r="O6" s="297"/>
      <c r="P6" s="297"/>
      <c r="Q6" s="297"/>
      <c r="R6" s="297"/>
      <c r="S6" s="297"/>
      <c r="T6" s="406" t="str">
        <f>装备!H3</f>
        <v/>
      </c>
      <c r="U6" s="406"/>
      <c r="V6" s="406" t="str">
        <f>装备!G3</f>
        <v/>
      </c>
      <c r="W6" s="406"/>
      <c r="Y6" s="400"/>
      <c r="Z6" s="400"/>
      <c r="AA6" s="400"/>
      <c r="AB6" s="400"/>
      <c r="AC6" s="297"/>
      <c r="AD6" s="297"/>
      <c r="AE6" s="297"/>
      <c r="AF6" s="297"/>
      <c r="AG6" s="297"/>
      <c r="AH6" s="297"/>
      <c r="AI6" s="297"/>
      <c r="AJ6" s="297"/>
      <c r="AK6" s="297"/>
      <c r="AL6" s="297"/>
      <c r="AM6" s="297"/>
      <c r="AN6" s="297"/>
      <c r="AO6" s="297"/>
      <c r="AP6" s="410"/>
      <c r="AQ6" s="410"/>
      <c r="AR6" s="408" t="s">
        <v>7472</v>
      </c>
      <c r="AS6" s="321"/>
      <c r="AT6" s="321"/>
      <c r="AV6" s="415"/>
      <c r="AW6" s="424"/>
      <c r="AX6" s="424"/>
      <c r="AY6" s="424"/>
      <c r="AZ6" s="425"/>
      <c r="BA6" s="426"/>
      <c r="BB6" s="426"/>
      <c r="BC6" s="426"/>
      <c r="BD6" s="426"/>
      <c r="BE6" s="426"/>
      <c r="BF6" s="426"/>
      <c r="BG6" s="432"/>
      <c r="BH6" s="433"/>
      <c r="BI6" s="433"/>
      <c r="BJ6" s="433"/>
      <c r="BK6" s="434"/>
      <c r="BL6" s="435"/>
      <c r="BM6" s="440"/>
      <c r="BN6" s="440"/>
      <c r="BO6" s="440"/>
      <c r="BP6" s="440"/>
      <c r="BQ6" s="441"/>
    </row>
    <row r="7" customHeight="1" spans="2:69">
      <c r="B7" s="399"/>
      <c r="C7" s="399"/>
      <c r="D7" s="399"/>
      <c r="E7" s="399"/>
      <c r="F7" s="295"/>
      <c r="G7" s="295"/>
      <c r="H7" s="295"/>
      <c r="I7" s="295"/>
      <c r="J7" s="295"/>
      <c r="K7" s="295"/>
      <c r="L7" s="295"/>
      <c r="M7" s="295"/>
      <c r="N7" s="295"/>
      <c r="O7" s="295"/>
      <c r="P7" s="295"/>
      <c r="Q7" s="295"/>
      <c r="R7" s="295"/>
      <c r="S7" s="295"/>
      <c r="T7" s="405" t="str">
        <f>装备!H4</f>
        <v/>
      </c>
      <c r="U7" s="405"/>
      <c r="V7" s="405" t="str">
        <f>装备!G4</f>
        <v/>
      </c>
      <c r="W7" s="405"/>
      <c r="Y7" s="399"/>
      <c r="Z7" s="399"/>
      <c r="AA7" s="399"/>
      <c r="AB7" s="399"/>
      <c r="AC7" s="295"/>
      <c r="AD7" s="295"/>
      <c r="AE7" s="295"/>
      <c r="AF7" s="295"/>
      <c r="AG7" s="295"/>
      <c r="AH7" s="295"/>
      <c r="AI7" s="295"/>
      <c r="AJ7" s="295"/>
      <c r="AK7" s="295"/>
      <c r="AL7" s="295"/>
      <c r="AM7" s="295"/>
      <c r="AN7" s="295"/>
      <c r="AO7" s="295"/>
      <c r="AP7" s="409"/>
      <c r="AQ7" s="409"/>
      <c r="AR7" s="408" t="s">
        <v>7472</v>
      </c>
      <c r="AS7" s="320"/>
      <c r="AT7" s="320"/>
      <c r="AV7" s="415"/>
      <c r="AW7" s="424"/>
      <c r="AX7" s="424"/>
      <c r="AY7" s="424"/>
      <c r="AZ7" s="425"/>
      <c r="BA7" s="426"/>
      <c r="BB7" s="426"/>
      <c r="BC7" s="426"/>
      <c r="BD7" s="426"/>
      <c r="BE7" s="426"/>
      <c r="BF7" s="426"/>
      <c r="BG7" s="432"/>
      <c r="BH7" s="433"/>
      <c r="BI7" s="433"/>
      <c r="BJ7" s="433"/>
      <c r="BK7" s="434"/>
      <c r="BL7" s="435"/>
      <c r="BM7" s="440"/>
      <c r="BN7" s="440"/>
      <c r="BO7" s="440"/>
      <c r="BP7" s="440"/>
      <c r="BQ7" s="441"/>
    </row>
    <row r="8" customHeight="1" spans="2:69">
      <c r="B8" s="400"/>
      <c r="C8" s="400"/>
      <c r="D8" s="400"/>
      <c r="E8" s="400"/>
      <c r="F8" s="297"/>
      <c r="G8" s="297"/>
      <c r="H8" s="297"/>
      <c r="I8" s="297"/>
      <c r="J8" s="297"/>
      <c r="K8" s="297"/>
      <c r="L8" s="297"/>
      <c r="M8" s="297"/>
      <c r="N8" s="297"/>
      <c r="O8" s="297"/>
      <c r="P8" s="297"/>
      <c r="Q8" s="297"/>
      <c r="R8" s="297"/>
      <c r="S8" s="297"/>
      <c r="T8" s="406" t="str">
        <f>装备!H5</f>
        <v/>
      </c>
      <c r="U8" s="406"/>
      <c r="V8" s="406" t="str">
        <f>装备!G5</f>
        <v/>
      </c>
      <c r="W8" s="406"/>
      <c r="Y8" s="400"/>
      <c r="Z8" s="400"/>
      <c r="AA8" s="400"/>
      <c r="AB8" s="400"/>
      <c r="AC8" s="297"/>
      <c r="AD8" s="297"/>
      <c r="AE8" s="297"/>
      <c r="AF8" s="297"/>
      <c r="AG8" s="297"/>
      <c r="AH8" s="297"/>
      <c r="AI8" s="297"/>
      <c r="AJ8" s="297"/>
      <c r="AK8" s="297"/>
      <c r="AL8" s="297"/>
      <c r="AM8" s="297"/>
      <c r="AN8" s="297"/>
      <c r="AO8" s="297"/>
      <c r="AP8" s="410"/>
      <c r="AQ8" s="410"/>
      <c r="AR8" s="408" t="s">
        <v>7472</v>
      </c>
      <c r="AS8" s="321"/>
      <c r="AT8" s="321"/>
      <c r="AV8" s="415"/>
      <c r="AW8" s="424"/>
      <c r="AX8" s="424"/>
      <c r="AY8" s="424"/>
      <c r="AZ8" s="425"/>
      <c r="BA8" s="427"/>
      <c r="BB8" s="428"/>
      <c r="BC8" s="428"/>
      <c r="BD8" s="428"/>
      <c r="BE8" s="428"/>
      <c r="BF8" s="436"/>
      <c r="BG8" s="432"/>
      <c r="BH8" s="433"/>
      <c r="BI8" s="433"/>
      <c r="BJ8" s="433"/>
      <c r="BK8" s="434"/>
      <c r="BL8" s="435"/>
      <c r="BM8" s="440"/>
      <c r="BN8" s="440"/>
      <c r="BO8" s="440"/>
      <c r="BP8" s="440"/>
      <c r="BQ8" s="441"/>
    </row>
    <row r="9" customHeight="1" spans="2:69">
      <c r="B9" s="399"/>
      <c r="C9" s="399"/>
      <c r="D9" s="399"/>
      <c r="E9" s="399"/>
      <c r="F9" s="295"/>
      <c r="G9" s="295"/>
      <c r="H9" s="295"/>
      <c r="I9" s="295"/>
      <c r="J9" s="295"/>
      <c r="K9" s="295"/>
      <c r="L9" s="295"/>
      <c r="M9" s="295"/>
      <c r="N9" s="295"/>
      <c r="O9" s="295"/>
      <c r="P9" s="295"/>
      <c r="Q9" s="295"/>
      <c r="R9" s="295"/>
      <c r="S9" s="295"/>
      <c r="T9" s="405" t="str">
        <f>装备!H6</f>
        <v/>
      </c>
      <c r="U9" s="405"/>
      <c r="V9" s="405" t="str">
        <f>装备!G6</f>
        <v/>
      </c>
      <c r="W9" s="405"/>
      <c r="Y9" s="399"/>
      <c r="Z9" s="399"/>
      <c r="AA9" s="399"/>
      <c r="AB9" s="399"/>
      <c r="AC9" s="295"/>
      <c r="AD9" s="295"/>
      <c r="AE9" s="295"/>
      <c r="AF9" s="295"/>
      <c r="AG9" s="295"/>
      <c r="AH9" s="295"/>
      <c r="AI9" s="295"/>
      <c r="AJ9" s="295"/>
      <c r="AK9" s="295"/>
      <c r="AL9" s="295"/>
      <c r="AM9" s="295"/>
      <c r="AN9" s="295"/>
      <c r="AO9" s="295"/>
      <c r="AP9" s="409"/>
      <c r="AQ9" s="409"/>
      <c r="AR9" s="408" t="s">
        <v>7472</v>
      </c>
      <c r="AS9" s="320"/>
      <c r="AT9" s="320"/>
      <c r="AV9" s="415"/>
      <c r="AW9" s="424"/>
      <c r="AX9" s="424"/>
      <c r="AY9" s="424"/>
      <c r="AZ9" s="425"/>
      <c r="BA9" s="427"/>
      <c r="BB9" s="428"/>
      <c r="BC9" s="428"/>
      <c r="BD9" s="428"/>
      <c r="BE9" s="428"/>
      <c r="BF9" s="436"/>
      <c r="BG9" s="432"/>
      <c r="BH9" s="433"/>
      <c r="BI9" s="433"/>
      <c r="BJ9" s="433"/>
      <c r="BK9" s="434"/>
      <c r="BL9" s="435"/>
      <c r="BM9" s="440"/>
      <c r="BN9" s="440"/>
      <c r="BO9" s="440"/>
      <c r="BP9" s="440"/>
      <c r="BQ9" s="441"/>
    </row>
    <row r="10" customHeight="1" spans="2:69">
      <c r="B10" s="400"/>
      <c r="C10" s="400"/>
      <c r="D10" s="400"/>
      <c r="E10" s="400"/>
      <c r="F10" s="297"/>
      <c r="G10" s="297"/>
      <c r="H10" s="297"/>
      <c r="I10" s="297"/>
      <c r="J10" s="297"/>
      <c r="K10" s="297"/>
      <c r="L10" s="297"/>
      <c r="M10" s="297"/>
      <c r="N10" s="297"/>
      <c r="O10" s="297"/>
      <c r="P10" s="297"/>
      <c r="Q10" s="297"/>
      <c r="R10" s="297"/>
      <c r="S10" s="297"/>
      <c r="T10" s="406" t="str">
        <f>装备!H7</f>
        <v/>
      </c>
      <c r="U10" s="406"/>
      <c r="V10" s="406" t="str">
        <f>装备!G7</f>
        <v/>
      </c>
      <c r="W10" s="406"/>
      <c r="Y10" s="400"/>
      <c r="Z10" s="400"/>
      <c r="AA10" s="400"/>
      <c r="AB10" s="400"/>
      <c r="AC10" s="403"/>
      <c r="AD10" s="403"/>
      <c r="AE10" s="403"/>
      <c r="AF10" s="403"/>
      <c r="AG10" s="403"/>
      <c r="AH10" s="403"/>
      <c r="AI10" s="403"/>
      <c r="AJ10" s="403"/>
      <c r="AK10" s="403"/>
      <c r="AL10" s="403"/>
      <c r="AM10" s="403"/>
      <c r="AN10" s="403"/>
      <c r="AO10" s="403"/>
      <c r="AP10" s="410"/>
      <c r="AQ10" s="410"/>
      <c r="AR10" s="408" t="s">
        <v>7472</v>
      </c>
      <c r="AS10" s="411"/>
      <c r="AT10" s="411"/>
      <c r="AV10" s="415"/>
      <c r="AW10" s="424"/>
      <c r="AX10" s="424"/>
      <c r="AY10" s="424"/>
      <c r="AZ10" s="425"/>
      <c r="BA10" s="427"/>
      <c r="BB10" s="428"/>
      <c r="BC10" s="428"/>
      <c r="BD10" s="428"/>
      <c r="BE10" s="428"/>
      <c r="BF10" s="436"/>
      <c r="BG10" s="432"/>
      <c r="BH10" s="433"/>
      <c r="BI10" s="433"/>
      <c r="BJ10" s="433"/>
      <c r="BK10" s="434"/>
      <c r="BL10" s="435"/>
      <c r="BM10" s="440"/>
      <c r="BN10" s="440"/>
      <c r="BO10" s="440"/>
      <c r="BP10" s="440"/>
      <c r="BQ10" s="441"/>
    </row>
    <row r="11" customHeight="1" spans="2:69">
      <c r="B11" s="399"/>
      <c r="C11" s="399"/>
      <c r="D11" s="399"/>
      <c r="E11" s="399"/>
      <c r="F11" s="295"/>
      <c r="G11" s="295"/>
      <c r="H11" s="295"/>
      <c r="I11" s="295"/>
      <c r="J11" s="295"/>
      <c r="K11" s="295"/>
      <c r="L11" s="295"/>
      <c r="M11" s="295"/>
      <c r="N11" s="295"/>
      <c r="O11" s="295"/>
      <c r="P11" s="295"/>
      <c r="Q11" s="295"/>
      <c r="R11" s="295"/>
      <c r="S11" s="295"/>
      <c r="T11" s="405" t="str">
        <f>装备!H8</f>
        <v/>
      </c>
      <c r="U11" s="405"/>
      <c r="V11" s="405" t="str">
        <f>装备!G8</f>
        <v/>
      </c>
      <c r="W11" s="405"/>
      <c r="Y11" s="399"/>
      <c r="Z11" s="399"/>
      <c r="AA11" s="399"/>
      <c r="AB11" s="399"/>
      <c r="AC11" s="295"/>
      <c r="AD11" s="295"/>
      <c r="AE11" s="295"/>
      <c r="AF11" s="295"/>
      <c r="AG11" s="295"/>
      <c r="AH11" s="295"/>
      <c r="AI11" s="295"/>
      <c r="AJ11" s="295"/>
      <c r="AK11" s="295"/>
      <c r="AL11" s="295"/>
      <c r="AM11" s="295"/>
      <c r="AN11" s="295"/>
      <c r="AO11" s="295"/>
      <c r="AP11" s="409"/>
      <c r="AQ11" s="409"/>
      <c r="AR11" s="408" t="s">
        <v>7472</v>
      </c>
      <c r="AS11" s="320"/>
      <c r="AT11" s="320"/>
      <c r="AV11" s="415"/>
      <c r="AW11" s="424"/>
      <c r="AX11" s="424"/>
      <c r="AY11" s="424"/>
      <c r="AZ11" s="425"/>
      <c r="BA11" s="427"/>
      <c r="BB11" s="428"/>
      <c r="BC11" s="428"/>
      <c r="BD11" s="428"/>
      <c r="BE11" s="428"/>
      <c r="BF11" s="436"/>
      <c r="BG11" s="432"/>
      <c r="BH11" s="433"/>
      <c r="BI11" s="433"/>
      <c r="BJ11" s="433"/>
      <c r="BK11" s="434"/>
      <c r="BL11" s="435"/>
      <c r="BM11" s="440"/>
      <c r="BN11" s="440"/>
      <c r="BO11" s="440"/>
      <c r="BP11" s="440"/>
      <c r="BQ11" s="441"/>
    </row>
    <row r="12" customHeight="1" spans="2:69">
      <c r="B12" s="400"/>
      <c r="C12" s="400"/>
      <c r="D12" s="400"/>
      <c r="E12" s="400"/>
      <c r="F12" s="297"/>
      <c r="G12" s="297"/>
      <c r="H12" s="297"/>
      <c r="I12" s="297"/>
      <c r="J12" s="297"/>
      <c r="K12" s="297"/>
      <c r="L12" s="297"/>
      <c r="M12" s="297"/>
      <c r="N12" s="297"/>
      <c r="O12" s="297"/>
      <c r="P12" s="297"/>
      <c r="Q12" s="297"/>
      <c r="R12" s="297"/>
      <c r="S12" s="297"/>
      <c r="T12" s="406" t="str">
        <f>装备!H9</f>
        <v/>
      </c>
      <c r="U12" s="406"/>
      <c r="V12" s="406" t="str">
        <f>装备!G9</f>
        <v/>
      </c>
      <c r="W12" s="406"/>
      <c r="Y12" s="400"/>
      <c r="Z12" s="400"/>
      <c r="AA12" s="400"/>
      <c r="AB12" s="400"/>
      <c r="AC12" s="297"/>
      <c r="AD12" s="297"/>
      <c r="AE12" s="297"/>
      <c r="AF12" s="297"/>
      <c r="AG12" s="297"/>
      <c r="AH12" s="297"/>
      <c r="AI12" s="297"/>
      <c r="AJ12" s="297"/>
      <c r="AK12" s="297"/>
      <c r="AL12" s="297"/>
      <c r="AM12" s="297"/>
      <c r="AN12" s="297"/>
      <c r="AO12" s="297"/>
      <c r="AP12" s="410"/>
      <c r="AQ12" s="410"/>
      <c r="AR12" s="408" t="s">
        <v>7472</v>
      </c>
      <c r="AS12" s="321"/>
      <c r="AT12" s="321"/>
      <c r="AV12" s="415"/>
      <c r="AW12" s="424"/>
      <c r="AX12" s="424"/>
      <c r="AY12" s="424"/>
      <c r="AZ12" s="425"/>
      <c r="BA12" s="427"/>
      <c r="BB12" s="428"/>
      <c r="BC12" s="428"/>
      <c r="BD12" s="428"/>
      <c r="BE12" s="428"/>
      <c r="BF12" s="436"/>
      <c r="BG12" s="432"/>
      <c r="BH12" s="433"/>
      <c r="BI12" s="433"/>
      <c r="BJ12" s="433"/>
      <c r="BK12" s="434"/>
      <c r="BL12" s="435"/>
      <c r="BM12" s="440"/>
      <c r="BN12" s="440"/>
      <c r="BO12" s="440"/>
      <c r="BP12" s="440"/>
      <c r="BQ12" s="441"/>
    </row>
    <row r="13" customHeight="1" spans="2:69">
      <c r="B13" s="399"/>
      <c r="C13" s="399"/>
      <c r="D13" s="399"/>
      <c r="E13" s="399"/>
      <c r="F13" s="295"/>
      <c r="G13" s="295"/>
      <c r="H13" s="295"/>
      <c r="I13" s="295"/>
      <c r="J13" s="295"/>
      <c r="K13" s="295"/>
      <c r="L13" s="295"/>
      <c r="M13" s="295"/>
      <c r="N13" s="295"/>
      <c r="O13" s="295"/>
      <c r="P13" s="295"/>
      <c r="Q13" s="295"/>
      <c r="R13" s="295"/>
      <c r="S13" s="295"/>
      <c r="T13" s="405" t="str">
        <f>装备!H10</f>
        <v/>
      </c>
      <c r="U13" s="405"/>
      <c r="V13" s="405" t="str">
        <f>装备!G10</f>
        <v/>
      </c>
      <c r="W13" s="405"/>
      <c r="Y13" s="399"/>
      <c r="Z13" s="399"/>
      <c r="AA13" s="399"/>
      <c r="AB13" s="399"/>
      <c r="AC13" s="295"/>
      <c r="AD13" s="295"/>
      <c r="AE13" s="295"/>
      <c r="AF13" s="295"/>
      <c r="AG13" s="295"/>
      <c r="AH13" s="295"/>
      <c r="AI13" s="295"/>
      <c r="AJ13" s="295"/>
      <c r="AK13" s="295"/>
      <c r="AL13" s="295"/>
      <c r="AM13" s="295"/>
      <c r="AN13" s="295"/>
      <c r="AO13" s="295"/>
      <c r="AP13" s="409"/>
      <c r="AQ13" s="409"/>
      <c r="AR13" s="408" t="s">
        <v>7472</v>
      </c>
      <c r="AS13" s="320"/>
      <c r="AT13" s="320"/>
      <c r="AV13" s="415"/>
      <c r="AW13" s="424"/>
      <c r="AX13" s="424"/>
      <c r="AY13" s="424"/>
      <c r="AZ13" s="425"/>
      <c r="BA13" s="427"/>
      <c r="BB13" s="428"/>
      <c r="BC13" s="428"/>
      <c r="BD13" s="428"/>
      <c r="BE13" s="428"/>
      <c r="BF13" s="436"/>
      <c r="BG13" s="432"/>
      <c r="BH13" s="433"/>
      <c r="BI13" s="433"/>
      <c r="BJ13" s="433"/>
      <c r="BK13" s="434"/>
      <c r="BL13" s="435"/>
      <c r="BM13" s="440"/>
      <c r="BN13" s="440"/>
      <c r="BO13" s="440"/>
      <c r="BP13" s="440"/>
      <c r="BQ13" s="441"/>
    </row>
    <row r="14" customHeight="1" spans="2:69">
      <c r="B14" s="400"/>
      <c r="C14" s="400"/>
      <c r="D14" s="400"/>
      <c r="E14" s="400"/>
      <c r="F14" s="297"/>
      <c r="G14" s="297"/>
      <c r="H14" s="297"/>
      <c r="I14" s="297"/>
      <c r="J14" s="297"/>
      <c r="K14" s="297"/>
      <c r="L14" s="297"/>
      <c r="M14" s="297"/>
      <c r="N14" s="297"/>
      <c r="O14" s="297"/>
      <c r="P14" s="297"/>
      <c r="Q14" s="297"/>
      <c r="R14" s="297"/>
      <c r="S14" s="297"/>
      <c r="T14" s="406" t="str">
        <f>装备!H11</f>
        <v/>
      </c>
      <c r="U14" s="406"/>
      <c r="V14" s="406" t="str">
        <f>装备!G11</f>
        <v/>
      </c>
      <c r="W14" s="406"/>
      <c r="Y14" s="400"/>
      <c r="Z14" s="400"/>
      <c r="AA14" s="400"/>
      <c r="AB14" s="400"/>
      <c r="AC14" s="297"/>
      <c r="AD14" s="297"/>
      <c r="AE14" s="297"/>
      <c r="AF14" s="297"/>
      <c r="AG14" s="297"/>
      <c r="AH14" s="297"/>
      <c r="AI14" s="297"/>
      <c r="AJ14" s="297"/>
      <c r="AK14" s="297"/>
      <c r="AL14" s="297"/>
      <c r="AM14" s="297"/>
      <c r="AN14" s="297"/>
      <c r="AO14" s="297"/>
      <c r="AP14" s="410"/>
      <c r="AQ14" s="410"/>
      <c r="AR14" s="408" t="s">
        <v>7472</v>
      </c>
      <c r="AS14" s="321"/>
      <c r="AT14" s="321"/>
      <c r="AV14" s="415"/>
      <c r="AW14" s="424"/>
      <c r="AX14" s="424"/>
      <c r="AY14" s="424"/>
      <c r="AZ14" s="425"/>
      <c r="BA14" s="427"/>
      <c r="BB14" s="428"/>
      <c r="BC14" s="428"/>
      <c r="BD14" s="428"/>
      <c r="BE14" s="428"/>
      <c r="BF14" s="436"/>
      <c r="BG14" s="432"/>
      <c r="BH14" s="433"/>
      <c r="BI14" s="433"/>
      <c r="BJ14" s="433"/>
      <c r="BK14" s="434"/>
      <c r="BL14" s="435"/>
      <c r="BM14" s="440"/>
      <c r="BN14" s="440"/>
      <c r="BO14" s="440"/>
      <c r="BP14" s="440"/>
      <c r="BQ14" s="441"/>
    </row>
    <row r="15" customHeight="1" spans="2:69">
      <c r="B15" s="293" t="s">
        <v>4911</v>
      </c>
      <c r="C15" s="293"/>
      <c r="D15" s="293"/>
      <c r="E15" s="293"/>
      <c r="F15" s="293" t="s">
        <v>92</v>
      </c>
      <c r="G15" s="293"/>
      <c r="H15" s="293" t="s">
        <v>4912</v>
      </c>
      <c r="I15" s="293"/>
      <c r="J15" s="293"/>
      <c r="K15" s="293"/>
      <c r="L15" s="293"/>
      <c r="M15" s="293"/>
      <c r="N15" s="293"/>
      <c r="O15" s="293"/>
      <c r="P15" s="293" t="s">
        <v>4913</v>
      </c>
      <c r="Q15" s="293"/>
      <c r="R15" s="293"/>
      <c r="S15" s="293"/>
      <c r="T15" s="293" t="s">
        <v>7471</v>
      </c>
      <c r="U15" s="293"/>
      <c r="V15" s="293" t="s">
        <v>4910</v>
      </c>
      <c r="W15" s="293"/>
      <c r="Y15" s="293" t="s">
        <v>88</v>
      </c>
      <c r="Z15" s="293"/>
      <c r="AA15" s="293"/>
      <c r="AB15" s="293"/>
      <c r="AC15" s="293" t="s">
        <v>89</v>
      </c>
      <c r="AD15" s="293"/>
      <c r="AE15" s="293"/>
      <c r="AF15" s="293"/>
      <c r="AG15" s="293"/>
      <c r="AH15" s="293"/>
      <c r="AI15" s="293"/>
      <c r="AJ15" s="293"/>
      <c r="AK15" s="293"/>
      <c r="AL15" s="293"/>
      <c r="AM15" s="293"/>
      <c r="AN15" s="293"/>
      <c r="AO15" s="293"/>
      <c r="AP15" s="293" t="s">
        <v>7471</v>
      </c>
      <c r="AQ15" s="293"/>
      <c r="AR15" s="408"/>
      <c r="AS15" s="293" t="s">
        <v>319</v>
      </c>
      <c r="AT15" s="293"/>
      <c r="AV15" s="415"/>
      <c r="AW15" s="424"/>
      <c r="AX15" s="424"/>
      <c r="AY15" s="424"/>
      <c r="AZ15" s="425"/>
      <c r="BA15" s="427"/>
      <c r="BB15" s="428"/>
      <c r="BC15" s="428"/>
      <c r="BD15" s="428"/>
      <c r="BE15" s="428"/>
      <c r="BF15" s="436"/>
      <c r="BG15" s="432"/>
      <c r="BH15" s="433"/>
      <c r="BI15" s="433"/>
      <c r="BJ15" s="433"/>
      <c r="BK15" s="434"/>
      <c r="BL15" s="435"/>
      <c r="BM15" s="440"/>
      <c r="BN15" s="440"/>
      <c r="BO15" s="440"/>
      <c r="BP15" s="440"/>
      <c r="BQ15" s="441"/>
    </row>
    <row r="16" customHeight="1" spans="2:69">
      <c r="B16" s="399"/>
      <c r="C16" s="399"/>
      <c r="D16" s="399"/>
      <c r="E16" s="399"/>
      <c r="F16" s="401" t="str">
        <f>装备!S2</f>
        <v/>
      </c>
      <c r="G16" s="401"/>
      <c r="H16" s="399"/>
      <c r="I16" s="399"/>
      <c r="J16" s="399"/>
      <c r="K16" s="399"/>
      <c r="L16" s="399"/>
      <c r="M16" s="399"/>
      <c r="N16" s="399"/>
      <c r="O16" s="399"/>
      <c r="P16" s="399"/>
      <c r="Q16" s="399"/>
      <c r="R16" s="399"/>
      <c r="S16" s="399"/>
      <c r="T16" s="405" t="str">
        <f>装备!W2</f>
        <v/>
      </c>
      <c r="U16" s="405"/>
      <c r="V16" s="405" t="str">
        <f>装备!V2</f>
        <v/>
      </c>
      <c r="W16" s="405"/>
      <c r="Y16" s="399"/>
      <c r="Z16" s="399"/>
      <c r="AA16" s="399"/>
      <c r="AB16" s="399"/>
      <c r="AC16" s="295"/>
      <c r="AD16" s="295"/>
      <c r="AE16" s="295"/>
      <c r="AF16" s="295"/>
      <c r="AG16" s="295"/>
      <c r="AH16" s="295"/>
      <c r="AI16" s="295"/>
      <c r="AJ16" s="295"/>
      <c r="AK16" s="295"/>
      <c r="AL16" s="295"/>
      <c r="AM16" s="295"/>
      <c r="AN16" s="295"/>
      <c r="AO16" s="295"/>
      <c r="AP16" s="409"/>
      <c r="AQ16" s="409"/>
      <c r="AR16" s="408" t="s">
        <v>7472</v>
      </c>
      <c r="AS16" s="320"/>
      <c r="AT16" s="320"/>
      <c r="AV16" s="415"/>
      <c r="AW16" s="424"/>
      <c r="AX16" s="424"/>
      <c r="AY16" s="424"/>
      <c r="AZ16" s="425"/>
      <c r="BA16" s="427"/>
      <c r="BB16" s="428"/>
      <c r="BC16" s="428"/>
      <c r="BD16" s="428"/>
      <c r="BE16" s="428"/>
      <c r="BF16" s="436"/>
      <c r="BG16" s="432"/>
      <c r="BH16" s="433"/>
      <c r="BI16" s="433"/>
      <c r="BJ16" s="433"/>
      <c r="BK16" s="434"/>
      <c r="BL16" s="435"/>
      <c r="BM16" s="440"/>
      <c r="BN16" s="440"/>
      <c r="BO16" s="440"/>
      <c r="BP16" s="440"/>
      <c r="BQ16" s="441"/>
    </row>
    <row r="17" customHeight="1" spans="2:69">
      <c r="B17" s="400"/>
      <c r="C17" s="400"/>
      <c r="D17" s="400"/>
      <c r="E17" s="400"/>
      <c r="F17" s="402" t="str">
        <f>装备!S3</f>
        <v/>
      </c>
      <c r="G17" s="402"/>
      <c r="H17" s="400"/>
      <c r="I17" s="400"/>
      <c r="J17" s="400"/>
      <c r="K17" s="400"/>
      <c r="L17" s="400"/>
      <c r="M17" s="400"/>
      <c r="N17" s="400"/>
      <c r="O17" s="400"/>
      <c r="P17" s="400"/>
      <c r="Q17" s="400"/>
      <c r="R17" s="400"/>
      <c r="S17" s="400"/>
      <c r="T17" s="406" t="str">
        <f>装备!W3</f>
        <v/>
      </c>
      <c r="U17" s="406"/>
      <c r="V17" s="406" t="str">
        <f>装备!V3</f>
        <v/>
      </c>
      <c r="W17" s="406"/>
      <c r="Y17" s="400"/>
      <c r="Z17" s="400"/>
      <c r="AA17" s="400"/>
      <c r="AB17" s="400"/>
      <c r="AC17" s="297"/>
      <c r="AD17" s="297"/>
      <c r="AE17" s="297"/>
      <c r="AF17" s="297"/>
      <c r="AG17" s="297"/>
      <c r="AH17" s="297"/>
      <c r="AI17" s="297"/>
      <c r="AJ17" s="297"/>
      <c r="AK17" s="297"/>
      <c r="AL17" s="297"/>
      <c r="AM17" s="297"/>
      <c r="AN17" s="297"/>
      <c r="AO17" s="297"/>
      <c r="AP17" s="410"/>
      <c r="AQ17" s="410"/>
      <c r="AR17" s="408" t="s">
        <v>7472</v>
      </c>
      <c r="AS17" s="321"/>
      <c r="AT17" s="321"/>
      <c r="AV17" s="415"/>
      <c r="AW17" s="424"/>
      <c r="AX17" s="424"/>
      <c r="AY17" s="424"/>
      <c r="AZ17" s="425"/>
      <c r="BA17" s="427"/>
      <c r="BB17" s="428"/>
      <c r="BC17" s="428"/>
      <c r="BD17" s="428"/>
      <c r="BE17" s="428"/>
      <c r="BF17" s="436"/>
      <c r="BG17" s="432"/>
      <c r="BH17" s="433"/>
      <c r="BI17" s="433"/>
      <c r="BJ17" s="433"/>
      <c r="BK17" s="434"/>
      <c r="BL17" s="435"/>
      <c r="BM17" s="440"/>
      <c r="BN17" s="440"/>
      <c r="BO17" s="440"/>
      <c r="BP17" s="440"/>
      <c r="BQ17" s="441"/>
    </row>
    <row r="18" customHeight="1" spans="2:69">
      <c r="B18" s="399"/>
      <c r="C18" s="399"/>
      <c r="D18" s="399"/>
      <c r="E18" s="399"/>
      <c r="F18" s="401" t="str">
        <f>装备!S4</f>
        <v/>
      </c>
      <c r="G18" s="401"/>
      <c r="H18" s="399"/>
      <c r="I18" s="399"/>
      <c r="J18" s="399"/>
      <c r="K18" s="399"/>
      <c r="L18" s="399"/>
      <c r="M18" s="399"/>
      <c r="N18" s="399"/>
      <c r="O18" s="399"/>
      <c r="P18" s="399"/>
      <c r="Q18" s="399"/>
      <c r="R18" s="399"/>
      <c r="S18" s="399"/>
      <c r="T18" s="405" t="str">
        <f>装备!W4</f>
        <v/>
      </c>
      <c r="U18" s="405"/>
      <c r="V18" s="405" t="str">
        <f>装备!V4</f>
        <v/>
      </c>
      <c r="W18" s="405"/>
      <c r="Y18" s="399"/>
      <c r="Z18" s="399"/>
      <c r="AA18" s="399"/>
      <c r="AB18" s="399"/>
      <c r="AC18" s="295"/>
      <c r="AD18" s="295"/>
      <c r="AE18" s="295"/>
      <c r="AF18" s="295"/>
      <c r="AG18" s="295"/>
      <c r="AH18" s="295"/>
      <c r="AI18" s="295"/>
      <c r="AJ18" s="295"/>
      <c r="AK18" s="295"/>
      <c r="AL18" s="295"/>
      <c r="AM18" s="295"/>
      <c r="AN18" s="295"/>
      <c r="AO18" s="295"/>
      <c r="AP18" s="409"/>
      <c r="AQ18" s="409"/>
      <c r="AR18" s="408" t="s">
        <v>7472</v>
      </c>
      <c r="AS18" s="320"/>
      <c r="AT18" s="320"/>
      <c r="AV18" s="415"/>
      <c r="AW18" s="424"/>
      <c r="AX18" s="424"/>
      <c r="AY18" s="424"/>
      <c r="AZ18" s="425"/>
      <c r="BA18" s="427"/>
      <c r="BB18" s="428"/>
      <c r="BC18" s="428"/>
      <c r="BD18" s="428"/>
      <c r="BE18" s="428"/>
      <c r="BF18" s="436"/>
      <c r="BG18" s="432"/>
      <c r="BH18" s="433"/>
      <c r="BI18" s="433"/>
      <c r="BJ18" s="433"/>
      <c r="BK18" s="434"/>
      <c r="BL18" s="435"/>
      <c r="BM18" s="440"/>
      <c r="BN18" s="440"/>
      <c r="BO18" s="440"/>
      <c r="BP18" s="440"/>
      <c r="BQ18" s="441"/>
    </row>
    <row r="19" customHeight="1" spans="2:69">
      <c r="B19" s="400"/>
      <c r="C19" s="400"/>
      <c r="D19" s="400"/>
      <c r="E19" s="400"/>
      <c r="F19" s="402" t="str">
        <f>装备!S5</f>
        <v/>
      </c>
      <c r="G19" s="402"/>
      <c r="H19" s="400"/>
      <c r="I19" s="400"/>
      <c r="J19" s="400"/>
      <c r="K19" s="400"/>
      <c r="L19" s="400"/>
      <c r="M19" s="400"/>
      <c r="N19" s="400"/>
      <c r="O19" s="400"/>
      <c r="P19" s="400"/>
      <c r="Q19" s="400"/>
      <c r="R19" s="400"/>
      <c r="S19" s="400"/>
      <c r="T19" s="406" t="str">
        <f>装备!W5</f>
        <v/>
      </c>
      <c r="U19" s="406"/>
      <c r="V19" s="406" t="str">
        <f>装备!V5</f>
        <v/>
      </c>
      <c r="W19" s="406"/>
      <c r="Y19" s="400"/>
      <c r="Z19" s="400"/>
      <c r="AA19" s="400"/>
      <c r="AB19" s="400"/>
      <c r="AC19" s="297"/>
      <c r="AD19" s="297"/>
      <c r="AE19" s="297"/>
      <c r="AF19" s="297"/>
      <c r="AG19" s="297"/>
      <c r="AH19" s="297"/>
      <c r="AI19" s="297"/>
      <c r="AJ19" s="297"/>
      <c r="AK19" s="297"/>
      <c r="AL19" s="297"/>
      <c r="AM19" s="297"/>
      <c r="AN19" s="297"/>
      <c r="AO19" s="297"/>
      <c r="AP19" s="410"/>
      <c r="AQ19" s="410"/>
      <c r="AR19" s="408" t="s">
        <v>7472</v>
      </c>
      <c r="AS19" s="321"/>
      <c r="AT19" s="321"/>
      <c r="AV19" s="415"/>
      <c r="AW19" s="424"/>
      <c r="AX19" s="424"/>
      <c r="AY19" s="424"/>
      <c r="AZ19" s="425"/>
      <c r="BA19" s="427"/>
      <c r="BB19" s="428"/>
      <c r="BC19" s="428"/>
      <c r="BD19" s="428"/>
      <c r="BE19" s="428"/>
      <c r="BF19" s="436"/>
      <c r="BG19" s="432"/>
      <c r="BH19" s="433"/>
      <c r="BI19" s="433"/>
      <c r="BJ19" s="433"/>
      <c r="BK19" s="434"/>
      <c r="BL19" s="435"/>
      <c r="BM19" s="440"/>
      <c r="BN19" s="440"/>
      <c r="BO19" s="440"/>
      <c r="BP19" s="440"/>
      <c r="BQ19" s="441"/>
    </row>
    <row r="20" customHeight="1" spans="2:69">
      <c r="B20" s="399"/>
      <c r="C20" s="399"/>
      <c r="D20" s="399"/>
      <c r="E20" s="399"/>
      <c r="F20" s="401" t="str">
        <f>装备!S6</f>
        <v/>
      </c>
      <c r="G20" s="401"/>
      <c r="H20" s="399"/>
      <c r="I20" s="399"/>
      <c r="J20" s="399"/>
      <c r="K20" s="399"/>
      <c r="L20" s="399"/>
      <c r="M20" s="399"/>
      <c r="N20" s="399"/>
      <c r="O20" s="399"/>
      <c r="P20" s="399"/>
      <c r="Q20" s="399"/>
      <c r="R20" s="399"/>
      <c r="S20" s="399"/>
      <c r="T20" s="405" t="str">
        <f>装备!W6</f>
        <v/>
      </c>
      <c r="U20" s="405"/>
      <c r="V20" s="405" t="str">
        <f>装备!V6</f>
        <v/>
      </c>
      <c r="W20" s="405"/>
      <c r="Y20" s="399"/>
      <c r="Z20" s="399"/>
      <c r="AA20" s="399"/>
      <c r="AB20" s="399"/>
      <c r="AC20" s="295"/>
      <c r="AD20" s="295"/>
      <c r="AE20" s="295"/>
      <c r="AF20" s="295"/>
      <c r="AG20" s="295"/>
      <c r="AH20" s="295"/>
      <c r="AI20" s="295"/>
      <c r="AJ20" s="295"/>
      <c r="AK20" s="295"/>
      <c r="AL20" s="295"/>
      <c r="AM20" s="295"/>
      <c r="AN20" s="295"/>
      <c r="AO20" s="295"/>
      <c r="AP20" s="409"/>
      <c r="AQ20" s="409"/>
      <c r="AR20" s="408" t="s">
        <v>7472</v>
      </c>
      <c r="AS20" s="320"/>
      <c r="AT20" s="320"/>
      <c r="AV20" s="415"/>
      <c r="AW20" s="424"/>
      <c r="AX20" s="424"/>
      <c r="AY20" s="424"/>
      <c r="AZ20" s="425"/>
      <c r="BA20" s="427"/>
      <c r="BB20" s="428"/>
      <c r="BC20" s="428"/>
      <c r="BD20" s="428"/>
      <c r="BE20" s="428"/>
      <c r="BF20" s="436"/>
      <c r="BG20" s="432"/>
      <c r="BH20" s="433"/>
      <c r="BI20" s="433"/>
      <c r="BJ20" s="433"/>
      <c r="BK20" s="434"/>
      <c r="BL20" s="435"/>
      <c r="BM20" s="440"/>
      <c r="BN20" s="440"/>
      <c r="BO20" s="440"/>
      <c r="BP20" s="440"/>
      <c r="BQ20" s="441"/>
    </row>
    <row r="21" customHeight="1" spans="2:69">
      <c r="B21" s="400"/>
      <c r="C21" s="400"/>
      <c r="D21" s="400"/>
      <c r="E21" s="400"/>
      <c r="F21" s="402" t="str">
        <f>装备!S7</f>
        <v/>
      </c>
      <c r="G21" s="402"/>
      <c r="H21" s="400"/>
      <c r="I21" s="400"/>
      <c r="J21" s="400"/>
      <c r="K21" s="400"/>
      <c r="L21" s="400"/>
      <c r="M21" s="400"/>
      <c r="N21" s="400"/>
      <c r="O21" s="400"/>
      <c r="P21" s="400"/>
      <c r="Q21" s="400"/>
      <c r="R21" s="400"/>
      <c r="S21" s="400"/>
      <c r="T21" s="406" t="str">
        <f>装备!W7</f>
        <v/>
      </c>
      <c r="U21" s="406"/>
      <c r="V21" s="406" t="str">
        <f>装备!V7</f>
        <v/>
      </c>
      <c r="W21" s="406"/>
      <c r="Y21" s="400"/>
      <c r="Z21" s="400"/>
      <c r="AA21" s="400"/>
      <c r="AB21" s="400"/>
      <c r="AC21" s="403"/>
      <c r="AD21" s="403"/>
      <c r="AE21" s="403"/>
      <c r="AF21" s="403"/>
      <c r="AG21" s="403"/>
      <c r="AH21" s="403"/>
      <c r="AI21" s="403"/>
      <c r="AJ21" s="403"/>
      <c r="AK21" s="403"/>
      <c r="AL21" s="403"/>
      <c r="AM21" s="403"/>
      <c r="AN21" s="403"/>
      <c r="AO21" s="403"/>
      <c r="AP21" s="410"/>
      <c r="AQ21" s="410"/>
      <c r="AR21" s="408" t="s">
        <v>7472</v>
      </c>
      <c r="AS21" s="411"/>
      <c r="AT21" s="411"/>
      <c r="AV21" s="415"/>
      <c r="AW21" s="424"/>
      <c r="AX21" s="424"/>
      <c r="AY21" s="424"/>
      <c r="AZ21" s="425"/>
      <c r="BA21" s="427"/>
      <c r="BB21" s="428"/>
      <c r="BC21" s="428"/>
      <c r="BD21" s="428"/>
      <c r="BE21" s="428"/>
      <c r="BF21" s="436"/>
      <c r="BG21" s="432"/>
      <c r="BH21" s="433"/>
      <c r="BI21" s="433"/>
      <c r="BJ21" s="433"/>
      <c r="BK21" s="434"/>
      <c r="BL21" s="435"/>
      <c r="BM21" s="440"/>
      <c r="BN21" s="440"/>
      <c r="BO21" s="440"/>
      <c r="BP21" s="440"/>
      <c r="BQ21" s="441"/>
    </row>
    <row r="22" customHeight="1" spans="2:69">
      <c r="B22" s="399"/>
      <c r="C22" s="399"/>
      <c r="D22" s="399"/>
      <c r="E22" s="399"/>
      <c r="F22" s="401" t="str">
        <f>装备!S8</f>
        <v/>
      </c>
      <c r="G22" s="401"/>
      <c r="H22" s="399"/>
      <c r="I22" s="399"/>
      <c r="J22" s="399"/>
      <c r="K22" s="399"/>
      <c r="L22" s="399"/>
      <c r="M22" s="399"/>
      <c r="N22" s="399"/>
      <c r="O22" s="399"/>
      <c r="P22" s="399"/>
      <c r="Q22" s="399"/>
      <c r="R22" s="399"/>
      <c r="S22" s="399"/>
      <c r="T22" s="405" t="str">
        <f>装备!W8</f>
        <v/>
      </c>
      <c r="U22" s="405"/>
      <c r="V22" s="405" t="str">
        <f>装备!V8</f>
        <v/>
      </c>
      <c r="W22" s="405"/>
      <c r="Y22" s="399"/>
      <c r="Z22" s="399"/>
      <c r="AA22" s="399"/>
      <c r="AB22" s="399"/>
      <c r="AC22" s="295"/>
      <c r="AD22" s="295"/>
      <c r="AE22" s="295"/>
      <c r="AF22" s="295"/>
      <c r="AG22" s="295"/>
      <c r="AH22" s="295"/>
      <c r="AI22" s="295"/>
      <c r="AJ22" s="295"/>
      <c r="AK22" s="295"/>
      <c r="AL22" s="295"/>
      <c r="AM22" s="295"/>
      <c r="AN22" s="295"/>
      <c r="AO22" s="295"/>
      <c r="AP22" s="409"/>
      <c r="AQ22" s="409"/>
      <c r="AR22" s="408" t="s">
        <v>7472</v>
      </c>
      <c r="AS22" s="320"/>
      <c r="AT22" s="320"/>
      <c r="AV22" s="415"/>
      <c r="AW22" s="424"/>
      <c r="AX22" s="424"/>
      <c r="AY22" s="424"/>
      <c r="AZ22" s="425"/>
      <c r="BA22" s="427"/>
      <c r="BB22" s="428"/>
      <c r="BC22" s="428"/>
      <c r="BD22" s="428"/>
      <c r="BE22" s="428"/>
      <c r="BF22" s="436"/>
      <c r="BG22" s="432"/>
      <c r="BH22" s="433"/>
      <c r="BI22" s="433"/>
      <c r="BJ22" s="433"/>
      <c r="BK22" s="434"/>
      <c r="BL22" s="435"/>
      <c r="BM22" s="440"/>
      <c r="BN22" s="440"/>
      <c r="BO22" s="440"/>
      <c r="BP22" s="440"/>
      <c r="BQ22" s="441"/>
    </row>
    <row r="23" customHeight="1" spans="2:69">
      <c r="B23" s="400"/>
      <c r="C23" s="400"/>
      <c r="D23" s="400"/>
      <c r="E23" s="400"/>
      <c r="F23" s="402" t="str">
        <f>装备!S9</f>
        <v/>
      </c>
      <c r="G23" s="402"/>
      <c r="H23" s="400"/>
      <c r="I23" s="400"/>
      <c r="J23" s="400"/>
      <c r="K23" s="400"/>
      <c r="L23" s="400"/>
      <c r="M23" s="400"/>
      <c r="N23" s="400"/>
      <c r="O23" s="400"/>
      <c r="P23" s="400"/>
      <c r="Q23" s="400"/>
      <c r="R23" s="400"/>
      <c r="S23" s="400"/>
      <c r="T23" s="406" t="str">
        <f>装备!W9</f>
        <v/>
      </c>
      <c r="U23" s="406"/>
      <c r="V23" s="406" t="str">
        <f>装备!V9</f>
        <v/>
      </c>
      <c r="W23" s="406"/>
      <c r="Y23" s="400"/>
      <c r="Z23" s="400"/>
      <c r="AA23" s="400"/>
      <c r="AB23" s="400"/>
      <c r="AC23" s="297"/>
      <c r="AD23" s="297"/>
      <c r="AE23" s="297"/>
      <c r="AF23" s="297"/>
      <c r="AG23" s="297"/>
      <c r="AH23" s="297"/>
      <c r="AI23" s="297"/>
      <c r="AJ23" s="297"/>
      <c r="AK23" s="297"/>
      <c r="AL23" s="297"/>
      <c r="AM23" s="297"/>
      <c r="AN23" s="297"/>
      <c r="AO23" s="297"/>
      <c r="AP23" s="410"/>
      <c r="AQ23" s="410"/>
      <c r="AR23" s="408" t="s">
        <v>7472</v>
      </c>
      <c r="AS23" s="321"/>
      <c r="AT23" s="321"/>
      <c r="AV23" s="415"/>
      <c r="AW23" s="424"/>
      <c r="AX23" s="424"/>
      <c r="AY23" s="424"/>
      <c r="AZ23" s="425"/>
      <c r="BA23" s="427"/>
      <c r="BB23" s="428"/>
      <c r="BC23" s="428"/>
      <c r="BD23" s="428"/>
      <c r="BE23" s="428"/>
      <c r="BF23" s="436"/>
      <c r="BG23" s="432"/>
      <c r="BH23" s="433"/>
      <c r="BI23" s="433"/>
      <c r="BJ23" s="433"/>
      <c r="BK23" s="434"/>
      <c r="BL23" s="435"/>
      <c r="BM23" s="440"/>
      <c r="BN23" s="440"/>
      <c r="BO23" s="440"/>
      <c r="BP23" s="440"/>
      <c r="BQ23" s="441"/>
    </row>
    <row r="24" customHeight="1" spans="2:69">
      <c r="B24" s="399"/>
      <c r="C24" s="399"/>
      <c r="D24" s="399"/>
      <c r="E24" s="399"/>
      <c r="F24" s="401" t="str">
        <f>装备!S10</f>
        <v/>
      </c>
      <c r="G24" s="401"/>
      <c r="H24" s="399"/>
      <c r="I24" s="399"/>
      <c r="J24" s="399"/>
      <c r="K24" s="399"/>
      <c r="L24" s="399"/>
      <c r="M24" s="399"/>
      <c r="N24" s="399"/>
      <c r="O24" s="399"/>
      <c r="P24" s="399"/>
      <c r="Q24" s="399"/>
      <c r="R24" s="399"/>
      <c r="S24" s="399"/>
      <c r="T24" s="405" t="str">
        <f>装备!W10</f>
        <v/>
      </c>
      <c r="U24" s="405"/>
      <c r="V24" s="405" t="str">
        <f>装备!V10</f>
        <v/>
      </c>
      <c r="W24" s="405"/>
      <c r="Y24" s="399"/>
      <c r="Z24" s="399"/>
      <c r="AA24" s="399"/>
      <c r="AB24" s="399"/>
      <c r="AC24" s="295"/>
      <c r="AD24" s="295"/>
      <c r="AE24" s="295"/>
      <c r="AF24" s="295"/>
      <c r="AG24" s="295"/>
      <c r="AH24" s="295"/>
      <c r="AI24" s="295"/>
      <c r="AJ24" s="295"/>
      <c r="AK24" s="295"/>
      <c r="AL24" s="295"/>
      <c r="AM24" s="295"/>
      <c r="AN24" s="295"/>
      <c r="AO24" s="295"/>
      <c r="AP24" s="409"/>
      <c r="AQ24" s="409"/>
      <c r="AR24" s="408" t="s">
        <v>7472</v>
      </c>
      <c r="AS24" s="320"/>
      <c r="AT24" s="320"/>
      <c r="AV24" s="415"/>
      <c r="AW24" s="424"/>
      <c r="AX24" s="424"/>
      <c r="AY24" s="424"/>
      <c r="AZ24" s="425"/>
      <c r="BA24" s="427"/>
      <c r="BB24" s="428"/>
      <c r="BC24" s="428"/>
      <c r="BD24" s="428"/>
      <c r="BE24" s="428"/>
      <c r="BF24" s="436"/>
      <c r="BG24" s="432"/>
      <c r="BH24" s="433"/>
      <c r="BI24" s="433"/>
      <c r="BJ24" s="433"/>
      <c r="BK24" s="434"/>
      <c r="BL24" s="435"/>
      <c r="BM24" s="440"/>
      <c r="BN24" s="440"/>
      <c r="BO24" s="440"/>
      <c r="BP24" s="440"/>
      <c r="BQ24" s="441"/>
    </row>
    <row r="25" customHeight="1" spans="2:69">
      <c r="B25" s="400"/>
      <c r="C25" s="400"/>
      <c r="D25" s="400"/>
      <c r="E25" s="400"/>
      <c r="F25" s="402" t="str">
        <f>装备!S11</f>
        <v/>
      </c>
      <c r="G25" s="402"/>
      <c r="H25" s="400"/>
      <c r="I25" s="400"/>
      <c r="J25" s="400"/>
      <c r="K25" s="400"/>
      <c r="L25" s="400"/>
      <c r="M25" s="400"/>
      <c r="N25" s="400"/>
      <c r="O25" s="400"/>
      <c r="P25" s="400"/>
      <c r="Q25" s="400"/>
      <c r="R25" s="400"/>
      <c r="S25" s="400"/>
      <c r="T25" s="406" t="str">
        <f>装备!W11</f>
        <v/>
      </c>
      <c r="U25" s="406"/>
      <c r="V25" s="406" t="str">
        <f>装备!V11</f>
        <v/>
      </c>
      <c r="W25" s="406"/>
      <c r="Y25" s="400"/>
      <c r="Z25" s="400"/>
      <c r="AA25" s="400"/>
      <c r="AB25" s="400"/>
      <c r="AC25" s="297"/>
      <c r="AD25" s="297"/>
      <c r="AE25" s="297"/>
      <c r="AF25" s="297"/>
      <c r="AG25" s="297"/>
      <c r="AH25" s="297"/>
      <c r="AI25" s="297"/>
      <c r="AJ25" s="297"/>
      <c r="AK25" s="297"/>
      <c r="AL25" s="297"/>
      <c r="AM25" s="297"/>
      <c r="AN25" s="297"/>
      <c r="AO25" s="297"/>
      <c r="AP25" s="410"/>
      <c r="AQ25" s="410"/>
      <c r="AR25" s="408" t="s">
        <v>7472</v>
      </c>
      <c r="AS25" s="321"/>
      <c r="AT25" s="321"/>
      <c r="AV25" s="415"/>
      <c r="AW25" s="424"/>
      <c r="AX25" s="424"/>
      <c r="AY25" s="424"/>
      <c r="AZ25" s="425"/>
      <c r="BA25" s="427"/>
      <c r="BB25" s="428"/>
      <c r="BC25" s="428"/>
      <c r="BD25" s="428"/>
      <c r="BE25" s="428"/>
      <c r="BF25" s="436"/>
      <c r="BG25" s="432"/>
      <c r="BH25" s="433"/>
      <c r="BI25" s="433"/>
      <c r="BJ25" s="433"/>
      <c r="BK25" s="434"/>
      <c r="BL25" s="435"/>
      <c r="BM25" s="440"/>
      <c r="BN25" s="440"/>
      <c r="BO25" s="440"/>
      <c r="BP25" s="440"/>
      <c r="BQ25" s="441"/>
    </row>
    <row r="26" customHeight="1" spans="48:69">
      <c r="AV26" s="415"/>
      <c r="AW26" s="424"/>
      <c r="AX26" s="424"/>
      <c r="AY26" s="424"/>
      <c r="AZ26" s="425"/>
      <c r="BA26" s="427"/>
      <c r="BB26" s="428"/>
      <c r="BC26" s="428"/>
      <c r="BD26" s="428"/>
      <c r="BE26" s="428"/>
      <c r="BF26" s="436"/>
      <c r="BG26" s="432"/>
      <c r="BH26" s="433"/>
      <c r="BI26" s="433"/>
      <c r="BJ26" s="433"/>
      <c r="BK26" s="434"/>
      <c r="BL26" s="435"/>
      <c r="BM26" s="440"/>
      <c r="BN26" s="440"/>
      <c r="BO26" s="440"/>
      <c r="BP26" s="440"/>
      <c r="BQ26" s="441"/>
    </row>
    <row r="27" customHeight="1" spans="2:69">
      <c r="B27" s="398" t="s">
        <v>203</v>
      </c>
      <c r="C27" s="398"/>
      <c r="D27" s="398"/>
      <c r="E27" s="398"/>
      <c r="F27" s="398"/>
      <c r="G27" s="398"/>
      <c r="H27" s="398"/>
      <c r="I27" s="398"/>
      <c r="J27" s="398"/>
      <c r="K27" s="398"/>
      <c r="L27" s="398"/>
      <c r="M27" s="398"/>
      <c r="N27" s="398"/>
      <c r="O27" s="398"/>
      <c r="P27" s="398"/>
      <c r="Q27" s="398"/>
      <c r="R27" s="398"/>
      <c r="S27" s="398"/>
      <c r="T27" s="398"/>
      <c r="U27" s="398"/>
      <c r="V27" s="407" cm="1">
        <f t="array" ref="V27">SUM(装备!F14:F23+装备!F25:F34)</f>
        <v>0</v>
      </c>
      <c r="W27" s="407"/>
      <c r="Y27" s="398" t="s">
        <v>216</v>
      </c>
      <c r="Z27" s="398"/>
      <c r="AA27" s="398"/>
      <c r="AB27" s="398"/>
      <c r="AC27" s="398"/>
      <c r="AD27" s="398"/>
      <c r="AE27" s="398"/>
      <c r="AF27" s="398"/>
      <c r="AG27" s="398"/>
      <c r="AH27" s="398"/>
      <c r="AI27" s="398"/>
      <c r="AJ27" s="398"/>
      <c r="AK27" s="398"/>
      <c r="AL27" s="398"/>
      <c r="AM27" s="398"/>
      <c r="AN27" s="398"/>
      <c r="AO27" s="398"/>
      <c r="AP27" s="398"/>
      <c r="AQ27" s="398"/>
      <c r="AR27" s="398"/>
      <c r="AS27" s="416" t="s">
        <v>624</v>
      </c>
      <c r="AT27" s="416"/>
      <c r="AV27" s="415"/>
      <c r="AW27" s="424"/>
      <c r="AX27" s="424"/>
      <c r="AY27" s="424"/>
      <c r="AZ27" s="425"/>
      <c r="BA27" s="427"/>
      <c r="BB27" s="428"/>
      <c r="BC27" s="428"/>
      <c r="BD27" s="428"/>
      <c r="BE27" s="428"/>
      <c r="BF27" s="436"/>
      <c r="BG27" s="432"/>
      <c r="BH27" s="433"/>
      <c r="BI27" s="433"/>
      <c r="BJ27" s="433"/>
      <c r="BK27" s="434"/>
      <c r="BL27" s="435"/>
      <c r="BM27" s="440"/>
      <c r="BN27" s="440"/>
      <c r="BO27" s="440"/>
      <c r="BP27" s="440"/>
      <c r="BQ27" s="441"/>
    </row>
    <row r="28" customHeight="1" spans="2:69">
      <c r="B28" s="293" t="s">
        <v>88</v>
      </c>
      <c r="C28" s="293"/>
      <c r="D28" s="293"/>
      <c r="E28" s="293"/>
      <c r="F28" s="293" t="s">
        <v>89</v>
      </c>
      <c r="G28" s="293"/>
      <c r="H28" s="293"/>
      <c r="I28" s="293"/>
      <c r="J28" s="293"/>
      <c r="K28" s="293"/>
      <c r="L28" s="293"/>
      <c r="M28" s="293"/>
      <c r="N28" s="293"/>
      <c r="O28" s="293"/>
      <c r="P28" s="293"/>
      <c r="Q28" s="293"/>
      <c r="R28" s="293"/>
      <c r="S28" s="293" t="s">
        <v>7471</v>
      </c>
      <c r="T28" s="293"/>
      <c r="U28" s="408"/>
      <c r="V28" s="293" t="s">
        <v>319</v>
      </c>
      <c r="W28" s="293"/>
      <c r="Y28" s="293" t="s">
        <v>88</v>
      </c>
      <c r="Z28" s="293"/>
      <c r="AA28" s="293"/>
      <c r="AB28" s="293"/>
      <c r="AC28" s="293" t="s">
        <v>89</v>
      </c>
      <c r="AD28" s="293"/>
      <c r="AE28" s="293"/>
      <c r="AF28" s="293"/>
      <c r="AG28" s="293"/>
      <c r="AH28" s="293"/>
      <c r="AI28" s="293"/>
      <c r="AJ28" s="293"/>
      <c r="AK28" s="293"/>
      <c r="AL28" s="293"/>
      <c r="AM28" s="293"/>
      <c r="AN28" s="293"/>
      <c r="AO28" s="293"/>
      <c r="AP28" s="293" t="s">
        <v>7471</v>
      </c>
      <c r="AQ28" s="293"/>
      <c r="AR28" s="408"/>
      <c r="AS28" s="293" t="s">
        <v>319</v>
      </c>
      <c r="AT28" s="293"/>
      <c r="AV28" s="415"/>
      <c r="AW28" s="424"/>
      <c r="AX28" s="424"/>
      <c r="AY28" s="424"/>
      <c r="AZ28" s="425"/>
      <c r="BA28" s="427"/>
      <c r="BB28" s="428"/>
      <c r="BC28" s="428"/>
      <c r="BD28" s="428"/>
      <c r="BE28" s="428"/>
      <c r="BF28" s="436"/>
      <c r="BG28" s="432"/>
      <c r="BH28" s="433"/>
      <c r="BI28" s="433"/>
      <c r="BJ28" s="433"/>
      <c r="BK28" s="434"/>
      <c r="BL28" s="435"/>
      <c r="BM28" s="440"/>
      <c r="BN28" s="440"/>
      <c r="BO28" s="440"/>
      <c r="BP28" s="440"/>
      <c r="BQ28" s="441"/>
    </row>
    <row r="29" customHeight="1" spans="2:69">
      <c r="B29" s="399"/>
      <c r="C29" s="399"/>
      <c r="D29" s="399"/>
      <c r="E29" s="399"/>
      <c r="F29" s="295"/>
      <c r="G29" s="295"/>
      <c r="H29" s="295"/>
      <c r="I29" s="295"/>
      <c r="J29" s="295"/>
      <c r="K29" s="295"/>
      <c r="L29" s="295"/>
      <c r="M29" s="295"/>
      <c r="N29" s="295"/>
      <c r="O29" s="295"/>
      <c r="P29" s="295"/>
      <c r="Q29" s="295"/>
      <c r="R29" s="295"/>
      <c r="S29" s="409"/>
      <c r="T29" s="409"/>
      <c r="U29" s="408" t="s">
        <v>7472</v>
      </c>
      <c r="V29" s="320"/>
      <c r="W29" s="320"/>
      <c r="Y29" s="399"/>
      <c r="Z29" s="399"/>
      <c r="AA29" s="399"/>
      <c r="AB29" s="399"/>
      <c r="AC29" s="295"/>
      <c r="AD29" s="295"/>
      <c r="AE29" s="295"/>
      <c r="AF29" s="295"/>
      <c r="AG29" s="295"/>
      <c r="AH29" s="295"/>
      <c r="AI29" s="295"/>
      <c r="AJ29" s="295"/>
      <c r="AK29" s="295"/>
      <c r="AL29" s="295"/>
      <c r="AM29" s="295"/>
      <c r="AN29" s="295"/>
      <c r="AO29" s="295"/>
      <c r="AP29" s="409"/>
      <c r="AQ29" s="409"/>
      <c r="AR29" s="408" t="s">
        <v>7472</v>
      </c>
      <c r="AS29" s="320"/>
      <c r="AT29" s="320"/>
      <c r="AV29" s="415"/>
      <c r="AW29" s="424"/>
      <c r="AX29" s="424"/>
      <c r="AY29" s="424"/>
      <c r="AZ29" s="425"/>
      <c r="BA29" s="427"/>
      <c r="BB29" s="428"/>
      <c r="BC29" s="428"/>
      <c r="BD29" s="428"/>
      <c r="BE29" s="428"/>
      <c r="BF29" s="436"/>
      <c r="BG29" s="432"/>
      <c r="BH29" s="433"/>
      <c r="BI29" s="433"/>
      <c r="BJ29" s="433"/>
      <c r="BK29" s="434"/>
      <c r="BL29" s="435"/>
      <c r="BM29" s="440"/>
      <c r="BN29" s="440"/>
      <c r="BO29" s="440"/>
      <c r="BP29" s="440"/>
      <c r="BQ29" s="441"/>
    </row>
    <row r="30" customHeight="1" spans="2:69">
      <c r="B30" s="400"/>
      <c r="C30" s="400"/>
      <c r="D30" s="400"/>
      <c r="E30" s="400"/>
      <c r="F30" s="297"/>
      <c r="G30" s="297"/>
      <c r="H30" s="297"/>
      <c r="I30" s="297"/>
      <c r="J30" s="297"/>
      <c r="K30" s="297"/>
      <c r="L30" s="297"/>
      <c r="M30" s="297"/>
      <c r="N30" s="297"/>
      <c r="O30" s="297"/>
      <c r="P30" s="297"/>
      <c r="Q30" s="297"/>
      <c r="R30" s="297"/>
      <c r="S30" s="410"/>
      <c r="T30" s="410"/>
      <c r="U30" s="408" t="s">
        <v>7472</v>
      </c>
      <c r="V30" s="321"/>
      <c r="W30" s="321"/>
      <c r="Y30" s="400"/>
      <c r="Z30" s="400"/>
      <c r="AA30" s="400"/>
      <c r="AB30" s="400"/>
      <c r="AC30" s="297"/>
      <c r="AD30" s="297"/>
      <c r="AE30" s="297"/>
      <c r="AF30" s="297"/>
      <c r="AG30" s="297"/>
      <c r="AH30" s="297"/>
      <c r="AI30" s="297"/>
      <c r="AJ30" s="297"/>
      <c r="AK30" s="297"/>
      <c r="AL30" s="297"/>
      <c r="AM30" s="297"/>
      <c r="AN30" s="297"/>
      <c r="AO30" s="297"/>
      <c r="AP30" s="410"/>
      <c r="AQ30" s="410"/>
      <c r="AR30" s="408" t="s">
        <v>7472</v>
      </c>
      <c r="AS30" s="321"/>
      <c r="AT30" s="321"/>
      <c r="AV30" s="415"/>
      <c r="AW30" s="424"/>
      <c r="AX30" s="424"/>
      <c r="AY30" s="424"/>
      <c r="AZ30" s="425"/>
      <c r="BA30" s="427"/>
      <c r="BB30" s="428"/>
      <c r="BC30" s="428"/>
      <c r="BD30" s="428"/>
      <c r="BE30" s="428"/>
      <c r="BF30" s="436"/>
      <c r="BG30" s="432"/>
      <c r="BH30" s="433"/>
      <c r="BI30" s="433"/>
      <c r="BJ30" s="433"/>
      <c r="BK30" s="434"/>
      <c r="BL30" s="435"/>
      <c r="BM30" s="440"/>
      <c r="BN30" s="440"/>
      <c r="BO30" s="440"/>
      <c r="BP30" s="440"/>
      <c r="BQ30" s="441"/>
    </row>
    <row r="31" customHeight="1" spans="2:69">
      <c r="B31" s="399"/>
      <c r="C31" s="399"/>
      <c r="D31" s="399"/>
      <c r="E31" s="399"/>
      <c r="F31" s="295"/>
      <c r="G31" s="295"/>
      <c r="H31" s="295"/>
      <c r="I31" s="295"/>
      <c r="J31" s="295"/>
      <c r="K31" s="295"/>
      <c r="L31" s="295"/>
      <c r="M31" s="295"/>
      <c r="N31" s="295"/>
      <c r="O31" s="295"/>
      <c r="P31" s="295"/>
      <c r="Q31" s="295"/>
      <c r="R31" s="295"/>
      <c r="S31" s="409"/>
      <c r="T31" s="409"/>
      <c r="U31" s="408" t="s">
        <v>7472</v>
      </c>
      <c r="V31" s="320"/>
      <c r="W31" s="320"/>
      <c r="Y31" s="399"/>
      <c r="Z31" s="399"/>
      <c r="AA31" s="399"/>
      <c r="AB31" s="399"/>
      <c r="AC31" s="295"/>
      <c r="AD31" s="295"/>
      <c r="AE31" s="295"/>
      <c r="AF31" s="295"/>
      <c r="AG31" s="295"/>
      <c r="AH31" s="295"/>
      <c r="AI31" s="295"/>
      <c r="AJ31" s="295"/>
      <c r="AK31" s="295"/>
      <c r="AL31" s="295"/>
      <c r="AM31" s="295"/>
      <c r="AN31" s="295"/>
      <c r="AO31" s="295"/>
      <c r="AP31" s="409"/>
      <c r="AQ31" s="409"/>
      <c r="AR31" s="408" t="s">
        <v>7472</v>
      </c>
      <c r="AS31" s="320"/>
      <c r="AT31" s="320"/>
      <c r="AV31" s="415"/>
      <c r="AW31" s="424"/>
      <c r="AX31" s="424"/>
      <c r="AY31" s="424"/>
      <c r="AZ31" s="425"/>
      <c r="BA31" s="427"/>
      <c r="BB31" s="428"/>
      <c r="BC31" s="428"/>
      <c r="BD31" s="428"/>
      <c r="BE31" s="428"/>
      <c r="BF31" s="436"/>
      <c r="BG31" s="432"/>
      <c r="BH31" s="433"/>
      <c r="BI31" s="433"/>
      <c r="BJ31" s="433"/>
      <c r="BK31" s="434"/>
      <c r="BL31" s="435"/>
      <c r="BM31" s="440"/>
      <c r="BN31" s="440"/>
      <c r="BO31" s="440"/>
      <c r="BP31" s="440"/>
      <c r="BQ31" s="441"/>
    </row>
    <row r="32" customHeight="1" spans="2:69">
      <c r="B32" s="400"/>
      <c r="C32" s="400"/>
      <c r="D32" s="400"/>
      <c r="E32" s="400"/>
      <c r="F32" s="297"/>
      <c r="G32" s="297"/>
      <c r="H32" s="297"/>
      <c r="I32" s="297"/>
      <c r="J32" s="297"/>
      <c r="K32" s="297"/>
      <c r="L32" s="297"/>
      <c r="M32" s="297"/>
      <c r="N32" s="297"/>
      <c r="O32" s="297"/>
      <c r="P32" s="297"/>
      <c r="Q32" s="297"/>
      <c r="R32" s="297"/>
      <c r="S32" s="410"/>
      <c r="T32" s="410"/>
      <c r="U32" s="408" t="s">
        <v>7472</v>
      </c>
      <c r="V32" s="321"/>
      <c r="W32" s="321"/>
      <c r="Y32" s="400"/>
      <c r="Z32" s="400"/>
      <c r="AA32" s="400"/>
      <c r="AB32" s="400"/>
      <c r="AC32" s="297"/>
      <c r="AD32" s="297"/>
      <c r="AE32" s="297"/>
      <c r="AF32" s="297"/>
      <c r="AG32" s="297"/>
      <c r="AH32" s="297"/>
      <c r="AI32" s="297"/>
      <c r="AJ32" s="297"/>
      <c r="AK32" s="297"/>
      <c r="AL32" s="297"/>
      <c r="AM32" s="297"/>
      <c r="AN32" s="297"/>
      <c r="AO32" s="297"/>
      <c r="AP32" s="410"/>
      <c r="AQ32" s="410"/>
      <c r="AR32" s="408" t="s">
        <v>7472</v>
      </c>
      <c r="AS32" s="321"/>
      <c r="AT32" s="321"/>
      <c r="AV32" s="415"/>
      <c r="AW32" s="424"/>
      <c r="AX32" s="424"/>
      <c r="AY32" s="424"/>
      <c r="AZ32" s="425"/>
      <c r="BA32" s="427"/>
      <c r="BB32" s="428"/>
      <c r="BC32" s="428"/>
      <c r="BD32" s="428"/>
      <c r="BE32" s="428"/>
      <c r="BF32" s="436"/>
      <c r="BG32" s="432"/>
      <c r="BH32" s="433"/>
      <c r="BI32" s="433"/>
      <c r="BJ32" s="433"/>
      <c r="BK32" s="434"/>
      <c r="BL32" s="435"/>
      <c r="BM32" s="440"/>
      <c r="BN32" s="440"/>
      <c r="BO32" s="440"/>
      <c r="BP32" s="440"/>
      <c r="BQ32" s="441"/>
    </row>
    <row r="33" customHeight="1" spans="2:69">
      <c r="B33" s="399"/>
      <c r="C33" s="399"/>
      <c r="D33" s="399"/>
      <c r="E33" s="399"/>
      <c r="F33" s="295"/>
      <c r="G33" s="295"/>
      <c r="H33" s="295"/>
      <c r="I33" s="295"/>
      <c r="J33" s="295"/>
      <c r="K33" s="295"/>
      <c r="L33" s="295"/>
      <c r="M33" s="295"/>
      <c r="N33" s="295"/>
      <c r="O33" s="295"/>
      <c r="P33" s="295"/>
      <c r="Q33" s="295"/>
      <c r="R33" s="295"/>
      <c r="S33" s="409"/>
      <c r="T33" s="409"/>
      <c r="U33" s="408" t="s">
        <v>7472</v>
      </c>
      <c r="V33" s="320"/>
      <c r="W33" s="320"/>
      <c r="Y33" s="399"/>
      <c r="Z33" s="399"/>
      <c r="AA33" s="399"/>
      <c r="AB33" s="399"/>
      <c r="AC33" s="295"/>
      <c r="AD33" s="295"/>
      <c r="AE33" s="295"/>
      <c r="AF33" s="295"/>
      <c r="AG33" s="295"/>
      <c r="AH33" s="295"/>
      <c r="AI33" s="295"/>
      <c r="AJ33" s="295"/>
      <c r="AK33" s="295"/>
      <c r="AL33" s="295"/>
      <c r="AM33" s="295"/>
      <c r="AN33" s="295"/>
      <c r="AO33" s="295"/>
      <c r="AP33" s="409"/>
      <c r="AQ33" s="409"/>
      <c r="AR33" s="408" t="s">
        <v>7472</v>
      </c>
      <c r="AS33" s="320"/>
      <c r="AT33" s="320"/>
      <c r="AV33" s="415"/>
      <c r="AW33" s="424"/>
      <c r="AX33" s="424"/>
      <c r="AY33" s="424"/>
      <c r="AZ33" s="425"/>
      <c r="BA33" s="427"/>
      <c r="BB33" s="428"/>
      <c r="BC33" s="428"/>
      <c r="BD33" s="428"/>
      <c r="BE33" s="428"/>
      <c r="BF33" s="436"/>
      <c r="BG33" s="432"/>
      <c r="BH33" s="433"/>
      <c r="BI33" s="433"/>
      <c r="BJ33" s="433"/>
      <c r="BK33" s="434"/>
      <c r="BL33" s="435"/>
      <c r="BM33" s="440"/>
      <c r="BN33" s="440"/>
      <c r="BO33" s="440"/>
      <c r="BP33" s="440"/>
      <c r="BQ33" s="441"/>
    </row>
    <row r="34" customHeight="1" spans="2:69">
      <c r="B34" s="400"/>
      <c r="C34" s="400"/>
      <c r="D34" s="400"/>
      <c r="E34" s="400"/>
      <c r="F34" s="403"/>
      <c r="G34" s="403"/>
      <c r="H34" s="403"/>
      <c r="I34" s="403"/>
      <c r="J34" s="403"/>
      <c r="K34" s="403"/>
      <c r="L34" s="403"/>
      <c r="M34" s="403"/>
      <c r="N34" s="403"/>
      <c r="O34" s="403"/>
      <c r="P34" s="403"/>
      <c r="Q34" s="403"/>
      <c r="R34" s="403"/>
      <c r="S34" s="410"/>
      <c r="T34" s="410"/>
      <c r="U34" s="408" t="s">
        <v>7472</v>
      </c>
      <c r="V34" s="411"/>
      <c r="W34" s="411"/>
      <c r="Y34" s="400"/>
      <c r="Z34" s="400"/>
      <c r="AA34" s="400"/>
      <c r="AB34" s="400"/>
      <c r="AC34" s="403"/>
      <c r="AD34" s="403"/>
      <c r="AE34" s="403"/>
      <c r="AF34" s="403"/>
      <c r="AG34" s="403"/>
      <c r="AH34" s="403"/>
      <c r="AI34" s="403"/>
      <c r="AJ34" s="403"/>
      <c r="AK34" s="403"/>
      <c r="AL34" s="403"/>
      <c r="AM34" s="403"/>
      <c r="AN34" s="403"/>
      <c r="AO34" s="403"/>
      <c r="AP34" s="410"/>
      <c r="AQ34" s="410"/>
      <c r="AR34" s="408" t="s">
        <v>7472</v>
      </c>
      <c r="AS34" s="411"/>
      <c r="AT34" s="411"/>
      <c r="AV34" s="415"/>
      <c r="AW34" s="424"/>
      <c r="AX34" s="424"/>
      <c r="AY34" s="424"/>
      <c r="AZ34" s="425"/>
      <c r="BA34" s="427"/>
      <c r="BB34" s="428"/>
      <c r="BC34" s="428"/>
      <c r="BD34" s="428"/>
      <c r="BE34" s="428"/>
      <c r="BF34" s="436"/>
      <c r="BG34" s="432"/>
      <c r="BH34" s="433"/>
      <c r="BI34" s="433"/>
      <c r="BJ34" s="433"/>
      <c r="BK34" s="434"/>
      <c r="BL34" s="435"/>
      <c r="BM34" s="440"/>
      <c r="BN34" s="440"/>
      <c r="BO34" s="440"/>
      <c r="BP34" s="440"/>
      <c r="BQ34" s="441"/>
    </row>
    <row r="35" customHeight="1" spans="2:69">
      <c r="B35" s="399"/>
      <c r="C35" s="399"/>
      <c r="D35" s="399"/>
      <c r="E35" s="399"/>
      <c r="F35" s="295"/>
      <c r="G35" s="295"/>
      <c r="H35" s="295"/>
      <c r="I35" s="295"/>
      <c r="J35" s="295"/>
      <c r="K35" s="295"/>
      <c r="L35" s="295"/>
      <c r="M35" s="295"/>
      <c r="N35" s="295"/>
      <c r="O35" s="295"/>
      <c r="P35" s="295"/>
      <c r="Q35" s="295"/>
      <c r="R35" s="295"/>
      <c r="S35" s="409"/>
      <c r="T35" s="409"/>
      <c r="U35" s="408" t="s">
        <v>7472</v>
      </c>
      <c r="V35" s="320"/>
      <c r="W35" s="320"/>
      <c r="Y35" s="399"/>
      <c r="Z35" s="399"/>
      <c r="AA35" s="399"/>
      <c r="AB35" s="399"/>
      <c r="AC35" s="295"/>
      <c r="AD35" s="295"/>
      <c r="AE35" s="295"/>
      <c r="AF35" s="295"/>
      <c r="AG35" s="295"/>
      <c r="AH35" s="295"/>
      <c r="AI35" s="295"/>
      <c r="AJ35" s="295"/>
      <c r="AK35" s="295"/>
      <c r="AL35" s="295"/>
      <c r="AM35" s="295"/>
      <c r="AN35" s="295"/>
      <c r="AO35" s="295"/>
      <c r="AP35" s="409"/>
      <c r="AQ35" s="409"/>
      <c r="AR35" s="408" t="s">
        <v>7472</v>
      </c>
      <c r="AS35" s="320"/>
      <c r="AT35" s="320"/>
      <c r="AV35" s="415"/>
      <c r="AW35" s="424"/>
      <c r="AX35" s="424"/>
      <c r="AY35" s="424"/>
      <c r="AZ35" s="425"/>
      <c r="BA35" s="427"/>
      <c r="BB35" s="428"/>
      <c r="BC35" s="428"/>
      <c r="BD35" s="428"/>
      <c r="BE35" s="428"/>
      <c r="BF35" s="436"/>
      <c r="BG35" s="432"/>
      <c r="BH35" s="433"/>
      <c r="BI35" s="433"/>
      <c r="BJ35" s="433"/>
      <c r="BK35" s="434"/>
      <c r="BL35" s="435"/>
      <c r="BM35" s="440"/>
      <c r="BN35" s="440"/>
      <c r="BO35" s="440"/>
      <c r="BP35" s="440"/>
      <c r="BQ35" s="441"/>
    </row>
    <row r="36" customHeight="1" spans="2:69">
      <c r="B36" s="400"/>
      <c r="C36" s="400"/>
      <c r="D36" s="400"/>
      <c r="E36" s="400"/>
      <c r="F36" s="297"/>
      <c r="G36" s="297"/>
      <c r="H36" s="297"/>
      <c r="I36" s="297"/>
      <c r="J36" s="297"/>
      <c r="K36" s="297"/>
      <c r="L36" s="297"/>
      <c r="M36" s="297"/>
      <c r="N36" s="297"/>
      <c r="O36" s="297"/>
      <c r="P36" s="297"/>
      <c r="Q36" s="297"/>
      <c r="R36" s="297"/>
      <c r="S36" s="410"/>
      <c r="T36" s="410"/>
      <c r="U36" s="408" t="s">
        <v>7472</v>
      </c>
      <c r="V36" s="321"/>
      <c r="W36" s="321"/>
      <c r="Y36" s="400"/>
      <c r="Z36" s="400"/>
      <c r="AA36" s="400"/>
      <c r="AB36" s="400"/>
      <c r="AC36" s="297"/>
      <c r="AD36" s="297"/>
      <c r="AE36" s="297"/>
      <c r="AF36" s="297"/>
      <c r="AG36" s="297"/>
      <c r="AH36" s="297"/>
      <c r="AI36" s="297"/>
      <c r="AJ36" s="297"/>
      <c r="AK36" s="297"/>
      <c r="AL36" s="297"/>
      <c r="AM36" s="297"/>
      <c r="AN36" s="297"/>
      <c r="AO36" s="297"/>
      <c r="AP36" s="410"/>
      <c r="AQ36" s="410"/>
      <c r="AR36" s="408" t="s">
        <v>7472</v>
      </c>
      <c r="AS36" s="321"/>
      <c r="AT36" s="321"/>
      <c r="AV36" s="415"/>
      <c r="AW36" s="424"/>
      <c r="AX36" s="424"/>
      <c r="AY36" s="424"/>
      <c r="AZ36" s="425"/>
      <c r="BA36" s="427"/>
      <c r="BB36" s="428"/>
      <c r="BC36" s="428"/>
      <c r="BD36" s="428"/>
      <c r="BE36" s="428"/>
      <c r="BF36" s="436"/>
      <c r="BG36" s="432"/>
      <c r="BH36" s="433"/>
      <c r="BI36" s="433"/>
      <c r="BJ36" s="433"/>
      <c r="BK36" s="434"/>
      <c r="BL36" s="435"/>
      <c r="BM36" s="440"/>
      <c r="BN36" s="440"/>
      <c r="BO36" s="440"/>
      <c r="BP36" s="440"/>
      <c r="BQ36" s="441"/>
    </row>
    <row r="37" customHeight="1" spans="2:69">
      <c r="B37" s="399"/>
      <c r="C37" s="399"/>
      <c r="D37" s="399"/>
      <c r="E37" s="399"/>
      <c r="F37" s="295"/>
      <c r="G37" s="295"/>
      <c r="H37" s="295"/>
      <c r="I37" s="295"/>
      <c r="J37" s="295"/>
      <c r="K37" s="295"/>
      <c r="L37" s="295"/>
      <c r="M37" s="295"/>
      <c r="N37" s="295"/>
      <c r="O37" s="295"/>
      <c r="P37" s="295"/>
      <c r="Q37" s="295"/>
      <c r="R37" s="295"/>
      <c r="S37" s="409"/>
      <c r="T37" s="409"/>
      <c r="U37" s="408" t="s">
        <v>7472</v>
      </c>
      <c r="V37" s="320"/>
      <c r="W37" s="320"/>
      <c r="Y37" s="399"/>
      <c r="Z37" s="399"/>
      <c r="AA37" s="399"/>
      <c r="AB37" s="399"/>
      <c r="AC37" s="295"/>
      <c r="AD37" s="295"/>
      <c r="AE37" s="295"/>
      <c r="AF37" s="295"/>
      <c r="AG37" s="295"/>
      <c r="AH37" s="295"/>
      <c r="AI37" s="295"/>
      <c r="AJ37" s="295"/>
      <c r="AK37" s="295"/>
      <c r="AL37" s="295"/>
      <c r="AM37" s="295"/>
      <c r="AN37" s="295"/>
      <c r="AO37" s="295"/>
      <c r="AP37" s="409"/>
      <c r="AQ37" s="409"/>
      <c r="AR37" s="408" t="s">
        <v>7472</v>
      </c>
      <c r="AS37" s="320"/>
      <c r="AT37" s="320"/>
      <c r="AV37" s="415"/>
      <c r="AW37" s="424"/>
      <c r="AX37" s="424"/>
      <c r="AY37" s="424"/>
      <c r="AZ37" s="425"/>
      <c r="BA37" s="427"/>
      <c r="BB37" s="428"/>
      <c r="BC37" s="428"/>
      <c r="BD37" s="428"/>
      <c r="BE37" s="428"/>
      <c r="BF37" s="436"/>
      <c r="BG37" s="432"/>
      <c r="BH37" s="433"/>
      <c r="BI37" s="433"/>
      <c r="BJ37" s="433"/>
      <c r="BK37" s="434"/>
      <c r="BL37" s="435"/>
      <c r="BM37" s="440"/>
      <c r="BN37" s="440"/>
      <c r="BO37" s="440"/>
      <c r="BP37" s="440"/>
      <c r="BQ37" s="441"/>
    </row>
    <row r="38" customHeight="1" spans="2:69">
      <c r="B38" s="400"/>
      <c r="C38" s="400"/>
      <c r="D38" s="400"/>
      <c r="E38" s="400"/>
      <c r="F38" s="297"/>
      <c r="G38" s="297"/>
      <c r="H38" s="297"/>
      <c r="I38" s="297"/>
      <c r="J38" s="297"/>
      <c r="K38" s="297"/>
      <c r="L38" s="297"/>
      <c r="M38" s="297"/>
      <c r="N38" s="297"/>
      <c r="O38" s="297"/>
      <c r="P38" s="297"/>
      <c r="Q38" s="297"/>
      <c r="R38" s="297"/>
      <c r="S38" s="410"/>
      <c r="T38" s="410"/>
      <c r="U38" s="408" t="s">
        <v>7472</v>
      </c>
      <c r="V38" s="321"/>
      <c r="W38" s="321"/>
      <c r="Y38" s="400"/>
      <c r="Z38" s="400"/>
      <c r="AA38" s="400"/>
      <c r="AB38" s="400"/>
      <c r="AC38" s="297"/>
      <c r="AD38" s="297"/>
      <c r="AE38" s="297"/>
      <c r="AF38" s="297"/>
      <c r="AG38" s="297"/>
      <c r="AH38" s="297"/>
      <c r="AI38" s="297"/>
      <c r="AJ38" s="297"/>
      <c r="AK38" s="297"/>
      <c r="AL38" s="297"/>
      <c r="AM38" s="297"/>
      <c r="AN38" s="297"/>
      <c r="AO38" s="297"/>
      <c r="AP38" s="410"/>
      <c r="AQ38" s="410"/>
      <c r="AR38" s="408" t="s">
        <v>7472</v>
      </c>
      <c r="AS38" s="321"/>
      <c r="AT38" s="321"/>
      <c r="AV38" s="415"/>
      <c r="AW38" s="424"/>
      <c r="AX38" s="424"/>
      <c r="AY38" s="424"/>
      <c r="AZ38" s="425"/>
      <c r="BA38" s="427"/>
      <c r="BB38" s="428"/>
      <c r="BC38" s="428"/>
      <c r="BD38" s="428"/>
      <c r="BE38" s="428"/>
      <c r="BF38" s="436"/>
      <c r="BG38" s="432"/>
      <c r="BH38" s="433"/>
      <c r="BI38" s="433"/>
      <c r="BJ38" s="433"/>
      <c r="BK38" s="434"/>
      <c r="BL38" s="435"/>
      <c r="BM38" s="440"/>
      <c r="BN38" s="440"/>
      <c r="BO38" s="440"/>
      <c r="BP38" s="440"/>
      <c r="BQ38" s="441"/>
    </row>
    <row r="39" customHeight="1" spans="2:69">
      <c r="B39" s="293" t="s">
        <v>88</v>
      </c>
      <c r="C39" s="293"/>
      <c r="D39" s="293"/>
      <c r="E39" s="293"/>
      <c r="F39" s="293" t="s">
        <v>89</v>
      </c>
      <c r="G39" s="293"/>
      <c r="H39" s="293"/>
      <c r="I39" s="293"/>
      <c r="J39" s="293"/>
      <c r="K39" s="293"/>
      <c r="L39" s="293"/>
      <c r="M39" s="293"/>
      <c r="N39" s="293"/>
      <c r="O39" s="293"/>
      <c r="P39" s="293"/>
      <c r="Q39" s="293"/>
      <c r="R39" s="293"/>
      <c r="S39" s="293" t="s">
        <v>7471</v>
      </c>
      <c r="T39" s="293"/>
      <c r="U39" s="408"/>
      <c r="V39" s="293" t="s">
        <v>319</v>
      </c>
      <c r="W39" s="293"/>
      <c r="Y39" s="293" t="s">
        <v>88</v>
      </c>
      <c r="Z39" s="293"/>
      <c r="AA39" s="293"/>
      <c r="AB39" s="293"/>
      <c r="AC39" s="293" t="s">
        <v>89</v>
      </c>
      <c r="AD39" s="293"/>
      <c r="AE39" s="293"/>
      <c r="AF39" s="293"/>
      <c r="AG39" s="293"/>
      <c r="AH39" s="293"/>
      <c r="AI39" s="293"/>
      <c r="AJ39" s="293"/>
      <c r="AK39" s="293"/>
      <c r="AL39" s="293"/>
      <c r="AM39" s="293"/>
      <c r="AN39" s="293"/>
      <c r="AO39" s="293"/>
      <c r="AP39" s="293" t="s">
        <v>7471</v>
      </c>
      <c r="AQ39" s="293"/>
      <c r="AR39" s="408"/>
      <c r="AS39" s="293" t="s">
        <v>319</v>
      </c>
      <c r="AT39" s="293"/>
      <c r="AV39" s="415"/>
      <c r="AW39" s="424"/>
      <c r="AX39" s="424"/>
      <c r="AY39" s="424"/>
      <c r="AZ39" s="425"/>
      <c r="BA39" s="427"/>
      <c r="BB39" s="428"/>
      <c r="BC39" s="428"/>
      <c r="BD39" s="428"/>
      <c r="BE39" s="428"/>
      <c r="BF39" s="436"/>
      <c r="BG39" s="432"/>
      <c r="BH39" s="433"/>
      <c r="BI39" s="433"/>
      <c r="BJ39" s="433"/>
      <c r="BK39" s="434"/>
      <c r="BL39" s="435"/>
      <c r="BM39" s="440"/>
      <c r="BN39" s="440"/>
      <c r="BO39" s="440"/>
      <c r="BP39" s="440"/>
      <c r="BQ39" s="441"/>
    </row>
    <row r="40" customHeight="1" spans="2:69">
      <c r="B40" s="399"/>
      <c r="C40" s="399"/>
      <c r="D40" s="399"/>
      <c r="E40" s="399"/>
      <c r="F40" s="295"/>
      <c r="G40" s="295"/>
      <c r="H40" s="295"/>
      <c r="I40" s="295"/>
      <c r="J40" s="295"/>
      <c r="K40" s="295"/>
      <c r="L40" s="295"/>
      <c r="M40" s="295"/>
      <c r="N40" s="295"/>
      <c r="O40" s="295"/>
      <c r="P40" s="295"/>
      <c r="Q40" s="295"/>
      <c r="R40" s="295"/>
      <c r="S40" s="409"/>
      <c r="T40" s="409"/>
      <c r="U40" s="408" t="s">
        <v>7472</v>
      </c>
      <c r="V40" s="320"/>
      <c r="W40" s="320"/>
      <c r="Y40" s="399"/>
      <c r="Z40" s="399"/>
      <c r="AA40" s="399"/>
      <c r="AB40" s="399"/>
      <c r="AC40" s="295"/>
      <c r="AD40" s="295"/>
      <c r="AE40" s="295"/>
      <c r="AF40" s="295"/>
      <c r="AG40" s="295"/>
      <c r="AH40" s="295"/>
      <c r="AI40" s="295"/>
      <c r="AJ40" s="295"/>
      <c r="AK40" s="295"/>
      <c r="AL40" s="295"/>
      <c r="AM40" s="295"/>
      <c r="AN40" s="295"/>
      <c r="AO40" s="295"/>
      <c r="AP40" s="409"/>
      <c r="AQ40" s="409"/>
      <c r="AR40" s="408" t="s">
        <v>7472</v>
      </c>
      <c r="AS40" s="320"/>
      <c r="AT40" s="320"/>
      <c r="AV40" s="415"/>
      <c r="AW40" s="424"/>
      <c r="AX40" s="424"/>
      <c r="AY40" s="424"/>
      <c r="AZ40" s="425"/>
      <c r="BA40" s="427"/>
      <c r="BB40" s="428"/>
      <c r="BC40" s="428"/>
      <c r="BD40" s="428"/>
      <c r="BE40" s="428"/>
      <c r="BF40" s="436"/>
      <c r="BG40" s="432"/>
      <c r="BH40" s="433"/>
      <c r="BI40" s="433"/>
      <c r="BJ40" s="433"/>
      <c r="BK40" s="434"/>
      <c r="BL40" s="435"/>
      <c r="BM40" s="440"/>
      <c r="BN40" s="440"/>
      <c r="BO40" s="440"/>
      <c r="BP40" s="440"/>
      <c r="BQ40" s="441"/>
    </row>
    <row r="41" customHeight="1" spans="2:69">
      <c r="B41" s="400"/>
      <c r="C41" s="400"/>
      <c r="D41" s="400"/>
      <c r="E41" s="400"/>
      <c r="F41" s="297"/>
      <c r="G41" s="297"/>
      <c r="H41" s="297"/>
      <c r="I41" s="297"/>
      <c r="J41" s="297"/>
      <c r="K41" s="297"/>
      <c r="L41" s="297"/>
      <c r="M41" s="297"/>
      <c r="N41" s="297"/>
      <c r="O41" s="297"/>
      <c r="P41" s="297"/>
      <c r="Q41" s="297"/>
      <c r="R41" s="297"/>
      <c r="S41" s="410"/>
      <c r="T41" s="410"/>
      <c r="U41" s="408" t="s">
        <v>7472</v>
      </c>
      <c r="V41" s="321"/>
      <c r="W41" s="321"/>
      <c r="Y41" s="400"/>
      <c r="Z41" s="400"/>
      <c r="AA41" s="400"/>
      <c r="AB41" s="400"/>
      <c r="AC41" s="297"/>
      <c r="AD41" s="297"/>
      <c r="AE41" s="297"/>
      <c r="AF41" s="297"/>
      <c r="AG41" s="297"/>
      <c r="AH41" s="297"/>
      <c r="AI41" s="297"/>
      <c r="AJ41" s="297"/>
      <c r="AK41" s="297"/>
      <c r="AL41" s="297"/>
      <c r="AM41" s="297"/>
      <c r="AN41" s="297"/>
      <c r="AO41" s="297"/>
      <c r="AP41" s="410"/>
      <c r="AQ41" s="410"/>
      <c r="AR41" s="408" t="s">
        <v>7472</v>
      </c>
      <c r="AS41" s="321"/>
      <c r="AT41" s="321"/>
      <c r="AV41" s="415"/>
      <c r="AW41" s="424"/>
      <c r="AX41" s="424"/>
      <c r="AY41" s="424"/>
      <c r="AZ41" s="425"/>
      <c r="BA41" s="427"/>
      <c r="BB41" s="428"/>
      <c r="BC41" s="428"/>
      <c r="BD41" s="428"/>
      <c r="BE41" s="428"/>
      <c r="BF41" s="436"/>
      <c r="BG41" s="432"/>
      <c r="BH41" s="433"/>
      <c r="BI41" s="433"/>
      <c r="BJ41" s="433"/>
      <c r="BK41" s="434"/>
      <c r="BL41" s="435"/>
      <c r="BM41" s="440"/>
      <c r="BN41" s="440"/>
      <c r="BO41" s="440"/>
      <c r="BP41" s="440"/>
      <c r="BQ41" s="441"/>
    </row>
    <row r="42" customHeight="1" spans="2:69">
      <c r="B42" s="399"/>
      <c r="C42" s="399"/>
      <c r="D42" s="399"/>
      <c r="E42" s="399"/>
      <c r="F42" s="295"/>
      <c r="G42" s="295"/>
      <c r="H42" s="295"/>
      <c r="I42" s="295"/>
      <c r="J42" s="295"/>
      <c r="K42" s="295"/>
      <c r="L42" s="295"/>
      <c r="M42" s="295"/>
      <c r="N42" s="295"/>
      <c r="O42" s="295"/>
      <c r="P42" s="295"/>
      <c r="Q42" s="295"/>
      <c r="R42" s="295"/>
      <c r="S42" s="409"/>
      <c r="T42" s="409"/>
      <c r="U42" s="408" t="s">
        <v>7472</v>
      </c>
      <c r="V42" s="320"/>
      <c r="W42" s="320"/>
      <c r="Y42" s="399"/>
      <c r="Z42" s="399"/>
      <c r="AA42" s="399"/>
      <c r="AB42" s="399"/>
      <c r="AC42" s="295"/>
      <c r="AD42" s="295"/>
      <c r="AE42" s="295"/>
      <c r="AF42" s="295"/>
      <c r="AG42" s="295"/>
      <c r="AH42" s="295"/>
      <c r="AI42" s="295"/>
      <c r="AJ42" s="295"/>
      <c r="AK42" s="295"/>
      <c r="AL42" s="295"/>
      <c r="AM42" s="295"/>
      <c r="AN42" s="295"/>
      <c r="AO42" s="295"/>
      <c r="AP42" s="409"/>
      <c r="AQ42" s="409"/>
      <c r="AR42" s="408" t="s">
        <v>7472</v>
      </c>
      <c r="AS42" s="320"/>
      <c r="AT42" s="320"/>
      <c r="AV42" s="415"/>
      <c r="AW42" s="424"/>
      <c r="AX42" s="424"/>
      <c r="AY42" s="424"/>
      <c r="AZ42" s="425"/>
      <c r="BA42" s="427"/>
      <c r="BB42" s="428"/>
      <c r="BC42" s="428"/>
      <c r="BD42" s="428"/>
      <c r="BE42" s="428"/>
      <c r="BF42" s="436"/>
      <c r="BG42" s="432"/>
      <c r="BH42" s="433"/>
      <c r="BI42" s="433"/>
      <c r="BJ42" s="433"/>
      <c r="BK42" s="434"/>
      <c r="BL42" s="435"/>
      <c r="BM42" s="440"/>
      <c r="BN42" s="440"/>
      <c r="BO42" s="440"/>
      <c r="BP42" s="440"/>
      <c r="BQ42" s="441"/>
    </row>
    <row r="43" customHeight="1" spans="2:69">
      <c r="B43" s="400"/>
      <c r="C43" s="400"/>
      <c r="D43" s="400"/>
      <c r="E43" s="400"/>
      <c r="F43" s="297"/>
      <c r="G43" s="297"/>
      <c r="H43" s="297"/>
      <c r="I43" s="297"/>
      <c r="J43" s="297"/>
      <c r="K43" s="297"/>
      <c r="L43" s="297"/>
      <c r="M43" s="297"/>
      <c r="N43" s="297"/>
      <c r="O43" s="297"/>
      <c r="P43" s="297"/>
      <c r="Q43" s="297"/>
      <c r="R43" s="297"/>
      <c r="S43" s="410"/>
      <c r="T43" s="410"/>
      <c r="U43" s="408" t="s">
        <v>7472</v>
      </c>
      <c r="V43" s="321"/>
      <c r="W43" s="321"/>
      <c r="Y43" s="400"/>
      <c r="Z43" s="400"/>
      <c r="AA43" s="400"/>
      <c r="AB43" s="400"/>
      <c r="AC43" s="297"/>
      <c r="AD43" s="297"/>
      <c r="AE43" s="297"/>
      <c r="AF43" s="297"/>
      <c r="AG43" s="297"/>
      <c r="AH43" s="297"/>
      <c r="AI43" s="297"/>
      <c r="AJ43" s="297"/>
      <c r="AK43" s="297"/>
      <c r="AL43" s="297"/>
      <c r="AM43" s="297"/>
      <c r="AN43" s="297"/>
      <c r="AO43" s="297"/>
      <c r="AP43" s="410"/>
      <c r="AQ43" s="410"/>
      <c r="AR43" s="408" t="s">
        <v>7472</v>
      </c>
      <c r="AS43" s="321"/>
      <c r="AT43" s="321"/>
      <c r="AV43" s="415"/>
      <c r="AW43" s="424"/>
      <c r="AX43" s="424"/>
      <c r="AY43" s="424"/>
      <c r="AZ43" s="425"/>
      <c r="BA43" s="427"/>
      <c r="BB43" s="428"/>
      <c r="BC43" s="428"/>
      <c r="BD43" s="428"/>
      <c r="BE43" s="428"/>
      <c r="BF43" s="436"/>
      <c r="BG43" s="432"/>
      <c r="BH43" s="433"/>
      <c r="BI43" s="433"/>
      <c r="BJ43" s="433"/>
      <c r="BK43" s="434"/>
      <c r="BL43" s="435"/>
      <c r="BM43" s="440"/>
      <c r="BN43" s="440"/>
      <c r="BO43" s="440"/>
      <c r="BP43" s="440"/>
      <c r="BQ43" s="441"/>
    </row>
    <row r="44" customHeight="1" spans="2:69">
      <c r="B44" s="399"/>
      <c r="C44" s="399"/>
      <c r="D44" s="399"/>
      <c r="E44" s="399"/>
      <c r="F44" s="295"/>
      <c r="G44" s="295"/>
      <c r="H44" s="295"/>
      <c r="I44" s="295"/>
      <c r="J44" s="295"/>
      <c r="K44" s="295"/>
      <c r="L44" s="295"/>
      <c r="M44" s="295"/>
      <c r="N44" s="295"/>
      <c r="O44" s="295"/>
      <c r="P44" s="295"/>
      <c r="Q44" s="295"/>
      <c r="R44" s="295"/>
      <c r="S44" s="409"/>
      <c r="T44" s="409"/>
      <c r="U44" s="408" t="s">
        <v>7472</v>
      </c>
      <c r="V44" s="320"/>
      <c r="W44" s="320"/>
      <c r="Y44" s="399"/>
      <c r="Z44" s="399"/>
      <c r="AA44" s="399"/>
      <c r="AB44" s="399"/>
      <c r="AC44" s="295"/>
      <c r="AD44" s="295"/>
      <c r="AE44" s="295"/>
      <c r="AF44" s="295"/>
      <c r="AG44" s="295"/>
      <c r="AH44" s="295"/>
      <c r="AI44" s="295"/>
      <c r="AJ44" s="295"/>
      <c r="AK44" s="295"/>
      <c r="AL44" s="295"/>
      <c r="AM44" s="295"/>
      <c r="AN44" s="295"/>
      <c r="AO44" s="295"/>
      <c r="AP44" s="409"/>
      <c r="AQ44" s="409"/>
      <c r="AR44" s="408" t="s">
        <v>7472</v>
      </c>
      <c r="AS44" s="320"/>
      <c r="AT44" s="320"/>
      <c r="AV44" s="415"/>
      <c r="AW44" s="424"/>
      <c r="AX44" s="424"/>
      <c r="AY44" s="424"/>
      <c r="AZ44" s="425"/>
      <c r="BA44" s="427"/>
      <c r="BB44" s="428"/>
      <c r="BC44" s="428"/>
      <c r="BD44" s="428"/>
      <c r="BE44" s="428"/>
      <c r="BF44" s="436"/>
      <c r="BG44" s="432"/>
      <c r="BH44" s="433"/>
      <c r="BI44" s="433"/>
      <c r="BJ44" s="433"/>
      <c r="BK44" s="434"/>
      <c r="BL44" s="435"/>
      <c r="BM44" s="440"/>
      <c r="BN44" s="440"/>
      <c r="BO44" s="440"/>
      <c r="BP44" s="440"/>
      <c r="BQ44" s="441"/>
    </row>
    <row r="45" customHeight="1" spans="2:69">
      <c r="B45" s="400"/>
      <c r="C45" s="400"/>
      <c r="D45" s="400"/>
      <c r="E45" s="400"/>
      <c r="F45" s="403"/>
      <c r="G45" s="403"/>
      <c r="H45" s="403"/>
      <c r="I45" s="403"/>
      <c r="J45" s="403"/>
      <c r="K45" s="403"/>
      <c r="L45" s="403"/>
      <c r="M45" s="403"/>
      <c r="N45" s="403"/>
      <c r="O45" s="403"/>
      <c r="P45" s="403"/>
      <c r="Q45" s="403"/>
      <c r="R45" s="403"/>
      <c r="S45" s="410"/>
      <c r="T45" s="410"/>
      <c r="U45" s="408" t="s">
        <v>7472</v>
      </c>
      <c r="V45" s="411"/>
      <c r="W45" s="411"/>
      <c r="Y45" s="400"/>
      <c r="Z45" s="400"/>
      <c r="AA45" s="400"/>
      <c r="AB45" s="400"/>
      <c r="AC45" s="403"/>
      <c r="AD45" s="403"/>
      <c r="AE45" s="403"/>
      <c r="AF45" s="403"/>
      <c r="AG45" s="403"/>
      <c r="AH45" s="403"/>
      <c r="AI45" s="403"/>
      <c r="AJ45" s="403"/>
      <c r="AK45" s="403"/>
      <c r="AL45" s="403"/>
      <c r="AM45" s="403"/>
      <c r="AN45" s="403"/>
      <c r="AO45" s="403"/>
      <c r="AP45" s="410"/>
      <c r="AQ45" s="410"/>
      <c r="AR45" s="408" t="s">
        <v>7472</v>
      </c>
      <c r="AS45" s="411"/>
      <c r="AT45" s="411"/>
      <c r="AV45" s="415"/>
      <c r="AW45" s="424"/>
      <c r="AX45" s="424"/>
      <c r="AY45" s="424"/>
      <c r="AZ45" s="425"/>
      <c r="BA45" s="427"/>
      <c r="BB45" s="428"/>
      <c r="BC45" s="428"/>
      <c r="BD45" s="428"/>
      <c r="BE45" s="428"/>
      <c r="BF45" s="436"/>
      <c r="BG45" s="432"/>
      <c r="BH45" s="433"/>
      <c r="BI45" s="433"/>
      <c r="BJ45" s="433"/>
      <c r="BK45" s="434"/>
      <c r="BL45" s="435"/>
      <c r="BM45" s="440"/>
      <c r="BN45" s="440"/>
      <c r="BO45" s="440"/>
      <c r="BP45" s="440"/>
      <c r="BQ45" s="441"/>
    </row>
    <row r="46" customHeight="1" spans="2:46">
      <c r="B46" s="399"/>
      <c r="C46" s="399"/>
      <c r="D46" s="399"/>
      <c r="E46" s="399"/>
      <c r="F46" s="295"/>
      <c r="G46" s="295"/>
      <c r="H46" s="295"/>
      <c r="I46" s="295"/>
      <c r="J46" s="295"/>
      <c r="K46" s="295"/>
      <c r="L46" s="295"/>
      <c r="M46" s="295"/>
      <c r="N46" s="295"/>
      <c r="O46" s="295"/>
      <c r="P46" s="295"/>
      <c r="Q46" s="295"/>
      <c r="R46" s="295"/>
      <c r="S46" s="409"/>
      <c r="T46" s="409"/>
      <c r="U46" s="408" t="s">
        <v>7472</v>
      </c>
      <c r="V46" s="320"/>
      <c r="W46" s="320"/>
      <c r="Y46" s="399"/>
      <c r="Z46" s="399"/>
      <c r="AA46" s="399"/>
      <c r="AB46" s="399"/>
      <c r="AC46" s="295"/>
      <c r="AD46" s="295"/>
      <c r="AE46" s="295"/>
      <c r="AF46" s="295"/>
      <c r="AG46" s="295"/>
      <c r="AH46" s="295"/>
      <c r="AI46" s="295"/>
      <c r="AJ46" s="295"/>
      <c r="AK46" s="295"/>
      <c r="AL46" s="295"/>
      <c r="AM46" s="295"/>
      <c r="AN46" s="295"/>
      <c r="AO46" s="295"/>
      <c r="AP46" s="409"/>
      <c r="AQ46" s="409"/>
      <c r="AR46" s="408" t="s">
        <v>7472</v>
      </c>
      <c r="AS46" s="320"/>
      <c r="AT46" s="320"/>
    </row>
    <row r="47" customHeight="1" spans="2:57">
      <c r="B47" s="400"/>
      <c r="C47" s="400"/>
      <c r="D47" s="400"/>
      <c r="E47" s="400"/>
      <c r="F47" s="297"/>
      <c r="G47" s="297"/>
      <c r="H47" s="297"/>
      <c r="I47" s="297"/>
      <c r="J47" s="297"/>
      <c r="K47" s="297"/>
      <c r="L47" s="297"/>
      <c r="M47" s="297"/>
      <c r="N47" s="297"/>
      <c r="O47" s="297"/>
      <c r="P47" s="297"/>
      <c r="Q47" s="297"/>
      <c r="R47" s="297"/>
      <c r="S47" s="410"/>
      <c r="T47" s="410"/>
      <c r="U47" s="408" t="s">
        <v>7472</v>
      </c>
      <c r="V47" s="321"/>
      <c r="W47" s="321"/>
      <c r="Y47" s="400"/>
      <c r="Z47" s="400"/>
      <c r="AA47" s="400"/>
      <c r="AB47" s="400"/>
      <c r="AC47" s="297"/>
      <c r="AD47" s="297"/>
      <c r="AE47" s="297"/>
      <c r="AF47" s="297"/>
      <c r="AG47" s="297"/>
      <c r="AH47" s="297"/>
      <c r="AI47" s="297"/>
      <c r="AJ47" s="297"/>
      <c r="AK47" s="297"/>
      <c r="AL47" s="297"/>
      <c r="AM47" s="297"/>
      <c r="AN47" s="297"/>
      <c r="AO47" s="297"/>
      <c r="AP47" s="410"/>
      <c r="AQ47" s="410"/>
      <c r="AR47" s="408" t="s">
        <v>7472</v>
      </c>
      <c r="AS47" s="321"/>
      <c r="AT47" s="321"/>
      <c r="AV47" s="417" t="s">
        <v>7473</v>
      </c>
      <c r="AW47" s="417"/>
      <c r="AX47" s="417"/>
      <c r="AY47" s="417"/>
      <c r="AZ47" s="417"/>
      <c r="BA47" s="417"/>
      <c r="BB47" s="417"/>
      <c r="BC47" s="417"/>
      <c r="BD47" s="429">
        <v>15</v>
      </c>
      <c r="BE47" s="429"/>
    </row>
    <row r="48" customHeight="1" spans="2:57">
      <c r="B48" s="399"/>
      <c r="C48" s="399"/>
      <c r="D48" s="399"/>
      <c r="E48" s="399"/>
      <c r="F48" s="295"/>
      <c r="G48" s="295"/>
      <c r="H48" s="295"/>
      <c r="I48" s="295"/>
      <c r="J48" s="295"/>
      <c r="K48" s="295"/>
      <c r="L48" s="295"/>
      <c r="M48" s="295"/>
      <c r="N48" s="295"/>
      <c r="O48" s="295"/>
      <c r="P48" s="295"/>
      <c r="Q48" s="295"/>
      <c r="R48" s="295"/>
      <c r="S48" s="409"/>
      <c r="T48" s="409"/>
      <c r="U48" s="408" t="s">
        <v>7472</v>
      </c>
      <c r="V48" s="320"/>
      <c r="W48" s="320"/>
      <c r="Y48" s="399"/>
      <c r="Z48" s="399"/>
      <c r="AA48" s="399"/>
      <c r="AB48" s="399"/>
      <c r="AC48" s="295"/>
      <c r="AD48" s="295"/>
      <c r="AE48" s="295"/>
      <c r="AF48" s="295"/>
      <c r="AG48" s="295"/>
      <c r="AH48" s="295"/>
      <c r="AI48" s="295"/>
      <c r="AJ48" s="295"/>
      <c r="AK48" s="295"/>
      <c r="AL48" s="295"/>
      <c r="AM48" s="295"/>
      <c r="AN48" s="295"/>
      <c r="AO48" s="295"/>
      <c r="AP48" s="409"/>
      <c r="AQ48" s="409"/>
      <c r="AR48" s="408" t="s">
        <v>7472</v>
      </c>
      <c r="AS48" s="320"/>
      <c r="AT48" s="320"/>
      <c r="AV48" s="418" t="s">
        <v>7474</v>
      </c>
      <c r="AW48" s="418"/>
      <c r="AX48" s="418"/>
      <c r="AY48" s="418"/>
      <c r="AZ48" s="418"/>
      <c r="BA48" s="418"/>
      <c r="BB48" s="418"/>
      <c r="BC48" s="418"/>
      <c r="BD48" s="430" cm="1">
        <f t="array" ref="BD48">SUM(装备!G14:G23+装备!G25:G34)</f>
        <v>0</v>
      </c>
      <c r="BE48" s="430"/>
    </row>
    <row r="49" customHeight="1" spans="2:57">
      <c r="B49" s="400"/>
      <c r="C49" s="400"/>
      <c r="D49" s="400"/>
      <c r="E49" s="400"/>
      <c r="F49" s="297"/>
      <c r="G49" s="297"/>
      <c r="H49" s="297"/>
      <c r="I49" s="297"/>
      <c r="J49" s="297"/>
      <c r="K49" s="297"/>
      <c r="L49" s="297"/>
      <c r="M49" s="297"/>
      <c r="N49" s="297"/>
      <c r="O49" s="297"/>
      <c r="P49" s="297"/>
      <c r="Q49" s="297"/>
      <c r="R49" s="297"/>
      <c r="S49" s="410"/>
      <c r="T49" s="410"/>
      <c r="U49" s="408" t="s">
        <v>7472</v>
      </c>
      <c r="V49" s="321"/>
      <c r="W49" s="321"/>
      <c r="Y49" s="400"/>
      <c r="Z49" s="400"/>
      <c r="AA49" s="400"/>
      <c r="AB49" s="400"/>
      <c r="AC49" s="297"/>
      <c r="AD49" s="297"/>
      <c r="AE49" s="297"/>
      <c r="AF49" s="297"/>
      <c r="AG49" s="297"/>
      <c r="AH49" s="297"/>
      <c r="AI49" s="297"/>
      <c r="AJ49" s="297"/>
      <c r="AK49" s="297"/>
      <c r="AL49" s="297"/>
      <c r="AM49" s="297"/>
      <c r="AN49" s="297"/>
      <c r="AO49" s="297"/>
      <c r="AP49" s="410"/>
      <c r="AQ49" s="410"/>
      <c r="AR49" s="408" t="s">
        <v>7472</v>
      </c>
      <c r="AS49" s="321"/>
      <c r="AT49" s="321"/>
      <c r="AV49" s="419" t="s">
        <v>7475</v>
      </c>
      <c r="AW49" s="419"/>
      <c r="AX49" s="419"/>
      <c r="AY49" s="419"/>
      <c r="AZ49" s="419"/>
      <c r="BA49" s="419"/>
      <c r="BB49" s="419"/>
      <c r="BC49" s="419"/>
      <c r="BD49" s="429">
        <v>500</v>
      </c>
      <c r="BE49" s="429"/>
    </row>
  </sheetData>
  <sheetProtection sheet="1"/>
  <mergeCells count="555">
    <mergeCell ref="A1:BR1"/>
    <mergeCell ref="B3:W3"/>
    <mergeCell ref="Y3:AR3"/>
    <mergeCell ref="AS3:AT3"/>
    <mergeCell ref="AV3:BQ3"/>
    <mergeCell ref="B4:E4"/>
    <mergeCell ref="F4:S4"/>
    <mergeCell ref="T4:U4"/>
    <mergeCell ref="V4:W4"/>
    <mergeCell ref="Y4:AB4"/>
    <mergeCell ref="AC4:AO4"/>
    <mergeCell ref="AP4:AQ4"/>
    <mergeCell ref="AS4:AT4"/>
    <mergeCell ref="AV4:BF4"/>
    <mergeCell ref="BG4:BQ4"/>
    <mergeCell ref="B5:E5"/>
    <mergeCell ref="F5:S5"/>
    <mergeCell ref="T5:U5"/>
    <mergeCell ref="V5:W5"/>
    <mergeCell ref="Y5:AB5"/>
    <mergeCell ref="AC5:AO5"/>
    <mergeCell ref="AP5:AQ5"/>
    <mergeCell ref="AS5:AT5"/>
    <mergeCell ref="AV5:AZ5"/>
    <mergeCell ref="BA5:BF5"/>
    <mergeCell ref="BG5:BK5"/>
    <mergeCell ref="BL5:BQ5"/>
    <mergeCell ref="B6:E6"/>
    <mergeCell ref="F6:S6"/>
    <mergeCell ref="T6:U6"/>
    <mergeCell ref="V6:W6"/>
    <mergeCell ref="Y6:AB6"/>
    <mergeCell ref="AC6:AO6"/>
    <mergeCell ref="AP6:AQ6"/>
    <mergeCell ref="AS6:AT6"/>
    <mergeCell ref="AV6:AZ6"/>
    <mergeCell ref="BA6:BF6"/>
    <mergeCell ref="BG6:BK6"/>
    <mergeCell ref="BL6:BQ6"/>
    <mergeCell ref="B7:E7"/>
    <mergeCell ref="F7:S7"/>
    <mergeCell ref="T7:U7"/>
    <mergeCell ref="V7:W7"/>
    <mergeCell ref="Y7:AB7"/>
    <mergeCell ref="AC7:AO7"/>
    <mergeCell ref="AP7:AQ7"/>
    <mergeCell ref="AS7:AT7"/>
    <mergeCell ref="AV7:AZ7"/>
    <mergeCell ref="BA7:BF7"/>
    <mergeCell ref="BG7:BK7"/>
    <mergeCell ref="BL7:BQ7"/>
    <mergeCell ref="B8:E8"/>
    <mergeCell ref="F8:S8"/>
    <mergeCell ref="T8:U8"/>
    <mergeCell ref="V8:W8"/>
    <mergeCell ref="Y8:AB8"/>
    <mergeCell ref="AC8:AO8"/>
    <mergeCell ref="AP8:AQ8"/>
    <mergeCell ref="AS8:AT8"/>
    <mergeCell ref="AV8:AZ8"/>
    <mergeCell ref="BA8:BF8"/>
    <mergeCell ref="BG8:BK8"/>
    <mergeCell ref="BL8:BQ8"/>
    <mergeCell ref="B9:E9"/>
    <mergeCell ref="F9:S9"/>
    <mergeCell ref="T9:U9"/>
    <mergeCell ref="V9:W9"/>
    <mergeCell ref="Y9:AB9"/>
    <mergeCell ref="AC9:AO9"/>
    <mergeCell ref="AP9:AQ9"/>
    <mergeCell ref="AS9:AT9"/>
    <mergeCell ref="AV9:AZ9"/>
    <mergeCell ref="BA9:BF9"/>
    <mergeCell ref="BG9:BK9"/>
    <mergeCell ref="BL9:BQ9"/>
    <mergeCell ref="B10:E10"/>
    <mergeCell ref="F10:S10"/>
    <mergeCell ref="T10:U10"/>
    <mergeCell ref="V10:W10"/>
    <mergeCell ref="Y10:AB10"/>
    <mergeCell ref="AC10:AO10"/>
    <mergeCell ref="AP10:AQ10"/>
    <mergeCell ref="AS10:AT10"/>
    <mergeCell ref="AV10:AZ10"/>
    <mergeCell ref="BA10:BF10"/>
    <mergeCell ref="BG10:BK10"/>
    <mergeCell ref="BL10:BQ10"/>
    <mergeCell ref="B11:E11"/>
    <mergeCell ref="F11:S11"/>
    <mergeCell ref="T11:U11"/>
    <mergeCell ref="V11:W11"/>
    <mergeCell ref="Y11:AB11"/>
    <mergeCell ref="AC11:AO11"/>
    <mergeCell ref="AP11:AQ11"/>
    <mergeCell ref="AS11:AT11"/>
    <mergeCell ref="AV11:AZ11"/>
    <mergeCell ref="BA11:BF11"/>
    <mergeCell ref="BG11:BK11"/>
    <mergeCell ref="BL11:BQ11"/>
    <mergeCell ref="B12:E12"/>
    <mergeCell ref="F12:S12"/>
    <mergeCell ref="T12:U12"/>
    <mergeCell ref="V12:W12"/>
    <mergeCell ref="Y12:AB12"/>
    <mergeCell ref="AC12:AO12"/>
    <mergeCell ref="AP12:AQ12"/>
    <mergeCell ref="AS12:AT12"/>
    <mergeCell ref="AV12:AZ12"/>
    <mergeCell ref="BA12:BF12"/>
    <mergeCell ref="BG12:BK12"/>
    <mergeCell ref="BL12:BQ12"/>
    <mergeCell ref="B13:E13"/>
    <mergeCell ref="F13:S13"/>
    <mergeCell ref="T13:U13"/>
    <mergeCell ref="V13:W13"/>
    <mergeCell ref="Y13:AB13"/>
    <mergeCell ref="AC13:AO13"/>
    <mergeCell ref="AP13:AQ13"/>
    <mergeCell ref="AS13:AT13"/>
    <mergeCell ref="AV13:AZ13"/>
    <mergeCell ref="BA13:BF13"/>
    <mergeCell ref="BG13:BK13"/>
    <mergeCell ref="BL13:BQ13"/>
    <mergeCell ref="B14:E14"/>
    <mergeCell ref="F14:S14"/>
    <mergeCell ref="T14:U14"/>
    <mergeCell ref="V14:W14"/>
    <mergeCell ref="Y14:AB14"/>
    <mergeCell ref="AC14:AO14"/>
    <mergeCell ref="AP14:AQ14"/>
    <mergeCell ref="AS14:AT14"/>
    <mergeCell ref="AV14:AZ14"/>
    <mergeCell ref="BA14:BF14"/>
    <mergeCell ref="BG14:BK14"/>
    <mergeCell ref="BL14:BQ14"/>
    <mergeCell ref="B15:E15"/>
    <mergeCell ref="F15:G15"/>
    <mergeCell ref="H15:O15"/>
    <mergeCell ref="P15:S15"/>
    <mergeCell ref="T15:U15"/>
    <mergeCell ref="V15:W15"/>
    <mergeCell ref="Y15:AB15"/>
    <mergeCell ref="AC15:AO15"/>
    <mergeCell ref="AP15:AQ15"/>
    <mergeCell ref="AS15:AT15"/>
    <mergeCell ref="AV15:AZ15"/>
    <mergeCell ref="BA15:BF15"/>
    <mergeCell ref="BG15:BK15"/>
    <mergeCell ref="BL15:BQ15"/>
    <mergeCell ref="B16:E16"/>
    <mergeCell ref="F16:G16"/>
    <mergeCell ref="H16:O16"/>
    <mergeCell ref="P16:S16"/>
    <mergeCell ref="T16:U16"/>
    <mergeCell ref="V16:W16"/>
    <mergeCell ref="Y16:AB16"/>
    <mergeCell ref="AC16:AO16"/>
    <mergeCell ref="AP16:AQ16"/>
    <mergeCell ref="AS16:AT16"/>
    <mergeCell ref="AV16:AZ16"/>
    <mergeCell ref="BA16:BF16"/>
    <mergeCell ref="BG16:BK16"/>
    <mergeCell ref="BL16:BQ16"/>
    <mergeCell ref="B17:E17"/>
    <mergeCell ref="F17:G17"/>
    <mergeCell ref="H17:O17"/>
    <mergeCell ref="P17:S17"/>
    <mergeCell ref="T17:U17"/>
    <mergeCell ref="V17:W17"/>
    <mergeCell ref="Y17:AB17"/>
    <mergeCell ref="AC17:AO17"/>
    <mergeCell ref="AP17:AQ17"/>
    <mergeCell ref="AS17:AT17"/>
    <mergeCell ref="AV17:AZ17"/>
    <mergeCell ref="BA17:BF17"/>
    <mergeCell ref="BG17:BK17"/>
    <mergeCell ref="BL17:BQ17"/>
    <mergeCell ref="B18:E18"/>
    <mergeCell ref="F18:G18"/>
    <mergeCell ref="H18:O18"/>
    <mergeCell ref="P18:S18"/>
    <mergeCell ref="T18:U18"/>
    <mergeCell ref="V18:W18"/>
    <mergeCell ref="Y18:AB18"/>
    <mergeCell ref="AC18:AO18"/>
    <mergeCell ref="AP18:AQ18"/>
    <mergeCell ref="AS18:AT18"/>
    <mergeCell ref="AV18:AZ18"/>
    <mergeCell ref="BA18:BF18"/>
    <mergeCell ref="BG18:BK18"/>
    <mergeCell ref="BL18:BQ18"/>
    <mergeCell ref="B19:E19"/>
    <mergeCell ref="F19:G19"/>
    <mergeCell ref="H19:O19"/>
    <mergeCell ref="P19:S19"/>
    <mergeCell ref="T19:U19"/>
    <mergeCell ref="V19:W19"/>
    <mergeCell ref="Y19:AB19"/>
    <mergeCell ref="AC19:AO19"/>
    <mergeCell ref="AP19:AQ19"/>
    <mergeCell ref="AS19:AT19"/>
    <mergeCell ref="AV19:AZ19"/>
    <mergeCell ref="BA19:BF19"/>
    <mergeCell ref="BG19:BK19"/>
    <mergeCell ref="BL19:BQ19"/>
    <mergeCell ref="B20:E20"/>
    <mergeCell ref="F20:G20"/>
    <mergeCell ref="H20:O20"/>
    <mergeCell ref="P20:S20"/>
    <mergeCell ref="T20:U20"/>
    <mergeCell ref="V20:W20"/>
    <mergeCell ref="Y20:AB20"/>
    <mergeCell ref="AC20:AO20"/>
    <mergeCell ref="AP20:AQ20"/>
    <mergeCell ref="AS20:AT20"/>
    <mergeCell ref="AV20:AZ20"/>
    <mergeCell ref="BA20:BF20"/>
    <mergeCell ref="BG20:BK20"/>
    <mergeCell ref="BL20:BQ20"/>
    <mergeCell ref="B21:E21"/>
    <mergeCell ref="F21:G21"/>
    <mergeCell ref="H21:O21"/>
    <mergeCell ref="P21:S21"/>
    <mergeCell ref="T21:U21"/>
    <mergeCell ref="V21:W21"/>
    <mergeCell ref="Y21:AB21"/>
    <mergeCell ref="AC21:AO21"/>
    <mergeCell ref="AP21:AQ21"/>
    <mergeCell ref="AS21:AT21"/>
    <mergeCell ref="AV21:AZ21"/>
    <mergeCell ref="BA21:BF21"/>
    <mergeCell ref="BG21:BK21"/>
    <mergeCell ref="BL21:BQ21"/>
    <mergeCell ref="B22:E22"/>
    <mergeCell ref="F22:G22"/>
    <mergeCell ref="H22:O22"/>
    <mergeCell ref="P22:S22"/>
    <mergeCell ref="T22:U22"/>
    <mergeCell ref="V22:W22"/>
    <mergeCell ref="Y22:AB22"/>
    <mergeCell ref="AC22:AO22"/>
    <mergeCell ref="AP22:AQ22"/>
    <mergeCell ref="AS22:AT22"/>
    <mergeCell ref="AV22:AZ22"/>
    <mergeCell ref="BA22:BF22"/>
    <mergeCell ref="BG22:BK22"/>
    <mergeCell ref="BL22:BQ22"/>
    <mergeCell ref="B23:E23"/>
    <mergeCell ref="F23:G23"/>
    <mergeCell ref="H23:O23"/>
    <mergeCell ref="P23:S23"/>
    <mergeCell ref="T23:U23"/>
    <mergeCell ref="V23:W23"/>
    <mergeCell ref="Y23:AB23"/>
    <mergeCell ref="AC23:AO23"/>
    <mergeCell ref="AP23:AQ23"/>
    <mergeCell ref="AS23:AT23"/>
    <mergeCell ref="AV23:AZ23"/>
    <mergeCell ref="BA23:BF23"/>
    <mergeCell ref="BG23:BK23"/>
    <mergeCell ref="BL23:BQ23"/>
    <mergeCell ref="B24:E24"/>
    <mergeCell ref="F24:G24"/>
    <mergeCell ref="H24:O24"/>
    <mergeCell ref="P24:S24"/>
    <mergeCell ref="T24:U24"/>
    <mergeCell ref="V24:W24"/>
    <mergeCell ref="Y24:AB24"/>
    <mergeCell ref="AC24:AO24"/>
    <mergeCell ref="AP24:AQ24"/>
    <mergeCell ref="AS24:AT24"/>
    <mergeCell ref="AV24:AZ24"/>
    <mergeCell ref="BA24:BF24"/>
    <mergeCell ref="BG24:BK24"/>
    <mergeCell ref="BL24:BQ24"/>
    <mergeCell ref="B25:E25"/>
    <mergeCell ref="F25:G25"/>
    <mergeCell ref="H25:O25"/>
    <mergeCell ref="P25:S25"/>
    <mergeCell ref="T25:U25"/>
    <mergeCell ref="V25:W25"/>
    <mergeCell ref="Y25:AB25"/>
    <mergeCell ref="AC25:AO25"/>
    <mergeCell ref="AP25:AQ25"/>
    <mergeCell ref="AS25:AT25"/>
    <mergeCell ref="AV25:AZ25"/>
    <mergeCell ref="BA25:BF25"/>
    <mergeCell ref="BG25:BK25"/>
    <mergeCell ref="BL25:BQ25"/>
    <mergeCell ref="AV26:AZ26"/>
    <mergeCell ref="BA26:BF26"/>
    <mergeCell ref="BG26:BK26"/>
    <mergeCell ref="BL26:BQ26"/>
    <mergeCell ref="B27:U27"/>
    <mergeCell ref="V27:W27"/>
    <mergeCell ref="Y27:AR27"/>
    <mergeCell ref="AS27:AT27"/>
    <mergeCell ref="AV27:AZ27"/>
    <mergeCell ref="BA27:BF27"/>
    <mergeCell ref="BG27:BK27"/>
    <mergeCell ref="BL27:BQ27"/>
    <mergeCell ref="B28:E28"/>
    <mergeCell ref="F28:R28"/>
    <mergeCell ref="S28:T28"/>
    <mergeCell ref="V28:W28"/>
    <mergeCell ref="Y28:AB28"/>
    <mergeCell ref="AC28:AO28"/>
    <mergeCell ref="AP28:AQ28"/>
    <mergeCell ref="AS28:AT28"/>
    <mergeCell ref="AV28:AZ28"/>
    <mergeCell ref="BA28:BF28"/>
    <mergeCell ref="BG28:BK28"/>
    <mergeCell ref="BL28:BQ28"/>
    <mergeCell ref="B29:E29"/>
    <mergeCell ref="F29:R29"/>
    <mergeCell ref="S29:T29"/>
    <mergeCell ref="V29:W29"/>
    <mergeCell ref="Y29:AB29"/>
    <mergeCell ref="AC29:AO29"/>
    <mergeCell ref="AP29:AQ29"/>
    <mergeCell ref="AS29:AT29"/>
    <mergeCell ref="AV29:AZ29"/>
    <mergeCell ref="BA29:BF29"/>
    <mergeCell ref="BG29:BK29"/>
    <mergeCell ref="BL29:BQ29"/>
    <mergeCell ref="B30:E30"/>
    <mergeCell ref="F30:R30"/>
    <mergeCell ref="S30:T30"/>
    <mergeCell ref="V30:W30"/>
    <mergeCell ref="Y30:AB30"/>
    <mergeCell ref="AC30:AO30"/>
    <mergeCell ref="AP30:AQ30"/>
    <mergeCell ref="AS30:AT30"/>
    <mergeCell ref="AV30:AZ30"/>
    <mergeCell ref="BA30:BF30"/>
    <mergeCell ref="BG30:BK30"/>
    <mergeCell ref="BL30:BQ30"/>
    <mergeCell ref="B31:E31"/>
    <mergeCell ref="F31:R31"/>
    <mergeCell ref="S31:T31"/>
    <mergeCell ref="V31:W31"/>
    <mergeCell ref="Y31:AB31"/>
    <mergeCell ref="AC31:AO31"/>
    <mergeCell ref="AP31:AQ31"/>
    <mergeCell ref="AS31:AT31"/>
    <mergeCell ref="AV31:AZ31"/>
    <mergeCell ref="BA31:BF31"/>
    <mergeCell ref="BG31:BK31"/>
    <mergeCell ref="BL31:BQ31"/>
    <mergeCell ref="B32:E32"/>
    <mergeCell ref="F32:R32"/>
    <mergeCell ref="S32:T32"/>
    <mergeCell ref="V32:W32"/>
    <mergeCell ref="Y32:AB32"/>
    <mergeCell ref="AC32:AO32"/>
    <mergeCell ref="AP32:AQ32"/>
    <mergeCell ref="AS32:AT32"/>
    <mergeCell ref="AV32:AZ32"/>
    <mergeCell ref="BA32:BF32"/>
    <mergeCell ref="BG32:BK32"/>
    <mergeCell ref="BL32:BQ32"/>
    <mergeCell ref="B33:E33"/>
    <mergeCell ref="F33:R33"/>
    <mergeCell ref="S33:T33"/>
    <mergeCell ref="V33:W33"/>
    <mergeCell ref="Y33:AB33"/>
    <mergeCell ref="AC33:AO33"/>
    <mergeCell ref="AP33:AQ33"/>
    <mergeCell ref="AS33:AT33"/>
    <mergeCell ref="AV33:AZ33"/>
    <mergeCell ref="BA33:BF33"/>
    <mergeCell ref="BG33:BK33"/>
    <mergeCell ref="BL33:BQ33"/>
    <mergeCell ref="B34:E34"/>
    <mergeCell ref="F34:R34"/>
    <mergeCell ref="S34:T34"/>
    <mergeCell ref="V34:W34"/>
    <mergeCell ref="Y34:AB34"/>
    <mergeCell ref="AC34:AO34"/>
    <mergeCell ref="AP34:AQ34"/>
    <mergeCell ref="AS34:AT34"/>
    <mergeCell ref="AV34:AZ34"/>
    <mergeCell ref="BA34:BF34"/>
    <mergeCell ref="BG34:BK34"/>
    <mergeCell ref="BL34:BQ34"/>
    <mergeCell ref="B35:E35"/>
    <mergeCell ref="F35:R35"/>
    <mergeCell ref="S35:T35"/>
    <mergeCell ref="V35:W35"/>
    <mergeCell ref="Y35:AB35"/>
    <mergeCell ref="AC35:AO35"/>
    <mergeCell ref="AP35:AQ35"/>
    <mergeCell ref="AS35:AT35"/>
    <mergeCell ref="AV35:AZ35"/>
    <mergeCell ref="BA35:BF35"/>
    <mergeCell ref="BG35:BK35"/>
    <mergeCell ref="BL35:BQ35"/>
    <mergeCell ref="B36:E36"/>
    <mergeCell ref="F36:R36"/>
    <mergeCell ref="S36:T36"/>
    <mergeCell ref="V36:W36"/>
    <mergeCell ref="Y36:AB36"/>
    <mergeCell ref="AC36:AO36"/>
    <mergeCell ref="AP36:AQ36"/>
    <mergeCell ref="AS36:AT36"/>
    <mergeCell ref="AV36:AZ36"/>
    <mergeCell ref="BA36:BF36"/>
    <mergeCell ref="BG36:BK36"/>
    <mergeCell ref="BL36:BQ36"/>
    <mergeCell ref="B37:E37"/>
    <mergeCell ref="F37:R37"/>
    <mergeCell ref="S37:T37"/>
    <mergeCell ref="V37:W37"/>
    <mergeCell ref="Y37:AB37"/>
    <mergeCell ref="AC37:AO37"/>
    <mergeCell ref="AP37:AQ37"/>
    <mergeCell ref="AS37:AT37"/>
    <mergeCell ref="AV37:AZ37"/>
    <mergeCell ref="BA37:BF37"/>
    <mergeCell ref="BG37:BK37"/>
    <mergeCell ref="BL37:BQ37"/>
    <mergeCell ref="B38:E38"/>
    <mergeCell ref="F38:R38"/>
    <mergeCell ref="S38:T38"/>
    <mergeCell ref="V38:W38"/>
    <mergeCell ref="Y38:AB38"/>
    <mergeCell ref="AC38:AO38"/>
    <mergeCell ref="AP38:AQ38"/>
    <mergeCell ref="AS38:AT38"/>
    <mergeCell ref="AV38:AZ38"/>
    <mergeCell ref="BA38:BF38"/>
    <mergeCell ref="BG38:BK38"/>
    <mergeCell ref="BL38:BQ38"/>
    <mergeCell ref="B39:E39"/>
    <mergeCell ref="F39:R39"/>
    <mergeCell ref="S39:T39"/>
    <mergeCell ref="V39:W39"/>
    <mergeCell ref="Y39:AB39"/>
    <mergeCell ref="AC39:AO39"/>
    <mergeCell ref="AP39:AQ39"/>
    <mergeCell ref="AS39:AT39"/>
    <mergeCell ref="AV39:AZ39"/>
    <mergeCell ref="BA39:BF39"/>
    <mergeCell ref="BG39:BK39"/>
    <mergeCell ref="BL39:BQ39"/>
    <mergeCell ref="B40:E40"/>
    <mergeCell ref="F40:R40"/>
    <mergeCell ref="S40:T40"/>
    <mergeCell ref="V40:W40"/>
    <mergeCell ref="Y40:AB40"/>
    <mergeCell ref="AC40:AO40"/>
    <mergeCell ref="AP40:AQ40"/>
    <mergeCell ref="AS40:AT40"/>
    <mergeCell ref="AV40:AZ40"/>
    <mergeCell ref="BA40:BF40"/>
    <mergeCell ref="BG40:BK40"/>
    <mergeCell ref="BL40:BQ40"/>
    <mergeCell ref="B41:E41"/>
    <mergeCell ref="F41:R41"/>
    <mergeCell ref="S41:T41"/>
    <mergeCell ref="V41:W41"/>
    <mergeCell ref="Y41:AB41"/>
    <mergeCell ref="AC41:AO41"/>
    <mergeCell ref="AP41:AQ41"/>
    <mergeCell ref="AS41:AT41"/>
    <mergeCell ref="AV41:AZ41"/>
    <mergeCell ref="BA41:BF41"/>
    <mergeCell ref="BG41:BK41"/>
    <mergeCell ref="BL41:BQ41"/>
    <mergeCell ref="B42:E42"/>
    <mergeCell ref="F42:R42"/>
    <mergeCell ref="S42:T42"/>
    <mergeCell ref="V42:W42"/>
    <mergeCell ref="Y42:AB42"/>
    <mergeCell ref="AC42:AO42"/>
    <mergeCell ref="AP42:AQ42"/>
    <mergeCell ref="AS42:AT42"/>
    <mergeCell ref="AV42:AZ42"/>
    <mergeCell ref="BA42:BF42"/>
    <mergeCell ref="BG42:BK42"/>
    <mergeCell ref="BL42:BQ42"/>
    <mergeCell ref="B43:E43"/>
    <mergeCell ref="F43:R43"/>
    <mergeCell ref="S43:T43"/>
    <mergeCell ref="V43:W43"/>
    <mergeCell ref="Y43:AB43"/>
    <mergeCell ref="AC43:AO43"/>
    <mergeCell ref="AP43:AQ43"/>
    <mergeCell ref="AS43:AT43"/>
    <mergeCell ref="AV43:AZ43"/>
    <mergeCell ref="BA43:BF43"/>
    <mergeCell ref="BG43:BK43"/>
    <mergeCell ref="BL43:BQ43"/>
    <mergeCell ref="B44:E44"/>
    <mergeCell ref="F44:R44"/>
    <mergeCell ref="S44:T44"/>
    <mergeCell ref="V44:W44"/>
    <mergeCell ref="Y44:AB44"/>
    <mergeCell ref="AC44:AO44"/>
    <mergeCell ref="AP44:AQ44"/>
    <mergeCell ref="AS44:AT44"/>
    <mergeCell ref="AV44:AZ44"/>
    <mergeCell ref="BA44:BF44"/>
    <mergeCell ref="BG44:BK44"/>
    <mergeCell ref="BL44:BQ44"/>
    <mergeCell ref="B45:E45"/>
    <mergeCell ref="F45:R45"/>
    <mergeCell ref="S45:T45"/>
    <mergeCell ref="V45:W45"/>
    <mergeCell ref="Y45:AB45"/>
    <mergeCell ref="AC45:AO45"/>
    <mergeCell ref="AP45:AQ45"/>
    <mergeCell ref="AS45:AT45"/>
    <mergeCell ref="AV45:AZ45"/>
    <mergeCell ref="BA45:BF45"/>
    <mergeCell ref="BG45:BK45"/>
    <mergeCell ref="BL45:BQ45"/>
    <mergeCell ref="B46:E46"/>
    <mergeCell ref="F46:R46"/>
    <mergeCell ref="S46:T46"/>
    <mergeCell ref="V46:W46"/>
    <mergeCell ref="Y46:AB46"/>
    <mergeCell ref="AC46:AO46"/>
    <mergeCell ref="AP46:AQ46"/>
    <mergeCell ref="AS46:AT46"/>
    <mergeCell ref="B47:E47"/>
    <mergeCell ref="F47:R47"/>
    <mergeCell ref="S47:T47"/>
    <mergeCell ref="V47:W47"/>
    <mergeCell ref="Y47:AB47"/>
    <mergeCell ref="AC47:AO47"/>
    <mergeCell ref="AP47:AQ47"/>
    <mergeCell ref="AS47:AT47"/>
    <mergeCell ref="AV47:BC47"/>
    <mergeCell ref="BD47:BE47"/>
    <mergeCell ref="B48:E48"/>
    <mergeCell ref="F48:R48"/>
    <mergeCell ref="S48:T48"/>
    <mergeCell ref="V48:W48"/>
    <mergeCell ref="Y48:AB48"/>
    <mergeCell ref="AC48:AO48"/>
    <mergeCell ref="AP48:AQ48"/>
    <mergeCell ref="AS48:AT48"/>
    <mergeCell ref="AV48:BC48"/>
    <mergeCell ref="BD48:BE48"/>
    <mergeCell ref="B49:E49"/>
    <mergeCell ref="F49:R49"/>
    <mergeCell ref="S49:T49"/>
    <mergeCell ref="V49:W49"/>
    <mergeCell ref="Y49:AB49"/>
    <mergeCell ref="AC49:AO49"/>
    <mergeCell ref="AP49:AQ49"/>
    <mergeCell ref="AS49:AT49"/>
    <mergeCell ref="AV49:BC49"/>
    <mergeCell ref="BD49:BE49"/>
  </mergeCells>
  <dataValidations count="36">
    <dataValidation allowBlank="1" showInputMessage="1" showErrorMessage="1" promptTitle="使用公式决定收支" prompt="在下列栏目中输入入账和出账，即可自动计算收支，银币和铜币请填写为小数，例如0.1为1银币，0.01为1铜币。&#10;&#10;栏目不足时，可以从合计结余处开始选中整行并框出更多所需行数→右键→插入→活动单元格下移，下方公式会自动计入新增的格子。选中已有格子并右键使用格式刷即可完善格式统一。" sqref="AV3:BQ3"/>
    <dataValidation allowBlank="1" showErrorMessage="1" sqref="BG4:BM4"/>
    <dataValidation type="list" allowBlank="1" showInputMessage="1" sqref="F5:S5">
      <formula1>装备!$F$2</formula1>
    </dataValidation>
    <dataValidation type="list" allowBlank="1" showInputMessage="1" sqref="F6:S6">
      <formula1>装备!$F$3</formula1>
    </dataValidation>
    <dataValidation type="list" allowBlank="1" showInputMessage="1" sqref="F7:S7">
      <formula1>装备!$F$4</formula1>
    </dataValidation>
    <dataValidation type="list" allowBlank="1" showInputMessage="1" sqref="F8:S8">
      <formula1>装备!$F$5</formula1>
    </dataValidation>
    <dataValidation type="list" allowBlank="1" showInputMessage="1" sqref="F9:S9">
      <formula1>装备!$F$6</formula1>
    </dataValidation>
    <dataValidation type="list" allowBlank="1" showInputMessage="1" sqref="F10:S10">
      <formula1>装备!$F$7</formula1>
    </dataValidation>
    <dataValidation type="list" allowBlank="1" showInputMessage="1" sqref="F11:S11">
      <formula1>装备!$F$8</formula1>
    </dataValidation>
    <dataValidation type="list" allowBlank="1" showInputMessage="1" sqref="F12:S12">
      <formula1>装备!$F$9</formula1>
    </dataValidation>
    <dataValidation type="list" allowBlank="1" showInputMessage="1" sqref="F13:S13">
      <formula1>装备!$F$10</formula1>
    </dataValidation>
    <dataValidation type="list" allowBlank="1" showInputMessage="1" sqref="F14:S14">
      <formula1>装备!$F$11</formula1>
    </dataValidation>
    <dataValidation type="list" allowBlank="1" showInputMessage="1" sqref="H16:O16">
      <formula1>装备!$T$2</formula1>
    </dataValidation>
    <dataValidation type="list" allowBlank="1" showInputMessage="1" sqref="P16:S16">
      <formula1>装备!$U$2</formula1>
    </dataValidation>
    <dataValidation type="list" allowBlank="1" showInputMessage="1" sqref="H17:O17">
      <formula1>装备!$T$3</formula1>
    </dataValidation>
    <dataValidation type="list" allowBlank="1" showInputMessage="1" sqref="P17:S17">
      <formula1>装备!$U$3</formula1>
    </dataValidation>
    <dataValidation type="list" allowBlank="1" showInputMessage="1" sqref="H18:O18">
      <formula1>装备!$T$4</formula1>
    </dataValidation>
    <dataValidation type="list" allowBlank="1" showInputMessage="1" sqref="P18:S18">
      <formula1>装备!$U$4</formula1>
    </dataValidation>
    <dataValidation type="list" allowBlank="1" showInputMessage="1" sqref="H19:O19">
      <formula1>装备!$T$5</formula1>
    </dataValidation>
    <dataValidation type="list" allowBlank="1" showInputMessage="1" sqref="P19:S19">
      <formula1>装备!$U$5</formula1>
    </dataValidation>
    <dataValidation type="list" allowBlank="1" showInputMessage="1" sqref="H20:O20">
      <formula1>装备!$T$6</formula1>
    </dataValidation>
    <dataValidation type="list" allowBlank="1" showInputMessage="1" sqref="P20:S20">
      <formula1>装备!$U$6</formula1>
    </dataValidation>
    <dataValidation type="list" allowBlank="1" showInputMessage="1" sqref="H21:O21">
      <formula1>装备!$T$7</formula1>
    </dataValidation>
    <dataValidation type="list" allowBlank="1" showInputMessage="1" sqref="P21:S21">
      <formula1>装备!$U$7</formula1>
    </dataValidation>
    <dataValidation type="list" allowBlank="1" showInputMessage="1" sqref="H22:O22">
      <formula1>装备!$T$8</formula1>
    </dataValidation>
    <dataValidation type="list" allowBlank="1" showInputMessage="1" sqref="P22:S22">
      <formula1>装备!$U$8</formula1>
    </dataValidation>
    <dataValidation type="list" allowBlank="1" showInputMessage="1" sqref="H23:O23">
      <formula1>装备!$T$9</formula1>
    </dataValidation>
    <dataValidation type="list" allowBlank="1" showInputMessage="1" sqref="P23:S23">
      <formula1>装备!$U$9</formula1>
    </dataValidation>
    <dataValidation type="list" allowBlank="1" showInputMessage="1" sqref="H24:O24">
      <formula1>装备!$T$10</formula1>
    </dataValidation>
    <dataValidation type="list" allowBlank="1" showInputMessage="1" sqref="P24:S24">
      <formula1>装备!$U$10</formula1>
    </dataValidation>
    <dataValidation type="list" allowBlank="1" showInputMessage="1" sqref="H25:O25">
      <formula1>装备!$T$11</formula1>
    </dataValidation>
    <dataValidation type="list" allowBlank="1" showInputMessage="1" sqref="P25:S25">
      <formula1>装备!$U$11</formula1>
    </dataValidation>
    <dataValidation type="list" allowBlank="1" showInputMessage="1" showErrorMessage="1" sqref="AS27:AT27">
      <formula1>"有,无"</formula1>
    </dataValidation>
    <dataValidation type="decimal" operator="between" allowBlank="1" showInputMessage="1" showErrorMessage="1" errorTitle="温馨提示：不要填写单位" error="使用公式决定金钱只需填写数字，请勿填写如gp这样的单位，银币和铜币可以填写在小数点后，每0.1即是1银币，每0.01即是1铜币。&#10;使用文字记录非钱币资源不会影响公式，如需继续请点击确定或敲一下回车即可。" sqref="BA6:BB45 BL6:BQ45" errorStyle="information">
      <formula1>0</formula1>
      <formula2>9.9999E+307</formula2>
    </dataValidation>
    <dataValidation type="list" allowBlank="1" showInputMessage="1" sqref="B16:E25">
      <formula1>OFFSET(装备!$K$1:$K$50,,,SUMPRODUCT(N(LEN(装备!$K$1:$K$50)&gt;0)),)</formula1>
    </dataValidation>
    <dataValidation type="list" allowBlank="1" showInputMessage="1" sqref="B5:E14 B29:E38 B40:E49 Y5:AB14 Y16:AB25 Y29:AB38 Y40:AB49">
      <formula1>装备!$A$2:$A$95</formula1>
    </dataValidation>
  </dataValidations>
  <pageMargins left="0.75" right="0.75" top="1" bottom="1" header="0.511805555555556" footer="0.511805555555556"/>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tabColor theme="5" tint="-0.249977111117893"/>
  </sheetPr>
  <dimension ref="A1:CJ52"/>
  <sheetViews>
    <sheetView zoomScale="90" zoomScaleNormal="90" workbookViewId="0">
      <selection activeCell="E3" sqref="E3:R3"/>
    </sheetView>
  </sheetViews>
  <sheetFormatPr defaultColWidth="2.33636363636364" defaultRowHeight="14"/>
  <cols>
    <col min="1" max="1" width="2.33636363636364" style="322" customWidth="1"/>
    <col min="2" max="16384" width="2.33636363636364" style="322"/>
  </cols>
  <sheetData>
    <row r="1" ht="16.95" customHeight="1" spans="1:88">
      <c r="A1" s="323" t="s">
        <v>7476</v>
      </c>
      <c r="B1" s="323"/>
      <c r="C1" s="323"/>
      <c r="D1" s="323"/>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T1" s="376" t="s">
        <v>7477</v>
      </c>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row>
    <row r="2" ht="16.95" customHeight="1" spans="31:66">
      <c r="AE2" s="359" t="s">
        <v>43</v>
      </c>
      <c r="AF2" s="360"/>
      <c r="AG2" s="360"/>
      <c r="AH2" s="370" t="s">
        <v>96</v>
      </c>
      <c r="AI2" s="370"/>
      <c r="AJ2" s="360"/>
      <c r="AK2" s="370" t="s">
        <v>99</v>
      </c>
      <c r="AL2" s="370"/>
      <c r="AM2" s="370" t="s">
        <v>100</v>
      </c>
      <c r="AN2" s="370"/>
      <c r="AO2" s="377"/>
      <c r="AP2" s="370" t="s">
        <v>44</v>
      </c>
      <c r="AQ2" s="370"/>
      <c r="AU2" s="378"/>
      <c r="AV2" s="378"/>
      <c r="AW2" s="378"/>
      <c r="AX2" s="378"/>
      <c r="AY2" s="378"/>
      <c r="AZ2" s="378"/>
      <c r="BA2" s="378"/>
      <c r="BB2" s="383"/>
      <c r="BC2" s="383"/>
      <c r="BD2" s="383"/>
      <c r="BE2" s="383"/>
      <c r="BF2" s="383"/>
      <c r="BG2" s="383"/>
      <c r="BH2" s="383"/>
      <c r="BI2" s="383"/>
      <c r="BJ2" s="383"/>
      <c r="BK2" s="383"/>
      <c r="BL2" s="383"/>
      <c r="BM2" s="383"/>
      <c r="BN2" s="378"/>
    </row>
    <row r="3" ht="16.95" customHeight="1" spans="2:88">
      <c r="B3" s="324" t="s">
        <v>7478</v>
      </c>
      <c r="C3" s="325"/>
      <c r="D3" s="326"/>
      <c r="E3" s="327"/>
      <c r="F3" s="328"/>
      <c r="G3" s="328"/>
      <c r="H3" s="328"/>
      <c r="I3" s="328"/>
      <c r="J3" s="328"/>
      <c r="K3" s="328"/>
      <c r="L3" s="328"/>
      <c r="M3" s="328"/>
      <c r="N3" s="328"/>
      <c r="O3" s="328"/>
      <c r="P3" s="328"/>
      <c r="Q3" s="328"/>
      <c r="R3" s="337"/>
      <c r="U3" s="324" t="s">
        <v>138</v>
      </c>
      <c r="V3" s="326"/>
      <c r="W3" s="340"/>
      <c r="X3" s="340"/>
      <c r="Y3" s="340"/>
      <c r="Z3" s="353" t="s">
        <v>43</v>
      </c>
      <c r="AA3" s="353"/>
      <c r="AB3" s="361">
        <v>2</v>
      </c>
      <c r="AC3" s="361"/>
      <c r="AE3" s="362" t="s">
        <v>102</v>
      </c>
      <c r="AF3" s="363" t="s">
        <v>104</v>
      </c>
      <c r="AG3" s="371"/>
      <c r="AH3" s="372">
        <v>10</v>
      </c>
      <c r="AI3" s="372"/>
      <c r="AJ3" s="373" t="s">
        <v>105</v>
      </c>
      <c r="AK3" s="374">
        <f t="shared" ref="AK3:AK8" si="0">INT(AH3/2-5)</f>
        <v>0</v>
      </c>
      <c r="AL3" s="374"/>
      <c r="AM3" s="375">
        <f>INT(AH3/2-5)+IF(AE3="O",AB3,0)+AP3</f>
        <v>0</v>
      </c>
      <c r="AN3" s="375"/>
      <c r="AO3" s="379" t="s">
        <v>48</v>
      </c>
      <c r="AP3" s="380"/>
      <c r="AQ3" s="380"/>
      <c r="AU3" s="324" t="s">
        <v>7479</v>
      </c>
      <c r="AV3" s="325"/>
      <c r="AW3" s="326"/>
      <c r="AX3" s="327"/>
      <c r="AY3" s="328"/>
      <c r="AZ3" s="328"/>
      <c r="BA3" s="328"/>
      <c r="BB3" s="337"/>
      <c r="BD3" s="339" t="s">
        <v>67</v>
      </c>
      <c r="BE3" s="339"/>
      <c r="BF3" s="339"/>
      <c r="BG3" s="340"/>
      <c r="BH3" s="340"/>
      <c r="BI3" s="340"/>
      <c r="BJ3" s="340"/>
      <c r="BK3" s="340"/>
      <c r="BM3" s="347" t="s">
        <v>133</v>
      </c>
      <c r="BN3" s="348"/>
      <c r="BO3" s="349"/>
      <c r="BP3" s="350"/>
      <c r="BQ3" s="350"/>
      <c r="BR3" s="365" t="s">
        <v>134</v>
      </c>
      <c r="BS3" s="350"/>
      <c r="BT3" s="350"/>
      <c r="BU3" s="366"/>
      <c r="BW3" s="324" t="s">
        <v>138</v>
      </c>
      <c r="BX3" s="326"/>
      <c r="BY3" s="340"/>
      <c r="BZ3" s="340"/>
      <c r="CA3" s="340"/>
      <c r="CB3" s="353" t="s">
        <v>253</v>
      </c>
      <c r="CC3" s="353"/>
      <c r="CD3" s="372"/>
      <c r="CE3" s="351"/>
      <c r="CF3" s="353" t="s">
        <v>43</v>
      </c>
      <c r="CG3" s="353"/>
      <c r="CH3" s="393">
        <f>IFERROR(VLOOKUP(CD3,数据表!CO2:CP35,2,FALSE),0)</f>
        <v>2</v>
      </c>
      <c r="CI3" s="393"/>
      <c r="CJ3" s="393"/>
    </row>
    <row r="4" ht="16.95" customHeight="1" spans="2:88">
      <c r="B4" s="324" t="s">
        <v>7480</v>
      </c>
      <c r="C4" s="325"/>
      <c r="D4" s="326"/>
      <c r="E4" s="329"/>
      <c r="F4" s="330"/>
      <c r="G4" s="330"/>
      <c r="H4" s="330"/>
      <c r="I4" s="330"/>
      <c r="J4" s="330"/>
      <c r="K4" s="330"/>
      <c r="L4" s="330"/>
      <c r="M4" s="330"/>
      <c r="N4" s="330"/>
      <c r="O4" s="330"/>
      <c r="P4" s="330"/>
      <c r="Q4" s="330"/>
      <c r="R4" s="341"/>
      <c r="U4" s="324" t="s">
        <v>146</v>
      </c>
      <c r="V4" s="326"/>
      <c r="W4" s="345"/>
      <c r="X4" s="346"/>
      <c r="Y4" s="346"/>
      <c r="Z4" s="346"/>
      <c r="AA4" s="346"/>
      <c r="AB4" s="346"/>
      <c r="AC4" s="364"/>
      <c r="AE4" s="362" t="s">
        <v>102</v>
      </c>
      <c r="AF4" s="363" t="s">
        <v>109</v>
      </c>
      <c r="AG4" s="371"/>
      <c r="AH4" s="372">
        <v>10</v>
      </c>
      <c r="AI4" s="372"/>
      <c r="AJ4" s="373" t="s">
        <v>105</v>
      </c>
      <c r="AK4" s="374">
        <f t="shared" si="0"/>
        <v>0</v>
      </c>
      <c r="AL4" s="374"/>
      <c r="AM4" s="375">
        <f>INT(AH4/2-5)+IF(AE4="O",AB3,0)+AP4</f>
        <v>0</v>
      </c>
      <c r="AN4" s="375"/>
      <c r="AO4" s="379" t="s">
        <v>48</v>
      </c>
      <c r="AP4" s="380"/>
      <c r="AQ4" s="380"/>
      <c r="AU4" s="324" t="s">
        <v>15</v>
      </c>
      <c r="AV4" s="325"/>
      <c r="AW4" s="326"/>
      <c r="AX4" s="329"/>
      <c r="AY4" s="330"/>
      <c r="AZ4" s="330"/>
      <c r="BA4" s="330"/>
      <c r="BB4" s="341"/>
      <c r="BD4" s="339" t="s">
        <v>144</v>
      </c>
      <c r="BE4" s="339"/>
      <c r="BF4" s="339"/>
      <c r="BG4" s="342"/>
      <c r="BH4" s="342"/>
      <c r="BI4" s="342"/>
      <c r="BJ4" s="342"/>
      <c r="BK4" s="342"/>
      <c r="BL4" s="383"/>
      <c r="BM4" s="347" t="s">
        <v>139</v>
      </c>
      <c r="BN4" s="348"/>
      <c r="BO4" s="351"/>
      <c r="BP4" s="352"/>
      <c r="BQ4" s="365" t="s">
        <v>134</v>
      </c>
      <c r="BR4" s="352"/>
      <c r="BS4" s="352"/>
      <c r="BT4" s="384"/>
      <c r="BU4" s="385"/>
      <c r="BW4" s="324" t="s">
        <v>146</v>
      </c>
      <c r="BX4" s="326"/>
      <c r="BY4" s="345"/>
      <c r="BZ4" s="346"/>
      <c r="CA4" s="346"/>
      <c r="CB4" s="346"/>
      <c r="CC4" s="346"/>
      <c r="CD4" s="346"/>
      <c r="CE4" s="346"/>
      <c r="CF4" s="353"/>
      <c r="CG4" s="353"/>
      <c r="CH4" s="393"/>
      <c r="CI4" s="393"/>
      <c r="CJ4" s="393"/>
    </row>
    <row r="5" ht="16.95" customHeight="1" spans="2:78">
      <c r="B5" s="324" t="s">
        <v>7481</v>
      </c>
      <c r="C5" s="325"/>
      <c r="D5" s="326"/>
      <c r="E5" s="327"/>
      <c r="F5" s="328"/>
      <c r="G5" s="328"/>
      <c r="H5" s="328"/>
      <c r="I5" s="328"/>
      <c r="J5" s="328"/>
      <c r="K5" s="328"/>
      <c r="L5" s="328"/>
      <c r="M5" s="328"/>
      <c r="N5" s="328"/>
      <c r="O5" s="328"/>
      <c r="P5" s="328"/>
      <c r="Q5" s="328"/>
      <c r="R5" s="337"/>
      <c r="AE5" s="362" t="s">
        <v>102</v>
      </c>
      <c r="AF5" s="363" t="s">
        <v>112</v>
      </c>
      <c r="AG5" s="371"/>
      <c r="AH5" s="372">
        <v>10</v>
      </c>
      <c r="AI5" s="372"/>
      <c r="AJ5" s="373" t="s">
        <v>105</v>
      </c>
      <c r="AK5" s="374">
        <f t="shared" si="0"/>
        <v>0</v>
      </c>
      <c r="AL5" s="374"/>
      <c r="AM5" s="375">
        <f>INT(AH5/2-5)+IF(AE5="O",AB3,0)+AP5</f>
        <v>0</v>
      </c>
      <c r="AN5" s="375"/>
      <c r="AO5" s="379" t="s">
        <v>48</v>
      </c>
      <c r="AP5" s="380"/>
      <c r="AQ5" s="380"/>
      <c r="AU5" s="324" t="s">
        <v>78</v>
      </c>
      <c r="AV5" s="325"/>
      <c r="AW5" s="326"/>
      <c r="AX5" s="331"/>
      <c r="AY5" s="332"/>
      <c r="AZ5" s="332"/>
      <c r="BA5" s="332"/>
      <c r="BB5" s="343"/>
      <c r="BD5" s="339" t="s">
        <v>175</v>
      </c>
      <c r="BE5" s="339"/>
      <c r="BF5" s="339"/>
      <c r="BG5" s="344"/>
      <c r="BH5" s="344"/>
      <c r="BI5" s="344"/>
      <c r="BJ5" s="344"/>
      <c r="BK5" s="344"/>
      <c r="BM5" s="353" t="s">
        <v>7482</v>
      </c>
      <c r="BN5" s="353"/>
      <c r="BO5" s="353"/>
      <c r="BP5" s="353"/>
      <c r="BQ5" s="369"/>
      <c r="BR5" s="369"/>
      <c r="BS5" s="369"/>
      <c r="BT5" s="369"/>
      <c r="BU5" s="369"/>
      <c r="BY5" s="383"/>
      <c r="BZ5" s="383"/>
    </row>
    <row r="6" ht="16.95" customHeight="1" spans="21:87">
      <c r="U6" s="347" t="s">
        <v>133</v>
      </c>
      <c r="V6" s="348"/>
      <c r="W6" s="349"/>
      <c r="X6" s="350"/>
      <c r="Y6" s="350"/>
      <c r="Z6" s="365" t="s">
        <v>134</v>
      </c>
      <c r="AA6" s="350"/>
      <c r="AB6" s="350"/>
      <c r="AC6" s="366"/>
      <c r="AE6" s="362" t="s">
        <v>102</v>
      </c>
      <c r="AF6" s="363" t="s">
        <v>116</v>
      </c>
      <c r="AG6" s="371"/>
      <c r="AH6" s="372">
        <v>10</v>
      </c>
      <c r="AI6" s="372"/>
      <c r="AJ6" s="373" t="s">
        <v>105</v>
      </c>
      <c r="AK6" s="374">
        <f t="shared" si="0"/>
        <v>0</v>
      </c>
      <c r="AL6" s="374"/>
      <c r="AM6" s="375">
        <f>INT(AH6/2-5)+IF(AE6="O",AB3,0)+AP6</f>
        <v>0</v>
      </c>
      <c r="AN6" s="375"/>
      <c r="AO6" s="379" t="s">
        <v>48</v>
      </c>
      <c r="AP6" s="380"/>
      <c r="AQ6" s="380"/>
      <c r="AU6" s="359" t="s">
        <v>43</v>
      </c>
      <c r="AV6" s="360"/>
      <c r="AW6" s="360"/>
      <c r="AX6" s="370" t="s">
        <v>96</v>
      </c>
      <c r="AY6" s="370"/>
      <c r="AZ6" s="360"/>
      <c r="BA6" s="370" t="s">
        <v>99</v>
      </c>
      <c r="BB6" s="370"/>
      <c r="BC6" s="370" t="s">
        <v>100</v>
      </c>
      <c r="BD6" s="370"/>
      <c r="BE6" s="360"/>
      <c r="BY6" s="383"/>
      <c r="BZ6" s="383"/>
      <c r="CA6" s="386" t="s">
        <v>142</v>
      </c>
      <c r="CB6" s="386"/>
      <c r="CC6" s="386"/>
      <c r="CD6" s="386"/>
      <c r="CE6" s="386"/>
      <c r="CF6" s="386"/>
      <c r="CG6" s="386"/>
      <c r="CH6" s="386"/>
      <c r="CI6" s="386"/>
    </row>
    <row r="7" ht="16.95" customHeight="1" spans="2:87">
      <c r="B7" s="324" t="s">
        <v>7483</v>
      </c>
      <c r="C7" s="325"/>
      <c r="D7" s="326"/>
      <c r="E7" s="327"/>
      <c r="F7" s="328"/>
      <c r="G7" s="328"/>
      <c r="H7" s="328"/>
      <c r="I7" s="337"/>
      <c r="J7" s="338"/>
      <c r="K7" s="339" t="s">
        <v>67</v>
      </c>
      <c r="L7" s="339"/>
      <c r="M7" s="339"/>
      <c r="N7" s="340"/>
      <c r="O7" s="340"/>
      <c r="P7" s="340"/>
      <c r="Q7" s="340"/>
      <c r="R7" s="340"/>
      <c r="U7" s="347" t="s">
        <v>139</v>
      </c>
      <c r="V7" s="348"/>
      <c r="W7" s="351"/>
      <c r="X7" s="352"/>
      <c r="Y7" s="365" t="s">
        <v>134</v>
      </c>
      <c r="Z7" s="352"/>
      <c r="AA7" s="352"/>
      <c r="AB7" s="367"/>
      <c r="AC7" s="368"/>
      <c r="AE7" s="362" t="s">
        <v>102</v>
      </c>
      <c r="AF7" s="363" t="s">
        <v>119</v>
      </c>
      <c r="AG7" s="371"/>
      <c r="AH7" s="372">
        <v>10</v>
      </c>
      <c r="AI7" s="372"/>
      <c r="AJ7" s="373" t="s">
        <v>105</v>
      </c>
      <c r="AK7" s="374">
        <f t="shared" si="0"/>
        <v>0</v>
      </c>
      <c r="AL7" s="374"/>
      <c r="AM7" s="375">
        <f>INT(AH7/2-5)+IF(AE7="O",AB3,0)+AP7</f>
        <v>0</v>
      </c>
      <c r="AN7" s="375"/>
      <c r="AO7" s="379" t="s">
        <v>48</v>
      </c>
      <c r="AP7" s="380"/>
      <c r="AQ7" s="380"/>
      <c r="AU7" s="362" t="s">
        <v>102</v>
      </c>
      <c r="AV7" s="363" t="s">
        <v>104</v>
      </c>
      <c r="AW7" s="371"/>
      <c r="AX7" s="372">
        <v>10</v>
      </c>
      <c r="AY7" s="372"/>
      <c r="AZ7" s="373" t="s">
        <v>105</v>
      </c>
      <c r="BA7" s="374">
        <f t="shared" ref="BA7:BA12" si="1">INT(AX7/2-5)</f>
        <v>0</v>
      </c>
      <c r="BB7" s="374"/>
      <c r="BC7" s="375">
        <f t="shared" ref="BC7:BC12" si="2">INT(AX7/2-5)+IF(AU7="O",$CH$3,0)</f>
        <v>0</v>
      </c>
      <c r="BD7" s="375"/>
      <c r="BE7" s="360"/>
      <c r="BF7" s="324" t="s">
        <v>154</v>
      </c>
      <c r="BG7" s="326"/>
      <c r="BH7" s="327"/>
      <c r="BI7" s="328"/>
      <c r="BJ7" s="328"/>
      <c r="BK7" s="328"/>
      <c r="BL7" s="328"/>
      <c r="BM7" s="328"/>
      <c r="BN7" s="328"/>
      <c r="BO7" s="328"/>
      <c r="BP7" s="328"/>
      <c r="BQ7" s="328"/>
      <c r="BR7" s="328"/>
      <c r="BS7" s="328"/>
      <c r="BT7" s="328"/>
      <c r="BU7" s="328"/>
      <c r="BV7" s="328"/>
      <c r="BW7" s="328"/>
      <c r="BX7" s="328"/>
      <c r="BY7" s="337"/>
      <c r="CA7" s="387"/>
      <c r="CB7" s="388"/>
      <c r="CC7" s="388"/>
      <c r="CD7" s="388"/>
      <c r="CE7" s="388"/>
      <c r="CF7" s="388"/>
      <c r="CG7" s="388"/>
      <c r="CH7" s="388"/>
      <c r="CI7" s="394"/>
    </row>
    <row r="8" ht="16.95" customHeight="1" spans="2:87">
      <c r="B8" s="324" t="s">
        <v>15</v>
      </c>
      <c r="C8" s="325"/>
      <c r="D8" s="326"/>
      <c r="E8" s="329"/>
      <c r="F8" s="330"/>
      <c r="G8" s="330"/>
      <c r="H8" s="330"/>
      <c r="I8" s="341"/>
      <c r="K8" s="339" t="s">
        <v>144</v>
      </c>
      <c r="L8" s="339"/>
      <c r="M8" s="339"/>
      <c r="N8" s="342"/>
      <c r="O8" s="342"/>
      <c r="P8" s="342"/>
      <c r="Q8" s="342"/>
      <c r="R8" s="342"/>
      <c r="U8" s="353" t="s">
        <v>7482</v>
      </c>
      <c r="V8" s="353"/>
      <c r="W8" s="353"/>
      <c r="X8" s="353"/>
      <c r="Y8" s="369"/>
      <c r="Z8" s="369"/>
      <c r="AA8" s="369"/>
      <c r="AB8" s="369"/>
      <c r="AC8" s="369"/>
      <c r="AE8" s="362" t="s">
        <v>102</v>
      </c>
      <c r="AF8" s="363" t="s">
        <v>121</v>
      </c>
      <c r="AG8" s="371"/>
      <c r="AH8" s="372">
        <v>10</v>
      </c>
      <c r="AI8" s="372"/>
      <c r="AJ8" s="373" t="s">
        <v>105</v>
      </c>
      <c r="AK8" s="374">
        <f t="shared" si="0"/>
        <v>0</v>
      </c>
      <c r="AL8" s="374"/>
      <c r="AM8" s="375">
        <f>INT(AH8/2-5)+IF(AE8="O",AB3,0)+AP8</f>
        <v>0</v>
      </c>
      <c r="AN8" s="375"/>
      <c r="AO8" s="379" t="s">
        <v>48</v>
      </c>
      <c r="AP8" s="380"/>
      <c r="AQ8" s="380"/>
      <c r="AU8" s="362" t="s">
        <v>102</v>
      </c>
      <c r="AV8" s="363" t="s">
        <v>109</v>
      </c>
      <c r="AW8" s="371"/>
      <c r="AX8" s="372">
        <v>10</v>
      </c>
      <c r="AY8" s="372"/>
      <c r="AZ8" s="373" t="s">
        <v>105</v>
      </c>
      <c r="BA8" s="374">
        <f t="shared" si="1"/>
        <v>0</v>
      </c>
      <c r="BB8" s="374"/>
      <c r="BC8" s="375">
        <f t="shared" si="2"/>
        <v>0</v>
      </c>
      <c r="BD8" s="375"/>
      <c r="BE8" s="360"/>
      <c r="BF8" s="324" t="s">
        <v>7484</v>
      </c>
      <c r="BG8" s="326"/>
      <c r="BH8" s="327"/>
      <c r="BI8" s="328"/>
      <c r="BJ8" s="328"/>
      <c r="BK8" s="328"/>
      <c r="BL8" s="328"/>
      <c r="BM8" s="328"/>
      <c r="BN8" s="328"/>
      <c r="BO8" s="328"/>
      <c r="BP8" s="328"/>
      <c r="BQ8" s="328"/>
      <c r="BR8" s="328"/>
      <c r="BS8" s="328"/>
      <c r="BT8" s="328"/>
      <c r="BU8" s="328"/>
      <c r="BV8" s="328"/>
      <c r="BW8" s="328"/>
      <c r="BX8" s="328"/>
      <c r="BY8" s="337"/>
      <c r="CA8" s="389"/>
      <c r="CB8" s="390"/>
      <c r="CC8" s="390"/>
      <c r="CD8" s="390"/>
      <c r="CE8" s="390"/>
      <c r="CF8" s="390"/>
      <c r="CG8" s="390"/>
      <c r="CH8" s="390"/>
      <c r="CI8" s="395"/>
    </row>
    <row r="9" ht="16.95" customHeight="1" spans="2:87">
      <c r="B9" s="324" t="s">
        <v>78</v>
      </c>
      <c r="C9" s="325"/>
      <c r="D9" s="326"/>
      <c r="E9" s="331"/>
      <c r="F9" s="332"/>
      <c r="G9" s="332"/>
      <c r="H9" s="332"/>
      <c r="I9" s="343"/>
      <c r="K9" s="339" t="s">
        <v>175</v>
      </c>
      <c r="L9" s="339"/>
      <c r="M9" s="339"/>
      <c r="N9" s="344"/>
      <c r="O9" s="344"/>
      <c r="P9" s="344"/>
      <c r="Q9" s="344"/>
      <c r="R9" s="344"/>
      <c r="AU9" s="362" t="s">
        <v>102</v>
      </c>
      <c r="AV9" s="363" t="s">
        <v>112</v>
      </c>
      <c r="AW9" s="371"/>
      <c r="AX9" s="372">
        <v>10</v>
      </c>
      <c r="AY9" s="372"/>
      <c r="AZ9" s="373" t="s">
        <v>105</v>
      </c>
      <c r="BA9" s="374">
        <f t="shared" si="1"/>
        <v>0</v>
      </c>
      <c r="BB9" s="374"/>
      <c r="BC9" s="375">
        <f t="shared" si="2"/>
        <v>0</v>
      </c>
      <c r="BD9" s="375"/>
      <c r="BE9" s="360"/>
      <c r="BF9" s="324" t="s">
        <v>147</v>
      </c>
      <c r="BG9" s="326"/>
      <c r="BH9" s="327"/>
      <c r="BI9" s="328"/>
      <c r="BJ9" s="328"/>
      <c r="BK9" s="328"/>
      <c r="BL9" s="328"/>
      <c r="BM9" s="328"/>
      <c r="BN9" s="328"/>
      <c r="BO9" s="328"/>
      <c r="BP9" s="328"/>
      <c r="BQ9" s="328"/>
      <c r="BR9" s="328"/>
      <c r="BS9" s="328"/>
      <c r="BT9" s="328"/>
      <c r="BU9" s="328"/>
      <c r="BV9" s="328"/>
      <c r="BW9" s="328"/>
      <c r="BX9" s="328"/>
      <c r="BY9" s="337"/>
      <c r="CA9" s="389"/>
      <c r="CB9" s="390"/>
      <c r="CC9" s="390"/>
      <c r="CD9" s="390"/>
      <c r="CE9" s="390"/>
      <c r="CF9" s="390"/>
      <c r="CG9" s="390"/>
      <c r="CH9" s="390"/>
      <c r="CI9" s="395"/>
    </row>
    <row r="10" ht="16.95" customHeight="1" spans="21:87">
      <c r="U10" s="324" t="s">
        <v>154</v>
      </c>
      <c r="V10" s="326"/>
      <c r="W10" s="354"/>
      <c r="X10" s="354"/>
      <c r="Y10" s="354"/>
      <c r="Z10" s="354"/>
      <c r="AA10" s="354"/>
      <c r="AB10" s="354"/>
      <c r="AC10" s="354"/>
      <c r="AD10" s="354"/>
      <c r="AE10" s="354"/>
      <c r="AF10" s="354"/>
      <c r="AG10" s="354"/>
      <c r="AH10" s="354"/>
      <c r="AI10" s="354"/>
      <c r="AJ10" s="354"/>
      <c r="AK10" s="354"/>
      <c r="AL10" s="354"/>
      <c r="AM10" s="354"/>
      <c r="AN10" s="354"/>
      <c r="AO10" s="354"/>
      <c r="AP10" s="354"/>
      <c r="AQ10" s="354"/>
      <c r="AU10" s="362" t="s">
        <v>102</v>
      </c>
      <c r="AV10" s="363" t="s">
        <v>116</v>
      </c>
      <c r="AW10" s="371"/>
      <c r="AX10" s="372">
        <v>10</v>
      </c>
      <c r="AY10" s="372"/>
      <c r="AZ10" s="373" t="s">
        <v>105</v>
      </c>
      <c r="BA10" s="374">
        <f t="shared" si="1"/>
        <v>0</v>
      </c>
      <c r="BB10" s="374"/>
      <c r="BC10" s="375">
        <f t="shared" si="2"/>
        <v>0</v>
      </c>
      <c r="BD10" s="375"/>
      <c r="BE10" s="360"/>
      <c r="BF10" s="324" t="s">
        <v>150</v>
      </c>
      <c r="BG10" s="326"/>
      <c r="BH10" s="327"/>
      <c r="BI10" s="328"/>
      <c r="BJ10" s="328"/>
      <c r="BK10" s="328"/>
      <c r="BL10" s="328"/>
      <c r="BM10" s="328"/>
      <c r="BN10" s="328"/>
      <c r="BO10" s="328"/>
      <c r="BP10" s="328"/>
      <c r="BQ10" s="328"/>
      <c r="BR10" s="328"/>
      <c r="BS10" s="328"/>
      <c r="BT10" s="328"/>
      <c r="BU10" s="328"/>
      <c r="BV10" s="328"/>
      <c r="BW10" s="328"/>
      <c r="BX10" s="328"/>
      <c r="BY10" s="337"/>
      <c r="CA10" s="389"/>
      <c r="CB10" s="390"/>
      <c r="CC10" s="390"/>
      <c r="CD10" s="390"/>
      <c r="CE10" s="390"/>
      <c r="CF10" s="390"/>
      <c r="CG10" s="390"/>
      <c r="CH10" s="390"/>
      <c r="CI10" s="395"/>
    </row>
    <row r="11" ht="16.95" customHeight="1" spans="2:87">
      <c r="B11" s="333" t="s">
        <v>7485</v>
      </c>
      <c r="C11" s="333"/>
      <c r="D11" s="333"/>
      <c r="E11" s="333"/>
      <c r="F11" s="333"/>
      <c r="G11" s="333"/>
      <c r="H11" s="333"/>
      <c r="I11" s="333"/>
      <c r="J11" s="333"/>
      <c r="K11" s="333"/>
      <c r="L11" s="333"/>
      <c r="M11" s="333"/>
      <c r="N11" s="333"/>
      <c r="O11" s="333"/>
      <c r="P11" s="333"/>
      <c r="Q11" s="333"/>
      <c r="R11" s="333"/>
      <c r="U11" s="324" t="s">
        <v>147</v>
      </c>
      <c r="V11" s="326"/>
      <c r="W11" s="354"/>
      <c r="X11" s="354"/>
      <c r="Y11" s="354"/>
      <c r="Z11" s="354"/>
      <c r="AA11" s="354"/>
      <c r="AB11" s="354"/>
      <c r="AC11" s="354"/>
      <c r="AD11" s="354"/>
      <c r="AE11" s="354"/>
      <c r="AF11" s="354"/>
      <c r="AG11" s="354"/>
      <c r="AH11" s="354"/>
      <c r="AI11" s="354"/>
      <c r="AJ11" s="354"/>
      <c r="AK11" s="354"/>
      <c r="AL11" s="354"/>
      <c r="AM11" s="354"/>
      <c r="AN11" s="354"/>
      <c r="AO11" s="354"/>
      <c r="AP11" s="354"/>
      <c r="AQ11" s="354"/>
      <c r="AU11" s="362" t="s">
        <v>102</v>
      </c>
      <c r="AV11" s="363" t="s">
        <v>119</v>
      </c>
      <c r="AW11" s="371"/>
      <c r="AX11" s="372">
        <v>10</v>
      </c>
      <c r="AY11" s="372"/>
      <c r="AZ11" s="373" t="s">
        <v>105</v>
      </c>
      <c r="BA11" s="374">
        <f t="shared" si="1"/>
        <v>0</v>
      </c>
      <c r="BB11" s="374"/>
      <c r="BC11" s="375">
        <f t="shared" si="2"/>
        <v>0</v>
      </c>
      <c r="BD11" s="375"/>
      <c r="BE11" s="360"/>
      <c r="BF11" s="324" t="s">
        <v>7486</v>
      </c>
      <c r="BG11" s="326"/>
      <c r="BH11" s="327"/>
      <c r="BI11" s="328"/>
      <c r="BJ11" s="328"/>
      <c r="BK11" s="328"/>
      <c r="BL11" s="328"/>
      <c r="BM11" s="328"/>
      <c r="BN11" s="328"/>
      <c r="BO11" s="328"/>
      <c r="BP11" s="328"/>
      <c r="BQ11" s="328"/>
      <c r="BR11" s="328"/>
      <c r="BS11" s="328"/>
      <c r="BT11" s="328"/>
      <c r="BU11" s="328"/>
      <c r="BV11" s="328"/>
      <c r="BW11" s="328"/>
      <c r="BX11" s="328"/>
      <c r="BY11" s="337"/>
      <c r="CA11" s="389"/>
      <c r="CB11" s="390"/>
      <c r="CC11" s="390"/>
      <c r="CD11" s="390"/>
      <c r="CE11" s="390"/>
      <c r="CF11" s="390"/>
      <c r="CG11" s="390"/>
      <c r="CH11" s="390"/>
      <c r="CI11" s="395"/>
    </row>
    <row r="12" ht="16.95" customHeight="1" spans="2:87">
      <c r="B12" s="334"/>
      <c r="C12" s="334"/>
      <c r="D12" s="334"/>
      <c r="E12" s="334"/>
      <c r="F12" s="334"/>
      <c r="G12" s="334"/>
      <c r="H12" s="334"/>
      <c r="I12" s="334"/>
      <c r="J12" s="334"/>
      <c r="K12" s="334"/>
      <c r="L12" s="334"/>
      <c r="M12" s="334"/>
      <c r="N12" s="334"/>
      <c r="O12" s="334"/>
      <c r="P12" s="334"/>
      <c r="Q12" s="334"/>
      <c r="R12" s="334"/>
      <c r="U12" s="324" t="s">
        <v>150</v>
      </c>
      <c r="V12" s="326"/>
      <c r="W12" s="354"/>
      <c r="X12" s="354"/>
      <c r="Y12" s="354"/>
      <c r="Z12" s="354"/>
      <c r="AA12" s="354"/>
      <c r="AB12" s="354"/>
      <c r="AC12" s="354"/>
      <c r="AD12" s="354"/>
      <c r="AE12" s="354"/>
      <c r="AF12" s="354"/>
      <c r="AG12" s="354"/>
      <c r="AH12" s="354"/>
      <c r="AI12" s="354"/>
      <c r="AJ12" s="354"/>
      <c r="AK12" s="354"/>
      <c r="AL12" s="354"/>
      <c r="AM12" s="354"/>
      <c r="AN12" s="354"/>
      <c r="AO12" s="354"/>
      <c r="AP12" s="354"/>
      <c r="AQ12" s="354"/>
      <c r="AU12" s="362" t="s">
        <v>102</v>
      </c>
      <c r="AV12" s="363" t="s">
        <v>121</v>
      </c>
      <c r="AW12" s="371"/>
      <c r="AX12" s="372">
        <v>10</v>
      </c>
      <c r="AY12" s="372"/>
      <c r="AZ12" s="373" t="s">
        <v>105</v>
      </c>
      <c r="BA12" s="374">
        <f t="shared" si="1"/>
        <v>0</v>
      </c>
      <c r="BB12" s="374"/>
      <c r="BC12" s="375">
        <f t="shared" si="2"/>
        <v>0</v>
      </c>
      <c r="BD12" s="375"/>
      <c r="BE12" s="360"/>
      <c r="BF12" s="355" t="s">
        <v>24</v>
      </c>
      <c r="BG12" s="356"/>
      <c r="BH12" s="327"/>
      <c r="BI12" s="328"/>
      <c r="BJ12" s="328"/>
      <c r="BK12" s="328"/>
      <c r="BL12" s="328"/>
      <c r="BM12" s="328"/>
      <c r="BN12" s="328"/>
      <c r="BO12" s="328"/>
      <c r="BP12" s="328"/>
      <c r="BQ12" s="328"/>
      <c r="BR12" s="328"/>
      <c r="BS12" s="328"/>
      <c r="BT12" s="328"/>
      <c r="BU12" s="328"/>
      <c r="BV12" s="328"/>
      <c r="BW12" s="328"/>
      <c r="BX12" s="328"/>
      <c r="BY12" s="337"/>
      <c r="CA12" s="391"/>
      <c r="CB12" s="392"/>
      <c r="CC12" s="392"/>
      <c r="CD12" s="392"/>
      <c r="CE12" s="392"/>
      <c r="CF12" s="392"/>
      <c r="CG12" s="392"/>
      <c r="CH12" s="392"/>
      <c r="CI12" s="396"/>
    </row>
    <row r="13" ht="16.95" customHeight="1" spans="2:87">
      <c r="B13" s="334"/>
      <c r="C13" s="334"/>
      <c r="D13" s="334"/>
      <c r="E13" s="334"/>
      <c r="F13" s="334"/>
      <c r="G13" s="334"/>
      <c r="H13" s="334"/>
      <c r="I13" s="334"/>
      <c r="J13" s="334"/>
      <c r="K13" s="334"/>
      <c r="L13" s="334"/>
      <c r="M13" s="334"/>
      <c r="N13" s="334"/>
      <c r="O13" s="334"/>
      <c r="P13" s="334"/>
      <c r="Q13" s="334"/>
      <c r="R13" s="334"/>
      <c r="U13" s="324" t="s">
        <v>7486</v>
      </c>
      <c r="V13" s="326"/>
      <c r="W13" s="354"/>
      <c r="X13" s="354"/>
      <c r="Y13" s="354"/>
      <c r="Z13" s="354"/>
      <c r="AA13" s="354"/>
      <c r="AB13" s="354"/>
      <c r="AC13" s="354"/>
      <c r="AD13" s="354"/>
      <c r="AE13" s="354"/>
      <c r="AF13" s="354"/>
      <c r="AG13" s="354"/>
      <c r="AH13" s="354"/>
      <c r="AI13" s="354"/>
      <c r="AJ13" s="354"/>
      <c r="AK13" s="354"/>
      <c r="AL13" s="354"/>
      <c r="AM13" s="354"/>
      <c r="AN13" s="354"/>
      <c r="AO13" s="354"/>
      <c r="AP13" s="354"/>
      <c r="AQ13" s="354"/>
      <c r="AU13" s="381" t="s">
        <v>164</v>
      </c>
      <c r="AV13" s="381"/>
      <c r="AW13" s="381"/>
      <c r="AX13" s="381"/>
      <c r="AY13" s="381"/>
      <c r="AZ13" s="381"/>
      <c r="BA13" s="381"/>
      <c r="BB13" s="381"/>
      <c r="BC13" s="381"/>
      <c r="BD13" s="381"/>
      <c r="BE13" s="381"/>
      <c r="BF13" s="381"/>
      <c r="BG13" s="381"/>
      <c r="BH13" s="381"/>
      <c r="BI13" s="381"/>
      <c r="BJ13" s="381"/>
      <c r="BK13" s="381"/>
      <c r="BL13" s="381"/>
      <c r="BM13" s="381"/>
      <c r="BN13" s="381"/>
      <c r="BP13" s="381" t="s">
        <v>321</v>
      </c>
      <c r="BQ13" s="381"/>
      <c r="BR13" s="381"/>
      <c r="BS13" s="381"/>
      <c r="BT13" s="381"/>
      <c r="BU13" s="381"/>
      <c r="BV13" s="381"/>
      <c r="BW13" s="381"/>
      <c r="BX13" s="381"/>
      <c r="BY13" s="381"/>
      <c r="BZ13" s="381"/>
      <c r="CA13" s="381"/>
      <c r="CB13" s="381"/>
      <c r="CC13" s="381"/>
      <c r="CD13" s="381"/>
      <c r="CE13" s="381"/>
      <c r="CF13" s="381"/>
      <c r="CG13" s="381"/>
      <c r="CH13" s="381"/>
      <c r="CI13" s="381"/>
    </row>
    <row r="14" ht="16.95" customHeight="1" spans="2:87">
      <c r="B14" s="334"/>
      <c r="C14" s="334"/>
      <c r="D14" s="334"/>
      <c r="E14" s="334"/>
      <c r="F14" s="334"/>
      <c r="G14" s="334"/>
      <c r="H14" s="334"/>
      <c r="I14" s="334"/>
      <c r="J14" s="334"/>
      <c r="K14" s="334"/>
      <c r="L14" s="334"/>
      <c r="M14" s="334"/>
      <c r="N14" s="334"/>
      <c r="O14" s="334"/>
      <c r="P14" s="334"/>
      <c r="Q14" s="334"/>
      <c r="R14" s="334"/>
      <c r="U14" s="355" t="s">
        <v>24</v>
      </c>
      <c r="V14" s="356"/>
      <c r="W14" s="354"/>
      <c r="X14" s="354"/>
      <c r="Y14" s="354"/>
      <c r="Z14" s="354"/>
      <c r="AA14" s="354"/>
      <c r="AB14" s="354"/>
      <c r="AC14" s="354"/>
      <c r="AD14" s="354"/>
      <c r="AE14" s="354"/>
      <c r="AF14" s="354"/>
      <c r="AG14" s="354"/>
      <c r="AH14" s="354"/>
      <c r="AI14" s="354"/>
      <c r="AJ14" s="354"/>
      <c r="AK14" s="354"/>
      <c r="AL14" s="354"/>
      <c r="AM14" s="354"/>
      <c r="AN14" s="354"/>
      <c r="AO14" s="354"/>
      <c r="AP14" s="354"/>
      <c r="AQ14" s="354"/>
      <c r="AU14" s="382"/>
      <c r="AV14" s="382"/>
      <c r="AW14" s="382"/>
      <c r="AX14" s="382"/>
      <c r="AY14" s="382"/>
      <c r="AZ14" s="382"/>
      <c r="BA14" s="382"/>
      <c r="BB14" s="382"/>
      <c r="BC14" s="382"/>
      <c r="BD14" s="382"/>
      <c r="BE14" s="382"/>
      <c r="BF14" s="382"/>
      <c r="BG14" s="382"/>
      <c r="BH14" s="382"/>
      <c r="BI14" s="382"/>
      <c r="BJ14" s="382"/>
      <c r="BK14" s="382"/>
      <c r="BL14" s="382"/>
      <c r="BM14" s="382"/>
      <c r="BN14" s="382"/>
      <c r="BP14" s="382"/>
      <c r="BQ14" s="382"/>
      <c r="BR14" s="382"/>
      <c r="BS14" s="382"/>
      <c r="BT14" s="382"/>
      <c r="BU14" s="382"/>
      <c r="BV14" s="382"/>
      <c r="BW14" s="382"/>
      <c r="BX14" s="382"/>
      <c r="BY14" s="382"/>
      <c r="BZ14" s="382"/>
      <c r="CA14" s="382"/>
      <c r="CB14" s="382"/>
      <c r="CC14" s="382"/>
      <c r="CD14" s="382"/>
      <c r="CE14" s="382"/>
      <c r="CF14" s="382"/>
      <c r="CG14" s="382"/>
      <c r="CH14" s="382"/>
      <c r="CI14" s="382"/>
    </row>
    <row r="15" ht="16.95" customHeight="1" spans="2:87">
      <c r="B15" s="334"/>
      <c r="C15" s="334"/>
      <c r="D15" s="334"/>
      <c r="E15" s="334"/>
      <c r="F15" s="334"/>
      <c r="G15" s="334"/>
      <c r="H15" s="334"/>
      <c r="I15" s="334"/>
      <c r="J15" s="334"/>
      <c r="K15" s="334"/>
      <c r="L15" s="334"/>
      <c r="M15" s="334"/>
      <c r="N15" s="334"/>
      <c r="O15" s="334"/>
      <c r="P15" s="334"/>
      <c r="Q15" s="334"/>
      <c r="R15" s="334"/>
      <c r="U15" s="357" t="s">
        <v>321</v>
      </c>
      <c r="V15" s="357"/>
      <c r="W15" s="357"/>
      <c r="X15" s="357"/>
      <c r="Y15" s="357"/>
      <c r="Z15" s="357"/>
      <c r="AA15" s="357"/>
      <c r="AB15" s="357"/>
      <c r="AC15" s="357"/>
      <c r="AD15" s="357"/>
      <c r="AE15" s="357"/>
      <c r="AF15" s="357"/>
      <c r="AG15" s="357"/>
      <c r="AH15" s="357"/>
      <c r="AI15" s="357"/>
      <c r="AJ15" s="357"/>
      <c r="AK15" s="357"/>
      <c r="AL15" s="357"/>
      <c r="AM15" s="357"/>
      <c r="AN15" s="357"/>
      <c r="AO15" s="357"/>
      <c r="AP15" s="357"/>
      <c r="AQ15" s="357"/>
      <c r="AU15" s="382"/>
      <c r="AV15" s="382"/>
      <c r="AW15" s="382"/>
      <c r="AX15" s="382"/>
      <c r="AY15" s="382"/>
      <c r="AZ15" s="382"/>
      <c r="BA15" s="382"/>
      <c r="BB15" s="382"/>
      <c r="BC15" s="382"/>
      <c r="BD15" s="382"/>
      <c r="BE15" s="382"/>
      <c r="BF15" s="382"/>
      <c r="BG15" s="382"/>
      <c r="BH15" s="382"/>
      <c r="BI15" s="382"/>
      <c r="BJ15" s="382"/>
      <c r="BK15" s="382"/>
      <c r="BL15" s="382"/>
      <c r="BM15" s="382"/>
      <c r="BN15" s="382"/>
      <c r="BP15" s="382"/>
      <c r="BQ15" s="382"/>
      <c r="BR15" s="382"/>
      <c r="BS15" s="382"/>
      <c r="BT15" s="382"/>
      <c r="BU15" s="382"/>
      <c r="BV15" s="382"/>
      <c r="BW15" s="382"/>
      <c r="BX15" s="382"/>
      <c r="BY15" s="382"/>
      <c r="BZ15" s="382"/>
      <c r="CA15" s="382"/>
      <c r="CB15" s="382"/>
      <c r="CC15" s="382"/>
      <c r="CD15" s="382"/>
      <c r="CE15" s="382"/>
      <c r="CF15" s="382"/>
      <c r="CG15" s="382"/>
      <c r="CH15" s="382"/>
      <c r="CI15" s="382"/>
    </row>
    <row r="16" ht="16.95" customHeight="1" spans="2:87">
      <c r="B16" s="334"/>
      <c r="C16" s="334"/>
      <c r="D16" s="334"/>
      <c r="E16" s="334"/>
      <c r="F16" s="334"/>
      <c r="G16" s="334"/>
      <c r="H16" s="334"/>
      <c r="I16" s="334"/>
      <c r="J16" s="334"/>
      <c r="K16" s="334"/>
      <c r="L16" s="334"/>
      <c r="M16" s="334"/>
      <c r="N16" s="334"/>
      <c r="O16" s="334"/>
      <c r="P16" s="334"/>
      <c r="Q16" s="334"/>
      <c r="R16" s="334"/>
      <c r="U16" s="358"/>
      <c r="V16" s="358"/>
      <c r="W16" s="358"/>
      <c r="X16" s="358"/>
      <c r="Y16" s="358"/>
      <c r="Z16" s="358"/>
      <c r="AA16" s="358"/>
      <c r="AB16" s="358"/>
      <c r="AC16" s="358"/>
      <c r="AD16" s="358"/>
      <c r="AE16" s="358"/>
      <c r="AF16" s="358"/>
      <c r="AG16" s="358"/>
      <c r="AH16" s="358"/>
      <c r="AI16" s="358"/>
      <c r="AJ16" s="358"/>
      <c r="AK16" s="358"/>
      <c r="AL16" s="358"/>
      <c r="AM16" s="358"/>
      <c r="AN16" s="358"/>
      <c r="AO16" s="358"/>
      <c r="AP16" s="358"/>
      <c r="AQ16" s="358"/>
      <c r="AU16" s="382"/>
      <c r="AV16" s="382"/>
      <c r="AW16" s="382"/>
      <c r="AX16" s="382"/>
      <c r="AY16" s="382"/>
      <c r="AZ16" s="382"/>
      <c r="BA16" s="382"/>
      <c r="BB16" s="382"/>
      <c r="BC16" s="382"/>
      <c r="BD16" s="382"/>
      <c r="BE16" s="382"/>
      <c r="BF16" s="382"/>
      <c r="BG16" s="382"/>
      <c r="BH16" s="382"/>
      <c r="BI16" s="382"/>
      <c r="BJ16" s="382"/>
      <c r="BK16" s="382"/>
      <c r="BL16" s="382"/>
      <c r="BM16" s="382"/>
      <c r="BN16" s="382"/>
      <c r="BP16" s="382"/>
      <c r="BQ16" s="382"/>
      <c r="BR16" s="382"/>
      <c r="BS16" s="382"/>
      <c r="BT16" s="382"/>
      <c r="BU16" s="382"/>
      <c r="BV16" s="382"/>
      <c r="BW16" s="382"/>
      <c r="BX16" s="382"/>
      <c r="BY16" s="382"/>
      <c r="BZ16" s="382"/>
      <c r="CA16" s="382"/>
      <c r="CB16" s="382"/>
      <c r="CC16" s="382"/>
      <c r="CD16" s="382"/>
      <c r="CE16" s="382"/>
      <c r="CF16" s="382"/>
      <c r="CG16" s="382"/>
      <c r="CH16" s="382"/>
      <c r="CI16" s="382"/>
    </row>
    <row r="17" ht="16.95" customHeight="1" spans="2:87">
      <c r="B17" s="334"/>
      <c r="C17" s="334"/>
      <c r="D17" s="334"/>
      <c r="E17" s="334"/>
      <c r="F17" s="334"/>
      <c r="G17" s="334"/>
      <c r="H17" s="334"/>
      <c r="I17" s="334"/>
      <c r="J17" s="334"/>
      <c r="K17" s="334"/>
      <c r="L17" s="334"/>
      <c r="M17" s="334"/>
      <c r="N17" s="334"/>
      <c r="O17" s="334"/>
      <c r="P17" s="334"/>
      <c r="Q17" s="334"/>
      <c r="R17" s="334"/>
      <c r="U17" s="358"/>
      <c r="V17" s="358"/>
      <c r="W17" s="358"/>
      <c r="X17" s="358"/>
      <c r="Y17" s="358"/>
      <c r="Z17" s="358"/>
      <c r="AA17" s="358"/>
      <c r="AB17" s="358"/>
      <c r="AC17" s="358"/>
      <c r="AD17" s="358"/>
      <c r="AE17" s="358"/>
      <c r="AF17" s="358"/>
      <c r="AG17" s="358"/>
      <c r="AH17" s="358"/>
      <c r="AI17" s="358"/>
      <c r="AJ17" s="358"/>
      <c r="AK17" s="358"/>
      <c r="AL17" s="358"/>
      <c r="AM17" s="358"/>
      <c r="AN17" s="358"/>
      <c r="AO17" s="358"/>
      <c r="AP17" s="358"/>
      <c r="AQ17" s="358"/>
      <c r="AU17" s="382"/>
      <c r="AV17" s="382"/>
      <c r="AW17" s="382"/>
      <c r="AX17" s="382"/>
      <c r="AY17" s="382"/>
      <c r="AZ17" s="382"/>
      <c r="BA17" s="382"/>
      <c r="BB17" s="382"/>
      <c r="BC17" s="382"/>
      <c r="BD17" s="382"/>
      <c r="BE17" s="382"/>
      <c r="BF17" s="382"/>
      <c r="BG17" s="382"/>
      <c r="BH17" s="382"/>
      <c r="BI17" s="382"/>
      <c r="BJ17" s="382"/>
      <c r="BK17" s="382"/>
      <c r="BL17" s="382"/>
      <c r="BM17" s="382"/>
      <c r="BN17" s="382"/>
      <c r="BP17" s="382"/>
      <c r="BQ17" s="382"/>
      <c r="BR17" s="382"/>
      <c r="BS17" s="382"/>
      <c r="BT17" s="382"/>
      <c r="BU17" s="382"/>
      <c r="BV17" s="382"/>
      <c r="BW17" s="382"/>
      <c r="BX17" s="382"/>
      <c r="BY17" s="382"/>
      <c r="BZ17" s="382"/>
      <c r="CA17" s="382"/>
      <c r="CB17" s="382"/>
      <c r="CC17" s="382"/>
      <c r="CD17" s="382"/>
      <c r="CE17" s="382"/>
      <c r="CF17" s="382"/>
      <c r="CG17" s="382"/>
      <c r="CH17" s="382"/>
      <c r="CI17" s="382"/>
    </row>
    <row r="18" ht="16.95" customHeight="1" spans="2:87">
      <c r="B18" s="334"/>
      <c r="C18" s="334"/>
      <c r="D18" s="334"/>
      <c r="E18" s="334"/>
      <c r="F18" s="334"/>
      <c r="G18" s="334"/>
      <c r="H18" s="334"/>
      <c r="I18" s="334"/>
      <c r="J18" s="334"/>
      <c r="K18" s="334"/>
      <c r="L18" s="334"/>
      <c r="M18" s="334"/>
      <c r="N18" s="334"/>
      <c r="O18" s="334"/>
      <c r="P18" s="334"/>
      <c r="Q18" s="334"/>
      <c r="R18" s="334"/>
      <c r="U18" s="358"/>
      <c r="V18" s="358"/>
      <c r="W18" s="358"/>
      <c r="X18" s="358"/>
      <c r="Y18" s="358"/>
      <c r="Z18" s="358"/>
      <c r="AA18" s="358"/>
      <c r="AB18" s="358"/>
      <c r="AC18" s="358"/>
      <c r="AD18" s="358"/>
      <c r="AE18" s="358"/>
      <c r="AF18" s="358"/>
      <c r="AG18" s="358"/>
      <c r="AH18" s="358"/>
      <c r="AI18" s="358"/>
      <c r="AJ18" s="358"/>
      <c r="AK18" s="358"/>
      <c r="AL18" s="358"/>
      <c r="AM18" s="358"/>
      <c r="AN18" s="358"/>
      <c r="AO18" s="358"/>
      <c r="AP18" s="358"/>
      <c r="AQ18" s="358"/>
      <c r="AU18" s="382"/>
      <c r="AV18" s="382"/>
      <c r="AW18" s="382"/>
      <c r="AX18" s="382"/>
      <c r="AY18" s="382"/>
      <c r="AZ18" s="382"/>
      <c r="BA18" s="382"/>
      <c r="BB18" s="382"/>
      <c r="BC18" s="382"/>
      <c r="BD18" s="382"/>
      <c r="BE18" s="382"/>
      <c r="BF18" s="382"/>
      <c r="BG18" s="382"/>
      <c r="BH18" s="382"/>
      <c r="BI18" s="382"/>
      <c r="BJ18" s="382"/>
      <c r="BK18" s="382"/>
      <c r="BL18" s="382"/>
      <c r="BM18" s="382"/>
      <c r="BN18" s="382"/>
      <c r="BP18" s="382"/>
      <c r="BQ18" s="382"/>
      <c r="BR18" s="382"/>
      <c r="BS18" s="382"/>
      <c r="BT18" s="382"/>
      <c r="BU18" s="382"/>
      <c r="BV18" s="382"/>
      <c r="BW18" s="382"/>
      <c r="BX18" s="382"/>
      <c r="BY18" s="382"/>
      <c r="BZ18" s="382"/>
      <c r="CA18" s="382"/>
      <c r="CB18" s="382"/>
      <c r="CC18" s="382"/>
      <c r="CD18" s="382"/>
      <c r="CE18" s="382"/>
      <c r="CF18" s="382"/>
      <c r="CG18" s="382"/>
      <c r="CH18" s="382"/>
      <c r="CI18" s="382"/>
    </row>
    <row r="19" ht="16.95" customHeight="1" spans="2:87">
      <c r="B19" s="334"/>
      <c r="C19" s="334"/>
      <c r="D19" s="334"/>
      <c r="E19" s="334"/>
      <c r="F19" s="334"/>
      <c r="G19" s="334"/>
      <c r="H19" s="334"/>
      <c r="I19" s="334"/>
      <c r="J19" s="334"/>
      <c r="K19" s="334"/>
      <c r="L19" s="334"/>
      <c r="M19" s="334"/>
      <c r="N19" s="334"/>
      <c r="O19" s="334"/>
      <c r="P19" s="334"/>
      <c r="Q19" s="334"/>
      <c r="R19" s="334"/>
      <c r="U19" s="358"/>
      <c r="V19" s="358"/>
      <c r="W19" s="358"/>
      <c r="X19" s="358"/>
      <c r="Y19" s="358"/>
      <c r="Z19" s="358"/>
      <c r="AA19" s="358"/>
      <c r="AB19" s="358"/>
      <c r="AC19" s="358"/>
      <c r="AD19" s="358"/>
      <c r="AE19" s="358"/>
      <c r="AF19" s="358"/>
      <c r="AG19" s="358"/>
      <c r="AH19" s="358"/>
      <c r="AI19" s="358"/>
      <c r="AJ19" s="358"/>
      <c r="AK19" s="358"/>
      <c r="AL19" s="358"/>
      <c r="AM19" s="358"/>
      <c r="AN19" s="358"/>
      <c r="AO19" s="358"/>
      <c r="AP19" s="358"/>
      <c r="AQ19" s="358"/>
      <c r="AU19" s="382"/>
      <c r="AV19" s="382"/>
      <c r="AW19" s="382"/>
      <c r="AX19" s="382"/>
      <c r="AY19" s="382"/>
      <c r="AZ19" s="382"/>
      <c r="BA19" s="382"/>
      <c r="BB19" s="382"/>
      <c r="BC19" s="382"/>
      <c r="BD19" s="382"/>
      <c r="BE19" s="382"/>
      <c r="BF19" s="382"/>
      <c r="BG19" s="382"/>
      <c r="BH19" s="382"/>
      <c r="BI19" s="382"/>
      <c r="BJ19" s="382"/>
      <c r="BK19" s="382"/>
      <c r="BL19" s="382"/>
      <c r="BM19" s="382"/>
      <c r="BN19" s="382"/>
      <c r="BP19" s="382"/>
      <c r="BQ19" s="382"/>
      <c r="BR19" s="382"/>
      <c r="BS19" s="382"/>
      <c r="BT19" s="382"/>
      <c r="BU19" s="382"/>
      <c r="BV19" s="382"/>
      <c r="BW19" s="382"/>
      <c r="BX19" s="382"/>
      <c r="BY19" s="382"/>
      <c r="BZ19" s="382"/>
      <c r="CA19" s="382"/>
      <c r="CB19" s="382"/>
      <c r="CC19" s="382"/>
      <c r="CD19" s="382"/>
      <c r="CE19" s="382"/>
      <c r="CF19" s="382"/>
      <c r="CG19" s="382"/>
      <c r="CH19" s="382"/>
      <c r="CI19" s="382"/>
    </row>
    <row r="20" ht="16.95" customHeight="1" spans="2:87">
      <c r="B20" s="334"/>
      <c r="C20" s="334"/>
      <c r="D20" s="334"/>
      <c r="E20" s="334"/>
      <c r="F20" s="334"/>
      <c r="G20" s="334"/>
      <c r="H20" s="334"/>
      <c r="I20" s="334"/>
      <c r="J20" s="334"/>
      <c r="K20" s="334"/>
      <c r="L20" s="334"/>
      <c r="M20" s="334"/>
      <c r="N20" s="334"/>
      <c r="O20" s="334"/>
      <c r="P20" s="334"/>
      <c r="Q20" s="334"/>
      <c r="R20" s="334"/>
      <c r="U20" s="358"/>
      <c r="V20" s="358"/>
      <c r="W20" s="358"/>
      <c r="X20" s="358"/>
      <c r="Y20" s="358"/>
      <c r="Z20" s="358"/>
      <c r="AA20" s="358"/>
      <c r="AB20" s="358"/>
      <c r="AC20" s="358"/>
      <c r="AD20" s="358"/>
      <c r="AE20" s="358"/>
      <c r="AF20" s="358"/>
      <c r="AG20" s="358"/>
      <c r="AH20" s="358"/>
      <c r="AI20" s="358"/>
      <c r="AJ20" s="358"/>
      <c r="AK20" s="358"/>
      <c r="AL20" s="358"/>
      <c r="AM20" s="358"/>
      <c r="AN20" s="358"/>
      <c r="AO20" s="358"/>
      <c r="AP20" s="358"/>
      <c r="AQ20" s="358"/>
      <c r="AU20" s="382"/>
      <c r="AV20" s="382"/>
      <c r="AW20" s="382"/>
      <c r="AX20" s="382"/>
      <c r="AY20" s="382"/>
      <c r="AZ20" s="382"/>
      <c r="BA20" s="382"/>
      <c r="BB20" s="382"/>
      <c r="BC20" s="382"/>
      <c r="BD20" s="382"/>
      <c r="BE20" s="382"/>
      <c r="BF20" s="382"/>
      <c r="BG20" s="382"/>
      <c r="BH20" s="382"/>
      <c r="BI20" s="382"/>
      <c r="BJ20" s="382"/>
      <c r="BK20" s="382"/>
      <c r="BL20" s="382"/>
      <c r="BM20" s="382"/>
      <c r="BN20" s="382"/>
      <c r="BP20" s="382"/>
      <c r="BQ20" s="382"/>
      <c r="BR20" s="382"/>
      <c r="BS20" s="382"/>
      <c r="BT20" s="382"/>
      <c r="BU20" s="382"/>
      <c r="BV20" s="382"/>
      <c r="BW20" s="382"/>
      <c r="BX20" s="382"/>
      <c r="BY20" s="382"/>
      <c r="BZ20" s="382"/>
      <c r="CA20" s="382"/>
      <c r="CB20" s="382"/>
      <c r="CC20" s="382"/>
      <c r="CD20" s="382"/>
      <c r="CE20" s="382"/>
      <c r="CF20" s="382"/>
      <c r="CG20" s="382"/>
      <c r="CH20" s="382"/>
      <c r="CI20" s="382"/>
    </row>
    <row r="21" ht="16.95" customHeight="1" spans="2:87">
      <c r="B21" s="334"/>
      <c r="C21" s="334"/>
      <c r="D21" s="334"/>
      <c r="E21" s="334"/>
      <c r="F21" s="334"/>
      <c r="G21" s="334"/>
      <c r="H21" s="334"/>
      <c r="I21" s="334"/>
      <c r="J21" s="334"/>
      <c r="K21" s="334"/>
      <c r="L21" s="334"/>
      <c r="M21" s="334"/>
      <c r="N21" s="334"/>
      <c r="O21" s="334"/>
      <c r="P21" s="334"/>
      <c r="Q21" s="334"/>
      <c r="R21" s="334"/>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U21" s="382"/>
      <c r="AV21" s="382"/>
      <c r="AW21" s="382"/>
      <c r="AX21" s="382"/>
      <c r="AY21" s="382"/>
      <c r="AZ21" s="382"/>
      <c r="BA21" s="382"/>
      <c r="BB21" s="382"/>
      <c r="BC21" s="382"/>
      <c r="BD21" s="382"/>
      <c r="BE21" s="382"/>
      <c r="BF21" s="382"/>
      <c r="BG21" s="382"/>
      <c r="BH21" s="382"/>
      <c r="BI21" s="382"/>
      <c r="BJ21" s="382"/>
      <c r="BK21" s="382"/>
      <c r="BL21" s="382"/>
      <c r="BM21" s="382"/>
      <c r="BN21" s="382"/>
      <c r="BP21" s="382"/>
      <c r="BQ21" s="382"/>
      <c r="BR21" s="382"/>
      <c r="BS21" s="382"/>
      <c r="BT21" s="382"/>
      <c r="BU21" s="382"/>
      <c r="BV21" s="382"/>
      <c r="BW21" s="382"/>
      <c r="BX21" s="382"/>
      <c r="BY21" s="382"/>
      <c r="BZ21" s="382"/>
      <c r="CA21" s="382"/>
      <c r="CB21" s="382"/>
      <c r="CC21" s="382"/>
      <c r="CD21" s="382"/>
      <c r="CE21" s="382"/>
      <c r="CF21" s="382"/>
      <c r="CG21" s="382"/>
      <c r="CH21" s="382"/>
      <c r="CI21" s="382"/>
    </row>
    <row r="22" ht="16.95" customHeight="1" spans="2:87">
      <c r="B22" s="334"/>
      <c r="C22" s="334"/>
      <c r="D22" s="334"/>
      <c r="E22" s="334"/>
      <c r="F22" s="334"/>
      <c r="G22" s="334"/>
      <c r="H22" s="334"/>
      <c r="I22" s="334"/>
      <c r="J22" s="334"/>
      <c r="K22" s="334"/>
      <c r="L22" s="334"/>
      <c r="M22" s="334"/>
      <c r="N22" s="334"/>
      <c r="O22" s="334"/>
      <c r="P22" s="334"/>
      <c r="Q22" s="334"/>
      <c r="R22" s="334"/>
      <c r="U22" s="358"/>
      <c r="V22" s="358"/>
      <c r="W22" s="358"/>
      <c r="X22" s="358"/>
      <c r="Y22" s="358"/>
      <c r="Z22" s="358"/>
      <c r="AA22" s="358"/>
      <c r="AB22" s="358"/>
      <c r="AC22" s="358"/>
      <c r="AD22" s="358"/>
      <c r="AE22" s="358"/>
      <c r="AF22" s="358"/>
      <c r="AG22" s="358"/>
      <c r="AH22" s="358"/>
      <c r="AI22" s="358"/>
      <c r="AJ22" s="358"/>
      <c r="AK22" s="358"/>
      <c r="AL22" s="358"/>
      <c r="AM22" s="358"/>
      <c r="AN22" s="358"/>
      <c r="AO22" s="358"/>
      <c r="AP22" s="358"/>
      <c r="AQ22" s="358"/>
      <c r="AU22" s="382"/>
      <c r="AV22" s="382"/>
      <c r="AW22" s="382"/>
      <c r="AX22" s="382"/>
      <c r="AY22" s="382"/>
      <c r="AZ22" s="382"/>
      <c r="BA22" s="382"/>
      <c r="BB22" s="382"/>
      <c r="BC22" s="382"/>
      <c r="BD22" s="382"/>
      <c r="BE22" s="382"/>
      <c r="BF22" s="382"/>
      <c r="BG22" s="382"/>
      <c r="BH22" s="382"/>
      <c r="BI22" s="382"/>
      <c r="BJ22" s="382"/>
      <c r="BK22" s="382"/>
      <c r="BL22" s="382"/>
      <c r="BM22" s="382"/>
      <c r="BN22" s="382"/>
      <c r="BP22" s="382"/>
      <c r="BQ22" s="382"/>
      <c r="BR22" s="382"/>
      <c r="BS22" s="382"/>
      <c r="BT22" s="382"/>
      <c r="BU22" s="382"/>
      <c r="BV22" s="382"/>
      <c r="BW22" s="382"/>
      <c r="BX22" s="382"/>
      <c r="BY22" s="382"/>
      <c r="BZ22" s="382"/>
      <c r="CA22" s="382"/>
      <c r="CB22" s="382"/>
      <c r="CC22" s="382"/>
      <c r="CD22" s="382"/>
      <c r="CE22" s="382"/>
      <c r="CF22" s="382"/>
      <c r="CG22" s="382"/>
      <c r="CH22" s="382"/>
      <c r="CI22" s="382"/>
    </row>
    <row r="23" ht="16.95" customHeight="1" spans="2:87">
      <c r="B23" s="334"/>
      <c r="C23" s="334"/>
      <c r="D23" s="334"/>
      <c r="E23" s="334"/>
      <c r="F23" s="334"/>
      <c r="G23" s="334"/>
      <c r="H23" s="334"/>
      <c r="I23" s="334"/>
      <c r="J23" s="334"/>
      <c r="K23" s="334"/>
      <c r="L23" s="334"/>
      <c r="M23" s="334"/>
      <c r="N23" s="334"/>
      <c r="O23" s="334"/>
      <c r="P23" s="334"/>
      <c r="Q23" s="334"/>
      <c r="R23" s="334"/>
      <c r="U23" s="358"/>
      <c r="V23" s="358"/>
      <c r="W23" s="358"/>
      <c r="X23" s="358"/>
      <c r="Y23" s="358"/>
      <c r="Z23" s="358"/>
      <c r="AA23" s="358"/>
      <c r="AB23" s="358"/>
      <c r="AC23" s="358"/>
      <c r="AD23" s="358"/>
      <c r="AE23" s="358"/>
      <c r="AF23" s="358"/>
      <c r="AG23" s="358"/>
      <c r="AH23" s="358"/>
      <c r="AI23" s="358"/>
      <c r="AJ23" s="358"/>
      <c r="AK23" s="358"/>
      <c r="AL23" s="358"/>
      <c r="AM23" s="358"/>
      <c r="AN23" s="358"/>
      <c r="AO23" s="358"/>
      <c r="AP23" s="358"/>
      <c r="AQ23" s="358"/>
      <c r="AU23" s="382"/>
      <c r="AV23" s="382"/>
      <c r="AW23" s="382"/>
      <c r="AX23" s="382"/>
      <c r="AY23" s="382"/>
      <c r="AZ23" s="382"/>
      <c r="BA23" s="382"/>
      <c r="BB23" s="382"/>
      <c r="BC23" s="382"/>
      <c r="BD23" s="382"/>
      <c r="BE23" s="382"/>
      <c r="BF23" s="382"/>
      <c r="BG23" s="382"/>
      <c r="BH23" s="382"/>
      <c r="BI23" s="382"/>
      <c r="BJ23" s="382"/>
      <c r="BK23" s="382"/>
      <c r="BL23" s="382"/>
      <c r="BM23" s="382"/>
      <c r="BN23" s="382"/>
      <c r="BP23" s="382"/>
      <c r="BQ23" s="382"/>
      <c r="BR23" s="382"/>
      <c r="BS23" s="382"/>
      <c r="BT23" s="382"/>
      <c r="BU23" s="382"/>
      <c r="BV23" s="382"/>
      <c r="BW23" s="382"/>
      <c r="BX23" s="382"/>
      <c r="BY23" s="382"/>
      <c r="BZ23" s="382"/>
      <c r="CA23" s="382"/>
      <c r="CB23" s="382"/>
      <c r="CC23" s="382"/>
      <c r="CD23" s="382"/>
      <c r="CE23" s="382"/>
      <c r="CF23" s="382"/>
      <c r="CG23" s="382"/>
      <c r="CH23" s="382"/>
      <c r="CI23" s="382"/>
    </row>
    <row r="24" ht="16.95" customHeight="1" spans="2:87">
      <c r="B24" s="334"/>
      <c r="C24" s="334"/>
      <c r="D24" s="334"/>
      <c r="E24" s="334"/>
      <c r="F24" s="334"/>
      <c r="G24" s="334"/>
      <c r="H24" s="334"/>
      <c r="I24" s="334"/>
      <c r="J24" s="334"/>
      <c r="K24" s="334"/>
      <c r="L24" s="334"/>
      <c r="M24" s="334"/>
      <c r="N24" s="334"/>
      <c r="O24" s="334"/>
      <c r="P24" s="334"/>
      <c r="Q24" s="334"/>
      <c r="R24" s="334"/>
      <c r="U24" s="358"/>
      <c r="V24" s="358"/>
      <c r="W24" s="358"/>
      <c r="X24" s="358"/>
      <c r="Y24" s="358"/>
      <c r="Z24" s="358"/>
      <c r="AA24" s="358"/>
      <c r="AB24" s="358"/>
      <c r="AC24" s="358"/>
      <c r="AD24" s="358"/>
      <c r="AE24" s="358"/>
      <c r="AF24" s="358"/>
      <c r="AG24" s="358"/>
      <c r="AH24" s="358"/>
      <c r="AI24" s="358"/>
      <c r="AJ24" s="358"/>
      <c r="AK24" s="358"/>
      <c r="AL24" s="358"/>
      <c r="AM24" s="358"/>
      <c r="AN24" s="358"/>
      <c r="AO24" s="358"/>
      <c r="AP24" s="358"/>
      <c r="AQ24" s="358"/>
      <c r="AU24" s="382"/>
      <c r="AV24" s="382"/>
      <c r="AW24" s="382"/>
      <c r="AX24" s="382"/>
      <c r="AY24" s="382"/>
      <c r="AZ24" s="382"/>
      <c r="BA24" s="382"/>
      <c r="BB24" s="382"/>
      <c r="BC24" s="382"/>
      <c r="BD24" s="382"/>
      <c r="BE24" s="382"/>
      <c r="BF24" s="382"/>
      <c r="BG24" s="382"/>
      <c r="BH24" s="382"/>
      <c r="BI24" s="382"/>
      <c r="BJ24" s="382"/>
      <c r="BK24" s="382"/>
      <c r="BL24" s="382"/>
      <c r="BM24" s="382"/>
      <c r="BN24" s="382"/>
      <c r="BP24" s="382"/>
      <c r="BQ24" s="382"/>
      <c r="BR24" s="382"/>
      <c r="BS24" s="382"/>
      <c r="BT24" s="382"/>
      <c r="BU24" s="382"/>
      <c r="BV24" s="382"/>
      <c r="BW24" s="382"/>
      <c r="BX24" s="382"/>
      <c r="BY24" s="382"/>
      <c r="BZ24" s="382"/>
      <c r="CA24" s="382"/>
      <c r="CB24" s="382"/>
      <c r="CC24" s="382"/>
      <c r="CD24" s="382"/>
      <c r="CE24" s="382"/>
      <c r="CF24" s="382"/>
      <c r="CG24" s="382"/>
      <c r="CH24" s="382"/>
      <c r="CI24" s="382"/>
    </row>
    <row r="25" ht="16.95" customHeight="1" spans="2:87">
      <c r="B25" s="334"/>
      <c r="C25" s="334"/>
      <c r="D25" s="334"/>
      <c r="E25" s="334"/>
      <c r="F25" s="334"/>
      <c r="G25" s="334"/>
      <c r="H25" s="334"/>
      <c r="I25" s="334"/>
      <c r="J25" s="334"/>
      <c r="K25" s="334"/>
      <c r="L25" s="334"/>
      <c r="M25" s="334"/>
      <c r="N25" s="334"/>
      <c r="O25" s="334"/>
      <c r="P25" s="334"/>
      <c r="Q25" s="334"/>
      <c r="R25" s="334"/>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U25" s="382"/>
      <c r="AV25" s="382"/>
      <c r="AW25" s="382"/>
      <c r="AX25" s="382"/>
      <c r="AY25" s="382"/>
      <c r="AZ25" s="382"/>
      <c r="BA25" s="382"/>
      <c r="BB25" s="382"/>
      <c r="BC25" s="382"/>
      <c r="BD25" s="382"/>
      <c r="BE25" s="382"/>
      <c r="BF25" s="382"/>
      <c r="BG25" s="382"/>
      <c r="BH25" s="382"/>
      <c r="BI25" s="382"/>
      <c r="BJ25" s="382"/>
      <c r="BK25" s="382"/>
      <c r="BL25" s="382"/>
      <c r="BM25" s="382"/>
      <c r="BN25" s="382"/>
      <c r="BP25" s="382"/>
      <c r="BQ25" s="382"/>
      <c r="BR25" s="382"/>
      <c r="BS25" s="382"/>
      <c r="BT25" s="382"/>
      <c r="BU25" s="382"/>
      <c r="BV25" s="382"/>
      <c r="BW25" s="382"/>
      <c r="BX25" s="382"/>
      <c r="BY25" s="382"/>
      <c r="BZ25" s="382"/>
      <c r="CA25" s="382"/>
      <c r="CB25" s="382"/>
      <c r="CC25" s="382"/>
      <c r="CD25" s="382"/>
      <c r="CE25" s="382"/>
      <c r="CF25" s="382"/>
      <c r="CG25" s="382"/>
      <c r="CH25" s="382"/>
      <c r="CI25" s="382"/>
    </row>
    <row r="26" ht="16.95" customHeight="1" spans="2:87">
      <c r="B26" s="334"/>
      <c r="C26" s="334"/>
      <c r="D26" s="334"/>
      <c r="E26" s="334"/>
      <c r="F26" s="334"/>
      <c r="G26" s="334"/>
      <c r="H26" s="334"/>
      <c r="I26" s="334"/>
      <c r="J26" s="334"/>
      <c r="K26" s="334"/>
      <c r="L26" s="334"/>
      <c r="M26" s="334"/>
      <c r="N26" s="334"/>
      <c r="O26" s="334"/>
      <c r="P26" s="334"/>
      <c r="Q26" s="334"/>
      <c r="R26" s="334"/>
      <c r="U26" s="358"/>
      <c r="V26" s="358"/>
      <c r="W26" s="358"/>
      <c r="X26" s="358"/>
      <c r="Y26" s="358"/>
      <c r="Z26" s="358"/>
      <c r="AA26" s="358"/>
      <c r="AB26" s="358"/>
      <c r="AC26" s="358"/>
      <c r="AD26" s="358"/>
      <c r="AE26" s="358"/>
      <c r="AF26" s="358"/>
      <c r="AG26" s="358"/>
      <c r="AH26" s="358"/>
      <c r="AI26" s="358"/>
      <c r="AJ26" s="358"/>
      <c r="AK26" s="358"/>
      <c r="AL26" s="358"/>
      <c r="AM26" s="358"/>
      <c r="AN26" s="358"/>
      <c r="AO26" s="358"/>
      <c r="AP26" s="358"/>
      <c r="AQ26" s="358"/>
      <c r="AU26" s="382"/>
      <c r="AV26" s="382"/>
      <c r="AW26" s="382"/>
      <c r="AX26" s="382"/>
      <c r="AY26" s="382"/>
      <c r="AZ26" s="382"/>
      <c r="BA26" s="382"/>
      <c r="BB26" s="382"/>
      <c r="BC26" s="382"/>
      <c r="BD26" s="382"/>
      <c r="BE26" s="382"/>
      <c r="BF26" s="382"/>
      <c r="BG26" s="382"/>
      <c r="BH26" s="382"/>
      <c r="BI26" s="382"/>
      <c r="BJ26" s="382"/>
      <c r="BK26" s="382"/>
      <c r="BL26" s="382"/>
      <c r="BM26" s="382"/>
      <c r="BN26" s="382"/>
      <c r="BP26" s="382"/>
      <c r="BQ26" s="382"/>
      <c r="BR26" s="382"/>
      <c r="BS26" s="382"/>
      <c r="BT26" s="382"/>
      <c r="BU26" s="382"/>
      <c r="BV26" s="382"/>
      <c r="BW26" s="382"/>
      <c r="BX26" s="382"/>
      <c r="BY26" s="382"/>
      <c r="BZ26" s="382"/>
      <c r="CA26" s="382"/>
      <c r="CB26" s="382"/>
      <c r="CC26" s="382"/>
      <c r="CD26" s="382"/>
      <c r="CE26" s="382"/>
      <c r="CF26" s="382"/>
      <c r="CG26" s="382"/>
      <c r="CH26" s="382"/>
      <c r="CI26" s="382"/>
    </row>
    <row r="27" ht="16.95" customHeight="1" spans="2:87">
      <c r="B27" s="334"/>
      <c r="C27" s="334"/>
      <c r="D27" s="334"/>
      <c r="E27" s="334"/>
      <c r="F27" s="334"/>
      <c r="G27" s="334"/>
      <c r="H27" s="334"/>
      <c r="I27" s="334"/>
      <c r="J27" s="334"/>
      <c r="K27" s="334"/>
      <c r="L27" s="334"/>
      <c r="M27" s="334"/>
      <c r="N27" s="334"/>
      <c r="O27" s="334"/>
      <c r="P27" s="334"/>
      <c r="Q27" s="334"/>
      <c r="R27" s="334"/>
      <c r="U27" s="358"/>
      <c r="V27" s="358"/>
      <c r="W27" s="358"/>
      <c r="X27" s="358"/>
      <c r="Y27" s="358"/>
      <c r="Z27" s="358"/>
      <c r="AA27" s="358"/>
      <c r="AB27" s="358"/>
      <c r="AC27" s="358"/>
      <c r="AD27" s="358"/>
      <c r="AE27" s="358"/>
      <c r="AF27" s="358"/>
      <c r="AG27" s="358"/>
      <c r="AH27" s="358"/>
      <c r="AI27" s="358"/>
      <c r="AJ27" s="358"/>
      <c r="AK27" s="358"/>
      <c r="AL27" s="358"/>
      <c r="AM27" s="358"/>
      <c r="AN27" s="358"/>
      <c r="AO27" s="358"/>
      <c r="AP27" s="358"/>
      <c r="AQ27" s="358"/>
      <c r="AU27" s="382"/>
      <c r="AV27" s="382"/>
      <c r="AW27" s="382"/>
      <c r="AX27" s="382"/>
      <c r="AY27" s="382"/>
      <c r="AZ27" s="382"/>
      <c r="BA27" s="382"/>
      <c r="BB27" s="382"/>
      <c r="BC27" s="382"/>
      <c r="BD27" s="382"/>
      <c r="BE27" s="382"/>
      <c r="BF27" s="382"/>
      <c r="BG27" s="382"/>
      <c r="BH27" s="382"/>
      <c r="BI27" s="382"/>
      <c r="BJ27" s="382"/>
      <c r="BK27" s="382"/>
      <c r="BL27" s="382"/>
      <c r="BM27" s="382"/>
      <c r="BN27" s="382"/>
      <c r="BP27" s="382"/>
      <c r="BQ27" s="382"/>
      <c r="BR27" s="382"/>
      <c r="BS27" s="382"/>
      <c r="BT27" s="382"/>
      <c r="BU27" s="382"/>
      <c r="BV27" s="382"/>
      <c r="BW27" s="382"/>
      <c r="BX27" s="382"/>
      <c r="BY27" s="382"/>
      <c r="BZ27" s="382"/>
      <c r="CA27" s="382"/>
      <c r="CB27" s="382"/>
      <c r="CC27" s="382"/>
      <c r="CD27" s="382"/>
      <c r="CE27" s="382"/>
      <c r="CF27" s="382"/>
      <c r="CG27" s="382"/>
      <c r="CH27" s="382"/>
      <c r="CI27" s="382"/>
    </row>
    <row r="28" ht="16.95" customHeight="1" spans="2:87">
      <c r="B28" s="334"/>
      <c r="C28" s="334"/>
      <c r="D28" s="334"/>
      <c r="E28" s="334"/>
      <c r="F28" s="334"/>
      <c r="G28" s="334"/>
      <c r="H28" s="334"/>
      <c r="I28" s="334"/>
      <c r="J28" s="334"/>
      <c r="K28" s="334"/>
      <c r="L28" s="334"/>
      <c r="M28" s="334"/>
      <c r="N28" s="334"/>
      <c r="O28" s="334"/>
      <c r="P28" s="334"/>
      <c r="Q28" s="334"/>
      <c r="R28" s="334"/>
      <c r="U28" s="358"/>
      <c r="V28" s="358"/>
      <c r="W28" s="358"/>
      <c r="X28" s="358"/>
      <c r="Y28" s="358"/>
      <c r="Z28" s="358"/>
      <c r="AA28" s="358"/>
      <c r="AB28" s="358"/>
      <c r="AC28" s="358"/>
      <c r="AD28" s="358"/>
      <c r="AE28" s="358"/>
      <c r="AF28" s="358"/>
      <c r="AG28" s="358"/>
      <c r="AH28" s="358"/>
      <c r="AI28" s="358"/>
      <c r="AJ28" s="358"/>
      <c r="AK28" s="358"/>
      <c r="AL28" s="358"/>
      <c r="AM28" s="358"/>
      <c r="AN28" s="358"/>
      <c r="AO28" s="358"/>
      <c r="AP28" s="358"/>
      <c r="AQ28" s="358"/>
      <c r="AU28" s="382"/>
      <c r="AV28" s="382"/>
      <c r="AW28" s="382"/>
      <c r="AX28" s="382"/>
      <c r="AY28" s="382"/>
      <c r="AZ28" s="382"/>
      <c r="BA28" s="382"/>
      <c r="BB28" s="382"/>
      <c r="BC28" s="382"/>
      <c r="BD28" s="382"/>
      <c r="BE28" s="382"/>
      <c r="BF28" s="382"/>
      <c r="BG28" s="382"/>
      <c r="BH28" s="382"/>
      <c r="BI28" s="382"/>
      <c r="BJ28" s="382"/>
      <c r="BK28" s="382"/>
      <c r="BL28" s="382"/>
      <c r="BM28" s="382"/>
      <c r="BN28" s="382"/>
      <c r="BP28" s="382"/>
      <c r="BQ28" s="382"/>
      <c r="BR28" s="382"/>
      <c r="BS28" s="382"/>
      <c r="BT28" s="382"/>
      <c r="BU28" s="382"/>
      <c r="BV28" s="382"/>
      <c r="BW28" s="382"/>
      <c r="BX28" s="382"/>
      <c r="BY28" s="382"/>
      <c r="BZ28" s="382"/>
      <c r="CA28" s="382"/>
      <c r="CB28" s="382"/>
      <c r="CC28" s="382"/>
      <c r="CD28" s="382"/>
      <c r="CE28" s="382"/>
      <c r="CF28" s="382"/>
      <c r="CG28" s="382"/>
      <c r="CH28" s="382"/>
      <c r="CI28" s="382"/>
    </row>
    <row r="29" ht="16.95" customHeight="1" spans="2:87">
      <c r="B29" s="334"/>
      <c r="C29" s="334"/>
      <c r="D29" s="334"/>
      <c r="E29" s="334"/>
      <c r="F29" s="334"/>
      <c r="G29" s="334"/>
      <c r="H29" s="334"/>
      <c r="I29" s="334"/>
      <c r="J29" s="334"/>
      <c r="K29" s="334"/>
      <c r="L29" s="334"/>
      <c r="M29" s="334"/>
      <c r="N29" s="334"/>
      <c r="O29" s="334"/>
      <c r="P29" s="334"/>
      <c r="Q29" s="334"/>
      <c r="R29" s="334"/>
      <c r="U29" s="358"/>
      <c r="V29" s="358"/>
      <c r="W29" s="358"/>
      <c r="X29" s="358"/>
      <c r="Y29" s="358"/>
      <c r="Z29" s="358"/>
      <c r="AA29" s="358"/>
      <c r="AB29" s="358"/>
      <c r="AC29" s="358"/>
      <c r="AD29" s="358"/>
      <c r="AE29" s="358"/>
      <c r="AF29" s="358"/>
      <c r="AG29" s="358"/>
      <c r="AH29" s="358"/>
      <c r="AI29" s="358"/>
      <c r="AJ29" s="358"/>
      <c r="AK29" s="358"/>
      <c r="AL29" s="358"/>
      <c r="AM29" s="358"/>
      <c r="AN29" s="358"/>
      <c r="AO29" s="358"/>
      <c r="AP29" s="358"/>
      <c r="AQ29" s="358"/>
      <c r="AU29" s="382"/>
      <c r="AV29" s="382"/>
      <c r="AW29" s="382"/>
      <c r="AX29" s="382"/>
      <c r="AY29" s="382"/>
      <c r="AZ29" s="382"/>
      <c r="BA29" s="382"/>
      <c r="BB29" s="382"/>
      <c r="BC29" s="382"/>
      <c r="BD29" s="382"/>
      <c r="BE29" s="382"/>
      <c r="BF29" s="382"/>
      <c r="BG29" s="382"/>
      <c r="BH29" s="382"/>
      <c r="BI29" s="382"/>
      <c r="BJ29" s="382"/>
      <c r="BK29" s="382"/>
      <c r="BL29" s="382"/>
      <c r="BM29" s="382"/>
      <c r="BN29" s="382"/>
      <c r="BP29" s="382"/>
      <c r="BQ29" s="382"/>
      <c r="BR29" s="382"/>
      <c r="BS29" s="382"/>
      <c r="BT29" s="382"/>
      <c r="BU29" s="382"/>
      <c r="BV29" s="382"/>
      <c r="BW29" s="382"/>
      <c r="BX29" s="382"/>
      <c r="BY29" s="382"/>
      <c r="BZ29" s="382"/>
      <c r="CA29" s="382"/>
      <c r="CB29" s="382"/>
      <c r="CC29" s="382"/>
      <c r="CD29" s="382"/>
      <c r="CE29" s="382"/>
      <c r="CF29" s="382"/>
      <c r="CG29" s="382"/>
      <c r="CH29" s="382"/>
      <c r="CI29" s="382"/>
    </row>
    <row r="30" ht="16.95" customHeight="1" spans="2:43">
      <c r="B30" s="334"/>
      <c r="C30" s="334"/>
      <c r="D30" s="334"/>
      <c r="E30" s="334"/>
      <c r="F30" s="334"/>
      <c r="G30" s="334"/>
      <c r="H30" s="334"/>
      <c r="I30" s="334"/>
      <c r="J30" s="334"/>
      <c r="K30" s="334"/>
      <c r="L30" s="334"/>
      <c r="M30" s="334"/>
      <c r="N30" s="334"/>
      <c r="O30" s="334"/>
      <c r="P30" s="334"/>
      <c r="Q30" s="334"/>
      <c r="R30" s="334"/>
      <c r="U30" s="358"/>
      <c r="V30" s="358"/>
      <c r="W30" s="358"/>
      <c r="X30" s="358"/>
      <c r="Y30" s="358"/>
      <c r="Z30" s="358"/>
      <c r="AA30" s="358"/>
      <c r="AB30" s="358"/>
      <c r="AC30" s="358"/>
      <c r="AD30" s="358"/>
      <c r="AE30" s="358"/>
      <c r="AF30" s="358"/>
      <c r="AG30" s="358"/>
      <c r="AH30" s="358"/>
      <c r="AI30" s="358"/>
      <c r="AJ30" s="358"/>
      <c r="AK30" s="358"/>
      <c r="AL30" s="358"/>
      <c r="AM30" s="358"/>
      <c r="AN30" s="358"/>
      <c r="AO30" s="358"/>
      <c r="AP30" s="358"/>
      <c r="AQ30" s="358"/>
    </row>
    <row r="31" ht="16.95" customHeight="1" spans="2:43">
      <c r="B31" s="334"/>
      <c r="C31" s="334"/>
      <c r="D31" s="334"/>
      <c r="E31" s="334"/>
      <c r="F31" s="334"/>
      <c r="G31" s="334"/>
      <c r="H31" s="334"/>
      <c r="I31" s="334"/>
      <c r="J31" s="334"/>
      <c r="K31" s="334"/>
      <c r="L31" s="334"/>
      <c r="M31" s="334"/>
      <c r="N31" s="334"/>
      <c r="O31" s="334"/>
      <c r="P31" s="334"/>
      <c r="Q31" s="334"/>
      <c r="R31" s="334"/>
      <c r="U31" s="357" t="s">
        <v>164</v>
      </c>
      <c r="V31" s="357"/>
      <c r="W31" s="357"/>
      <c r="X31" s="357"/>
      <c r="Y31" s="357"/>
      <c r="Z31" s="357"/>
      <c r="AA31" s="357"/>
      <c r="AB31" s="357"/>
      <c r="AC31" s="357"/>
      <c r="AD31" s="357"/>
      <c r="AE31" s="357"/>
      <c r="AF31" s="357"/>
      <c r="AG31" s="357"/>
      <c r="AH31" s="357"/>
      <c r="AI31" s="357"/>
      <c r="AJ31" s="357"/>
      <c r="AK31" s="357"/>
      <c r="AL31" s="357"/>
      <c r="AM31" s="357"/>
      <c r="AN31" s="357"/>
      <c r="AO31" s="357"/>
      <c r="AP31" s="357"/>
      <c r="AQ31" s="357"/>
    </row>
    <row r="32" ht="16.95" customHeight="1" spans="2:43">
      <c r="B32" s="334"/>
      <c r="C32" s="334"/>
      <c r="D32" s="334"/>
      <c r="E32" s="334"/>
      <c r="F32" s="334"/>
      <c r="G32" s="334"/>
      <c r="H32" s="334"/>
      <c r="I32" s="334"/>
      <c r="J32" s="334"/>
      <c r="K32" s="334"/>
      <c r="L32" s="334"/>
      <c r="M32" s="334"/>
      <c r="N32" s="334"/>
      <c r="O32" s="334"/>
      <c r="P32" s="334"/>
      <c r="Q32" s="334"/>
      <c r="R32" s="334"/>
      <c r="U32" s="358"/>
      <c r="V32" s="358"/>
      <c r="W32" s="358"/>
      <c r="X32" s="358"/>
      <c r="Y32" s="358"/>
      <c r="Z32" s="358"/>
      <c r="AA32" s="358"/>
      <c r="AB32" s="358"/>
      <c r="AC32" s="358"/>
      <c r="AD32" s="358"/>
      <c r="AE32" s="358"/>
      <c r="AF32" s="358"/>
      <c r="AG32" s="358"/>
      <c r="AH32" s="358"/>
      <c r="AI32" s="358"/>
      <c r="AJ32" s="358"/>
      <c r="AK32" s="358"/>
      <c r="AL32" s="358"/>
      <c r="AM32" s="358"/>
      <c r="AN32" s="358"/>
      <c r="AO32" s="358"/>
      <c r="AP32" s="358"/>
      <c r="AQ32" s="358"/>
    </row>
    <row r="33" ht="16.95" customHeight="1" spans="2:43">
      <c r="B33" s="334"/>
      <c r="C33" s="334"/>
      <c r="D33" s="334"/>
      <c r="E33" s="334"/>
      <c r="F33" s="334"/>
      <c r="G33" s="334"/>
      <c r="H33" s="334"/>
      <c r="I33" s="334"/>
      <c r="J33" s="334"/>
      <c r="K33" s="334"/>
      <c r="L33" s="334"/>
      <c r="M33" s="334"/>
      <c r="N33" s="334"/>
      <c r="O33" s="334"/>
      <c r="P33" s="334"/>
      <c r="Q33" s="334"/>
      <c r="R33" s="334"/>
      <c r="U33" s="358"/>
      <c r="V33" s="358"/>
      <c r="W33" s="358"/>
      <c r="X33" s="358"/>
      <c r="Y33" s="358"/>
      <c r="Z33" s="358"/>
      <c r="AA33" s="358"/>
      <c r="AB33" s="358"/>
      <c r="AC33" s="358"/>
      <c r="AD33" s="358"/>
      <c r="AE33" s="358"/>
      <c r="AF33" s="358"/>
      <c r="AG33" s="358"/>
      <c r="AH33" s="358"/>
      <c r="AI33" s="358"/>
      <c r="AJ33" s="358"/>
      <c r="AK33" s="358"/>
      <c r="AL33" s="358"/>
      <c r="AM33" s="358"/>
      <c r="AN33" s="358"/>
      <c r="AO33" s="358"/>
      <c r="AP33" s="358"/>
      <c r="AQ33" s="358"/>
    </row>
    <row r="34" ht="16.95" customHeight="1" spans="2:43">
      <c r="B34" s="334"/>
      <c r="C34" s="334"/>
      <c r="D34" s="334"/>
      <c r="E34" s="334"/>
      <c r="F34" s="334"/>
      <c r="G34" s="334"/>
      <c r="H34" s="334"/>
      <c r="I34" s="334"/>
      <c r="J34" s="334"/>
      <c r="K34" s="334"/>
      <c r="L34" s="334"/>
      <c r="M34" s="334"/>
      <c r="N34" s="334"/>
      <c r="O34" s="334"/>
      <c r="P34" s="334"/>
      <c r="Q34" s="334"/>
      <c r="R34" s="334"/>
      <c r="U34" s="358"/>
      <c r="V34" s="358"/>
      <c r="W34" s="358"/>
      <c r="X34" s="358"/>
      <c r="Y34" s="358"/>
      <c r="Z34" s="358"/>
      <c r="AA34" s="358"/>
      <c r="AB34" s="358"/>
      <c r="AC34" s="358"/>
      <c r="AD34" s="358"/>
      <c r="AE34" s="358"/>
      <c r="AF34" s="358"/>
      <c r="AG34" s="358"/>
      <c r="AH34" s="358"/>
      <c r="AI34" s="358"/>
      <c r="AJ34" s="358"/>
      <c r="AK34" s="358"/>
      <c r="AL34" s="358"/>
      <c r="AM34" s="358"/>
      <c r="AN34" s="358"/>
      <c r="AO34" s="358"/>
      <c r="AP34" s="358"/>
      <c r="AQ34" s="358"/>
    </row>
    <row r="35" ht="16.95" customHeight="1" spans="2:43">
      <c r="B35" s="334"/>
      <c r="C35" s="334"/>
      <c r="D35" s="334"/>
      <c r="E35" s="334"/>
      <c r="F35" s="334"/>
      <c r="G35" s="334"/>
      <c r="H35" s="334"/>
      <c r="I35" s="334"/>
      <c r="J35" s="334"/>
      <c r="K35" s="334"/>
      <c r="L35" s="334"/>
      <c r="M35" s="334"/>
      <c r="N35" s="334"/>
      <c r="O35" s="334"/>
      <c r="P35" s="334"/>
      <c r="Q35" s="334"/>
      <c r="R35" s="334"/>
      <c r="U35" s="358"/>
      <c r="V35" s="358"/>
      <c r="W35" s="358"/>
      <c r="X35" s="358"/>
      <c r="Y35" s="358"/>
      <c r="Z35" s="358"/>
      <c r="AA35" s="358"/>
      <c r="AB35" s="358"/>
      <c r="AC35" s="358"/>
      <c r="AD35" s="358"/>
      <c r="AE35" s="358"/>
      <c r="AF35" s="358"/>
      <c r="AG35" s="358"/>
      <c r="AH35" s="358"/>
      <c r="AI35" s="358"/>
      <c r="AJ35" s="358"/>
      <c r="AK35" s="358"/>
      <c r="AL35" s="358"/>
      <c r="AM35" s="358"/>
      <c r="AN35" s="358"/>
      <c r="AO35" s="358"/>
      <c r="AP35" s="358"/>
      <c r="AQ35" s="358"/>
    </row>
    <row r="36" ht="16.95" customHeight="1" spans="2:43">
      <c r="B36" s="335"/>
      <c r="C36" s="335"/>
      <c r="D36" s="335"/>
      <c r="E36" s="335"/>
      <c r="F36" s="335"/>
      <c r="G36" s="335"/>
      <c r="H36" s="335"/>
      <c r="I36" s="335"/>
      <c r="J36" s="335"/>
      <c r="K36" s="335"/>
      <c r="L36" s="335"/>
      <c r="M36" s="335"/>
      <c r="N36" s="335"/>
      <c r="O36" s="335"/>
      <c r="P36" s="335"/>
      <c r="Q36" s="335"/>
      <c r="R36" s="335"/>
      <c r="U36" s="358"/>
      <c r="V36" s="358"/>
      <c r="W36" s="358"/>
      <c r="X36" s="358"/>
      <c r="Y36" s="358"/>
      <c r="Z36" s="358"/>
      <c r="AA36" s="358"/>
      <c r="AB36" s="358"/>
      <c r="AC36" s="358"/>
      <c r="AD36" s="358"/>
      <c r="AE36" s="358"/>
      <c r="AF36" s="358"/>
      <c r="AG36" s="358"/>
      <c r="AH36" s="358"/>
      <c r="AI36" s="358"/>
      <c r="AJ36" s="358"/>
      <c r="AK36" s="358"/>
      <c r="AL36" s="358"/>
      <c r="AM36" s="358"/>
      <c r="AN36" s="358"/>
      <c r="AO36" s="358"/>
      <c r="AP36" s="358"/>
      <c r="AQ36" s="358"/>
    </row>
    <row r="37" ht="16.95" customHeight="1" spans="2:43">
      <c r="B37" s="333" t="s">
        <v>7487</v>
      </c>
      <c r="C37" s="333"/>
      <c r="D37" s="333"/>
      <c r="E37" s="333"/>
      <c r="F37" s="333"/>
      <c r="G37" s="333"/>
      <c r="H37" s="333"/>
      <c r="I37" s="333"/>
      <c r="J37" s="333"/>
      <c r="K37" s="333"/>
      <c r="L37" s="333"/>
      <c r="M37" s="333"/>
      <c r="N37" s="333"/>
      <c r="O37" s="333"/>
      <c r="P37" s="333"/>
      <c r="Q37" s="333"/>
      <c r="R37" s="333"/>
      <c r="U37" s="358"/>
      <c r="V37" s="358"/>
      <c r="W37" s="358"/>
      <c r="X37" s="358"/>
      <c r="Y37" s="358"/>
      <c r="Z37" s="358"/>
      <c r="AA37" s="358"/>
      <c r="AB37" s="358"/>
      <c r="AC37" s="358"/>
      <c r="AD37" s="358"/>
      <c r="AE37" s="358"/>
      <c r="AF37" s="358"/>
      <c r="AG37" s="358"/>
      <c r="AH37" s="358"/>
      <c r="AI37" s="358"/>
      <c r="AJ37" s="358"/>
      <c r="AK37" s="358"/>
      <c r="AL37" s="358"/>
      <c r="AM37" s="358"/>
      <c r="AN37" s="358"/>
      <c r="AO37" s="358"/>
      <c r="AP37" s="358"/>
      <c r="AQ37" s="358"/>
    </row>
    <row r="38" ht="16.95" customHeight="1" spans="2:43">
      <c r="B38" s="336"/>
      <c r="C38" s="336"/>
      <c r="D38" s="336"/>
      <c r="E38" s="336"/>
      <c r="F38" s="336"/>
      <c r="G38" s="336"/>
      <c r="H38" s="336"/>
      <c r="I38" s="336"/>
      <c r="J38" s="336"/>
      <c r="K38" s="336"/>
      <c r="L38" s="336"/>
      <c r="M38" s="336"/>
      <c r="N38" s="336"/>
      <c r="O38" s="336"/>
      <c r="P38" s="336"/>
      <c r="Q38" s="336"/>
      <c r="R38" s="336"/>
      <c r="U38" s="358"/>
      <c r="V38" s="358"/>
      <c r="W38" s="358"/>
      <c r="X38" s="358"/>
      <c r="Y38" s="358"/>
      <c r="Z38" s="358"/>
      <c r="AA38" s="358"/>
      <c r="AB38" s="358"/>
      <c r="AC38" s="358"/>
      <c r="AD38" s="358"/>
      <c r="AE38" s="358"/>
      <c r="AF38" s="358"/>
      <c r="AG38" s="358"/>
      <c r="AH38" s="358"/>
      <c r="AI38" s="358"/>
      <c r="AJ38" s="358"/>
      <c r="AK38" s="358"/>
      <c r="AL38" s="358"/>
      <c r="AM38" s="358"/>
      <c r="AN38" s="358"/>
      <c r="AO38" s="358"/>
      <c r="AP38" s="358"/>
      <c r="AQ38" s="358"/>
    </row>
    <row r="39" ht="16.95" customHeight="1" spans="2:43">
      <c r="B39" s="336"/>
      <c r="C39" s="336"/>
      <c r="D39" s="336"/>
      <c r="E39" s="336"/>
      <c r="F39" s="336"/>
      <c r="G39" s="336"/>
      <c r="H39" s="336"/>
      <c r="I39" s="336"/>
      <c r="J39" s="336"/>
      <c r="K39" s="336"/>
      <c r="L39" s="336"/>
      <c r="M39" s="336"/>
      <c r="N39" s="336"/>
      <c r="O39" s="336"/>
      <c r="P39" s="336"/>
      <c r="Q39" s="336"/>
      <c r="R39" s="336"/>
      <c r="U39" s="358"/>
      <c r="V39" s="358"/>
      <c r="W39" s="358"/>
      <c r="X39" s="358"/>
      <c r="Y39" s="358"/>
      <c r="Z39" s="358"/>
      <c r="AA39" s="358"/>
      <c r="AB39" s="358"/>
      <c r="AC39" s="358"/>
      <c r="AD39" s="358"/>
      <c r="AE39" s="358"/>
      <c r="AF39" s="358"/>
      <c r="AG39" s="358"/>
      <c r="AH39" s="358"/>
      <c r="AI39" s="358"/>
      <c r="AJ39" s="358"/>
      <c r="AK39" s="358"/>
      <c r="AL39" s="358"/>
      <c r="AM39" s="358"/>
      <c r="AN39" s="358"/>
      <c r="AO39" s="358"/>
      <c r="AP39" s="358"/>
      <c r="AQ39" s="358"/>
    </row>
    <row r="40" ht="16.95" customHeight="1" spans="2:43">
      <c r="B40" s="336"/>
      <c r="C40" s="336"/>
      <c r="D40" s="336"/>
      <c r="E40" s="336"/>
      <c r="F40" s="336"/>
      <c r="G40" s="336"/>
      <c r="H40" s="336"/>
      <c r="I40" s="336"/>
      <c r="J40" s="336"/>
      <c r="K40" s="336"/>
      <c r="L40" s="336"/>
      <c r="M40" s="336"/>
      <c r="N40" s="336"/>
      <c r="O40" s="336"/>
      <c r="P40" s="336"/>
      <c r="Q40" s="336"/>
      <c r="R40" s="336"/>
      <c r="U40" s="358"/>
      <c r="V40" s="358"/>
      <c r="W40" s="358"/>
      <c r="X40" s="358"/>
      <c r="Y40" s="358"/>
      <c r="Z40" s="358"/>
      <c r="AA40" s="358"/>
      <c r="AB40" s="358"/>
      <c r="AC40" s="358"/>
      <c r="AD40" s="358"/>
      <c r="AE40" s="358"/>
      <c r="AF40" s="358"/>
      <c r="AG40" s="358"/>
      <c r="AH40" s="358"/>
      <c r="AI40" s="358"/>
      <c r="AJ40" s="358"/>
      <c r="AK40" s="358"/>
      <c r="AL40" s="358"/>
      <c r="AM40" s="358"/>
      <c r="AN40" s="358"/>
      <c r="AO40" s="358"/>
      <c r="AP40" s="358"/>
      <c r="AQ40" s="358"/>
    </row>
    <row r="41" ht="16.95" customHeight="1" spans="2:43">
      <c r="B41" s="336"/>
      <c r="C41" s="336"/>
      <c r="D41" s="336"/>
      <c r="E41" s="336"/>
      <c r="F41" s="336"/>
      <c r="G41" s="336"/>
      <c r="H41" s="336"/>
      <c r="I41" s="336"/>
      <c r="J41" s="336"/>
      <c r="K41" s="336"/>
      <c r="L41" s="336"/>
      <c r="M41" s="336"/>
      <c r="N41" s="336"/>
      <c r="O41" s="336"/>
      <c r="P41" s="336"/>
      <c r="Q41" s="336"/>
      <c r="R41" s="336"/>
      <c r="U41" s="358"/>
      <c r="V41" s="358"/>
      <c r="W41" s="358"/>
      <c r="X41" s="358"/>
      <c r="Y41" s="358"/>
      <c r="Z41" s="358"/>
      <c r="AA41" s="358"/>
      <c r="AB41" s="358"/>
      <c r="AC41" s="358"/>
      <c r="AD41" s="358"/>
      <c r="AE41" s="358"/>
      <c r="AF41" s="358"/>
      <c r="AG41" s="358"/>
      <c r="AH41" s="358"/>
      <c r="AI41" s="358"/>
      <c r="AJ41" s="358"/>
      <c r="AK41" s="358"/>
      <c r="AL41" s="358"/>
      <c r="AM41" s="358"/>
      <c r="AN41" s="358"/>
      <c r="AO41" s="358"/>
      <c r="AP41" s="358"/>
      <c r="AQ41" s="358"/>
    </row>
    <row r="42" ht="16.95" customHeight="1" spans="2:43">
      <c r="B42" s="336"/>
      <c r="C42" s="336"/>
      <c r="D42" s="336"/>
      <c r="E42" s="336"/>
      <c r="F42" s="336"/>
      <c r="G42" s="336"/>
      <c r="H42" s="336"/>
      <c r="I42" s="336"/>
      <c r="J42" s="336"/>
      <c r="K42" s="336"/>
      <c r="L42" s="336"/>
      <c r="M42" s="336"/>
      <c r="N42" s="336"/>
      <c r="O42" s="336"/>
      <c r="P42" s="336"/>
      <c r="Q42" s="336"/>
      <c r="R42" s="336"/>
      <c r="U42" s="358"/>
      <c r="V42" s="358"/>
      <c r="W42" s="358"/>
      <c r="X42" s="358"/>
      <c r="Y42" s="358"/>
      <c r="Z42" s="358"/>
      <c r="AA42" s="358"/>
      <c r="AB42" s="358"/>
      <c r="AC42" s="358"/>
      <c r="AD42" s="358"/>
      <c r="AE42" s="358"/>
      <c r="AF42" s="358"/>
      <c r="AG42" s="358"/>
      <c r="AH42" s="358"/>
      <c r="AI42" s="358"/>
      <c r="AJ42" s="358"/>
      <c r="AK42" s="358"/>
      <c r="AL42" s="358"/>
      <c r="AM42" s="358"/>
      <c r="AN42" s="358"/>
      <c r="AO42" s="358"/>
      <c r="AP42" s="358"/>
      <c r="AQ42" s="358"/>
    </row>
    <row r="43" ht="16.95" customHeight="1" spans="2:43">
      <c r="B43" s="336"/>
      <c r="C43" s="336"/>
      <c r="D43" s="336"/>
      <c r="E43" s="336"/>
      <c r="F43" s="336"/>
      <c r="G43" s="336"/>
      <c r="H43" s="336"/>
      <c r="I43" s="336"/>
      <c r="J43" s="336"/>
      <c r="K43" s="336"/>
      <c r="L43" s="336"/>
      <c r="M43" s="336"/>
      <c r="N43" s="336"/>
      <c r="O43" s="336"/>
      <c r="P43" s="336"/>
      <c r="Q43" s="336"/>
      <c r="R43" s="336"/>
      <c r="U43" s="358"/>
      <c r="V43" s="358"/>
      <c r="W43" s="358"/>
      <c r="X43" s="358"/>
      <c r="Y43" s="358"/>
      <c r="Z43" s="358"/>
      <c r="AA43" s="358"/>
      <c r="AB43" s="358"/>
      <c r="AC43" s="358"/>
      <c r="AD43" s="358"/>
      <c r="AE43" s="358"/>
      <c r="AF43" s="358"/>
      <c r="AG43" s="358"/>
      <c r="AH43" s="358"/>
      <c r="AI43" s="358"/>
      <c r="AJ43" s="358"/>
      <c r="AK43" s="358"/>
      <c r="AL43" s="358"/>
      <c r="AM43" s="358"/>
      <c r="AN43" s="358"/>
      <c r="AO43" s="358"/>
      <c r="AP43" s="358"/>
      <c r="AQ43" s="358"/>
    </row>
    <row r="44" ht="16.95" customHeight="1" spans="2:43">
      <c r="B44" s="336"/>
      <c r="C44" s="336"/>
      <c r="D44" s="336"/>
      <c r="E44" s="336"/>
      <c r="F44" s="336"/>
      <c r="G44" s="336"/>
      <c r="H44" s="336"/>
      <c r="I44" s="336"/>
      <c r="J44" s="336"/>
      <c r="K44" s="336"/>
      <c r="L44" s="336"/>
      <c r="M44" s="336"/>
      <c r="N44" s="336"/>
      <c r="O44" s="336"/>
      <c r="P44" s="336"/>
      <c r="Q44" s="336"/>
      <c r="R44" s="336"/>
      <c r="U44" s="358"/>
      <c r="V44" s="358"/>
      <c r="W44" s="358"/>
      <c r="X44" s="358"/>
      <c r="Y44" s="358"/>
      <c r="Z44" s="358"/>
      <c r="AA44" s="358"/>
      <c r="AB44" s="358"/>
      <c r="AC44" s="358"/>
      <c r="AD44" s="358"/>
      <c r="AE44" s="358"/>
      <c r="AF44" s="358"/>
      <c r="AG44" s="358"/>
      <c r="AH44" s="358"/>
      <c r="AI44" s="358"/>
      <c r="AJ44" s="358"/>
      <c r="AK44" s="358"/>
      <c r="AL44" s="358"/>
      <c r="AM44" s="358"/>
      <c r="AN44" s="358"/>
      <c r="AO44" s="358"/>
      <c r="AP44" s="358"/>
      <c r="AQ44" s="358"/>
    </row>
    <row r="45" ht="16.95" customHeight="1" spans="2:43">
      <c r="B45" s="336"/>
      <c r="C45" s="336"/>
      <c r="D45" s="336"/>
      <c r="E45" s="336"/>
      <c r="F45" s="336"/>
      <c r="G45" s="336"/>
      <c r="H45" s="336"/>
      <c r="I45" s="336"/>
      <c r="J45" s="336"/>
      <c r="K45" s="336"/>
      <c r="L45" s="336"/>
      <c r="M45" s="336"/>
      <c r="N45" s="336"/>
      <c r="O45" s="336"/>
      <c r="P45" s="336"/>
      <c r="Q45" s="336"/>
      <c r="R45" s="336"/>
      <c r="U45" s="358"/>
      <c r="V45" s="358"/>
      <c r="W45" s="358"/>
      <c r="X45" s="358"/>
      <c r="Y45" s="358"/>
      <c r="Z45" s="358"/>
      <c r="AA45" s="358"/>
      <c r="AB45" s="358"/>
      <c r="AC45" s="358"/>
      <c r="AD45" s="358"/>
      <c r="AE45" s="358"/>
      <c r="AF45" s="358"/>
      <c r="AG45" s="358"/>
      <c r="AH45" s="358"/>
      <c r="AI45" s="358"/>
      <c r="AJ45" s="358"/>
      <c r="AK45" s="358"/>
      <c r="AL45" s="358"/>
      <c r="AM45" s="358"/>
      <c r="AN45" s="358"/>
      <c r="AO45" s="358"/>
      <c r="AP45" s="358"/>
      <c r="AQ45" s="358"/>
    </row>
    <row r="46" ht="16.95" customHeight="1" spans="2:43">
      <c r="B46" s="336"/>
      <c r="C46" s="336"/>
      <c r="D46" s="336"/>
      <c r="E46" s="336"/>
      <c r="F46" s="336"/>
      <c r="G46" s="336"/>
      <c r="H46" s="336"/>
      <c r="I46" s="336"/>
      <c r="J46" s="336"/>
      <c r="K46" s="336"/>
      <c r="L46" s="336"/>
      <c r="M46" s="336"/>
      <c r="N46" s="336"/>
      <c r="O46" s="336"/>
      <c r="P46" s="336"/>
      <c r="Q46" s="336"/>
      <c r="R46" s="336"/>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row>
    <row r="47" ht="16.95" customHeight="1" spans="2:43">
      <c r="B47" s="336"/>
      <c r="C47" s="336"/>
      <c r="D47" s="336"/>
      <c r="E47" s="336"/>
      <c r="F47" s="336"/>
      <c r="G47" s="336"/>
      <c r="H47" s="336"/>
      <c r="I47" s="336"/>
      <c r="J47" s="336"/>
      <c r="K47" s="336"/>
      <c r="L47" s="336"/>
      <c r="M47" s="336"/>
      <c r="N47" s="336"/>
      <c r="O47" s="336"/>
      <c r="P47" s="336"/>
      <c r="Q47" s="336"/>
      <c r="R47" s="336"/>
      <c r="U47" s="358"/>
      <c r="V47" s="358"/>
      <c r="W47" s="358"/>
      <c r="X47" s="358"/>
      <c r="Y47" s="358"/>
      <c r="Z47" s="358"/>
      <c r="AA47" s="358"/>
      <c r="AB47" s="358"/>
      <c r="AC47" s="358"/>
      <c r="AD47" s="358"/>
      <c r="AE47" s="358"/>
      <c r="AF47" s="358"/>
      <c r="AG47" s="358"/>
      <c r="AH47" s="358"/>
      <c r="AI47" s="358"/>
      <c r="AJ47" s="358"/>
      <c r="AK47" s="358"/>
      <c r="AL47" s="358"/>
      <c r="AM47" s="358"/>
      <c r="AN47" s="358"/>
      <c r="AO47" s="358"/>
      <c r="AP47" s="358"/>
      <c r="AQ47" s="358"/>
    </row>
    <row r="48" ht="16.95" customHeight="1" spans="2:18">
      <c r="B48" s="336"/>
      <c r="C48" s="336"/>
      <c r="D48" s="336"/>
      <c r="E48" s="336"/>
      <c r="F48" s="336"/>
      <c r="G48" s="336"/>
      <c r="H48" s="336"/>
      <c r="I48" s="336"/>
      <c r="J48" s="336"/>
      <c r="K48" s="336"/>
      <c r="L48" s="336"/>
      <c r="M48" s="336"/>
      <c r="N48" s="336"/>
      <c r="O48" s="336"/>
      <c r="P48" s="336"/>
      <c r="Q48" s="336"/>
      <c r="R48" s="336"/>
    </row>
    <row r="49" ht="16.95" customHeight="1"/>
    <row r="50" ht="16.95" customHeight="1"/>
    <row r="51" ht="16.95" customHeight="1"/>
    <row r="52" ht="16.95" customHeight="1"/>
  </sheetData>
  <sheetProtection selectLockedCells="1"/>
  <mergeCells count="161">
    <mergeCell ref="A1:AR1"/>
    <mergeCell ref="AT1:CJ1"/>
    <mergeCell ref="AH2:AI2"/>
    <mergeCell ref="AK2:AL2"/>
    <mergeCell ref="AM2:AN2"/>
    <mergeCell ref="AP2:AQ2"/>
    <mergeCell ref="B3:D3"/>
    <mergeCell ref="E3:R3"/>
    <mergeCell ref="U3:V3"/>
    <mergeCell ref="W3:Y3"/>
    <mergeCell ref="Z3:AA3"/>
    <mergeCell ref="AB3:AC3"/>
    <mergeCell ref="AF3:AG3"/>
    <mergeCell ref="AH3:AI3"/>
    <mergeCell ref="AK3:AL3"/>
    <mergeCell ref="AM3:AN3"/>
    <mergeCell ref="AP3:AQ3"/>
    <mergeCell ref="AU3:AW3"/>
    <mergeCell ref="AX3:BB3"/>
    <mergeCell ref="BD3:BF3"/>
    <mergeCell ref="BG3:BK3"/>
    <mergeCell ref="BM3:BN3"/>
    <mergeCell ref="BO3:BQ3"/>
    <mergeCell ref="BS3:BU3"/>
    <mergeCell ref="BW3:BX3"/>
    <mergeCell ref="BY3:CA3"/>
    <mergeCell ref="CB3:CC3"/>
    <mergeCell ref="CD3:CE3"/>
    <mergeCell ref="B4:D4"/>
    <mergeCell ref="E4:R4"/>
    <mergeCell ref="U4:V4"/>
    <mergeCell ref="W4:AC4"/>
    <mergeCell ref="AF4:AG4"/>
    <mergeCell ref="AH4:AI4"/>
    <mergeCell ref="AK4:AL4"/>
    <mergeCell ref="AM4:AN4"/>
    <mergeCell ref="AP4:AQ4"/>
    <mergeCell ref="AU4:AW4"/>
    <mergeCell ref="AX4:BB4"/>
    <mergeCell ref="BD4:BF4"/>
    <mergeCell ref="BG4:BK4"/>
    <mergeCell ref="BM4:BN4"/>
    <mergeCell ref="BO4:BP4"/>
    <mergeCell ref="BR4:BS4"/>
    <mergeCell ref="BT4:BU4"/>
    <mergeCell ref="BW4:BX4"/>
    <mergeCell ref="BY4:CE4"/>
    <mergeCell ref="B5:D5"/>
    <mergeCell ref="E5:R5"/>
    <mergeCell ref="AF5:AG5"/>
    <mergeCell ref="AH5:AI5"/>
    <mergeCell ref="AK5:AL5"/>
    <mergeCell ref="AM5:AN5"/>
    <mergeCell ref="AP5:AQ5"/>
    <mergeCell ref="AU5:AW5"/>
    <mergeCell ref="AX5:BB5"/>
    <mergeCell ref="BD5:BF5"/>
    <mergeCell ref="BG5:BK5"/>
    <mergeCell ref="BM5:BP5"/>
    <mergeCell ref="BQ5:BU5"/>
    <mergeCell ref="U6:V6"/>
    <mergeCell ref="W6:Y6"/>
    <mergeCell ref="AA6:AC6"/>
    <mergeCell ref="AF6:AG6"/>
    <mergeCell ref="AH6:AI6"/>
    <mergeCell ref="AK6:AL6"/>
    <mergeCell ref="AM6:AN6"/>
    <mergeCell ref="AP6:AQ6"/>
    <mergeCell ref="AX6:AY6"/>
    <mergeCell ref="BA6:BB6"/>
    <mergeCell ref="BC6:BD6"/>
    <mergeCell ref="CA6:CI6"/>
    <mergeCell ref="B7:D7"/>
    <mergeCell ref="E7:I7"/>
    <mergeCell ref="K7:M7"/>
    <mergeCell ref="N7:R7"/>
    <mergeCell ref="U7:V7"/>
    <mergeCell ref="W7:X7"/>
    <mergeCell ref="Z7:AA7"/>
    <mergeCell ref="AB7:AC7"/>
    <mergeCell ref="AF7:AG7"/>
    <mergeCell ref="AH7:AI7"/>
    <mergeCell ref="AK7:AL7"/>
    <mergeCell ref="AM7:AN7"/>
    <mergeCell ref="AP7:AQ7"/>
    <mergeCell ref="AV7:AW7"/>
    <mergeCell ref="AX7:AY7"/>
    <mergeCell ref="BA7:BB7"/>
    <mergeCell ref="BC7:BD7"/>
    <mergeCell ref="BF7:BG7"/>
    <mergeCell ref="BH7:BY7"/>
    <mergeCell ref="B8:D8"/>
    <mergeCell ref="E8:I8"/>
    <mergeCell ref="K8:M8"/>
    <mergeCell ref="N8:R8"/>
    <mergeCell ref="U8:X8"/>
    <mergeCell ref="Y8:AC8"/>
    <mergeCell ref="AF8:AG8"/>
    <mergeCell ref="AH8:AI8"/>
    <mergeCell ref="AK8:AL8"/>
    <mergeCell ref="AM8:AN8"/>
    <mergeCell ref="AP8:AQ8"/>
    <mergeCell ref="AV8:AW8"/>
    <mergeCell ref="AX8:AY8"/>
    <mergeCell ref="BA8:BB8"/>
    <mergeCell ref="BC8:BD8"/>
    <mergeCell ref="BF8:BG8"/>
    <mergeCell ref="BH8:BY8"/>
    <mergeCell ref="B9:D9"/>
    <mergeCell ref="E9:I9"/>
    <mergeCell ref="K9:M9"/>
    <mergeCell ref="N9:R9"/>
    <mergeCell ref="AV9:AW9"/>
    <mergeCell ref="AX9:AY9"/>
    <mergeCell ref="BA9:BB9"/>
    <mergeCell ref="BC9:BD9"/>
    <mergeCell ref="BF9:BG9"/>
    <mergeCell ref="BH9:BY9"/>
    <mergeCell ref="U10:V10"/>
    <mergeCell ref="W10:AQ10"/>
    <mergeCell ref="AV10:AW10"/>
    <mergeCell ref="AX10:AY10"/>
    <mergeCell ref="BA10:BB10"/>
    <mergeCell ref="BC10:BD10"/>
    <mergeCell ref="BF10:BG10"/>
    <mergeCell ref="BH10:BY10"/>
    <mergeCell ref="B11:R11"/>
    <mergeCell ref="U11:V11"/>
    <mergeCell ref="W11:AQ11"/>
    <mergeCell ref="AV11:AW11"/>
    <mergeCell ref="AX11:AY11"/>
    <mergeCell ref="BA11:BB11"/>
    <mergeCell ref="BC11:BD11"/>
    <mergeCell ref="BF11:BG11"/>
    <mergeCell ref="BH11:BY11"/>
    <mergeCell ref="U12:V12"/>
    <mergeCell ref="W12:AQ12"/>
    <mergeCell ref="AV12:AW12"/>
    <mergeCell ref="AX12:AY12"/>
    <mergeCell ref="BA12:BB12"/>
    <mergeCell ref="BC12:BD12"/>
    <mergeCell ref="BF12:BG12"/>
    <mergeCell ref="BH12:BY12"/>
    <mergeCell ref="U13:V13"/>
    <mergeCell ref="W13:AQ13"/>
    <mergeCell ref="AU13:BN13"/>
    <mergeCell ref="BP13:CI13"/>
    <mergeCell ref="U14:V14"/>
    <mergeCell ref="W14:AQ14"/>
    <mergeCell ref="U15:AQ15"/>
    <mergeCell ref="U31:AQ31"/>
    <mergeCell ref="B37:R37"/>
    <mergeCell ref="U32:AQ47"/>
    <mergeCell ref="B12:R36"/>
    <mergeCell ref="AU14:BN29"/>
    <mergeCell ref="BP14:CI29"/>
    <mergeCell ref="B38:R48"/>
    <mergeCell ref="CH3:CJ4"/>
    <mergeCell ref="CF3:CG4"/>
    <mergeCell ref="CA7:CI12"/>
    <mergeCell ref="U16:AQ30"/>
  </mergeCells>
  <dataValidations count="6">
    <dataValidation type="list" allowBlank="1" showInputMessage="1" showErrorMessage="1" sqref="CD3:CE3">
      <formula1>数据表!$CO$2:$CO$35</formula1>
    </dataValidation>
    <dataValidation type="list" allowBlank="1" showInputMessage="1" sqref="BG4:BK4 N8:R8">
      <formula1>数据表!$CL$16:$CL$21</formula1>
    </dataValidation>
    <dataValidation type="list" allowBlank="1" showInputMessage="1" sqref="AX5:BB5 E9:I9">
      <formula1>"守序善良,中立善良,混乱善良,守序中立,绝对中立,混乱中立,守序邪恶,中立邪恶,混乱邪恶,无阵营"</formula1>
    </dataValidation>
    <dataValidation type="list" allowBlank="1" showInputMessage="1" sqref="BG5:BK5 N9:R9">
      <formula1>"异怪,野兽,天界,构装,龙类,元素,精类,邪魔,巨人,类人,怪兽,泥怪,植物,不死"</formula1>
    </dataValidation>
    <dataValidation type="list" allowBlank="1" showInputMessage="1" sqref="E7:I7">
      <formula1>"无,野蛮人,吟游诗人,牧师,德鲁伊,战士,武僧,圣武士,游侠,游荡者,术士,魔契师,法师,施法者,武者,专家"</formula1>
    </dataValidation>
    <dataValidation type="list" allowBlank="1" showInputMessage="1" showErrorMessage="1" sqref="AE3:AE8 AU7:AU12">
      <formula1>"X,O"</formula1>
    </dataValidation>
  </dataValidations>
  <pageMargins left="0.75" right="0.75" top="1" bottom="1" header="0.511805555555556" footer="0.511805555555556"/>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tabColor theme="9" tint="-0.249977111117893"/>
  </sheetPr>
  <dimension ref="A1:CN51"/>
  <sheetViews>
    <sheetView zoomScale="85" zoomScaleNormal="85" workbookViewId="0">
      <selection activeCell="AW5" sqref="AW5:BA6"/>
    </sheetView>
  </sheetViews>
  <sheetFormatPr defaultColWidth="2.33636363636364" defaultRowHeight="17.1" customHeight="1"/>
  <cols>
    <col min="1" max="109" width="2.33636363636364" style="269"/>
    <col min="110" max="110" width="2.33636363636364" style="269" customWidth="1"/>
    <col min="111" max="16384" width="2.33636363636364" style="269"/>
  </cols>
  <sheetData>
    <row r="1" customHeight="1" spans="1:92">
      <c r="A1" s="270" t="s">
        <v>7488</v>
      </c>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row>
    <row r="2" ht="7.95" customHeight="1"/>
    <row r="3" customHeight="1" spans="2:91">
      <c r="B3" s="271" t="s">
        <v>7489</v>
      </c>
      <c r="C3" s="271"/>
      <c r="D3" s="271"/>
      <c r="E3" s="271"/>
      <c r="F3" s="271"/>
      <c r="G3" s="271"/>
      <c r="H3" s="271"/>
      <c r="I3" s="271"/>
      <c r="J3" s="271"/>
      <c r="K3" s="271"/>
      <c r="L3" s="271"/>
      <c r="M3" s="271"/>
      <c r="N3" s="271"/>
      <c r="O3" s="271"/>
      <c r="P3" s="271"/>
      <c r="Q3" s="271"/>
      <c r="R3" s="271"/>
      <c r="S3" s="271"/>
      <c r="T3" s="271"/>
      <c r="U3" s="271"/>
      <c r="V3" s="271"/>
      <c r="W3" s="271"/>
      <c r="X3" s="271"/>
      <c r="Y3" s="271"/>
      <c r="Z3" s="271"/>
      <c r="AA3" s="271"/>
      <c r="AB3" s="271"/>
      <c r="AC3" s="271"/>
      <c r="AD3" s="271"/>
      <c r="AE3" s="271"/>
      <c r="AF3" s="271"/>
      <c r="AG3" s="271"/>
      <c r="AH3" s="271"/>
      <c r="AI3" s="271"/>
      <c r="AJ3" s="271"/>
      <c r="AK3" s="271"/>
      <c r="AL3" s="271"/>
      <c r="AM3" s="271"/>
      <c r="AN3" s="271"/>
      <c r="AO3" s="271"/>
      <c r="AP3" s="271"/>
      <c r="AQ3" s="271"/>
      <c r="AR3" s="271"/>
      <c r="AS3" s="271"/>
      <c r="AT3" s="271"/>
      <c r="AW3" s="271" t="s">
        <v>7490</v>
      </c>
      <c r="AX3" s="271"/>
      <c r="AY3" s="271"/>
      <c r="AZ3" s="271"/>
      <c r="BA3" s="271"/>
      <c r="BB3" s="271"/>
      <c r="BC3" s="271"/>
      <c r="BD3" s="271"/>
      <c r="BE3" s="271"/>
      <c r="BF3" s="271"/>
      <c r="BG3" s="271"/>
      <c r="BH3" s="271"/>
      <c r="BI3" s="271"/>
      <c r="BJ3" s="271"/>
      <c r="BK3" s="271"/>
      <c r="BL3" s="271"/>
      <c r="BM3" s="271"/>
      <c r="BN3" s="271"/>
      <c r="BO3" s="271"/>
      <c r="BP3" s="271"/>
      <c r="BQ3" s="271"/>
      <c r="BR3" s="271"/>
      <c r="BS3" s="271"/>
      <c r="BT3" s="271"/>
      <c r="BU3" s="271"/>
      <c r="BV3" s="271"/>
      <c r="BW3" s="271"/>
      <c r="BX3" s="271"/>
      <c r="BY3" s="271"/>
      <c r="BZ3" s="271"/>
      <c r="CA3" s="271"/>
      <c r="CB3" s="271"/>
      <c r="CC3" s="271"/>
      <c r="CD3" s="271"/>
      <c r="CE3" s="271"/>
      <c r="CF3" s="271"/>
      <c r="CG3" s="271"/>
      <c r="CH3" s="271"/>
      <c r="CI3" s="271"/>
      <c r="CJ3" s="271"/>
      <c r="CK3" s="271"/>
      <c r="CL3" s="271"/>
      <c r="CM3" s="271"/>
    </row>
    <row r="4" customHeight="1" spans="2:91">
      <c r="B4" s="272" t="s">
        <v>7491</v>
      </c>
      <c r="C4" s="272"/>
      <c r="D4" s="272"/>
      <c r="E4" s="272"/>
      <c r="F4" s="272"/>
      <c r="G4" s="272"/>
      <c r="H4" s="272"/>
      <c r="I4" s="272" t="s">
        <v>6569</v>
      </c>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t="s">
        <v>6570</v>
      </c>
      <c r="AJ4" s="272"/>
      <c r="AK4" s="272"/>
      <c r="AL4" s="272" t="s">
        <v>6571</v>
      </c>
      <c r="AM4" s="272"/>
      <c r="AN4" s="272"/>
      <c r="AO4" s="272"/>
      <c r="AP4" s="272"/>
      <c r="AQ4" s="272"/>
      <c r="AR4" s="272" t="s">
        <v>6572</v>
      </c>
      <c r="AS4" s="272"/>
      <c r="AT4" s="272"/>
      <c r="AW4" s="272" t="s">
        <v>7492</v>
      </c>
      <c r="AX4" s="272"/>
      <c r="AY4" s="272"/>
      <c r="AZ4" s="272"/>
      <c r="BA4" s="272"/>
      <c r="BB4" s="272" t="s">
        <v>7493</v>
      </c>
      <c r="BC4" s="272"/>
      <c r="BD4" s="272"/>
      <c r="BE4" s="272"/>
      <c r="BF4" s="272"/>
      <c r="BG4" s="272"/>
      <c r="BH4" s="272" t="s">
        <v>7494</v>
      </c>
      <c r="BI4" s="272"/>
      <c r="BJ4" s="272"/>
      <c r="BK4" s="272"/>
      <c r="BL4" s="272"/>
      <c r="BM4" s="272"/>
      <c r="BN4" s="272"/>
      <c r="BO4" s="272"/>
      <c r="BP4" s="272"/>
      <c r="BQ4" s="272"/>
      <c r="BR4" s="272"/>
      <c r="BS4" s="272"/>
      <c r="BT4" s="272"/>
      <c r="BU4" s="272"/>
      <c r="BV4" s="272"/>
      <c r="BW4" s="272"/>
      <c r="BX4" s="272"/>
      <c r="BY4" s="272"/>
      <c r="BZ4" s="272"/>
      <c r="CA4" s="272"/>
      <c r="CB4" s="272"/>
      <c r="CC4" s="272"/>
      <c r="CD4" s="272"/>
      <c r="CE4" s="272"/>
      <c r="CF4" s="272"/>
      <c r="CG4" s="272"/>
      <c r="CH4" s="272"/>
      <c r="CI4" s="272"/>
      <c r="CJ4" s="272"/>
      <c r="CK4" s="272"/>
      <c r="CL4" s="272"/>
      <c r="CM4" s="272"/>
    </row>
    <row r="5" customHeight="1" spans="2:91">
      <c r="B5" s="273" t="s">
        <v>7495</v>
      </c>
      <c r="C5" s="273"/>
      <c r="D5" s="273"/>
      <c r="E5" s="273"/>
      <c r="F5" s="273"/>
      <c r="G5" s="273"/>
      <c r="H5" s="273"/>
      <c r="I5" s="284" t="str">
        <f>专长与据点!R4</f>
        <v>可以使用奥术法器或可以将工具作为施法法器</v>
      </c>
      <c r="J5" s="284"/>
      <c r="K5" s="284"/>
      <c r="L5" s="284"/>
      <c r="M5" s="284"/>
      <c r="N5" s="284"/>
      <c r="O5" s="284"/>
      <c r="P5" s="284"/>
      <c r="Q5" s="284"/>
      <c r="R5" s="284"/>
      <c r="S5" s="284"/>
      <c r="T5" s="284"/>
      <c r="U5" s="284"/>
      <c r="V5" s="284"/>
      <c r="W5" s="284"/>
      <c r="X5" s="284"/>
      <c r="Y5" s="284"/>
      <c r="Z5" s="284"/>
      <c r="AA5" s="284"/>
      <c r="AB5" s="284"/>
      <c r="AC5" s="284"/>
      <c r="AD5" s="284"/>
      <c r="AE5" s="284"/>
      <c r="AF5" s="284"/>
      <c r="AG5" s="284"/>
      <c r="AH5" s="284"/>
      <c r="AI5" s="284" t="str">
        <f>专长与据点!S4</f>
        <v>宽敞</v>
      </c>
      <c r="AJ5" s="284"/>
      <c r="AK5" s="284"/>
      <c r="AL5" s="284">
        <f>专长与据点!T4</f>
        <v>1</v>
      </c>
      <c r="AM5" s="284"/>
      <c r="AN5" s="284"/>
      <c r="AO5" s="284"/>
      <c r="AP5" s="284"/>
      <c r="AQ5" s="284"/>
      <c r="AR5" s="284" t="str">
        <f>专长与据点!U4</f>
        <v>制造</v>
      </c>
      <c r="AS5" s="284"/>
      <c r="AT5" s="284"/>
      <c r="AW5" s="290"/>
      <c r="AX5" s="290"/>
      <c r="AY5" s="290"/>
      <c r="AZ5" s="290"/>
      <c r="BA5" s="290"/>
      <c r="BB5" s="290"/>
      <c r="BC5" s="290"/>
      <c r="BD5" s="290"/>
      <c r="BE5" s="290"/>
      <c r="BF5" s="290"/>
      <c r="BG5" s="290"/>
      <c r="BH5" s="298"/>
      <c r="BI5" s="298"/>
      <c r="BJ5" s="298"/>
      <c r="BK5" s="298"/>
      <c r="BL5" s="298"/>
      <c r="BM5" s="298"/>
      <c r="BN5" s="298"/>
      <c r="BO5" s="298"/>
      <c r="BP5" s="298"/>
      <c r="BQ5" s="298"/>
      <c r="BR5" s="298"/>
      <c r="BS5" s="298"/>
      <c r="BT5" s="298"/>
      <c r="BU5" s="298"/>
      <c r="BV5" s="298"/>
      <c r="BW5" s="298"/>
      <c r="BX5" s="298"/>
      <c r="BY5" s="298"/>
      <c r="BZ5" s="298"/>
      <c r="CA5" s="298"/>
      <c r="CB5" s="298"/>
      <c r="CC5" s="298"/>
      <c r="CD5" s="298"/>
      <c r="CE5" s="298"/>
      <c r="CF5" s="298"/>
      <c r="CG5" s="298"/>
      <c r="CH5" s="298"/>
      <c r="CI5" s="298"/>
      <c r="CJ5" s="298"/>
      <c r="CK5" s="298"/>
      <c r="CL5" s="298"/>
      <c r="CM5" s="298"/>
    </row>
    <row r="6" customHeight="1" spans="2:91">
      <c r="B6" s="272" t="s">
        <v>7496</v>
      </c>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W6" s="291"/>
      <c r="AX6" s="291"/>
      <c r="AY6" s="291"/>
      <c r="AZ6" s="291"/>
      <c r="BA6" s="291"/>
      <c r="BB6" s="291"/>
      <c r="BC6" s="291"/>
      <c r="BD6" s="291"/>
      <c r="BE6" s="291"/>
      <c r="BF6" s="291"/>
      <c r="BG6" s="291"/>
      <c r="BH6" s="299"/>
      <c r="BI6" s="299"/>
      <c r="BJ6" s="299"/>
      <c r="BK6" s="299"/>
      <c r="BL6" s="299"/>
      <c r="BM6" s="299"/>
      <c r="BN6" s="299"/>
      <c r="BO6" s="299"/>
      <c r="BP6" s="299"/>
      <c r="BQ6" s="299"/>
      <c r="BR6" s="299"/>
      <c r="BS6" s="299"/>
      <c r="BT6" s="299"/>
      <c r="BU6" s="299"/>
      <c r="BV6" s="299"/>
      <c r="BW6" s="299"/>
      <c r="BX6" s="299"/>
      <c r="BY6" s="299"/>
      <c r="BZ6" s="299"/>
      <c r="CA6" s="299"/>
      <c r="CB6" s="299"/>
      <c r="CC6" s="299"/>
      <c r="CD6" s="299"/>
      <c r="CE6" s="299"/>
      <c r="CF6" s="299"/>
      <c r="CG6" s="299"/>
      <c r="CH6" s="299"/>
      <c r="CI6" s="299"/>
      <c r="CJ6" s="299"/>
      <c r="CK6" s="299"/>
      <c r="CL6" s="299"/>
      <c r="CM6" s="299"/>
    </row>
    <row r="7" customHeight="1" spans="2:76">
      <c r="B7" s="274" t="str">
        <f>专长与据点!V4</f>
        <v>奥术研究室是一个安静的实验场所，包含一台或更多的书桌与书架。
秘学护咒 Arcane Study Charm ：当你在据点内进行一次长休后，你获得一个魔法护咒Charm（见第三章“超自然恩惠 Supernatural Gifts”一节），此护咒持续7天或持续至你将其使用为止。此护咒允许你施展一次鉴定术Identify ，无需消耗法术位也无需准备施法材料。你无法在已拥有该护咒时再次获得它。
制造选项 Craft Option ：当你对此设施下达制造指令时，从以下选项中选择一项：
制造：奥术法器 Craft: Arcane Focus ：你委托该设施的雇员制造一个奥术法器Arcane Focus，这项工作需要7天且无需花费金钱。在你领取它之前，造好的法器会留在你的据点内。
制造：书卷 Craft：Book ：你委托该设施的雇员制造一本空白的书。 这项工作需要7天并且需要花费10GP。在你将其领取前，造出的书会留在你的据点内。
制造：魔法物品(奥秘) Craft：Magic Item（Arcana） ：如果你的等级达到或高于9级，你可以委托此设施的雇员制造一件由你选择的普通Common或非普通Uncommon魔法物品，该物品必须来自第七章的奥秘Arcana表格。此设施拥有制造该物品所需的工具，而其雇员拥有该工具的熟练以及奥秘Arcana技能的熟练。参考第七章“制造魔法物品 Crafting Magic Items”一节来决定制造该物品所需的时间与金钱花费。如果该物品允许使用者用它施展任何法术，你必须亲自制造它（设施雇员可以协助你），并且在制造该物品期间，你每天都必须准备所有该物品可以施展的法术。</v>
      </c>
      <c r="C7" s="275"/>
      <c r="D7" s="275"/>
      <c r="E7" s="275"/>
      <c r="F7" s="275"/>
      <c r="G7" s="275"/>
      <c r="H7" s="275"/>
      <c r="I7" s="275"/>
      <c r="J7" s="275"/>
      <c r="K7" s="275"/>
      <c r="L7" s="275"/>
      <c r="M7" s="275"/>
      <c r="N7" s="275"/>
      <c r="O7" s="275"/>
      <c r="P7" s="275"/>
      <c r="Q7" s="275"/>
      <c r="R7" s="275"/>
      <c r="S7" s="275"/>
      <c r="T7" s="275"/>
      <c r="U7" s="275"/>
      <c r="V7" s="275"/>
      <c r="W7" s="275"/>
      <c r="X7" s="275"/>
      <c r="Y7" s="275"/>
      <c r="Z7" s="275"/>
      <c r="AA7" s="275"/>
      <c r="AB7" s="275"/>
      <c r="AC7" s="275"/>
      <c r="AD7" s="275"/>
      <c r="AE7" s="275"/>
      <c r="AF7" s="275"/>
      <c r="AG7" s="275"/>
      <c r="AH7" s="275"/>
      <c r="AI7" s="275"/>
      <c r="AJ7" s="275"/>
      <c r="AK7" s="275"/>
      <c r="AL7" s="275"/>
      <c r="AM7" s="275"/>
      <c r="AN7" s="275"/>
      <c r="AO7" s="275"/>
      <c r="AP7" s="275"/>
      <c r="AQ7" s="275"/>
      <c r="AR7" s="275"/>
      <c r="AS7" s="275"/>
      <c r="AT7" s="285"/>
      <c r="AW7" s="272" t="s">
        <v>7491</v>
      </c>
      <c r="AX7" s="272"/>
      <c r="AY7" s="272"/>
      <c r="AZ7" s="272"/>
      <c r="BA7" s="272"/>
      <c r="BB7" s="272"/>
      <c r="BC7" s="272"/>
      <c r="BD7" s="272" t="s">
        <v>6570</v>
      </c>
      <c r="BE7" s="272"/>
      <c r="BF7" s="272"/>
      <c r="BG7" s="300" t="s">
        <v>6571</v>
      </c>
      <c r="BH7" s="300"/>
      <c r="BI7" s="300"/>
      <c r="BJ7" s="300"/>
      <c r="BK7" s="300"/>
      <c r="BL7" s="300"/>
      <c r="BM7" s="307" t="s">
        <v>7497</v>
      </c>
      <c r="BN7" s="307"/>
      <c r="BO7" s="307"/>
      <c r="BP7" s="307"/>
      <c r="BQ7" s="307"/>
      <c r="BR7" s="307"/>
      <c r="BS7" s="307"/>
      <c r="BT7" s="307"/>
      <c r="BU7" s="307"/>
      <c r="BV7" s="307"/>
      <c r="BW7" s="307"/>
      <c r="BX7" s="307"/>
    </row>
    <row r="8" customHeight="1" spans="2:76">
      <c r="B8" s="276"/>
      <c r="C8" s="277"/>
      <c r="D8" s="277"/>
      <c r="E8" s="277"/>
      <c r="F8" s="277"/>
      <c r="G8" s="277"/>
      <c r="H8" s="277"/>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86"/>
      <c r="AW8" s="273"/>
      <c r="AX8" s="273"/>
      <c r="AY8" s="273"/>
      <c r="AZ8" s="273"/>
      <c r="BA8" s="273"/>
      <c r="BB8" s="273"/>
      <c r="BC8" s="273"/>
      <c r="BD8" s="273"/>
      <c r="BE8" s="273"/>
      <c r="BF8" s="273"/>
      <c r="BG8" s="301"/>
      <c r="BH8" s="302"/>
      <c r="BI8" s="302"/>
      <c r="BJ8" s="302"/>
      <c r="BK8" s="302"/>
      <c r="BL8" s="303"/>
      <c r="BM8" s="301"/>
      <c r="BN8" s="302"/>
      <c r="BO8" s="302"/>
      <c r="BP8" s="302"/>
      <c r="BQ8" s="302"/>
      <c r="BR8" s="302"/>
      <c r="BS8" s="302"/>
      <c r="BT8" s="302"/>
      <c r="BU8" s="302"/>
      <c r="BV8" s="302"/>
      <c r="BW8" s="302"/>
      <c r="BX8" s="303"/>
    </row>
    <row r="9" customHeight="1" spans="2:91">
      <c r="B9" s="276"/>
      <c r="C9" s="277"/>
      <c r="D9" s="277"/>
      <c r="E9" s="277"/>
      <c r="F9" s="277"/>
      <c r="G9" s="277"/>
      <c r="H9" s="277"/>
      <c r="I9" s="277"/>
      <c r="J9" s="277"/>
      <c r="K9" s="277"/>
      <c r="L9" s="277"/>
      <c r="M9" s="277"/>
      <c r="N9" s="277"/>
      <c r="O9" s="277"/>
      <c r="P9" s="277"/>
      <c r="Q9" s="277"/>
      <c r="R9" s="277"/>
      <c r="S9" s="277"/>
      <c r="T9" s="277"/>
      <c r="U9" s="277"/>
      <c r="V9" s="277"/>
      <c r="W9" s="277"/>
      <c r="X9" s="277"/>
      <c r="Y9" s="277"/>
      <c r="Z9" s="277"/>
      <c r="AA9" s="277"/>
      <c r="AB9" s="277"/>
      <c r="AC9" s="277"/>
      <c r="AD9" s="277"/>
      <c r="AE9" s="277"/>
      <c r="AF9" s="277"/>
      <c r="AG9" s="277"/>
      <c r="AH9" s="277"/>
      <c r="AI9" s="277"/>
      <c r="AJ9" s="277"/>
      <c r="AK9" s="277"/>
      <c r="AL9" s="277"/>
      <c r="AM9" s="277"/>
      <c r="AN9" s="277"/>
      <c r="AO9" s="277"/>
      <c r="AP9" s="277"/>
      <c r="AQ9" s="277"/>
      <c r="AR9" s="277"/>
      <c r="AS9" s="277"/>
      <c r="AT9" s="286"/>
      <c r="AW9" s="292"/>
      <c r="AX9" s="292"/>
      <c r="AY9" s="292"/>
      <c r="AZ9" s="292"/>
      <c r="BA9" s="292"/>
      <c r="BB9" s="292"/>
      <c r="BC9" s="292"/>
      <c r="BD9" s="292"/>
      <c r="BE9" s="292"/>
      <c r="BF9" s="292"/>
      <c r="BG9" s="304"/>
      <c r="BH9" s="305"/>
      <c r="BI9" s="305"/>
      <c r="BJ9" s="305"/>
      <c r="BK9" s="305"/>
      <c r="BL9" s="306"/>
      <c r="BM9" s="304"/>
      <c r="BN9" s="305"/>
      <c r="BO9" s="305"/>
      <c r="BP9" s="305"/>
      <c r="BQ9" s="305"/>
      <c r="BR9" s="305"/>
      <c r="BS9" s="305"/>
      <c r="BT9" s="305"/>
      <c r="BU9" s="305"/>
      <c r="BV9" s="305"/>
      <c r="BW9" s="305"/>
      <c r="BX9" s="306"/>
      <c r="BZ9" s="293" t="s">
        <v>7498</v>
      </c>
      <c r="CA9" s="293"/>
      <c r="CB9" s="293"/>
      <c r="CC9" s="293"/>
      <c r="CD9" s="293"/>
      <c r="CE9" s="293"/>
      <c r="CF9" s="293"/>
      <c r="CG9" s="293"/>
      <c r="CH9" s="293"/>
      <c r="CI9" s="293"/>
      <c r="CJ9" s="293"/>
      <c r="CK9" s="293"/>
      <c r="CL9" s="293"/>
      <c r="CM9" s="293"/>
    </row>
    <row r="10" customHeight="1" spans="2:91">
      <c r="B10" s="276"/>
      <c r="C10" s="277"/>
      <c r="D10" s="277"/>
      <c r="E10" s="277"/>
      <c r="F10" s="277"/>
      <c r="G10" s="277"/>
      <c r="H10" s="277"/>
      <c r="I10" s="277"/>
      <c r="J10" s="277"/>
      <c r="K10" s="277"/>
      <c r="L10" s="277"/>
      <c r="M10" s="277"/>
      <c r="N10" s="277"/>
      <c r="O10" s="277"/>
      <c r="P10" s="277"/>
      <c r="Q10" s="277"/>
      <c r="R10" s="277"/>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7"/>
      <c r="AQ10" s="277"/>
      <c r="AR10" s="277"/>
      <c r="AS10" s="277"/>
      <c r="AT10" s="286"/>
      <c r="AW10" s="273"/>
      <c r="AX10" s="273"/>
      <c r="AY10" s="273"/>
      <c r="AZ10" s="273"/>
      <c r="BA10" s="273"/>
      <c r="BB10" s="273"/>
      <c r="BC10" s="273"/>
      <c r="BD10" s="273"/>
      <c r="BE10" s="273"/>
      <c r="BF10" s="273"/>
      <c r="BG10" s="301"/>
      <c r="BH10" s="302"/>
      <c r="BI10" s="302"/>
      <c r="BJ10" s="302"/>
      <c r="BK10" s="302"/>
      <c r="BL10" s="303"/>
      <c r="BM10" s="301"/>
      <c r="BN10" s="302"/>
      <c r="BO10" s="302"/>
      <c r="BP10" s="302"/>
      <c r="BQ10" s="302"/>
      <c r="BR10" s="302"/>
      <c r="BS10" s="302"/>
      <c r="BT10" s="302"/>
      <c r="BU10" s="302"/>
      <c r="BV10" s="302"/>
      <c r="BW10" s="302"/>
      <c r="BX10" s="303"/>
      <c r="BZ10" s="308" t="s">
        <v>206</v>
      </c>
      <c r="CA10" s="308"/>
      <c r="CB10" s="309"/>
      <c r="CC10" s="309"/>
      <c r="CD10" s="309"/>
      <c r="CE10" s="309"/>
      <c r="CF10" s="309"/>
      <c r="CG10" s="316" t="s">
        <v>207</v>
      </c>
      <c r="CH10" s="316"/>
      <c r="CI10" s="317"/>
      <c r="CJ10" s="317"/>
      <c r="CK10" s="317"/>
      <c r="CL10" s="317"/>
      <c r="CM10" s="317"/>
    </row>
    <row r="11" customHeight="1" spans="2:91">
      <c r="B11" s="276"/>
      <c r="C11" s="277"/>
      <c r="D11" s="277"/>
      <c r="E11" s="277"/>
      <c r="F11" s="277"/>
      <c r="G11" s="277"/>
      <c r="H11" s="277"/>
      <c r="I11" s="277"/>
      <c r="J11" s="277"/>
      <c r="K11" s="277"/>
      <c r="L11" s="277"/>
      <c r="M11" s="277"/>
      <c r="N11" s="277"/>
      <c r="O11" s="277"/>
      <c r="P11" s="277"/>
      <c r="Q11" s="277"/>
      <c r="R11" s="277"/>
      <c r="S11" s="277"/>
      <c r="T11" s="277"/>
      <c r="U11" s="277"/>
      <c r="V11" s="277"/>
      <c r="W11" s="277"/>
      <c r="X11" s="277"/>
      <c r="Y11" s="277"/>
      <c r="Z11" s="277"/>
      <c r="AA11" s="277"/>
      <c r="AB11" s="277"/>
      <c r="AC11" s="277"/>
      <c r="AD11" s="277"/>
      <c r="AE11" s="277"/>
      <c r="AF11" s="277"/>
      <c r="AG11" s="277"/>
      <c r="AH11" s="277"/>
      <c r="AI11" s="277"/>
      <c r="AJ11" s="277"/>
      <c r="AK11" s="277"/>
      <c r="AL11" s="277"/>
      <c r="AM11" s="277"/>
      <c r="AN11" s="277"/>
      <c r="AO11" s="277"/>
      <c r="AP11" s="277"/>
      <c r="AQ11" s="277"/>
      <c r="AR11" s="277"/>
      <c r="AS11" s="277"/>
      <c r="AT11" s="286"/>
      <c r="AW11" s="292"/>
      <c r="AX11" s="292"/>
      <c r="AY11" s="292"/>
      <c r="AZ11" s="292"/>
      <c r="BA11" s="292"/>
      <c r="BB11" s="292"/>
      <c r="BC11" s="292"/>
      <c r="BD11" s="292"/>
      <c r="BE11" s="292"/>
      <c r="BF11" s="292"/>
      <c r="BG11" s="304"/>
      <c r="BH11" s="305"/>
      <c r="BI11" s="305"/>
      <c r="BJ11" s="305"/>
      <c r="BK11" s="305"/>
      <c r="BL11" s="306"/>
      <c r="BM11" s="304"/>
      <c r="BN11" s="305"/>
      <c r="BO11" s="305"/>
      <c r="BP11" s="305"/>
      <c r="BQ11" s="305"/>
      <c r="BR11" s="305"/>
      <c r="BS11" s="305"/>
      <c r="BT11" s="305"/>
      <c r="BU11" s="305"/>
      <c r="BV11" s="305"/>
      <c r="BW11" s="305"/>
      <c r="BX11" s="306"/>
      <c r="BZ11" s="310" t="s">
        <v>209</v>
      </c>
      <c r="CA11" s="310"/>
      <c r="CB11" s="311"/>
      <c r="CC11" s="311"/>
      <c r="CD11" s="311"/>
      <c r="CE11" s="311"/>
      <c r="CF11" s="311"/>
      <c r="CG11" s="318" t="s">
        <v>210</v>
      </c>
      <c r="CH11" s="318"/>
      <c r="CI11" s="318"/>
      <c r="CJ11" s="318"/>
      <c r="CK11" s="318"/>
      <c r="CL11" s="318"/>
      <c r="CM11" s="318"/>
    </row>
    <row r="12" customHeight="1" spans="2:91">
      <c r="B12" s="276"/>
      <c r="C12" s="277"/>
      <c r="D12" s="277"/>
      <c r="E12" s="277"/>
      <c r="F12" s="277"/>
      <c r="G12" s="277"/>
      <c r="H12" s="277"/>
      <c r="I12" s="277"/>
      <c r="J12" s="277"/>
      <c r="K12" s="277"/>
      <c r="L12" s="277"/>
      <c r="M12" s="277"/>
      <c r="N12" s="277"/>
      <c r="O12" s="277"/>
      <c r="P12" s="277"/>
      <c r="Q12" s="277"/>
      <c r="R12" s="277"/>
      <c r="S12" s="277"/>
      <c r="T12" s="277"/>
      <c r="U12" s="277"/>
      <c r="V12" s="277"/>
      <c r="W12" s="277"/>
      <c r="X12" s="277"/>
      <c r="Y12" s="277"/>
      <c r="Z12" s="277"/>
      <c r="AA12" s="277"/>
      <c r="AB12" s="277"/>
      <c r="AC12" s="277"/>
      <c r="AD12" s="277"/>
      <c r="AE12" s="277"/>
      <c r="AF12" s="277"/>
      <c r="AG12" s="277"/>
      <c r="AH12" s="277"/>
      <c r="AI12" s="277"/>
      <c r="AJ12" s="277"/>
      <c r="AK12" s="277"/>
      <c r="AL12" s="277"/>
      <c r="AM12" s="277"/>
      <c r="AN12" s="277"/>
      <c r="AO12" s="277"/>
      <c r="AP12" s="277"/>
      <c r="AQ12" s="277"/>
      <c r="AR12" s="277"/>
      <c r="AS12" s="277"/>
      <c r="AT12" s="286"/>
      <c r="AW12" s="273"/>
      <c r="AX12" s="273"/>
      <c r="AY12" s="273"/>
      <c r="AZ12" s="273"/>
      <c r="BA12" s="273"/>
      <c r="BB12" s="273"/>
      <c r="BC12" s="273"/>
      <c r="BD12" s="273"/>
      <c r="BE12" s="273"/>
      <c r="BF12" s="273"/>
      <c r="BG12" s="301"/>
      <c r="BH12" s="302"/>
      <c r="BI12" s="302"/>
      <c r="BJ12" s="302"/>
      <c r="BK12" s="302"/>
      <c r="BL12" s="303"/>
      <c r="BM12" s="301"/>
      <c r="BN12" s="302"/>
      <c r="BO12" s="302"/>
      <c r="BP12" s="302"/>
      <c r="BQ12" s="302"/>
      <c r="BR12" s="302"/>
      <c r="BS12" s="302"/>
      <c r="BT12" s="302"/>
      <c r="BU12" s="302"/>
      <c r="BV12" s="302"/>
      <c r="BW12" s="302"/>
      <c r="BX12" s="303"/>
      <c r="BZ12" s="312" t="s">
        <v>217</v>
      </c>
      <c r="CA12" s="312"/>
      <c r="CB12" s="313"/>
      <c r="CC12" s="313"/>
      <c r="CD12" s="313"/>
      <c r="CE12" s="313"/>
      <c r="CF12" s="313"/>
      <c r="CG12" s="319" t="str">
        <f>CONCATENATE(SUM(CI10*10+CB11/2+CB10+CB12/10+CB13/100),"GP")</f>
        <v>0GP</v>
      </c>
      <c r="CH12" s="319"/>
      <c r="CI12" s="319"/>
      <c r="CJ12" s="319"/>
      <c r="CK12" s="319"/>
      <c r="CL12" s="319"/>
      <c r="CM12" s="319"/>
    </row>
    <row r="13" customHeight="1" spans="2:91">
      <c r="B13" s="276"/>
      <c r="C13" s="277"/>
      <c r="D13" s="277"/>
      <c r="E13" s="277"/>
      <c r="F13" s="277"/>
      <c r="G13" s="277"/>
      <c r="H13" s="277"/>
      <c r="I13" s="277"/>
      <c r="J13" s="277"/>
      <c r="K13" s="277"/>
      <c r="L13" s="277"/>
      <c r="M13" s="277"/>
      <c r="N13" s="277"/>
      <c r="O13" s="277"/>
      <c r="P13" s="277"/>
      <c r="Q13" s="277"/>
      <c r="R13" s="277"/>
      <c r="S13" s="277"/>
      <c r="T13" s="277"/>
      <c r="U13" s="277"/>
      <c r="V13" s="277"/>
      <c r="W13" s="277"/>
      <c r="X13" s="277"/>
      <c r="Y13" s="277"/>
      <c r="Z13" s="277"/>
      <c r="AA13" s="277"/>
      <c r="AB13" s="277"/>
      <c r="AC13" s="277"/>
      <c r="AD13" s="277"/>
      <c r="AE13" s="277"/>
      <c r="AF13" s="277"/>
      <c r="AG13" s="277"/>
      <c r="AH13" s="277"/>
      <c r="AI13" s="277"/>
      <c r="AJ13" s="277"/>
      <c r="AK13" s="277"/>
      <c r="AL13" s="277"/>
      <c r="AM13" s="277"/>
      <c r="AN13" s="277"/>
      <c r="AO13" s="277"/>
      <c r="AP13" s="277"/>
      <c r="AQ13" s="277"/>
      <c r="AR13" s="277"/>
      <c r="AS13" s="277"/>
      <c r="AT13" s="286"/>
      <c r="AW13" s="292"/>
      <c r="AX13" s="292"/>
      <c r="AY13" s="292"/>
      <c r="AZ13" s="292"/>
      <c r="BA13" s="292"/>
      <c r="BB13" s="292"/>
      <c r="BC13" s="292"/>
      <c r="BD13" s="292"/>
      <c r="BE13" s="292"/>
      <c r="BF13" s="292"/>
      <c r="BG13" s="304"/>
      <c r="BH13" s="305"/>
      <c r="BI13" s="305"/>
      <c r="BJ13" s="305"/>
      <c r="BK13" s="305"/>
      <c r="BL13" s="306"/>
      <c r="BM13" s="304"/>
      <c r="BN13" s="305"/>
      <c r="BO13" s="305"/>
      <c r="BP13" s="305"/>
      <c r="BQ13" s="305"/>
      <c r="BR13" s="305"/>
      <c r="BS13" s="305"/>
      <c r="BT13" s="305"/>
      <c r="BU13" s="305"/>
      <c r="BV13" s="305"/>
      <c r="BW13" s="305"/>
      <c r="BX13" s="306"/>
      <c r="BZ13" s="314" t="s">
        <v>219</v>
      </c>
      <c r="CA13" s="314"/>
      <c r="CB13" s="315"/>
      <c r="CC13" s="315"/>
      <c r="CD13" s="315"/>
      <c r="CE13" s="315"/>
      <c r="CF13" s="315"/>
      <c r="CG13" s="319"/>
      <c r="CH13" s="319"/>
      <c r="CI13" s="319"/>
      <c r="CJ13" s="319"/>
      <c r="CK13" s="319"/>
      <c r="CL13" s="319"/>
      <c r="CM13" s="319"/>
    </row>
    <row r="14" customHeight="1" spans="2:91">
      <c r="B14" s="276"/>
      <c r="C14" s="277"/>
      <c r="D14" s="277"/>
      <c r="E14" s="277"/>
      <c r="F14" s="277"/>
      <c r="G14" s="277"/>
      <c r="H14" s="277"/>
      <c r="I14" s="277"/>
      <c r="J14" s="277"/>
      <c r="K14" s="277"/>
      <c r="L14" s="277"/>
      <c r="M14" s="277"/>
      <c r="N14" s="277"/>
      <c r="O14" s="277"/>
      <c r="P14" s="277"/>
      <c r="Q14" s="277"/>
      <c r="R14" s="277"/>
      <c r="S14" s="277"/>
      <c r="T14" s="277"/>
      <c r="U14" s="277"/>
      <c r="V14" s="277"/>
      <c r="W14" s="277"/>
      <c r="X14" s="277"/>
      <c r="Y14" s="277"/>
      <c r="Z14" s="277"/>
      <c r="AA14" s="277"/>
      <c r="AB14" s="277"/>
      <c r="AC14" s="277"/>
      <c r="AD14" s="277"/>
      <c r="AE14" s="277"/>
      <c r="AF14" s="277"/>
      <c r="AG14" s="277"/>
      <c r="AH14" s="277"/>
      <c r="AI14" s="277"/>
      <c r="AJ14" s="277"/>
      <c r="AK14" s="277"/>
      <c r="AL14" s="277"/>
      <c r="AM14" s="277"/>
      <c r="AN14" s="277"/>
      <c r="AO14" s="277"/>
      <c r="AP14" s="277"/>
      <c r="AQ14" s="277"/>
      <c r="AR14" s="277"/>
      <c r="AS14" s="277"/>
      <c r="AT14" s="286"/>
      <c r="AW14" s="293" t="s">
        <v>155</v>
      </c>
      <c r="AX14" s="293"/>
      <c r="AY14" s="293"/>
      <c r="AZ14" s="293"/>
      <c r="BA14" s="293"/>
      <c r="BB14" s="293" t="s">
        <v>89</v>
      </c>
      <c r="BC14" s="293"/>
      <c r="BD14" s="293"/>
      <c r="BE14" s="293"/>
      <c r="BF14" s="293"/>
      <c r="BG14" s="293"/>
      <c r="BH14" s="293"/>
      <c r="BI14" s="293"/>
      <c r="BJ14" s="293"/>
      <c r="BK14" s="293"/>
      <c r="BL14" s="293"/>
      <c r="BM14" s="293"/>
      <c r="BN14" s="293"/>
      <c r="BO14" s="293"/>
      <c r="BP14" s="293"/>
      <c r="BQ14" s="293"/>
      <c r="BS14" s="293" t="s">
        <v>155</v>
      </c>
      <c r="BT14" s="293"/>
      <c r="BU14" s="293"/>
      <c r="BV14" s="293"/>
      <c r="BW14" s="293"/>
      <c r="BX14" s="293" t="s">
        <v>89</v>
      </c>
      <c r="BY14" s="293"/>
      <c r="BZ14" s="293"/>
      <c r="CA14" s="293"/>
      <c r="CB14" s="293"/>
      <c r="CC14" s="293"/>
      <c r="CD14" s="293"/>
      <c r="CE14" s="293"/>
      <c r="CF14" s="293"/>
      <c r="CG14" s="293"/>
      <c r="CH14" s="293"/>
      <c r="CI14" s="293"/>
      <c r="CJ14" s="293"/>
      <c r="CK14" s="293"/>
      <c r="CL14" s="293" t="s">
        <v>319</v>
      </c>
      <c r="CM14" s="293"/>
    </row>
    <row r="15" customHeight="1" spans="2:91">
      <c r="B15" s="276"/>
      <c r="C15" s="277"/>
      <c r="D15" s="277"/>
      <c r="E15" s="277"/>
      <c r="F15" s="277"/>
      <c r="G15" s="277"/>
      <c r="H15" s="277"/>
      <c r="I15" s="277"/>
      <c r="J15" s="277"/>
      <c r="K15" s="277"/>
      <c r="L15" s="277"/>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77"/>
      <c r="AK15" s="277"/>
      <c r="AL15" s="277"/>
      <c r="AM15" s="277"/>
      <c r="AN15" s="277"/>
      <c r="AO15" s="277"/>
      <c r="AP15" s="277"/>
      <c r="AQ15" s="277"/>
      <c r="AR15" s="277"/>
      <c r="AS15" s="277"/>
      <c r="AT15" s="286"/>
      <c r="AW15" s="294"/>
      <c r="AX15" s="294"/>
      <c r="AY15" s="294"/>
      <c r="AZ15" s="294"/>
      <c r="BA15" s="294"/>
      <c r="BB15" s="295"/>
      <c r="BC15" s="295"/>
      <c r="BD15" s="295"/>
      <c r="BE15" s="295"/>
      <c r="BF15" s="295"/>
      <c r="BG15" s="295"/>
      <c r="BH15" s="295"/>
      <c r="BI15" s="295"/>
      <c r="BJ15" s="295"/>
      <c r="BK15" s="295"/>
      <c r="BL15" s="295"/>
      <c r="BM15" s="295"/>
      <c r="BN15" s="295"/>
      <c r="BO15" s="295"/>
      <c r="BP15" s="295"/>
      <c r="BQ15" s="295"/>
      <c r="BS15" s="294"/>
      <c r="BT15" s="294"/>
      <c r="BU15" s="294"/>
      <c r="BV15" s="294"/>
      <c r="BW15" s="294"/>
      <c r="BX15" s="295"/>
      <c r="BY15" s="295"/>
      <c r="BZ15" s="295"/>
      <c r="CA15" s="295"/>
      <c r="CB15" s="295"/>
      <c r="CC15" s="295"/>
      <c r="CD15" s="295"/>
      <c r="CE15" s="295"/>
      <c r="CF15" s="295"/>
      <c r="CG15" s="295"/>
      <c r="CH15" s="295"/>
      <c r="CI15" s="295"/>
      <c r="CJ15" s="295"/>
      <c r="CK15" s="295"/>
      <c r="CL15" s="320"/>
      <c r="CM15" s="320"/>
    </row>
    <row r="16" customHeight="1" spans="2:91">
      <c r="B16" s="276"/>
      <c r="C16" s="277"/>
      <c r="D16" s="277"/>
      <c r="E16" s="277"/>
      <c r="F16" s="277"/>
      <c r="G16" s="277"/>
      <c r="H16" s="277"/>
      <c r="I16" s="277"/>
      <c r="J16" s="27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7"/>
      <c r="AM16" s="277"/>
      <c r="AN16" s="277"/>
      <c r="AO16" s="277"/>
      <c r="AP16" s="277"/>
      <c r="AQ16" s="277"/>
      <c r="AR16" s="277"/>
      <c r="AS16" s="277"/>
      <c r="AT16" s="286"/>
      <c r="AW16" s="296"/>
      <c r="AX16" s="296"/>
      <c r="AY16" s="296"/>
      <c r="AZ16" s="296"/>
      <c r="BA16" s="296"/>
      <c r="BB16" s="297"/>
      <c r="BC16" s="297"/>
      <c r="BD16" s="297"/>
      <c r="BE16" s="297"/>
      <c r="BF16" s="297"/>
      <c r="BG16" s="297"/>
      <c r="BH16" s="297"/>
      <c r="BI16" s="297"/>
      <c r="BJ16" s="297"/>
      <c r="BK16" s="297"/>
      <c r="BL16" s="297"/>
      <c r="BM16" s="297"/>
      <c r="BN16" s="297"/>
      <c r="BO16" s="297"/>
      <c r="BP16" s="297"/>
      <c r="BQ16" s="297"/>
      <c r="BS16" s="296"/>
      <c r="BT16" s="296"/>
      <c r="BU16" s="296"/>
      <c r="BV16" s="296"/>
      <c r="BW16" s="296"/>
      <c r="BX16" s="297"/>
      <c r="BY16" s="297"/>
      <c r="BZ16" s="297"/>
      <c r="CA16" s="297"/>
      <c r="CB16" s="297"/>
      <c r="CC16" s="297"/>
      <c r="CD16" s="297"/>
      <c r="CE16" s="297"/>
      <c r="CF16" s="297"/>
      <c r="CG16" s="297"/>
      <c r="CH16" s="297"/>
      <c r="CI16" s="297"/>
      <c r="CJ16" s="297"/>
      <c r="CK16" s="297"/>
      <c r="CL16" s="321"/>
      <c r="CM16" s="321"/>
    </row>
    <row r="17" customHeight="1" spans="2:91">
      <c r="B17" s="276"/>
      <c r="C17" s="277"/>
      <c r="D17" s="277"/>
      <c r="E17" s="277"/>
      <c r="F17" s="277"/>
      <c r="G17" s="277"/>
      <c r="H17" s="277"/>
      <c r="I17" s="277"/>
      <c r="J17" s="277"/>
      <c r="K17" s="277"/>
      <c r="L17" s="277"/>
      <c r="M17" s="277"/>
      <c r="N17" s="277"/>
      <c r="O17" s="277"/>
      <c r="P17" s="277"/>
      <c r="Q17" s="277"/>
      <c r="R17" s="277"/>
      <c r="S17" s="277"/>
      <c r="T17" s="277"/>
      <c r="U17" s="277"/>
      <c r="V17" s="277"/>
      <c r="W17" s="277"/>
      <c r="X17" s="277"/>
      <c r="Y17" s="277"/>
      <c r="Z17" s="277"/>
      <c r="AA17" s="277"/>
      <c r="AB17" s="277"/>
      <c r="AC17" s="277"/>
      <c r="AD17" s="277"/>
      <c r="AE17" s="277"/>
      <c r="AF17" s="277"/>
      <c r="AG17" s="277"/>
      <c r="AH17" s="277"/>
      <c r="AI17" s="277"/>
      <c r="AJ17" s="277"/>
      <c r="AK17" s="277"/>
      <c r="AL17" s="277"/>
      <c r="AM17" s="277"/>
      <c r="AN17" s="277"/>
      <c r="AO17" s="277"/>
      <c r="AP17" s="277"/>
      <c r="AQ17" s="277"/>
      <c r="AR17" s="277"/>
      <c r="AS17" s="277"/>
      <c r="AT17" s="286"/>
      <c r="AW17" s="294"/>
      <c r="AX17" s="294"/>
      <c r="AY17" s="294"/>
      <c r="AZ17" s="294"/>
      <c r="BA17" s="294"/>
      <c r="BB17" s="295"/>
      <c r="BC17" s="295"/>
      <c r="BD17" s="295"/>
      <c r="BE17" s="295"/>
      <c r="BF17" s="295"/>
      <c r="BG17" s="295"/>
      <c r="BH17" s="295"/>
      <c r="BI17" s="295"/>
      <c r="BJ17" s="295"/>
      <c r="BK17" s="295"/>
      <c r="BL17" s="295"/>
      <c r="BM17" s="295"/>
      <c r="BN17" s="295"/>
      <c r="BO17" s="295"/>
      <c r="BP17" s="295"/>
      <c r="BQ17" s="295"/>
      <c r="BS17" s="294"/>
      <c r="BT17" s="294"/>
      <c r="BU17" s="294"/>
      <c r="BV17" s="294"/>
      <c r="BW17" s="294"/>
      <c r="BX17" s="295"/>
      <c r="BY17" s="295"/>
      <c r="BZ17" s="295"/>
      <c r="CA17" s="295"/>
      <c r="CB17" s="295"/>
      <c r="CC17" s="295"/>
      <c r="CD17" s="295"/>
      <c r="CE17" s="295"/>
      <c r="CF17" s="295"/>
      <c r="CG17" s="295"/>
      <c r="CH17" s="295"/>
      <c r="CI17" s="295"/>
      <c r="CJ17" s="295"/>
      <c r="CK17" s="295"/>
      <c r="CL17" s="320"/>
      <c r="CM17" s="320"/>
    </row>
    <row r="18" customHeight="1" spans="2:91">
      <c r="B18" s="276"/>
      <c r="C18" s="277"/>
      <c r="D18" s="277"/>
      <c r="E18" s="277"/>
      <c r="F18" s="277"/>
      <c r="G18" s="277"/>
      <c r="H18" s="277"/>
      <c r="I18" s="277"/>
      <c r="J18" s="277"/>
      <c r="K18" s="277"/>
      <c r="L18" s="277"/>
      <c r="M18" s="277"/>
      <c r="N18" s="277"/>
      <c r="O18" s="277"/>
      <c r="P18" s="277"/>
      <c r="Q18" s="277"/>
      <c r="R18" s="277"/>
      <c r="S18" s="277"/>
      <c r="T18" s="277"/>
      <c r="U18" s="277"/>
      <c r="V18" s="277"/>
      <c r="W18" s="277"/>
      <c r="X18" s="277"/>
      <c r="Y18" s="277"/>
      <c r="Z18" s="277"/>
      <c r="AA18" s="277"/>
      <c r="AB18" s="277"/>
      <c r="AC18" s="277"/>
      <c r="AD18" s="277"/>
      <c r="AE18" s="277"/>
      <c r="AF18" s="277"/>
      <c r="AG18" s="277"/>
      <c r="AH18" s="277"/>
      <c r="AI18" s="277"/>
      <c r="AJ18" s="277"/>
      <c r="AK18" s="277"/>
      <c r="AL18" s="277"/>
      <c r="AM18" s="277"/>
      <c r="AN18" s="277"/>
      <c r="AO18" s="277"/>
      <c r="AP18" s="277"/>
      <c r="AQ18" s="277"/>
      <c r="AR18" s="277"/>
      <c r="AS18" s="277"/>
      <c r="AT18" s="286"/>
      <c r="AW18" s="296"/>
      <c r="AX18" s="296"/>
      <c r="AY18" s="296"/>
      <c r="AZ18" s="296"/>
      <c r="BA18" s="296"/>
      <c r="BB18" s="297"/>
      <c r="BC18" s="297"/>
      <c r="BD18" s="297"/>
      <c r="BE18" s="297"/>
      <c r="BF18" s="297"/>
      <c r="BG18" s="297"/>
      <c r="BH18" s="297"/>
      <c r="BI18" s="297"/>
      <c r="BJ18" s="297"/>
      <c r="BK18" s="297"/>
      <c r="BL18" s="297"/>
      <c r="BM18" s="297"/>
      <c r="BN18" s="297"/>
      <c r="BO18" s="297"/>
      <c r="BP18" s="297"/>
      <c r="BQ18" s="297"/>
      <c r="BS18" s="296"/>
      <c r="BT18" s="296"/>
      <c r="BU18" s="296"/>
      <c r="BV18" s="296"/>
      <c r="BW18" s="296"/>
      <c r="BX18" s="297"/>
      <c r="BY18" s="297"/>
      <c r="BZ18" s="297"/>
      <c r="CA18" s="297"/>
      <c r="CB18" s="297"/>
      <c r="CC18" s="297"/>
      <c r="CD18" s="297"/>
      <c r="CE18" s="297"/>
      <c r="CF18" s="297"/>
      <c r="CG18" s="297"/>
      <c r="CH18" s="297"/>
      <c r="CI18" s="297"/>
      <c r="CJ18" s="297"/>
      <c r="CK18" s="297"/>
      <c r="CL18" s="321"/>
      <c r="CM18" s="321"/>
    </row>
    <row r="19" customHeight="1" spans="2:91">
      <c r="B19" s="276"/>
      <c r="C19" s="277"/>
      <c r="D19" s="277"/>
      <c r="E19" s="277"/>
      <c r="F19" s="277"/>
      <c r="G19" s="277"/>
      <c r="H19" s="277"/>
      <c r="I19" s="277"/>
      <c r="J19" s="277"/>
      <c r="K19" s="277"/>
      <c r="L19" s="277"/>
      <c r="M19" s="277"/>
      <c r="N19" s="277"/>
      <c r="O19" s="277"/>
      <c r="P19" s="277"/>
      <c r="Q19" s="277"/>
      <c r="R19" s="277"/>
      <c r="S19" s="277"/>
      <c r="T19" s="277"/>
      <c r="U19" s="277"/>
      <c r="V19" s="277"/>
      <c r="W19" s="277"/>
      <c r="X19" s="277"/>
      <c r="Y19" s="277"/>
      <c r="Z19" s="277"/>
      <c r="AA19" s="277"/>
      <c r="AB19" s="277"/>
      <c r="AC19" s="277"/>
      <c r="AD19" s="277"/>
      <c r="AE19" s="277"/>
      <c r="AF19" s="277"/>
      <c r="AG19" s="277"/>
      <c r="AH19" s="277"/>
      <c r="AI19" s="277"/>
      <c r="AJ19" s="277"/>
      <c r="AK19" s="277"/>
      <c r="AL19" s="277"/>
      <c r="AM19" s="277"/>
      <c r="AN19" s="277"/>
      <c r="AO19" s="277"/>
      <c r="AP19" s="277"/>
      <c r="AQ19" s="277"/>
      <c r="AR19" s="277"/>
      <c r="AS19" s="277"/>
      <c r="AT19" s="286"/>
      <c r="AW19" s="294"/>
      <c r="AX19" s="294"/>
      <c r="AY19" s="294"/>
      <c r="AZ19" s="294"/>
      <c r="BA19" s="294"/>
      <c r="BB19" s="295"/>
      <c r="BC19" s="295"/>
      <c r="BD19" s="295"/>
      <c r="BE19" s="295"/>
      <c r="BF19" s="295"/>
      <c r="BG19" s="295"/>
      <c r="BH19" s="295"/>
      <c r="BI19" s="295"/>
      <c r="BJ19" s="295"/>
      <c r="BK19" s="295"/>
      <c r="BL19" s="295"/>
      <c r="BM19" s="295"/>
      <c r="BN19" s="295"/>
      <c r="BO19" s="295"/>
      <c r="BP19" s="295"/>
      <c r="BQ19" s="295"/>
      <c r="BS19" s="294"/>
      <c r="BT19" s="294"/>
      <c r="BU19" s="294"/>
      <c r="BV19" s="294"/>
      <c r="BW19" s="294"/>
      <c r="BX19" s="295"/>
      <c r="BY19" s="295"/>
      <c r="BZ19" s="295"/>
      <c r="CA19" s="295"/>
      <c r="CB19" s="295"/>
      <c r="CC19" s="295"/>
      <c r="CD19" s="295"/>
      <c r="CE19" s="295"/>
      <c r="CF19" s="295"/>
      <c r="CG19" s="295"/>
      <c r="CH19" s="295"/>
      <c r="CI19" s="295"/>
      <c r="CJ19" s="295"/>
      <c r="CK19" s="295"/>
      <c r="CL19" s="320"/>
      <c r="CM19" s="320"/>
    </row>
    <row r="20" customHeight="1" spans="2:91">
      <c r="B20" s="276"/>
      <c r="C20" s="277"/>
      <c r="D20" s="277"/>
      <c r="E20" s="277"/>
      <c r="F20" s="277"/>
      <c r="G20" s="277"/>
      <c r="H20" s="277"/>
      <c r="I20" s="277"/>
      <c r="J20" s="277"/>
      <c r="K20" s="277"/>
      <c r="L20" s="277"/>
      <c r="M20" s="277"/>
      <c r="N20" s="277"/>
      <c r="O20" s="277"/>
      <c r="P20" s="277"/>
      <c r="Q20" s="277"/>
      <c r="R20" s="277"/>
      <c r="S20" s="277"/>
      <c r="T20" s="277"/>
      <c r="U20" s="277"/>
      <c r="V20" s="277"/>
      <c r="W20" s="277"/>
      <c r="X20" s="277"/>
      <c r="Y20" s="277"/>
      <c r="Z20" s="277"/>
      <c r="AA20" s="277"/>
      <c r="AB20" s="277"/>
      <c r="AC20" s="277"/>
      <c r="AD20" s="277"/>
      <c r="AE20" s="277"/>
      <c r="AF20" s="277"/>
      <c r="AG20" s="277"/>
      <c r="AH20" s="277"/>
      <c r="AI20" s="277"/>
      <c r="AJ20" s="277"/>
      <c r="AK20" s="277"/>
      <c r="AL20" s="277"/>
      <c r="AM20" s="277"/>
      <c r="AN20" s="277"/>
      <c r="AO20" s="277"/>
      <c r="AP20" s="277"/>
      <c r="AQ20" s="277"/>
      <c r="AR20" s="277"/>
      <c r="AS20" s="277"/>
      <c r="AT20" s="286"/>
      <c r="AW20" s="293" t="s">
        <v>155</v>
      </c>
      <c r="AX20" s="293"/>
      <c r="AY20" s="293"/>
      <c r="AZ20" s="293"/>
      <c r="BA20" s="293"/>
      <c r="BB20" s="293" t="s">
        <v>89</v>
      </c>
      <c r="BC20" s="293"/>
      <c r="BD20" s="293"/>
      <c r="BE20" s="293"/>
      <c r="BF20" s="293"/>
      <c r="BG20" s="293"/>
      <c r="BH20" s="293"/>
      <c r="BI20" s="293"/>
      <c r="BJ20" s="293"/>
      <c r="BK20" s="293"/>
      <c r="BL20" s="293"/>
      <c r="BM20" s="293"/>
      <c r="BN20" s="293"/>
      <c r="BO20" s="293"/>
      <c r="BP20" s="293"/>
      <c r="BQ20" s="293"/>
      <c r="BS20" s="293" t="s">
        <v>155</v>
      </c>
      <c r="BT20" s="293"/>
      <c r="BU20" s="293"/>
      <c r="BV20" s="293"/>
      <c r="BW20" s="293"/>
      <c r="BX20" s="293" t="s">
        <v>89</v>
      </c>
      <c r="BY20" s="293"/>
      <c r="BZ20" s="293"/>
      <c r="CA20" s="293"/>
      <c r="CB20" s="293"/>
      <c r="CC20" s="293"/>
      <c r="CD20" s="293"/>
      <c r="CE20" s="293"/>
      <c r="CF20" s="293"/>
      <c r="CG20" s="293"/>
      <c r="CH20" s="293"/>
      <c r="CI20" s="293"/>
      <c r="CJ20" s="293"/>
      <c r="CK20" s="293"/>
      <c r="CL20" s="293" t="s">
        <v>319</v>
      </c>
      <c r="CM20" s="293"/>
    </row>
    <row r="21" customHeight="1" spans="2:91">
      <c r="B21" s="276"/>
      <c r="C21" s="277"/>
      <c r="D21" s="277"/>
      <c r="E21" s="277"/>
      <c r="F21" s="277"/>
      <c r="G21" s="277"/>
      <c r="H21" s="277"/>
      <c r="I21" s="277"/>
      <c r="J21" s="277"/>
      <c r="K21" s="277"/>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86"/>
      <c r="AW21" s="294"/>
      <c r="AX21" s="294"/>
      <c r="AY21" s="294"/>
      <c r="AZ21" s="294"/>
      <c r="BA21" s="294"/>
      <c r="BB21" s="295"/>
      <c r="BC21" s="295"/>
      <c r="BD21" s="295"/>
      <c r="BE21" s="295"/>
      <c r="BF21" s="295"/>
      <c r="BG21" s="295"/>
      <c r="BH21" s="295"/>
      <c r="BI21" s="295"/>
      <c r="BJ21" s="295"/>
      <c r="BK21" s="295"/>
      <c r="BL21" s="295"/>
      <c r="BM21" s="295"/>
      <c r="BN21" s="295"/>
      <c r="BO21" s="295"/>
      <c r="BP21" s="295"/>
      <c r="BQ21" s="295"/>
      <c r="BS21" s="294"/>
      <c r="BT21" s="294"/>
      <c r="BU21" s="294"/>
      <c r="BV21" s="294"/>
      <c r="BW21" s="294"/>
      <c r="BX21" s="295"/>
      <c r="BY21" s="295"/>
      <c r="BZ21" s="295"/>
      <c r="CA21" s="295"/>
      <c r="CB21" s="295"/>
      <c r="CC21" s="295"/>
      <c r="CD21" s="295"/>
      <c r="CE21" s="295"/>
      <c r="CF21" s="295"/>
      <c r="CG21" s="295"/>
      <c r="CH21" s="295"/>
      <c r="CI21" s="295"/>
      <c r="CJ21" s="295"/>
      <c r="CK21" s="295"/>
      <c r="CL21" s="320"/>
      <c r="CM21" s="320"/>
    </row>
    <row r="22" customHeight="1" spans="2:91">
      <c r="B22" s="276"/>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86"/>
      <c r="AW22" s="296"/>
      <c r="AX22" s="296"/>
      <c r="AY22" s="296"/>
      <c r="AZ22" s="296"/>
      <c r="BA22" s="296"/>
      <c r="BB22" s="297"/>
      <c r="BC22" s="297"/>
      <c r="BD22" s="297"/>
      <c r="BE22" s="297"/>
      <c r="BF22" s="297"/>
      <c r="BG22" s="297"/>
      <c r="BH22" s="297"/>
      <c r="BI22" s="297"/>
      <c r="BJ22" s="297"/>
      <c r="BK22" s="297"/>
      <c r="BL22" s="297"/>
      <c r="BM22" s="297"/>
      <c r="BN22" s="297"/>
      <c r="BO22" s="297"/>
      <c r="BP22" s="297"/>
      <c r="BQ22" s="297"/>
      <c r="BS22" s="296"/>
      <c r="BT22" s="296"/>
      <c r="BU22" s="296"/>
      <c r="BV22" s="296"/>
      <c r="BW22" s="296"/>
      <c r="BX22" s="297"/>
      <c r="BY22" s="297"/>
      <c r="BZ22" s="297"/>
      <c r="CA22" s="297"/>
      <c r="CB22" s="297"/>
      <c r="CC22" s="297"/>
      <c r="CD22" s="297"/>
      <c r="CE22" s="297"/>
      <c r="CF22" s="297"/>
      <c r="CG22" s="297"/>
      <c r="CH22" s="297"/>
      <c r="CI22" s="297"/>
      <c r="CJ22" s="297"/>
      <c r="CK22" s="297"/>
      <c r="CL22" s="321"/>
      <c r="CM22" s="321"/>
    </row>
    <row r="23" customHeight="1" spans="2:91">
      <c r="B23" s="276"/>
      <c r="C23" s="277"/>
      <c r="D23" s="277"/>
      <c r="E23" s="277"/>
      <c r="F23" s="277"/>
      <c r="G23" s="277"/>
      <c r="H23" s="277"/>
      <c r="I23" s="277"/>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86"/>
      <c r="AW23" s="294"/>
      <c r="AX23" s="294"/>
      <c r="AY23" s="294"/>
      <c r="AZ23" s="294"/>
      <c r="BA23" s="294"/>
      <c r="BB23" s="295"/>
      <c r="BC23" s="295"/>
      <c r="BD23" s="295"/>
      <c r="BE23" s="295"/>
      <c r="BF23" s="295"/>
      <c r="BG23" s="295"/>
      <c r="BH23" s="295"/>
      <c r="BI23" s="295"/>
      <c r="BJ23" s="295"/>
      <c r="BK23" s="295"/>
      <c r="BL23" s="295"/>
      <c r="BM23" s="295"/>
      <c r="BN23" s="295"/>
      <c r="BO23" s="295"/>
      <c r="BP23" s="295"/>
      <c r="BQ23" s="295"/>
      <c r="BS23" s="294"/>
      <c r="BT23" s="294"/>
      <c r="BU23" s="294"/>
      <c r="BV23" s="294"/>
      <c r="BW23" s="294"/>
      <c r="BX23" s="295"/>
      <c r="BY23" s="295"/>
      <c r="BZ23" s="295"/>
      <c r="CA23" s="295"/>
      <c r="CB23" s="295"/>
      <c r="CC23" s="295"/>
      <c r="CD23" s="295"/>
      <c r="CE23" s="295"/>
      <c r="CF23" s="295"/>
      <c r="CG23" s="295"/>
      <c r="CH23" s="295"/>
      <c r="CI23" s="295"/>
      <c r="CJ23" s="295"/>
      <c r="CK23" s="295"/>
      <c r="CL23" s="320"/>
      <c r="CM23" s="320"/>
    </row>
    <row r="24" customHeight="1" spans="2:91">
      <c r="B24" s="276"/>
      <c r="C24" s="277"/>
      <c r="D24" s="277"/>
      <c r="E24" s="277"/>
      <c r="F24" s="277"/>
      <c r="G24" s="277"/>
      <c r="H24" s="277"/>
      <c r="I24" s="277"/>
      <c r="J24" s="277"/>
      <c r="K24" s="277"/>
      <c r="L24" s="277"/>
      <c r="M24" s="277"/>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7"/>
      <c r="AM24" s="277"/>
      <c r="AN24" s="277"/>
      <c r="AO24" s="277"/>
      <c r="AP24" s="277"/>
      <c r="AQ24" s="277"/>
      <c r="AR24" s="277"/>
      <c r="AS24" s="277"/>
      <c r="AT24" s="286"/>
      <c r="AW24" s="296"/>
      <c r="AX24" s="296"/>
      <c r="AY24" s="296"/>
      <c r="AZ24" s="296"/>
      <c r="BA24" s="296"/>
      <c r="BB24" s="297"/>
      <c r="BC24" s="297"/>
      <c r="BD24" s="297"/>
      <c r="BE24" s="297"/>
      <c r="BF24" s="297"/>
      <c r="BG24" s="297"/>
      <c r="BH24" s="297"/>
      <c r="BI24" s="297"/>
      <c r="BJ24" s="297"/>
      <c r="BK24" s="297"/>
      <c r="BL24" s="297"/>
      <c r="BM24" s="297"/>
      <c r="BN24" s="297"/>
      <c r="BO24" s="297"/>
      <c r="BP24" s="297"/>
      <c r="BQ24" s="297"/>
      <c r="BS24" s="296"/>
      <c r="BT24" s="296"/>
      <c r="BU24" s="296"/>
      <c r="BV24" s="296"/>
      <c r="BW24" s="296"/>
      <c r="BX24" s="297"/>
      <c r="BY24" s="297"/>
      <c r="BZ24" s="297"/>
      <c r="CA24" s="297"/>
      <c r="CB24" s="297"/>
      <c r="CC24" s="297"/>
      <c r="CD24" s="297"/>
      <c r="CE24" s="297"/>
      <c r="CF24" s="297"/>
      <c r="CG24" s="297"/>
      <c r="CH24" s="297"/>
      <c r="CI24" s="297"/>
      <c r="CJ24" s="297"/>
      <c r="CK24" s="297"/>
      <c r="CL24" s="321"/>
      <c r="CM24" s="321"/>
    </row>
    <row r="25" customHeight="1" spans="2:91">
      <c r="B25" s="278"/>
      <c r="C25" s="279"/>
      <c r="D25" s="279"/>
      <c r="E25" s="279"/>
      <c r="F25" s="279"/>
      <c r="G25" s="279"/>
      <c r="H25" s="279"/>
      <c r="I25" s="279"/>
      <c r="J25" s="279"/>
      <c r="K25" s="279"/>
      <c r="L25" s="279"/>
      <c r="M25" s="279"/>
      <c r="N25" s="279"/>
      <c r="O25" s="279"/>
      <c r="P25" s="279"/>
      <c r="Q25" s="279"/>
      <c r="R25" s="279"/>
      <c r="S25" s="279"/>
      <c r="T25" s="279"/>
      <c r="U25" s="279"/>
      <c r="V25" s="279"/>
      <c r="W25" s="279"/>
      <c r="X25" s="279"/>
      <c r="Y25" s="279"/>
      <c r="Z25" s="279"/>
      <c r="AA25" s="279"/>
      <c r="AB25" s="279"/>
      <c r="AC25" s="279"/>
      <c r="AD25" s="279"/>
      <c r="AE25" s="279"/>
      <c r="AF25" s="279"/>
      <c r="AG25" s="279"/>
      <c r="AH25" s="279"/>
      <c r="AI25" s="279"/>
      <c r="AJ25" s="279"/>
      <c r="AK25" s="279"/>
      <c r="AL25" s="279"/>
      <c r="AM25" s="279"/>
      <c r="AN25" s="279"/>
      <c r="AO25" s="279"/>
      <c r="AP25" s="279"/>
      <c r="AQ25" s="279"/>
      <c r="AR25" s="279"/>
      <c r="AS25" s="279"/>
      <c r="AT25" s="287"/>
      <c r="AW25" s="294"/>
      <c r="AX25" s="294"/>
      <c r="AY25" s="294"/>
      <c r="AZ25" s="294"/>
      <c r="BA25" s="294"/>
      <c r="BB25" s="295"/>
      <c r="BC25" s="295"/>
      <c r="BD25" s="295"/>
      <c r="BE25" s="295"/>
      <c r="BF25" s="295"/>
      <c r="BG25" s="295"/>
      <c r="BH25" s="295"/>
      <c r="BI25" s="295"/>
      <c r="BJ25" s="295"/>
      <c r="BK25" s="295"/>
      <c r="BL25" s="295"/>
      <c r="BM25" s="295"/>
      <c r="BN25" s="295"/>
      <c r="BO25" s="295"/>
      <c r="BP25" s="295"/>
      <c r="BQ25" s="295"/>
      <c r="BS25" s="294"/>
      <c r="BT25" s="294"/>
      <c r="BU25" s="294"/>
      <c r="BV25" s="294"/>
      <c r="BW25" s="294"/>
      <c r="BX25" s="295"/>
      <c r="BY25" s="295"/>
      <c r="BZ25" s="295"/>
      <c r="CA25" s="295"/>
      <c r="CB25" s="295"/>
      <c r="CC25" s="295"/>
      <c r="CD25" s="295"/>
      <c r="CE25" s="295"/>
      <c r="CF25" s="295"/>
      <c r="CG25" s="295"/>
      <c r="CH25" s="295"/>
      <c r="CI25" s="295"/>
      <c r="CJ25" s="295"/>
      <c r="CK25" s="295"/>
      <c r="CL25" s="320"/>
      <c r="CM25" s="320"/>
    </row>
    <row r="27" customHeight="1" spans="2:91">
      <c r="B27" s="280" t="s">
        <v>7499</v>
      </c>
      <c r="C27" s="281"/>
      <c r="D27" s="281"/>
      <c r="E27" s="281"/>
      <c r="F27" s="281"/>
      <c r="G27" s="281"/>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c r="AL27" s="281"/>
      <c r="AM27" s="281"/>
      <c r="AN27" s="281"/>
      <c r="AO27" s="281"/>
      <c r="AP27" s="281"/>
      <c r="AQ27" s="281"/>
      <c r="AR27" s="281"/>
      <c r="AS27" s="281"/>
      <c r="AT27" s="288"/>
      <c r="AW27" s="280" t="s">
        <v>7500</v>
      </c>
      <c r="AX27" s="281"/>
      <c r="AY27" s="281"/>
      <c r="AZ27" s="281"/>
      <c r="BA27" s="281"/>
      <c r="BB27" s="281"/>
      <c r="BC27" s="281"/>
      <c r="BD27" s="281"/>
      <c r="BE27" s="281"/>
      <c r="BF27" s="281"/>
      <c r="BG27" s="281"/>
      <c r="BH27" s="281"/>
      <c r="BI27" s="281"/>
      <c r="BJ27" s="281"/>
      <c r="BK27" s="281"/>
      <c r="BL27" s="281"/>
      <c r="BM27" s="281"/>
      <c r="BN27" s="281"/>
      <c r="BO27" s="281"/>
      <c r="BP27" s="281"/>
      <c r="BQ27" s="281"/>
      <c r="BR27" s="281"/>
      <c r="BS27" s="281"/>
      <c r="BT27" s="281"/>
      <c r="BU27" s="281"/>
      <c r="BV27" s="281"/>
      <c r="BW27" s="281"/>
      <c r="BX27" s="281"/>
      <c r="BY27" s="281"/>
      <c r="BZ27" s="281"/>
      <c r="CA27" s="281"/>
      <c r="CB27" s="281"/>
      <c r="CC27" s="281"/>
      <c r="CD27" s="281"/>
      <c r="CE27" s="281"/>
      <c r="CF27" s="281"/>
      <c r="CG27" s="281"/>
      <c r="CH27" s="281"/>
      <c r="CI27" s="281"/>
      <c r="CJ27" s="281"/>
      <c r="CK27" s="281"/>
      <c r="CL27" s="281"/>
      <c r="CM27" s="288"/>
    </row>
    <row r="28" customHeight="1" spans="2:91">
      <c r="B28" s="282" t="s">
        <v>7501</v>
      </c>
      <c r="C28" s="283"/>
      <c r="D28" s="283"/>
      <c r="E28" s="283"/>
      <c r="F28" s="283"/>
      <c r="G28" s="283"/>
      <c r="H28" s="283"/>
      <c r="I28" s="283"/>
      <c r="J28" s="283"/>
      <c r="K28" s="283"/>
      <c r="L28" s="283"/>
      <c r="M28" s="283"/>
      <c r="N28" s="283"/>
      <c r="O28" s="283"/>
      <c r="P28" s="283"/>
      <c r="Q28" s="283"/>
      <c r="R28" s="283"/>
      <c r="S28" s="283"/>
      <c r="T28" s="283"/>
      <c r="U28" s="283"/>
      <c r="V28" s="283"/>
      <c r="W28" s="283"/>
      <c r="X28" s="283"/>
      <c r="Y28" s="283"/>
      <c r="Z28" s="283"/>
      <c r="AA28" s="283"/>
      <c r="AB28" s="283"/>
      <c r="AC28" s="283"/>
      <c r="AD28" s="283"/>
      <c r="AE28" s="283"/>
      <c r="AF28" s="283"/>
      <c r="AG28" s="283"/>
      <c r="AH28" s="283"/>
      <c r="AI28" s="283"/>
      <c r="AJ28" s="283"/>
      <c r="AK28" s="283"/>
      <c r="AL28" s="283"/>
      <c r="AM28" s="283"/>
      <c r="AN28" s="283"/>
      <c r="AO28" s="283"/>
      <c r="AP28" s="283"/>
      <c r="AQ28" s="283"/>
      <c r="AR28" s="283"/>
      <c r="AS28" s="283"/>
      <c r="AT28" s="289"/>
      <c r="AW28" s="282" t="s">
        <v>7502</v>
      </c>
      <c r="AX28" s="283"/>
      <c r="AY28" s="283"/>
      <c r="AZ28" s="283"/>
      <c r="BA28" s="283"/>
      <c r="BB28" s="283"/>
      <c r="BC28" s="283"/>
      <c r="BD28" s="283"/>
      <c r="BE28" s="283"/>
      <c r="BF28" s="283"/>
      <c r="BG28" s="283"/>
      <c r="BH28" s="283"/>
      <c r="BI28" s="283"/>
      <c r="BJ28" s="283"/>
      <c r="BK28" s="283"/>
      <c r="BL28" s="283"/>
      <c r="BM28" s="283"/>
      <c r="BN28" s="283"/>
      <c r="BO28" s="283"/>
      <c r="BP28" s="283"/>
      <c r="BQ28" s="283"/>
      <c r="BR28" s="283"/>
      <c r="BS28" s="283"/>
      <c r="BT28" s="283"/>
      <c r="BU28" s="283"/>
      <c r="BV28" s="283"/>
      <c r="BW28" s="283"/>
      <c r="BX28" s="283"/>
      <c r="BY28" s="283"/>
      <c r="BZ28" s="283"/>
      <c r="CA28" s="283"/>
      <c r="CB28" s="283"/>
      <c r="CC28" s="283"/>
      <c r="CD28" s="283"/>
      <c r="CE28" s="283"/>
      <c r="CF28" s="283"/>
      <c r="CG28" s="283"/>
      <c r="CH28" s="283"/>
      <c r="CI28" s="283"/>
      <c r="CJ28" s="283"/>
      <c r="CK28" s="283"/>
      <c r="CL28" s="283"/>
      <c r="CM28" s="289"/>
    </row>
    <row r="29" customHeight="1" spans="2:91">
      <c r="B29" s="282"/>
      <c r="C29" s="283"/>
      <c r="D29" s="283"/>
      <c r="E29" s="283"/>
      <c r="F29" s="283"/>
      <c r="G29" s="283"/>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c r="AL29" s="283"/>
      <c r="AM29" s="283"/>
      <c r="AN29" s="283"/>
      <c r="AO29" s="283"/>
      <c r="AP29" s="283"/>
      <c r="AQ29" s="283"/>
      <c r="AR29" s="283"/>
      <c r="AS29" s="283"/>
      <c r="AT29" s="289"/>
      <c r="AW29" s="282"/>
      <c r="AX29" s="283"/>
      <c r="AY29" s="283"/>
      <c r="AZ29" s="283"/>
      <c r="BA29" s="283"/>
      <c r="BB29" s="283"/>
      <c r="BC29" s="283"/>
      <c r="BD29" s="283"/>
      <c r="BE29" s="283"/>
      <c r="BF29" s="283"/>
      <c r="BG29" s="283"/>
      <c r="BH29" s="283"/>
      <c r="BI29" s="283"/>
      <c r="BJ29" s="283"/>
      <c r="BK29" s="283"/>
      <c r="BL29" s="283"/>
      <c r="BM29" s="283"/>
      <c r="BN29" s="283"/>
      <c r="BO29" s="283"/>
      <c r="BP29" s="283"/>
      <c r="BQ29" s="283"/>
      <c r="BR29" s="283"/>
      <c r="BS29" s="283"/>
      <c r="BT29" s="283"/>
      <c r="BU29" s="283"/>
      <c r="BV29" s="283"/>
      <c r="BW29" s="283"/>
      <c r="BX29" s="283"/>
      <c r="BY29" s="283"/>
      <c r="BZ29" s="283"/>
      <c r="CA29" s="283"/>
      <c r="CB29" s="283"/>
      <c r="CC29" s="283"/>
      <c r="CD29" s="283"/>
      <c r="CE29" s="283"/>
      <c r="CF29" s="283"/>
      <c r="CG29" s="283"/>
      <c r="CH29" s="283"/>
      <c r="CI29" s="283"/>
      <c r="CJ29" s="283"/>
      <c r="CK29" s="283"/>
      <c r="CL29" s="283"/>
      <c r="CM29" s="289"/>
    </row>
    <row r="30" customHeight="1" spans="2:91">
      <c r="B30" s="282"/>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283"/>
      <c r="AO30" s="283"/>
      <c r="AP30" s="283"/>
      <c r="AQ30" s="283"/>
      <c r="AR30" s="283"/>
      <c r="AS30" s="283"/>
      <c r="AT30" s="289"/>
      <c r="AW30" s="282"/>
      <c r="AX30" s="283"/>
      <c r="AY30" s="283"/>
      <c r="AZ30" s="283"/>
      <c r="BA30" s="283"/>
      <c r="BB30" s="283"/>
      <c r="BC30" s="283"/>
      <c r="BD30" s="283"/>
      <c r="BE30" s="283"/>
      <c r="BF30" s="283"/>
      <c r="BG30" s="283"/>
      <c r="BH30" s="283"/>
      <c r="BI30" s="283"/>
      <c r="BJ30" s="283"/>
      <c r="BK30" s="283"/>
      <c r="BL30" s="283"/>
      <c r="BM30" s="283"/>
      <c r="BN30" s="283"/>
      <c r="BO30" s="283"/>
      <c r="BP30" s="283"/>
      <c r="BQ30" s="283"/>
      <c r="BR30" s="283"/>
      <c r="BS30" s="283"/>
      <c r="BT30" s="283"/>
      <c r="BU30" s="283"/>
      <c r="BV30" s="283"/>
      <c r="BW30" s="283"/>
      <c r="BX30" s="283"/>
      <c r="BY30" s="283"/>
      <c r="BZ30" s="283"/>
      <c r="CA30" s="283"/>
      <c r="CB30" s="283"/>
      <c r="CC30" s="283"/>
      <c r="CD30" s="283"/>
      <c r="CE30" s="283"/>
      <c r="CF30" s="283"/>
      <c r="CG30" s="283"/>
      <c r="CH30" s="283"/>
      <c r="CI30" s="283"/>
      <c r="CJ30" s="283"/>
      <c r="CK30" s="283"/>
      <c r="CL30" s="283"/>
      <c r="CM30" s="289"/>
    </row>
    <row r="31" customHeight="1" spans="2:91">
      <c r="B31" s="282"/>
      <c r="C31" s="283"/>
      <c r="D31" s="283"/>
      <c r="E31" s="283"/>
      <c r="F31" s="283"/>
      <c r="G31" s="283"/>
      <c r="H31" s="283"/>
      <c r="I31" s="283"/>
      <c r="J31" s="283"/>
      <c r="K31" s="283"/>
      <c r="L31" s="283"/>
      <c r="M31" s="283"/>
      <c r="N31" s="283"/>
      <c r="O31" s="283"/>
      <c r="P31" s="283"/>
      <c r="Q31" s="283"/>
      <c r="R31" s="283"/>
      <c r="S31" s="283"/>
      <c r="T31" s="283"/>
      <c r="U31" s="283"/>
      <c r="V31" s="283"/>
      <c r="W31" s="283"/>
      <c r="X31" s="283"/>
      <c r="Y31" s="283"/>
      <c r="Z31" s="283"/>
      <c r="AA31" s="283"/>
      <c r="AB31" s="283"/>
      <c r="AC31" s="283"/>
      <c r="AD31" s="283"/>
      <c r="AE31" s="283"/>
      <c r="AF31" s="283"/>
      <c r="AG31" s="283"/>
      <c r="AH31" s="283"/>
      <c r="AI31" s="283"/>
      <c r="AJ31" s="283"/>
      <c r="AK31" s="283"/>
      <c r="AL31" s="283"/>
      <c r="AM31" s="283"/>
      <c r="AN31" s="283"/>
      <c r="AO31" s="283"/>
      <c r="AP31" s="283"/>
      <c r="AQ31" s="283"/>
      <c r="AR31" s="283"/>
      <c r="AS31" s="283"/>
      <c r="AT31" s="289"/>
      <c r="AW31" s="282"/>
      <c r="AX31" s="283"/>
      <c r="AY31" s="283"/>
      <c r="AZ31" s="283"/>
      <c r="BA31" s="283"/>
      <c r="BB31" s="283"/>
      <c r="BC31" s="283"/>
      <c r="BD31" s="283"/>
      <c r="BE31" s="283"/>
      <c r="BF31" s="283"/>
      <c r="BG31" s="283"/>
      <c r="BH31" s="283"/>
      <c r="BI31" s="283"/>
      <c r="BJ31" s="283"/>
      <c r="BK31" s="283"/>
      <c r="BL31" s="283"/>
      <c r="BM31" s="283"/>
      <c r="BN31" s="283"/>
      <c r="BO31" s="283"/>
      <c r="BP31" s="283"/>
      <c r="BQ31" s="283"/>
      <c r="BR31" s="283"/>
      <c r="BS31" s="283"/>
      <c r="BT31" s="283"/>
      <c r="BU31" s="283"/>
      <c r="BV31" s="283"/>
      <c r="BW31" s="283"/>
      <c r="BX31" s="283"/>
      <c r="BY31" s="283"/>
      <c r="BZ31" s="283"/>
      <c r="CA31" s="283"/>
      <c r="CB31" s="283"/>
      <c r="CC31" s="283"/>
      <c r="CD31" s="283"/>
      <c r="CE31" s="283"/>
      <c r="CF31" s="283"/>
      <c r="CG31" s="283"/>
      <c r="CH31" s="283"/>
      <c r="CI31" s="283"/>
      <c r="CJ31" s="283"/>
      <c r="CK31" s="283"/>
      <c r="CL31" s="283"/>
      <c r="CM31" s="289"/>
    </row>
    <row r="32" customHeight="1" spans="2:91">
      <c r="B32" s="282"/>
      <c r="C32" s="283"/>
      <c r="D32" s="283"/>
      <c r="E32" s="283"/>
      <c r="F32" s="283"/>
      <c r="G32" s="283"/>
      <c r="H32" s="283"/>
      <c r="I32" s="283"/>
      <c r="J32" s="283"/>
      <c r="K32" s="283"/>
      <c r="L32" s="283"/>
      <c r="M32" s="283"/>
      <c r="N32" s="283"/>
      <c r="O32" s="283"/>
      <c r="P32" s="283"/>
      <c r="Q32" s="283"/>
      <c r="R32" s="283"/>
      <c r="S32" s="283"/>
      <c r="T32" s="283"/>
      <c r="U32" s="283"/>
      <c r="V32" s="283"/>
      <c r="W32" s="283"/>
      <c r="X32" s="283"/>
      <c r="Y32" s="283"/>
      <c r="Z32" s="283"/>
      <c r="AA32" s="283"/>
      <c r="AB32" s="283"/>
      <c r="AC32" s="283"/>
      <c r="AD32" s="283"/>
      <c r="AE32" s="283"/>
      <c r="AF32" s="283"/>
      <c r="AG32" s="283"/>
      <c r="AH32" s="283"/>
      <c r="AI32" s="283"/>
      <c r="AJ32" s="283"/>
      <c r="AK32" s="283"/>
      <c r="AL32" s="283"/>
      <c r="AM32" s="283"/>
      <c r="AN32" s="283"/>
      <c r="AO32" s="283"/>
      <c r="AP32" s="283"/>
      <c r="AQ32" s="283"/>
      <c r="AR32" s="283"/>
      <c r="AS32" s="283"/>
      <c r="AT32" s="289"/>
      <c r="AW32" s="282"/>
      <c r="AX32" s="283"/>
      <c r="AY32" s="283"/>
      <c r="AZ32" s="283"/>
      <c r="BA32" s="283"/>
      <c r="BB32" s="283"/>
      <c r="BC32" s="283"/>
      <c r="BD32" s="283"/>
      <c r="BE32" s="283"/>
      <c r="BF32" s="283"/>
      <c r="BG32" s="283"/>
      <c r="BH32" s="283"/>
      <c r="BI32" s="283"/>
      <c r="BJ32" s="283"/>
      <c r="BK32" s="283"/>
      <c r="BL32" s="283"/>
      <c r="BM32" s="283"/>
      <c r="BN32" s="283"/>
      <c r="BO32" s="283"/>
      <c r="BP32" s="283"/>
      <c r="BQ32" s="283"/>
      <c r="BR32" s="283"/>
      <c r="BS32" s="283"/>
      <c r="BT32" s="283"/>
      <c r="BU32" s="283"/>
      <c r="BV32" s="283"/>
      <c r="BW32" s="283"/>
      <c r="BX32" s="283"/>
      <c r="BY32" s="283"/>
      <c r="BZ32" s="283"/>
      <c r="CA32" s="283"/>
      <c r="CB32" s="283"/>
      <c r="CC32" s="283"/>
      <c r="CD32" s="283"/>
      <c r="CE32" s="283"/>
      <c r="CF32" s="283"/>
      <c r="CG32" s="283"/>
      <c r="CH32" s="283"/>
      <c r="CI32" s="283"/>
      <c r="CJ32" s="283"/>
      <c r="CK32" s="283"/>
      <c r="CL32" s="283"/>
      <c r="CM32" s="289"/>
    </row>
    <row r="33" customHeight="1" spans="2:91">
      <c r="B33" s="282"/>
      <c r="C33" s="283"/>
      <c r="D33" s="283"/>
      <c r="E33" s="283"/>
      <c r="F33" s="283"/>
      <c r="G33" s="283"/>
      <c r="H33" s="283"/>
      <c r="I33" s="283"/>
      <c r="J33" s="283"/>
      <c r="K33" s="283"/>
      <c r="L33" s="283"/>
      <c r="M33" s="283"/>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3"/>
      <c r="AO33" s="283"/>
      <c r="AP33" s="283"/>
      <c r="AQ33" s="283"/>
      <c r="AR33" s="283"/>
      <c r="AS33" s="283"/>
      <c r="AT33" s="289"/>
      <c r="AW33" s="282"/>
      <c r="AX33" s="283"/>
      <c r="AY33" s="283"/>
      <c r="AZ33" s="283"/>
      <c r="BA33" s="283"/>
      <c r="BB33" s="283"/>
      <c r="BC33" s="283"/>
      <c r="BD33" s="283"/>
      <c r="BE33" s="283"/>
      <c r="BF33" s="283"/>
      <c r="BG33" s="283"/>
      <c r="BH33" s="283"/>
      <c r="BI33" s="283"/>
      <c r="BJ33" s="283"/>
      <c r="BK33" s="283"/>
      <c r="BL33" s="283"/>
      <c r="BM33" s="283"/>
      <c r="BN33" s="283"/>
      <c r="BO33" s="283"/>
      <c r="BP33" s="283"/>
      <c r="BQ33" s="283"/>
      <c r="BR33" s="283"/>
      <c r="BS33" s="283"/>
      <c r="BT33" s="283"/>
      <c r="BU33" s="283"/>
      <c r="BV33" s="283"/>
      <c r="BW33" s="283"/>
      <c r="BX33" s="283"/>
      <c r="BY33" s="283"/>
      <c r="BZ33" s="283"/>
      <c r="CA33" s="283"/>
      <c r="CB33" s="283"/>
      <c r="CC33" s="283"/>
      <c r="CD33" s="283"/>
      <c r="CE33" s="283"/>
      <c r="CF33" s="283"/>
      <c r="CG33" s="283"/>
      <c r="CH33" s="283"/>
      <c r="CI33" s="283"/>
      <c r="CJ33" s="283"/>
      <c r="CK33" s="283"/>
      <c r="CL33" s="283"/>
      <c r="CM33" s="289"/>
    </row>
    <row r="34" customHeight="1" spans="2:91">
      <c r="B34" s="282"/>
      <c r="C34" s="283"/>
      <c r="D34" s="283"/>
      <c r="E34" s="283"/>
      <c r="F34" s="283"/>
      <c r="G34" s="283"/>
      <c r="H34" s="283"/>
      <c r="I34" s="283"/>
      <c r="J34" s="283"/>
      <c r="K34" s="283"/>
      <c r="L34" s="283"/>
      <c r="M34" s="283"/>
      <c r="N34" s="283"/>
      <c r="O34" s="283"/>
      <c r="P34" s="283"/>
      <c r="Q34" s="283"/>
      <c r="R34" s="283"/>
      <c r="S34" s="283"/>
      <c r="T34" s="283"/>
      <c r="U34" s="283"/>
      <c r="V34" s="283"/>
      <c r="W34" s="283"/>
      <c r="X34" s="283"/>
      <c r="Y34" s="283"/>
      <c r="Z34" s="283"/>
      <c r="AA34" s="283"/>
      <c r="AB34" s="283"/>
      <c r="AC34" s="283"/>
      <c r="AD34" s="283"/>
      <c r="AE34" s="283"/>
      <c r="AF34" s="283"/>
      <c r="AG34" s="283"/>
      <c r="AH34" s="283"/>
      <c r="AI34" s="283"/>
      <c r="AJ34" s="283"/>
      <c r="AK34" s="283"/>
      <c r="AL34" s="283"/>
      <c r="AM34" s="283"/>
      <c r="AN34" s="283"/>
      <c r="AO34" s="283"/>
      <c r="AP34" s="283"/>
      <c r="AQ34" s="283"/>
      <c r="AR34" s="283"/>
      <c r="AS34" s="283"/>
      <c r="AT34" s="289"/>
      <c r="AW34" s="282"/>
      <c r="AX34" s="283"/>
      <c r="AY34" s="283"/>
      <c r="AZ34" s="283"/>
      <c r="BA34" s="283"/>
      <c r="BB34" s="283"/>
      <c r="BC34" s="283"/>
      <c r="BD34" s="283"/>
      <c r="BE34" s="283"/>
      <c r="BF34" s="283"/>
      <c r="BG34" s="283"/>
      <c r="BH34" s="283"/>
      <c r="BI34" s="283"/>
      <c r="BJ34" s="283"/>
      <c r="BK34" s="283"/>
      <c r="BL34" s="283"/>
      <c r="BM34" s="283"/>
      <c r="BN34" s="283"/>
      <c r="BO34" s="283"/>
      <c r="BP34" s="283"/>
      <c r="BQ34" s="283"/>
      <c r="BR34" s="283"/>
      <c r="BS34" s="283"/>
      <c r="BT34" s="283"/>
      <c r="BU34" s="283"/>
      <c r="BV34" s="283"/>
      <c r="BW34" s="283"/>
      <c r="BX34" s="283"/>
      <c r="BY34" s="283"/>
      <c r="BZ34" s="283"/>
      <c r="CA34" s="283"/>
      <c r="CB34" s="283"/>
      <c r="CC34" s="283"/>
      <c r="CD34" s="283"/>
      <c r="CE34" s="283"/>
      <c r="CF34" s="283"/>
      <c r="CG34" s="283"/>
      <c r="CH34" s="283"/>
      <c r="CI34" s="283"/>
      <c r="CJ34" s="283"/>
      <c r="CK34" s="283"/>
      <c r="CL34" s="283"/>
      <c r="CM34" s="289"/>
    </row>
    <row r="35" customHeight="1" spans="2:91">
      <c r="B35" s="282"/>
      <c r="C35" s="283"/>
      <c r="D35" s="283"/>
      <c r="E35" s="283"/>
      <c r="F35" s="283"/>
      <c r="G35" s="283"/>
      <c r="H35" s="283"/>
      <c r="I35" s="283"/>
      <c r="J35" s="283"/>
      <c r="K35" s="283"/>
      <c r="L35" s="283"/>
      <c r="M35" s="283"/>
      <c r="N35" s="283"/>
      <c r="O35" s="283"/>
      <c r="P35" s="283"/>
      <c r="Q35" s="283"/>
      <c r="R35" s="283"/>
      <c r="S35" s="283"/>
      <c r="T35" s="283"/>
      <c r="U35" s="283"/>
      <c r="V35" s="283"/>
      <c r="W35" s="283"/>
      <c r="X35" s="283"/>
      <c r="Y35" s="283"/>
      <c r="Z35" s="283"/>
      <c r="AA35" s="283"/>
      <c r="AB35" s="283"/>
      <c r="AC35" s="283"/>
      <c r="AD35" s="283"/>
      <c r="AE35" s="283"/>
      <c r="AF35" s="283"/>
      <c r="AG35" s="283"/>
      <c r="AH35" s="283"/>
      <c r="AI35" s="283"/>
      <c r="AJ35" s="283"/>
      <c r="AK35" s="283"/>
      <c r="AL35" s="283"/>
      <c r="AM35" s="283"/>
      <c r="AN35" s="283"/>
      <c r="AO35" s="283"/>
      <c r="AP35" s="283"/>
      <c r="AQ35" s="283"/>
      <c r="AR35" s="283"/>
      <c r="AS35" s="283"/>
      <c r="AT35" s="289"/>
      <c r="AW35" s="282"/>
      <c r="AX35" s="283"/>
      <c r="AY35" s="283"/>
      <c r="AZ35" s="283"/>
      <c r="BA35" s="283"/>
      <c r="BB35" s="283"/>
      <c r="BC35" s="283"/>
      <c r="BD35" s="283"/>
      <c r="BE35" s="283"/>
      <c r="BF35" s="283"/>
      <c r="BG35" s="283"/>
      <c r="BH35" s="283"/>
      <c r="BI35" s="283"/>
      <c r="BJ35" s="283"/>
      <c r="BK35" s="283"/>
      <c r="BL35" s="283"/>
      <c r="BM35" s="283"/>
      <c r="BN35" s="283"/>
      <c r="BO35" s="283"/>
      <c r="BP35" s="283"/>
      <c r="BQ35" s="283"/>
      <c r="BR35" s="283"/>
      <c r="BS35" s="283"/>
      <c r="BT35" s="283"/>
      <c r="BU35" s="283"/>
      <c r="BV35" s="283"/>
      <c r="BW35" s="283"/>
      <c r="BX35" s="283"/>
      <c r="BY35" s="283"/>
      <c r="BZ35" s="283"/>
      <c r="CA35" s="283"/>
      <c r="CB35" s="283"/>
      <c r="CC35" s="283"/>
      <c r="CD35" s="283"/>
      <c r="CE35" s="283"/>
      <c r="CF35" s="283"/>
      <c r="CG35" s="283"/>
      <c r="CH35" s="283"/>
      <c r="CI35" s="283"/>
      <c r="CJ35" s="283"/>
      <c r="CK35" s="283"/>
      <c r="CL35" s="283"/>
      <c r="CM35" s="289"/>
    </row>
    <row r="36" customHeight="1" spans="2:91">
      <c r="B36" s="282"/>
      <c r="C36" s="283"/>
      <c r="D36" s="283"/>
      <c r="E36" s="283"/>
      <c r="F36" s="283"/>
      <c r="G36" s="283"/>
      <c r="H36" s="283"/>
      <c r="I36" s="283"/>
      <c r="J36" s="283"/>
      <c r="K36" s="283"/>
      <c r="L36" s="283"/>
      <c r="M36" s="283"/>
      <c r="N36" s="283"/>
      <c r="O36" s="283"/>
      <c r="P36" s="283"/>
      <c r="Q36" s="283"/>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c r="AS36" s="283"/>
      <c r="AT36" s="289"/>
      <c r="AW36" s="282"/>
      <c r="AX36" s="283"/>
      <c r="AY36" s="283"/>
      <c r="AZ36" s="283"/>
      <c r="BA36" s="283"/>
      <c r="BB36" s="283"/>
      <c r="BC36" s="283"/>
      <c r="BD36" s="283"/>
      <c r="BE36" s="283"/>
      <c r="BF36" s="283"/>
      <c r="BG36" s="283"/>
      <c r="BH36" s="283"/>
      <c r="BI36" s="283"/>
      <c r="BJ36" s="283"/>
      <c r="BK36" s="283"/>
      <c r="BL36" s="283"/>
      <c r="BM36" s="283"/>
      <c r="BN36" s="283"/>
      <c r="BO36" s="283"/>
      <c r="BP36" s="283"/>
      <c r="BQ36" s="283"/>
      <c r="BR36" s="283"/>
      <c r="BS36" s="283"/>
      <c r="BT36" s="283"/>
      <c r="BU36" s="283"/>
      <c r="BV36" s="283"/>
      <c r="BW36" s="283"/>
      <c r="BX36" s="283"/>
      <c r="BY36" s="283"/>
      <c r="BZ36" s="283"/>
      <c r="CA36" s="283"/>
      <c r="CB36" s="283"/>
      <c r="CC36" s="283"/>
      <c r="CD36" s="283"/>
      <c r="CE36" s="283"/>
      <c r="CF36" s="283"/>
      <c r="CG36" s="283"/>
      <c r="CH36" s="283"/>
      <c r="CI36" s="283"/>
      <c r="CJ36" s="283"/>
      <c r="CK36" s="283"/>
      <c r="CL36" s="283"/>
      <c r="CM36" s="289"/>
    </row>
    <row r="37" customHeight="1" spans="2:91">
      <c r="B37" s="282"/>
      <c r="C37" s="283"/>
      <c r="D37" s="283"/>
      <c r="E37" s="283"/>
      <c r="F37" s="283"/>
      <c r="G37" s="283"/>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9"/>
      <c r="AW37" s="282"/>
      <c r="AX37" s="283"/>
      <c r="AY37" s="283"/>
      <c r="AZ37" s="283"/>
      <c r="BA37" s="283"/>
      <c r="BB37" s="283"/>
      <c r="BC37" s="283"/>
      <c r="BD37" s="283"/>
      <c r="BE37" s="283"/>
      <c r="BF37" s="283"/>
      <c r="BG37" s="283"/>
      <c r="BH37" s="283"/>
      <c r="BI37" s="283"/>
      <c r="BJ37" s="283"/>
      <c r="BK37" s="283"/>
      <c r="BL37" s="283"/>
      <c r="BM37" s="283"/>
      <c r="BN37" s="283"/>
      <c r="BO37" s="283"/>
      <c r="BP37" s="283"/>
      <c r="BQ37" s="283"/>
      <c r="BR37" s="283"/>
      <c r="BS37" s="283"/>
      <c r="BT37" s="283"/>
      <c r="BU37" s="283"/>
      <c r="BV37" s="283"/>
      <c r="BW37" s="283"/>
      <c r="BX37" s="283"/>
      <c r="BY37" s="283"/>
      <c r="BZ37" s="283"/>
      <c r="CA37" s="283"/>
      <c r="CB37" s="283"/>
      <c r="CC37" s="283"/>
      <c r="CD37" s="283"/>
      <c r="CE37" s="283"/>
      <c r="CF37" s="283"/>
      <c r="CG37" s="283"/>
      <c r="CH37" s="283"/>
      <c r="CI37" s="283"/>
      <c r="CJ37" s="283"/>
      <c r="CK37" s="283"/>
      <c r="CL37" s="283"/>
      <c r="CM37" s="289"/>
    </row>
    <row r="38" customHeight="1" spans="2:91">
      <c r="B38" s="282"/>
      <c r="C38" s="283"/>
      <c r="D38" s="283"/>
      <c r="E38" s="283"/>
      <c r="F38" s="283"/>
      <c r="G38" s="283"/>
      <c r="H38" s="283"/>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c r="AL38" s="283"/>
      <c r="AM38" s="283"/>
      <c r="AN38" s="283"/>
      <c r="AO38" s="283"/>
      <c r="AP38" s="283"/>
      <c r="AQ38" s="283"/>
      <c r="AR38" s="283"/>
      <c r="AS38" s="283"/>
      <c r="AT38" s="289"/>
      <c r="AW38" s="282"/>
      <c r="AX38" s="283"/>
      <c r="AY38" s="283"/>
      <c r="AZ38" s="283"/>
      <c r="BA38" s="283"/>
      <c r="BB38" s="283"/>
      <c r="BC38" s="283"/>
      <c r="BD38" s="283"/>
      <c r="BE38" s="283"/>
      <c r="BF38" s="283"/>
      <c r="BG38" s="283"/>
      <c r="BH38" s="283"/>
      <c r="BI38" s="283"/>
      <c r="BJ38" s="283"/>
      <c r="BK38" s="283"/>
      <c r="BL38" s="283"/>
      <c r="BM38" s="283"/>
      <c r="BN38" s="283"/>
      <c r="BO38" s="283"/>
      <c r="BP38" s="283"/>
      <c r="BQ38" s="283"/>
      <c r="BR38" s="283"/>
      <c r="BS38" s="283"/>
      <c r="BT38" s="283"/>
      <c r="BU38" s="283"/>
      <c r="BV38" s="283"/>
      <c r="BW38" s="283"/>
      <c r="BX38" s="283"/>
      <c r="BY38" s="283"/>
      <c r="BZ38" s="283"/>
      <c r="CA38" s="283"/>
      <c r="CB38" s="283"/>
      <c r="CC38" s="283"/>
      <c r="CD38" s="283"/>
      <c r="CE38" s="283"/>
      <c r="CF38" s="283"/>
      <c r="CG38" s="283"/>
      <c r="CH38" s="283"/>
      <c r="CI38" s="283"/>
      <c r="CJ38" s="283"/>
      <c r="CK38" s="283"/>
      <c r="CL38" s="283"/>
      <c r="CM38" s="289"/>
    </row>
    <row r="39" customHeight="1" spans="2:91">
      <c r="B39" s="282"/>
      <c r="C39" s="283"/>
      <c r="D39" s="283"/>
      <c r="E39" s="283"/>
      <c r="F39" s="283"/>
      <c r="G39" s="283"/>
      <c r="H39" s="283"/>
      <c r="I39" s="283"/>
      <c r="J39" s="283"/>
      <c r="K39" s="283"/>
      <c r="L39" s="283"/>
      <c r="M39" s="283"/>
      <c r="N39" s="283"/>
      <c r="O39" s="283"/>
      <c r="P39" s="283"/>
      <c r="Q39" s="283"/>
      <c r="R39" s="283"/>
      <c r="S39" s="283"/>
      <c r="T39" s="283"/>
      <c r="U39" s="283"/>
      <c r="V39" s="283"/>
      <c r="W39" s="283"/>
      <c r="X39" s="283"/>
      <c r="Y39" s="283"/>
      <c r="Z39" s="283"/>
      <c r="AA39" s="283"/>
      <c r="AB39" s="283"/>
      <c r="AC39" s="283"/>
      <c r="AD39" s="283"/>
      <c r="AE39" s="283"/>
      <c r="AF39" s="283"/>
      <c r="AG39" s="283"/>
      <c r="AH39" s="283"/>
      <c r="AI39" s="283"/>
      <c r="AJ39" s="283"/>
      <c r="AK39" s="283"/>
      <c r="AL39" s="283"/>
      <c r="AM39" s="283"/>
      <c r="AN39" s="283"/>
      <c r="AO39" s="283"/>
      <c r="AP39" s="283"/>
      <c r="AQ39" s="283"/>
      <c r="AR39" s="283"/>
      <c r="AS39" s="283"/>
      <c r="AT39" s="289"/>
      <c r="AW39" s="282"/>
      <c r="AX39" s="283"/>
      <c r="AY39" s="283"/>
      <c r="AZ39" s="283"/>
      <c r="BA39" s="283"/>
      <c r="BB39" s="283"/>
      <c r="BC39" s="283"/>
      <c r="BD39" s="283"/>
      <c r="BE39" s="283"/>
      <c r="BF39" s="283"/>
      <c r="BG39" s="283"/>
      <c r="BH39" s="283"/>
      <c r="BI39" s="283"/>
      <c r="BJ39" s="283"/>
      <c r="BK39" s="283"/>
      <c r="BL39" s="283"/>
      <c r="BM39" s="283"/>
      <c r="BN39" s="283"/>
      <c r="BO39" s="283"/>
      <c r="BP39" s="283"/>
      <c r="BQ39" s="283"/>
      <c r="BR39" s="283"/>
      <c r="BS39" s="283"/>
      <c r="BT39" s="283"/>
      <c r="BU39" s="283"/>
      <c r="BV39" s="283"/>
      <c r="BW39" s="283"/>
      <c r="BX39" s="283"/>
      <c r="BY39" s="283"/>
      <c r="BZ39" s="283"/>
      <c r="CA39" s="283"/>
      <c r="CB39" s="283"/>
      <c r="CC39" s="283"/>
      <c r="CD39" s="283"/>
      <c r="CE39" s="283"/>
      <c r="CF39" s="283"/>
      <c r="CG39" s="283"/>
      <c r="CH39" s="283"/>
      <c r="CI39" s="283"/>
      <c r="CJ39" s="283"/>
      <c r="CK39" s="283"/>
      <c r="CL39" s="283"/>
      <c r="CM39" s="289"/>
    </row>
    <row r="40" customHeight="1" spans="2:91">
      <c r="B40" s="282"/>
      <c r="C40" s="283"/>
      <c r="D40" s="283"/>
      <c r="E40" s="283"/>
      <c r="F40" s="283"/>
      <c r="G40" s="283"/>
      <c r="H40" s="283"/>
      <c r="I40" s="283"/>
      <c r="J40" s="283"/>
      <c r="K40" s="283"/>
      <c r="L40" s="283"/>
      <c r="M40" s="283"/>
      <c r="N40" s="283"/>
      <c r="O40" s="283"/>
      <c r="P40" s="283"/>
      <c r="Q40" s="283"/>
      <c r="R40" s="283"/>
      <c r="S40" s="283"/>
      <c r="T40" s="283"/>
      <c r="U40" s="283"/>
      <c r="V40" s="283"/>
      <c r="W40" s="283"/>
      <c r="X40" s="283"/>
      <c r="Y40" s="283"/>
      <c r="Z40" s="283"/>
      <c r="AA40" s="283"/>
      <c r="AB40" s="283"/>
      <c r="AC40" s="283"/>
      <c r="AD40" s="283"/>
      <c r="AE40" s="283"/>
      <c r="AF40" s="283"/>
      <c r="AG40" s="283"/>
      <c r="AH40" s="283"/>
      <c r="AI40" s="283"/>
      <c r="AJ40" s="283"/>
      <c r="AK40" s="283"/>
      <c r="AL40" s="283"/>
      <c r="AM40" s="283"/>
      <c r="AN40" s="283"/>
      <c r="AO40" s="283"/>
      <c r="AP40" s="283"/>
      <c r="AQ40" s="283"/>
      <c r="AR40" s="283"/>
      <c r="AS40" s="283"/>
      <c r="AT40" s="289"/>
      <c r="AW40" s="282"/>
      <c r="AX40" s="283"/>
      <c r="AY40" s="283"/>
      <c r="AZ40" s="283"/>
      <c r="BA40" s="283"/>
      <c r="BB40" s="283"/>
      <c r="BC40" s="283"/>
      <c r="BD40" s="283"/>
      <c r="BE40" s="283"/>
      <c r="BF40" s="283"/>
      <c r="BG40" s="283"/>
      <c r="BH40" s="283"/>
      <c r="BI40" s="283"/>
      <c r="BJ40" s="283"/>
      <c r="BK40" s="283"/>
      <c r="BL40" s="283"/>
      <c r="BM40" s="283"/>
      <c r="BN40" s="283"/>
      <c r="BO40" s="283"/>
      <c r="BP40" s="283"/>
      <c r="BQ40" s="283"/>
      <c r="BR40" s="283"/>
      <c r="BS40" s="283"/>
      <c r="BT40" s="283"/>
      <c r="BU40" s="283"/>
      <c r="BV40" s="283"/>
      <c r="BW40" s="283"/>
      <c r="BX40" s="283"/>
      <c r="BY40" s="283"/>
      <c r="BZ40" s="283"/>
      <c r="CA40" s="283"/>
      <c r="CB40" s="283"/>
      <c r="CC40" s="283"/>
      <c r="CD40" s="283"/>
      <c r="CE40" s="283"/>
      <c r="CF40" s="283"/>
      <c r="CG40" s="283"/>
      <c r="CH40" s="283"/>
      <c r="CI40" s="283"/>
      <c r="CJ40" s="283"/>
      <c r="CK40" s="283"/>
      <c r="CL40" s="283"/>
      <c r="CM40" s="289"/>
    </row>
    <row r="41" customHeight="1" spans="2:91">
      <c r="B41" s="282"/>
      <c r="C41" s="283"/>
      <c r="D41" s="283"/>
      <c r="E41" s="283"/>
      <c r="F41" s="283"/>
      <c r="G41" s="283"/>
      <c r="H41" s="283"/>
      <c r="I41" s="283"/>
      <c r="J41" s="283"/>
      <c r="K41" s="283"/>
      <c r="L41" s="283"/>
      <c r="M41" s="283"/>
      <c r="N41" s="283"/>
      <c r="O41" s="283"/>
      <c r="P41" s="283"/>
      <c r="Q41" s="283"/>
      <c r="R41" s="283"/>
      <c r="S41" s="283"/>
      <c r="T41" s="283"/>
      <c r="U41" s="283"/>
      <c r="V41" s="283"/>
      <c r="W41" s="283"/>
      <c r="X41" s="283"/>
      <c r="Y41" s="283"/>
      <c r="Z41" s="283"/>
      <c r="AA41" s="283"/>
      <c r="AB41" s="283"/>
      <c r="AC41" s="283"/>
      <c r="AD41" s="283"/>
      <c r="AE41" s="283"/>
      <c r="AF41" s="283"/>
      <c r="AG41" s="283"/>
      <c r="AH41" s="283"/>
      <c r="AI41" s="283"/>
      <c r="AJ41" s="283"/>
      <c r="AK41" s="283"/>
      <c r="AL41" s="283"/>
      <c r="AM41" s="283"/>
      <c r="AN41" s="283"/>
      <c r="AO41" s="283"/>
      <c r="AP41" s="283"/>
      <c r="AQ41" s="283"/>
      <c r="AR41" s="283"/>
      <c r="AS41" s="283"/>
      <c r="AT41" s="289"/>
      <c r="AW41" s="282"/>
      <c r="AX41" s="283"/>
      <c r="AY41" s="283"/>
      <c r="AZ41" s="283"/>
      <c r="BA41" s="283"/>
      <c r="BB41" s="283"/>
      <c r="BC41" s="283"/>
      <c r="BD41" s="283"/>
      <c r="BE41" s="283"/>
      <c r="BF41" s="283"/>
      <c r="BG41" s="283"/>
      <c r="BH41" s="283"/>
      <c r="BI41" s="283"/>
      <c r="BJ41" s="283"/>
      <c r="BK41" s="283"/>
      <c r="BL41" s="283"/>
      <c r="BM41" s="283"/>
      <c r="BN41" s="283"/>
      <c r="BO41" s="283"/>
      <c r="BP41" s="283"/>
      <c r="BQ41" s="283"/>
      <c r="BR41" s="283"/>
      <c r="BS41" s="283"/>
      <c r="BT41" s="283"/>
      <c r="BU41" s="283"/>
      <c r="BV41" s="283"/>
      <c r="BW41" s="283"/>
      <c r="BX41" s="283"/>
      <c r="BY41" s="283"/>
      <c r="BZ41" s="283"/>
      <c r="CA41" s="283"/>
      <c r="CB41" s="283"/>
      <c r="CC41" s="283"/>
      <c r="CD41" s="283"/>
      <c r="CE41" s="283"/>
      <c r="CF41" s="283"/>
      <c r="CG41" s="283"/>
      <c r="CH41" s="283"/>
      <c r="CI41" s="283"/>
      <c r="CJ41" s="283"/>
      <c r="CK41" s="283"/>
      <c r="CL41" s="283"/>
      <c r="CM41" s="289"/>
    </row>
    <row r="42" customHeight="1" spans="2:91">
      <c r="B42" s="282"/>
      <c r="C42" s="283"/>
      <c r="D42" s="283"/>
      <c r="E42" s="283"/>
      <c r="F42" s="283"/>
      <c r="G42" s="283"/>
      <c r="H42" s="283"/>
      <c r="I42" s="283"/>
      <c r="J42" s="283"/>
      <c r="K42" s="283"/>
      <c r="L42" s="283"/>
      <c r="M42" s="283"/>
      <c r="N42" s="283"/>
      <c r="O42" s="283"/>
      <c r="P42" s="283"/>
      <c r="Q42" s="283"/>
      <c r="R42" s="283"/>
      <c r="S42" s="283"/>
      <c r="T42" s="283"/>
      <c r="U42" s="283"/>
      <c r="V42" s="283"/>
      <c r="W42" s="283"/>
      <c r="X42" s="283"/>
      <c r="Y42" s="283"/>
      <c r="Z42" s="283"/>
      <c r="AA42" s="283"/>
      <c r="AB42" s="283"/>
      <c r="AC42" s="283"/>
      <c r="AD42" s="283"/>
      <c r="AE42" s="283"/>
      <c r="AF42" s="283"/>
      <c r="AG42" s="283"/>
      <c r="AH42" s="283"/>
      <c r="AI42" s="283"/>
      <c r="AJ42" s="283"/>
      <c r="AK42" s="283"/>
      <c r="AL42" s="283"/>
      <c r="AM42" s="283"/>
      <c r="AN42" s="283"/>
      <c r="AO42" s="283"/>
      <c r="AP42" s="283"/>
      <c r="AQ42" s="283"/>
      <c r="AR42" s="283"/>
      <c r="AS42" s="283"/>
      <c r="AT42" s="289"/>
      <c r="AW42" s="282"/>
      <c r="AX42" s="283"/>
      <c r="AY42" s="283"/>
      <c r="AZ42" s="283"/>
      <c r="BA42" s="283"/>
      <c r="BB42" s="283"/>
      <c r="BC42" s="283"/>
      <c r="BD42" s="283"/>
      <c r="BE42" s="283"/>
      <c r="BF42" s="283"/>
      <c r="BG42" s="283"/>
      <c r="BH42" s="283"/>
      <c r="BI42" s="283"/>
      <c r="BJ42" s="283"/>
      <c r="BK42" s="283"/>
      <c r="BL42" s="283"/>
      <c r="BM42" s="283"/>
      <c r="BN42" s="283"/>
      <c r="BO42" s="283"/>
      <c r="BP42" s="283"/>
      <c r="BQ42" s="283"/>
      <c r="BR42" s="283"/>
      <c r="BS42" s="283"/>
      <c r="BT42" s="283"/>
      <c r="BU42" s="283"/>
      <c r="BV42" s="283"/>
      <c r="BW42" s="283"/>
      <c r="BX42" s="283"/>
      <c r="BY42" s="283"/>
      <c r="BZ42" s="283"/>
      <c r="CA42" s="283"/>
      <c r="CB42" s="283"/>
      <c r="CC42" s="283"/>
      <c r="CD42" s="283"/>
      <c r="CE42" s="283"/>
      <c r="CF42" s="283"/>
      <c r="CG42" s="283"/>
      <c r="CH42" s="283"/>
      <c r="CI42" s="283"/>
      <c r="CJ42" s="283"/>
      <c r="CK42" s="283"/>
      <c r="CL42" s="283"/>
      <c r="CM42" s="289"/>
    </row>
    <row r="43" customHeight="1" spans="2:91">
      <c r="B43" s="282"/>
      <c r="C43" s="283"/>
      <c r="D43" s="283"/>
      <c r="E43" s="283"/>
      <c r="F43" s="283"/>
      <c r="G43" s="283"/>
      <c r="H43" s="283"/>
      <c r="I43" s="283"/>
      <c r="J43" s="283"/>
      <c r="K43" s="283"/>
      <c r="L43" s="283"/>
      <c r="M43" s="283"/>
      <c r="N43" s="283"/>
      <c r="O43" s="283"/>
      <c r="P43" s="283"/>
      <c r="Q43" s="283"/>
      <c r="R43" s="283"/>
      <c r="S43" s="283"/>
      <c r="T43" s="283"/>
      <c r="U43" s="283"/>
      <c r="V43" s="283"/>
      <c r="W43" s="283"/>
      <c r="X43" s="283"/>
      <c r="Y43" s="283"/>
      <c r="Z43" s="283"/>
      <c r="AA43" s="283"/>
      <c r="AB43" s="283"/>
      <c r="AC43" s="283"/>
      <c r="AD43" s="283"/>
      <c r="AE43" s="283"/>
      <c r="AF43" s="283"/>
      <c r="AG43" s="283"/>
      <c r="AH43" s="283"/>
      <c r="AI43" s="283"/>
      <c r="AJ43" s="283"/>
      <c r="AK43" s="283"/>
      <c r="AL43" s="283"/>
      <c r="AM43" s="283"/>
      <c r="AN43" s="283"/>
      <c r="AO43" s="283"/>
      <c r="AP43" s="283"/>
      <c r="AQ43" s="283"/>
      <c r="AR43" s="283"/>
      <c r="AS43" s="283"/>
      <c r="AT43" s="289"/>
      <c r="AW43" s="282"/>
      <c r="AX43" s="283"/>
      <c r="AY43" s="283"/>
      <c r="AZ43" s="283"/>
      <c r="BA43" s="283"/>
      <c r="BB43" s="283"/>
      <c r="BC43" s="283"/>
      <c r="BD43" s="283"/>
      <c r="BE43" s="283"/>
      <c r="BF43" s="283"/>
      <c r="BG43" s="283"/>
      <c r="BH43" s="283"/>
      <c r="BI43" s="283"/>
      <c r="BJ43" s="283"/>
      <c r="BK43" s="283"/>
      <c r="BL43" s="283"/>
      <c r="BM43" s="283"/>
      <c r="BN43" s="283"/>
      <c r="BO43" s="283"/>
      <c r="BP43" s="283"/>
      <c r="BQ43" s="283"/>
      <c r="BR43" s="283"/>
      <c r="BS43" s="283"/>
      <c r="BT43" s="283"/>
      <c r="BU43" s="283"/>
      <c r="BV43" s="283"/>
      <c r="BW43" s="283"/>
      <c r="BX43" s="283"/>
      <c r="BY43" s="283"/>
      <c r="BZ43" s="283"/>
      <c r="CA43" s="283"/>
      <c r="CB43" s="283"/>
      <c r="CC43" s="283"/>
      <c r="CD43" s="283"/>
      <c r="CE43" s="283"/>
      <c r="CF43" s="283"/>
      <c r="CG43" s="283"/>
      <c r="CH43" s="283"/>
      <c r="CI43" s="283"/>
      <c r="CJ43" s="283"/>
      <c r="CK43" s="283"/>
      <c r="CL43" s="283"/>
      <c r="CM43" s="289"/>
    </row>
    <row r="44" customHeight="1" spans="2:91">
      <c r="B44" s="282"/>
      <c r="C44" s="283"/>
      <c r="D44" s="283"/>
      <c r="E44" s="283"/>
      <c r="F44" s="283"/>
      <c r="G44" s="283"/>
      <c r="H44" s="283"/>
      <c r="I44" s="283"/>
      <c r="J44" s="283"/>
      <c r="K44" s="283"/>
      <c r="L44" s="283"/>
      <c r="M44" s="283"/>
      <c r="N44" s="283"/>
      <c r="O44" s="283"/>
      <c r="P44" s="283"/>
      <c r="Q44" s="283"/>
      <c r="R44" s="283"/>
      <c r="S44" s="283"/>
      <c r="T44" s="283"/>
      <c r="U44" s="283"/>
      <c r="V44" s="283"/>
      <c r="W44" s="283"/>
      <c r="X44" s="283"/>
      <c r="Y44" s="283"/>
      <c r="Z44" s="283"/>
      <c r="AA44" s="283"/>
      <c r="AB44" s="283"/>
      <c r="AC44" s="283"/>
      <c r="AD44" s="283"/>
      <c r="AE44" s="283"/>
      <c r="AF44" s="283"/>
      <c r="AG44" s="283"/>
      <c r="AH44" s="283"/>
      <c r="AI44" s="283"/>
      <c r="AJ44" s="283"/>
      <c r="AK44" s="283"/>
      <c r="AL44" s="283"/>
      <c r="AM44" s="283"/>
      <c r="AN44" s="283"/>
      <c r="AO44" s="283"/>
      <c r="AP44" s="283"/>
      <c r="AQ44" s="283"/>
      <c r="AR44" s="283"/>
      <c r="AS44" s="283"/>
      <c r="AT44" s="289"/>
      <c r="AW44" s="282"/>
      <c r="AX44" s="283"/>
      <c r="AY44" s="283"/>
      <c r="AZ44" s="283"/>
      <c r="BA44" s="283"/>
      <c r="BB44" s="283"/>
      <c r="BC44" s="283"/>
      <c r="BD44" s="283"/>
      <c r="BE44" s="283"/>
      <c r="BF44" s="283"/>
      <c r="BG44" s="283"/>
      <c r="BH44" s="283"/>
      <c r="BI44" s="283"/>
      <c r="BJ44" s="283"/>
      <c r="BK44" s="283"/>
      <c r="BL44" s="283"/>
      <c r="BM44" s="283"/>
      <c r="BN44" s="283"/>
      <c r="BO44" s="283"/>
      <c r="BP44" s="283"/>
      <c r="BQ44" s="283"/>
      <c r="BR44" s="283"/>
      <c r="BS44" s="283"/>
      <c r="BT44" s="283"/>
      <c r="BU44" s="283"/>
      <c r="BV44" s="283"/>
      <c r="BW44" s="283"/>
      <c r="BX44" s="283"/>
      <c r="BY44" s="283"/>
      <c r="BZ44" s="283"/>
      <c r="CA44" s="283"/>
      <c r="CB44" s="283"/>
      <c r="CC44" s="283"/>
      <c r="CD44" s="283"/>
      <c r="CE44" s="283"/>
      <c r="CF44" s="283"/>
      <c r="CG44" s="283"/>
      <c r="CH44" s="283"/>
      <c r="CI44" s="283"/>
      <c r="CJ44" s="283"/>
      <c r="CK44" s="283"/>
      <c r="CL44" s="283"/>
      <c r="CM44" s="289"/>
    </row>
    <row r="45" customHeight="1" spans="2:91">
      <c r="B45" s="282"/>
      <c r="C45" s="283"/>
      <c r="D45" s="283"/>
      <c r="E45" s="283"/>
      <c r="F45" s="283"/>
      <c r="G45" s="283"/>
      <c r="H45" s="283"/>
      <c r="I45" s="283"/>
      <c r="J45" s="283"/>
      <c r="K45" s="283"/>
      <c r="L45" s="283"/>
      <c r="M45" s="283"/>
      <c r="N45" s="283"/>
      <c r="O45" s="283"/>
      <c r="P45" s="283"/>
      <c r="Q45" s="283"/>
      <c r="R45" s="283"/>
      <c r="S45" s="283"/>
      <c r="T45" s="283"/>
      <c r="U45" s="283"/>
      <c r="V45" s="283"/>
      <c r="W45" s="283"/>
      <c r="X45" s="283"/>
      <c r="Y45" s="283"/>
      <c r="Z45" s="283"/>
      <c r="AA45" s="283"/>
      <c r="AB45" s="283"/>
      <c r="AC45" s="283"/>
      <c r="AD45" s="283"/>
      <c r="AE45" s="283"/>
      <c r="AF45" s="283"/>
      <c r="AG45" s="283"/>
      <c r="AH45" s="283"/>
      <c r="AI45" s="283"/>
      <c r="AJ45" s="283"/>
      <c r="AK45" s="283"/>
      <c r="AL45" s="283"/>
      <c r="AM45" s="283"/>
      <c r="AN45" s="283"/>
      <c r="AO45" s="283"/>
      <c r="AP45" s="283"/>
      <c r="AQ45" s="283"/>
      <c r="AR45" s="283"/>
      <c r="AS45" s="283"/>
      <c r="AT45" s="289"/>
      <c r="AW45" s="282"/>
      <c r="AX45" s="283"/>
      <c r="AY45" s="283"/>
      <c r="AZ45" s="283"/>
      <c r="BA45" s="283"/>
      <c r="BB45" s="283"/>
      <c r="BC45" s="283"/>
      <c r="BD45" s="283"/>
      <c r="BE45" s="283"/>
      <c r="BF45" s="283"/>
      <c r="BG45" s="283"/>
      <c r="BH45" s="283"/>
      <c r="BI45" s="283"/>
      <c r="BJ45" s="283"/>
      <c r="BK45" s="283"/>
      <c r="BL45" s="283"/>
      <c r="BM45" s="283"/>
      <c r="BN45" s="283"/>
      <c r="BO45" s="283"/>
      <c r="BP45" s="283"/>
      <c r="BQ45" s="283"/>
      <c r="BR45" s="283"/>
      <c r="BS45" s="283"/>
      <c r="BT45" s="283"/>
      <c r="BU45" s="283"/>
      <c r="BV45" s="283"/>
      <c r="BW45" s="283"/>
      <c r="BX45" s="283"/>
      <c r="BY45" s="283"/>
      <c r="BZ45" s="283"/>
      <c r="CA45" s="283"/>
      <c r="CB45" s="283"/>
      <c r="CC45" s="283"/>
      <c r="CD45" s="283"/>
      <c r="CE45" s="283"/>
      <c r="CF45" s="283"/>
      <c r="CG45" s="283"/>
      <c r="CH45" s="283"/>
      <c r="CI45" s="283"/>
      <c r="CJ45" s="283"/>
      <c r="CK45" s="283"/>
      <c r="CL45" s="283"/>
      <c r="CM45" s="289"/>
    </row>
    <row r="46" customHeight="1" spans="2:91">
      <c r="B46" s="282"/>
      <c r="C46" s="283"/>
      <c r="D46" s="283"/>
      <c r="E46" s="283"/>
      <c r="F46" s="283"/>
      <c r="G46" s="283"/>
      <c r="H46" s="283"/>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83"/>
      <c r="AJ46" s="283"/>
      <c r="AK46" s="283"/>
      <c r="AL46" s="283"/>
      <c r="AM46" s="283"/>
      <c r="AN46" s="283"/>
      <c r="AO46" s="283"/>
      <c r="AP46" s="283"/>
      <c r="AQ46" s="283"/>
      <c r="AR46" s="283"/>
      <c r="AS46" s="283"/>
      <c r="AT46" s="289"/>
      <c r="AW46" s="282"/>
      <c r="AX46" s="283"/>
      <c r="AY46" s="283"/>
      <c r="AZ46" s="283"/>
      <c r="BA46" s="283"/>
      <c r="BB46" s="283"/>
      <c r="BC46" s="283"/>
      <c r="BD46" s="283"/>
      <c r="BE46" s="283"/>
      <c r="BF46" s="283"/>
      <c r="BG46" s="283"/>
      <c r="BH46" s="283"/>
      <c r="BI46" s="283"/>
      <c r="BJ46" s="283"/>
      <c r="BK46" s="283"/>
      <c r="BL46" s="283"/>
      <c r="BM46" s="283"/>
      <c r="BN46" s="283"/>
      <c r="BO46" s="283"/>
      <c r="BP46" s="283"/>
      <c r="BQ46" s="283"/>
      <c r="BR46" s="283"/>
      <c r="BS46" s="283"/>
      <c r="BT46" s="283"/>
      <c r="BU46" s="283"/>
      <c r="BV46" s="283"/>
      <c r="BW46" s="283"/>
      <c r="BX46" s="283"/>
      <c r="BY46" s="283"/>
      <c r="BZ46" s="283"/>
      <c r="CA46" s="283"/>
      <c r="CB46" s="283"/>
      <c r="CC46" s="283"/>
      <c r="CD46" s="283"/>
      <c r="CE46" s="283"/>
      <c r="CF46" s="283"/>
      <c r="CG46" s="283"/>
      <c r="CH46" s="283"/>
      <c r="CI46" s="283"/>
      <c r="CJ46" s="283"/>
      <c r="CK46" s="283"/>
      <c r="CL46" s="283"/>
      <c r="CM46" s="289"/>
    </row>
    <row r="47" customHeight="1" spans="2:91">
      <c r="B47" s="282"/>
      <c r="C47" s="283"/>
      <c r="D47" s="283"/>
      <c r="E47" s="283"/>
      <c r="F47" s="283"/>
      <c r="G47" s="283"/>
      <c r="H47" s="283"/>
      <c r="I47" s="283"/>
      <c r="J47" s="283"/>
      <c r="K47" s="283"/>
      <c r="L47" s="283"/>
      <c r="M47" s="283"/>
      <c r="N47" s="283"/>
      <c r="O47" s="283"/>
      <c r="P47" s="283"/>
      <c r="Q47" s="283"/>
      <c r="R47" s="283"/>
      <c r="S47" s="283"/>
      <c r="T47" s="283"/>
      <c r="U47" s="283"/>
      <c r="V47" s="283"/>
      <c r="W47" s="283"/>
      <c r="X47" s="283"/>
      <c r="Y47" s="283"/>
      <c r="Z47" s="283"/>
      <c r="AA47" s="283"/>
      <c r="AB47" s="283"/>
      <c r="AC47" s="283"/>
      <c r="AD47" s="283"/>
      <c r="AE47" s="283"/>
      <c r="AF47" s="283"/>
      <c r="AG47" s="283"/>
      <c r="AH47" s="283"/>
      <c r="AI47" s="283"/>
      <c r="AJ47" s="283"/>
      <c r="AK47" s="283"/>
      <c r="AL47" s="283"/>
      <c r="AM47" s="283"/>
      <c r="AN47" s="283"/>
      <c r="AO47" s="283"/>
      <c r="AP47" s="283"/>
      <c r="AQ47" s="283"/>
      <c r="AR47" s="283"/>
      <c r="AS47" s="283"/>
      <c r="AT47" s="289"/>
      <c r="AW47" s="282"/>
      <c r="AX47" s="283"/>
      <c r="AY47" s="283"/>
      <c r="AZ47" s="283"/>
      <c r="BA47" s="283"/>
      <c r="BB47" s="283"/>
      <c r="BC47" s="283"/>
      <c r="BD47" s="283"/>
      <c r="BE47" s="283"/>
      <c r="BF47" s="283"/>
      <c r="BG47" s="283"/>
      <c r="BH47" s="283"/>
      <c r="BI47" s="283"/>
      <c r="BJ47" s="283"/>
      <c r="BK47" s="283"/>
      <c r="BL47" s="283"/>
      <c r="BM47" s="283"/>
      <c r="BN47" s="283"/>
      <c r="BO47" s="283"/>
      <c r="BP47" s="283"/>
      <c r="BQ47" s="283"/>
      <c r="BR47" s="283"/>
      <c r="BS47" s="283"/>
      <c r="BT47" s="283"/>
      <c r="BU47" s="283"/>
      <c r="BV47" s="283"/>
      <c r="BW47" s="283"/>
      <c r="BX47" s="283"/>
      <c r="BY47" s="283"/>
      <c r="BZ47" s="283"/>
      <c r="CA47" s="283"/>
      <c r="CB47" s="283"/>
      <c r="CC47" s="283"/>
      <c r="CD47" s="283"/>
      <c r="CE47" s="283"/>
      <c r="CF47" s="283"/>
      <c r="CG47" s="283"/>
      <c r="CH47" s="283"/>
      <c r="CI47" s="283"/>
      <c r="CJ47" s="283"/>
      <c r="CK47" s="283"/>
      <c r="CL47" s="283"/>
      <c r="CM47" s="289"/>
    </row>
    <row r="48" customHeight="1" spans="2:91">
      <c r="B48" s="282"/>
      <c r="C48" s="283"/>
      <c r="D48" s="283"/>
      <c r="E48" s="283"/>
      <c r="F48" s="283"/>
      <c r="G48" s="283"/>
      <c r="H48" s="283"/>
      <c r="I48" s="283"/>
      <c r="J48" s="283"/>
      <c r="K48" s="283"/>
      <c r="L48" s="283"/>
      <c r="M48" s="283"/>
      <c r="N48" s="283"/>
      <c r="O48" s="283"/>
      <c r="P48" s="283"/>
      <c r="Q48" s="283"/>
      <c r="R48" s="283"/>
      <c r="S48" s="283"/>
      <c r="T48" s="283"/>
      <c r="U48" s="283"/>
      <c r="V48" s="283"/>
      <c r="W48" s="283"/>
      <c r="X48" s="283"/>
      <c r="Y48" s="283"/>
      <c r="Z48" s="283"/>
      <c r="AA48" s="283"/>
      <c r="AB48" s="283"/>
      <c r="AC48" s="283"/>
      <c r="AD48" s="283"/>
      <c r="AE48" s="283"/>
      <c r="AF48" s="283"/>
      <c r="AG48" s="283"/>
      <c r="AH48" s="283"/>
      <c r="AI48" s="283"/>
      <c r="AJ48" s="283"/>
      <c r="AK48" s="283"/>
      <c r="AL48" s="283"/>
      <c r="AM48" s="283"/>
      <c r="AN48" s="283"/>
      <c r="AO48" s="283"/>
      <c r="AP48" s="283"/>
      <c r="AQ48" s="283"/>
      <c r="AR48" s="283"/>
      <c r="AS48" s="283"/>
      <c r="AT48" s="289"/>
      <c r="AW48" s="282"/>
      <c r="AX48" s="283"/>
      <c r="AY48" s="283"/>
      <c r="AZ48" s="283"/>
      <c r="BA48" s="283"/>
      <c r="BB48" s="283"/>
      <c r="BC48" s="283"/>
      <c r="BD48" s="283"/>
      <c r="BE48" s="283"/>
      <c r="BF48" s="283"/>
      <c r="BG48" s="283"/>
      <c r="BH48" s="283"/>
      <c r="BI48" s="283"/>
      <c r="BJ48" s="283"/>
      <c r="BK48" s="283"/>
      <c r="BL48" s="283"/>
      <c r="BM48" s="283"/>
      <c r="BN48" s="283"/>
      <c r="BO48" s="283"/>
      <c r="BP48" s="283"/>
      <c r="BQ48" s="283"/>
      <c r="BR48" s="283"/>
      <c r="BS48" s="283"/>
      <c r="BT48" s="283"/>
      <c r="BU48" s="283"/>
      <c r="BV48" s="283"/>
      <c r="BW48" s="283"/>
      <c r="BX48" s="283"/>
      <c r="BY48" s="283"/>
      <c r="BZ48" s="283"/>
      <c r="CA48" s="283"/>
      <c r="CB48" s="283"/>
      <c r="CC48" s="283"/>
      <c r="CD48" s="283"/>
      <c r="CE48" s="283"/>
      <c r="CF48" s="283"/>
      <c r="CG48" s="283"/>
      <c r="CH48" s="283"/>
      <c r="CI48" s="283"/>
      <c r="CJ48" s="283"/>
      <c r="CK48" s="283"/>
      <c r="CL48" s="283"/>
      <c r="CM48" s="289"/>
    </row>
    <row r="49" customHeight="1" spans="2:91">
      <c r="B49" s="282"/>
      <c r="C49" s="283"/>
      <c r="D49" s="283"/>
      <c r="E49" s="283"/>
      <c r="F49" s="283"/>
      <c r="G49" s="283"/>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3"/>
      <c r="AL49" s="283"/>
      <c r="AM49" s="283"/>
      <c r="AN49" s="283"/>
      <c r="AO49" s="283"/>
      <c r="AP49" s="283"/>
      <c r="AQ49" s="283"/>
      <c r="AR49" s="283"/>
      <c r="AS49" s="283"/>
      <c r="AT49" s="289"/>
      <c r="AW49" s="282"/>
      <c r="AX49" s="283"/>
      <c r="AY49" s="283"/>
      <c r="AZ49" s="283"/>
      <c r="BA49" s="283"/>
      <c r="BB49" s="283"/>
      <c r="BC49" s="283"/>
      <c r="BD49" s="283"/>
      <c r="BE49" s="283"/>
      <c r="BF49" s="283"/>
      <c r="BG49" s="283"/>
      <c r="BH49" s="283"/>
      <c r="BI49" s="283"/>
      <c r="BJ49" s="283"/>
      <c r="BK49" s="283"/>
      <c r="BL49" s="283"/>
      <c r="BM49" s="283"/>
      <c r="BN49" s="283"/>
      <c r="BO49" s="283"/>
      <c r="BP49" s="283"/>
      <c r="BQ49" s="283"/>
      <c r="BR49" s="283"/>
      <c r="BS49" s="283"/>
      <c r="BT49" s="283"/>
      <c r="BU49" s="283"/>
      <c r="BV49" s="283"/>
      <c r="BW49" s="283"/>
      <c r="BX49" s="283"/>
      <c r="BY49" s="283"/>
      <c r="BZ49" s="283"/>
      <c r="CA49" s="283"/>
      <c r="CB49" s="283"/>
      <c r="CC49" s="283"/>
      <c r="CD49" s="283"/>
      <c r="CE49" s="283"/>
      <c r="CF49" s="283"/>
      <c r="CG49" s="283"/>
      <c r="CH49" s="283"/>
      <c r="CI49" s="283"/>
      <c r="CJ49" s="283"/>
      <c r="CK49" s="283"/>
      <c r="CL49" s="283"/>
      <c r="CM49" s="289"/>
    </row>
    <row r="50" customHeight="1" spans="2:91">
      <c r="B50" s="282"/>
      <c r="C50" s="283"/>
      <c r="D50" s="283"/>
      <c r="E50" s="283"/>
      <c r="F50" s="283"/>
      <c r="G50" s="283"/>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3"/>
      <c r="AI50" s="283"/>
      <c r="AJ50" s="283"/>
      <c r="AK50" s="283"/>
      <c r="AL50" s="283"/>
      <c r="AM50" s="283"/>
      <c r="AN50" s="283"/>
      <c r="AO50" s="283"/>
      <c r="AP50" s="283"/>
      <c r="AQ50" s="283"/>
      <c r="AR50" s="283"/>
      <c r="AS50" s="283"/>
      <c r="AT50" s="289"/>
      <c r="AW50" s="282"/>
      <c r="AX50" s="283"/>
      <c r="AY50" s="283"/>
      <c r="AZ50" s="283"/>
      <c r="BA50" s="283"/>
      <c r="BB50" s="283"/>
      <c r="BC50" s="283"/>
      <c r="BD50" s="283"/>
      <c r="BE50" s="283"/>
      <c r="BF50" s="283"/>
      <c r="BG50" s="283"/>
      <c r="BH50" s="283"/>
      <c r="BI50" s="283"/>
      <c r="BJ50" s="283"/>
      <c r="BK50" s="283"/>
      <c r="BL50" s="283"/>
      <c r="BM50" s="283"/>
      <c r="BN50" s="283"/>
      <c r="BO50" s="283"/>
      <c r="BP50" s="283"/>
      <c r="BQ50" s="283"/>
      <c r="BR50" s="283"/>
      <c r="BS50" s="283"/>
      <c r="BT50" s="283"/>
      <c r="BU50" s="283"/>
      <c r="BV50" s="283"/>
      <c r="BW50" s="283"/>
      <c r="BX50" s="283"/>
      <c r="BY50" s="283"/>
      <c r="BZ50" s="283"/>
      <c r="CA50" s="283"/>
      <c r="CB50" s="283"/>
      <c r="CC50" s="283"/>
      <c r="CD50" s="283"/>
      <c r="CE50" s="283"/>
      <c r="CF50" s="283"/>
      <c r="CG50" s="283"/>
      <c r="CH50" s="283"/>
      <c r="CI50" s="283"/>
      <c r="CJ50" s="283"/>
      <c r="CK50" s="283"/>
      <c r="CL50" s="283"/>
      <c r="CM50" s="289"/>
    </row>
    <row r="51" customHeight="1" spans="2:91">
      <c r="B51" s="282"/>
      <c r="C51" s="283"/>
      <c r="D51" s="283"/>
      <c r="E51" s="283"/>
      <c r="F51" s="283"/>
      <c r="G51" s="283"/>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c r="AJ51" s="283"/>
      <c r="AK51" s="283"/>
      <c r="AL51" s="283"/>
      <c r="AM51" s="283"/>
      <c r="AN51" s="283"/>
      <c r="AO51" s="283"/>
      <c r="AP51" s="283"/>
      <c r="AQ51" s="283"/>
      <c r="AR51" s="283"/>
      <c r="AS51" s="283"/>
      <c r="AT51" s="289"/>
      <c r="AW51" s="282"/>
      <c r="AX51" s="283"/>
      <c r="AY51" s="283"/>
      <c r="AZ51" s="283"/>
      <c r="BA51" s="283"/>
      <c r="BB51" s="283"/>
      <c r="BC51" s="283"/>
      <c r="BD51" s="283"/>
      <c r="BE51" s="283"/>
      <c r="BF51" s="283"/>
      <c r="BG51" s="283"/>
      <c r="BH51" s="283"/>
      <c r="BI51" s="283"/>
      <c r="BJ51" s="283"/>
      <c r="BK51" s="283"/>
      <c r="BL51" s="283"/>
      <c r="BM51" s="283"/>
      <c r="BN51" s="283"/>
      <c r="BO51" s="283"/>
      <c r="BP51" s="283"/>
      <c r="BQ51" s="283"/>
      <c r="BR51" s="283"/>
      <c r="BS51" s="283"/>
      <c r="BT51" s="283"/>
      <c r="BU51" s="283"/>
      <c r="BV51" s="283"/>
      <c r="BW51" s="283"/>
      <c r="BX51" s="283"/>
      <c r="BY51" s="283"/>
      <c r="BZ51" s="283"/>
      <c r="CA51" s="283"/>
      <c r="CB51" s="283"/>
      <c r="CC51" s="283"/>
      <c r="CD51" s="283"/>
      <c r="CE51" s="283"/>
      <c r="CF51" s="283"/>
      <c r="CG51" s="283"/>
      <c r="CH51" s="283"/>
      <c r="CI51" s="283"/>
      <c r="CJ51" s="283"/>
      <c r="CK51" s="283"/>
      <c r="CL51" s="283"/>
      <c r="CM51" s="289"/>
    </row>
  </sheetData>
  <sheetProtection sheet="1"/>
  <protectedRanges>
    <protectedRange sqref="G15:G25 C18:C25 AZ32:BX36 AC4:AC5 D6:F25 BY3 AE1 AF3 AF6:AF7" name="区域3"/>
    <protectedRange sqref="G6" name="区域2"/>
    <protectedRange sqref="AW5:BA5" name="区域1_1"/>
  </protectedRanges>
  <mergeCells count="126">
    <mergeCell ref="A1:CN1"/>
    <mergeCell ref="B3:AT3"/>
    <mergeCell ref="AW3:CM3"/>
    <mergeCell ref="B4:H4"/>
    <mergeCell ref="I4:AH4"/>
    <mergeCell ref="AI4:AK4"/>
    <mergeCell ref="AL4:AQ4"/>
    <mergeCell ref="AR4:AT4"/>
    <mergeCell ref="AW4:BA4"/>
    <mergeCell ref="BB4:BG4"/>
    <mergeCell ref="BH4:CM4"/>
    <mergeCell ref="B5:H5"/>
    <mergeCell ref="I5:AH5"/>
    <mergeCell ref="AI5:AK5"/>
    <mergeCell ref="AL5:AQ5"/>
    <mergeCell ref="AR5:AT5"/>
    <mergeCell ref="B6:AT6"/>
    <mergeCell ref="AW7:BC7"/>
    <mergeCell ref="BD7:BF7"/>
    <mergeCell ref="BG7:BL7"/>
    <mergeCell ref="BM7:BX7"/>
    <mergeCell ref="AW8:BC8"/>
    <mergeCell ref="BD8:BF8"/>
    <mergeCell ref="BG8:BL8"/>
    <mergeCell ref="BM8:BX8"/>
    <mergeCell ref="AW9:BC9"/>
    <mergeCell ref="BD9:BF9"/>
    <mergeCell ref="BG9:BL9"/>
    <mergeCell ref="BM9:BX9"/>
    <mergeCell ref="BZ9:CM9"/>
    <mergeCell ref="AW10:BC10"/>
    <mergeCell ref="BD10:BF10"/>
    <mergeCell ref="BG10:BL10"/>
    <mergeCell ref="BM10:BX10"/>
    <mergeCell ref="BZ10:CA10"/>
    <mergeCell ref="CB10:CF10"/>
    <mergeCell ref="CG10:CH10"/>
    <mergeCell ref="CI10:CM10"/>
    <mergeCell ref="AW11:BC11"/>
    <mergeCell ref="BD11:BF11"/>
    <mergeCell ref="BG11:BL11"/>
    <mergeCell ref="BM11:BX11"/>
    <mergeCell ref="BZ11:CA11"/>
    <mergeCell ref="CB11:CF11"/>
    <mergeCell ref="CG11:CM11"/>
    <mergeCell ref="AW12:BC12"/>
    <mergeCell ref="BD12:BF12"/>
    <mergeCell ref="BG12:BL12"/>
    <mergeCell ref="BM12:BX12"/>
    <mergeCell ref="BZ12:CA12"/>
    <mergeCell ref="CB12:CF12"/>
    <mergeCell ref="AW13:BC13"/>
    <mergeCell ref="BD13:BF13"/>
    <mergeCell ref="BG13:BL13"/>
    <mergeCell ref="BM13:BX13"/>
    <mergeCell ref="BZ13:CA13"/>
    <mergeCell ref="CB13:CF13"/>
    <mergeCell ref="AW14:BA14"/>
    <mergeCell ref="BB14:BQ14"/>
    <mergeCell ref="BS14:BW14"/>
    <mergeCell ref="BX14:CK14"/>
    <mergeCell ref="CL14:CM14"/>
    <mergeCell ref="AW15:BA15"/>
    <mergeCell ref="BB15:BQ15"/>
    <mergeCell ref="BS15:BW15"/>
    <mergeCell ref="BX15:CK15"/>
    <mergeCell ref="CL15:CM15"/>
    <mergeCell ref="AW16:BA16"/>
    <mergeCell ref="BB16:BQ16"/>
    <mergeCell ref="BS16:BW16"/>
    <mergeCell ref="BX16:CK16"/>
    <mergeCell ref="CL16:CM16"/>
    <mergeCell ref="AW17:BA17"/>
    <mergeCell ref="BB17:BQ17"/>
    <mergeCell ref="BS17:BW17"/>
    <mergeCell ref="BX17:CK17"/>
    <mergeCell ref="CL17:CM17"/>
    <mergeCell ref="AW18:BA18"/>
    <mergeCell ref="BB18:BQ18"/>
    <mergeCell ref="BS18:BW18"/>
    <mergeCell ref="BX18:CK18"/>
    <mergeCell ref="CL18:CM18"/>
    <mergeCell ref="AW19:BA19"/>
    <mergeCell ref="BB19:BQ19"/>
    <mergeCell ref="BS19:BW19"/>
    <mergeCell ref="BX19:CK19"/>
    <mergeCell ref="CL19:CM19"/>
    <mergeCell ref="AW20:BA20"/>
    <mergeCell ref="BB20:BQ20"/>
    <mergeCell ref="BS20:BW20"/>
    <mergeCell ref="BX20:CK20"/>
    <mergeCell ref="CL20:CM20"/>
    <mergeCell ref="AW21:BA21"/>
    <mergeCell ref="BB21:BQ21"/>
    <mergeCell ref="BS21:BW21"/>
    <mergeCell ref="BX21:CK21"/>
    <mergeCell ref="CL21:CM21"/>
    <mergeCell ref="AW22:BA22"/>
    <mergeCell ref="BB22:BQ22"/>
    <mergeCell ref="BS22:BW22"/>
    <mergeCell ref="BX22:CK22"/>
    <mergeCell ref="CL22:CM22"/>
    <mergeCell ref="AW23:BA23"/>
    <mergeCell ref="BB23:BQ23"/>
    <mergeCell ref="BS23:BW23"/>
    <mergeCell ref="BX23:CK23"/>
    <mergeCell ref="CL23:CM23"/>
    <mergeCell ref="AW24:BA24"/>
    <mergeCell ref="BB24:BQ24"/>
    <mergeCell ref="BS24:BW24"/>
    <mergeCell ref="BX24:CK24"/>
    <mergeCell ref="CL24:CM24"/>
    <mergeCell ref="AW25:BA25"/>
    <mergeCell ref="BB25:BQ25"/>
    <mergeCell ref="BS25:BW25"/>
    <mergeCell ref="BX25:CK25"/>
    <mergeCell ref="CL25:CM25"/>
    <mergeCell ref="B27:AT27"/>
    <mergeCell ref="AW27:CM27"/>
    <mergeCell ref="CG12:CM13"/>
    <mergeCell ref="B7:AT25"/>
    <mergeCell ref="AW5:BA6"/>
    <mergeCell ref="BB5:BG6"/>
    <mergeCell ref="BH5:CM6"/>
    <mergeCell ref="AW28:CM51"/>
    <mergeCell ref="B28:AT51"/>
  </mergeCells>
  <dataValidations count="10">
    <dataValidation type="list" allowBlank="1" showInputMessage="1" sqref="B5:H5">
      <formula1>专长与据点!$K$4:$K$31</formula1>
    </dataValidation>
    <dataValidation allowBlank="1" showInputMessage="1" showErrorMessage="1" prompt="每个特色设施都标有一个等级。角色必须达到该等级或更高才能获取该设施。特色设施还可能标有其他先决条件，要获取该设施必须满足其先决条件。" sqref="I5:AH5"/>
    <dataValidation allowBlank="1" showInputMessage="1" showErrorMessage="1" prompt="每个特色设施都拥有一个或更多的雇员，他们在设施里工作，维护设施，并在设施内执行据点指令，如下一节所述。玩家可以使用DM创造非玩家角色的工具（见第三章）来为自己的雇员分配名字和个性。&#10;&#10;据点内的每个特色设施都会产生足够的收入，足以支付其雇员的薪水。雇员们会听从他们收到的指令，并忠于据点的拥有者。" sqref="AL5:AQ5 BG8:BI13"/>
    <dataValidation allowBlank="1" showInputMessage="1" showErrorMessage="1" prompt="在据点回合中，位于自己的据点内的角色可以向一个或更多特色设施下达特殊的指令——这被称为据点指令。角色无需在一个据点回合内向所有特色设施下达指令。&#10;维护指令是特殊的，该指令下达给整个据点而非特定设施。如果角色在某个据点回合内不处于自己的据点中，而其拥有者又不能使用短讯术 Sending 或者类似的魔法来与据点的雇员沟通，那据点会如同被下达了维护指令那样运作。" sqref="AR5:AT5"/>
    <dataValidation allowBlank="1" showInputMessage="1" showErrorMessage="1" prompt="金币是度量财富的标准单位&#10;一枚钱币的重量大约有三分之一盎司，50枚钱币则大约有一磅沉。" sqref="CB10:CF10"/>
    <dataValidation allowBlank="1" showInputMessage="1" showErrorMessage="1" prompt="一枚铂金币价值十枚金币" sqref="CI10:CM10"/>
    <dataValidation allowBlank="1" showInputMessage="1" showErrorMessage="1" prompt="一枚金银币价值五枚银币，即半枚金币" sqref="CB11:CF11"/>
    <dataValidation allowBlank="1" showInputMessage="1" showErrorMessage="1" prompt="十枚银币值一枚金币" sqref="CB12:CF12"/>
    <dataValidation allowBlank="1" showInputMessage="1" showErrorMessage="1" prompt="十枚铜币值一枚银币&#10;一百枚铜币值一枚金币" sqref="CB13:CF13"/>
    <dataValidation type="list" allowBlank="1" showInputMessage="1" prompt="每个特色设施会占据特定的空间（见“设施空间 Facilities Space ”一节）。玩家可以按自己的喜好在据点地图上为每个特色设施分配相应的方格。某些特色设施可以被扩大来产生额外的收益，如其描述中所示。" sqref="BD8:BF13">
      <formula1>"狭窄,宽敞,庞大"</formula1>
    </dataValidation>
  </dataValidations>
  <pageMargins left="0.7" right="0.7"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theme="7" tint="0.599993896298105"/>
  </sheetPr>
  <dimension ref="B1:AX53"/>
  <sheetViews>
    <sheetView zoomScale="75" zoomScaleNormal="75" workbookViewId="0">
      <selection activeCell="X3" sqref="X3"/>
    </sheetView>
  </sheetViews>
  <sheetFormatPr defaultColWidth="9" defaultRowHeight="16.5"/>
  <cols>
    <col min="1" max="1" width="4.78181818181818" style="207" customWidth="1"/>
    <col min="2" max="2" width="2.78181818181818" style="207" customWidth="1"/>
    <col min="3" max="18" width="5.78181818181818" style="207" customWidth="1"/>
    <col min="19" max="20" width="2.78181818181818" style="207" customWidth="1"/>
    <col min="21" max="21" width="4.33636363636364" style="207" customWidth="1"/>
    <col min="22" max="22" width="2.33636363636364" style="208" customWidth="1"/>
    <col min="23" max="23" width="0.781818181818182" style="208" customWidth="1"/>
    <col min="24" max="24" width="15.3363636363636" style="207" customWidth="1"/>
    <col min="25" max="25" width="0.781818181818182" style="207" customWidth="1"/>
    <col min="26" max="26" width="4.33636363636364" style="207" customWidth="1"/>
    <col min="27" max="27" width="2.33636363636364" style="207" customWidth="1"/>
    <col min="28" max="28" width="0.781818181818182" style="207" customWidth="1"/>
    <col min="29" max="29" width="15.3363636363636" style="207" customWidth="1"/>
    <col min="30" max="30" width="0.781818181818182" style="207" customWidth="1"/>
    <col min="31" max="31" width="4.33636363636364" style="207" customWidth="1"/>
    <col min="32" max="32" width="2.33636363636364" style="207" customWidth="1"/>
    <col min="33" max="33" width="0.781818181818182" style="207" customWidth="1"/>
    <col min="34" max="34" width="15.3363636363636" style="207" customWidth="1"/>
    <col min="35" max="35" width="0.781818181818182" style="207" customWidth="1"/>
    <col min="36" max="36" width="4.33636363636364" style="207" customWidth="1"/>
    <col min="37" max="37" width="2.33636363636364" style="207" customWidth="1"/>
    <col min="38" max="38" width="0.781818181818182" style="207" customWidth="1"/>
    <col min="39" max="39" width="15.3363636363636" style="207" customWidth="1"/>
    <col min="40" max="40" width="0.781818181818182" style="207" customWidth="1"/>
    <col min="41" max="42" width="2.78181818181818" style="207" customWidth="1"/>
    <col min="43" max="49" width="8.78181818181818" style="207" customWidth="1"/>
    <col min="50" max="16384" width="9" style="207"/>
  </cols>
  <sheetData>
    <row r="1" s="206" customFormat="1" spans="22:23">
      <c r="V1" s="244"/>
      <c r="W1" s="244"/>
    </row>
    <row r="2" ht="17.7" customHeight="1" spans="2:50">
      <c r="B2" s="209"/>
      <c r="C2" s="210" t="s">
        <v>7503</v>
      </c>
      <c r="D2" s="210"/>
      <c r="E2" s="210"/>
      <c r="F2" s="210"/>
      <c r="G2" s="211"/>
      <c r="H2" s="211"/>
      <c r="I2" s="211"/>
      <c r="J2" s="211"/>
      <c r="K2" s="211"/>
      <c r="L2" s="211"/>
      <c r="M2" s="211"/>
      <c r="N2" s="211"/>
      <c r="O2" s="211"/>
      <c r="P2" s="211"/>
      <c r="Q2" s="211"/>
      <c r="R2" s="211"/>
      <c r="S2" s="245"/>
      <c r="T2" s="211"/>
      <c r="U2" s="246" t="s">
        <v>7504</v>
      </c>
      <c r="V2" s="246"/>
      <c r="W2" s="246"/>
      <c r="X2" s="246"/>
      <c r="Y2" s="211"/>
      <c r="Z2" s="261" t="s">
        <v>7505</v>
      </c>
      <c r="AA2" s="261"/>
      <c r="AB2" s="261"/>
      <c r="AC2" s="261"/>
      <c r="AD2" s="261"/>
      <c r="AE2" s="261"/>
      <c r="AF2" s="261"/>
      <c r="AG2" s="261"/>
      <c r="AH2" s="261"/>
      <c r="AI2" s="261"/>
      <c r="AJ2" s="211"/>
      <c r="AK2" s="211"/>
      <c r="AL2" s="211"/>
      <c r="AM2" s="211"/>
      <c r="AN2" s="211"/>
      <c r="AO2" s="245"/>
      <c r="AQ2" s="231" t="s">
        <v>7506</v>
      </c>
      <c r="AR2" s="232"/>
      <c r="AS2" s="232"/>
      <c r="AT2" s="232"/>
      <c r="AU2" s="232"/>
      <c r="AV2" s="232"/>
      <c r="AW2" s="232"/>
      <c r="AX2" s="255"/>
    </row>
    <row r="3" ht="17.7" customHeight="1" spans="2:50">
      <c r="B3" s="212"/>
      <c r="C3" s="213" t="str" cm="1">
        <f ca="1" t="array" ref="C3">IF(IFERROR(ERROR.TYPE(IF(VLOOKUP(INDIRECT(CELL("address")),法术大全!A3:A864,1,0)=FALSE,"",INDIRECT(CELL("address")))),0)=7,"",INDIRECT(CELL("address")))</f>
        <v/>
      </c>
      <c r="D3" s="214"/>
      <c r="E3" s="214"/>
      <c r="F3" s="214"/>
      <c r="G3" s="214"/>
      <c r="H3" s="214"/>
      <c r="I3" s="214"/>
      <c r="J3" s="214"/>
      <c r="K3" s="214"/>
      <c r="L3" s="214"/>
      <c r="M3" s="214"/>
      <c r="N3" s="214"/>
      <c r="O3" s="214"/>
      <c r="P3" s="214"/>
      <c r="Q3" s="214"/>
      <c r="R3" s="247"/>
      <c r="S3" s="248"/>
      <c r="T3" s="219"/>
      <c r="U3" s="249">
        <v>1</v>
      </c>
      <c r="V3" s="250" t="str">
        <f>IFERROR(VLOOKUP(X3,法术大全!$A:$Z,2,FALSE),"")</f>
        <v/>
      </c>
      <c r="W3" s="251" t="str">
        <f>数据表!C2</f>
        <v/>
      </c>
      <c r="X3" s="252"/>
      <c r="Y3" s="262" t="str">
        <f>数据表!D2</f>
        <v/>
      </c>
      <c r="Z3" s="249">
        <v>51</v>
      </c>
      <c r="AA3" s="263" t="str">
        <f>IFERROR(VLOOKUP(AC3,法术大全!$A:$Z,2,FALSE),"")</f>
        <v/>
      </c>
      <c r="AB3" s="257" t="str">
        <f>数据表!C52</f>
        <v/>
      </c>
      <c r="AC3" s="252"/>
      <c r="AD3" s="262" t="str">
        <f>数据表!D52</f>
        <v/>
      </c>
      <c r="AE3" s="264">
        <v>101</v>
      </c>
      <c r="AF3" s="250" t="str">
        <f>IFERROR(VLOOKUP(AH3,法术大全!$A:$Z,2,FALSE),"")</f>
        <v/>
      </c>
      <c r="AG3" s="251" t="str">
        <f>数据表!C102</f>
        <v/>
      </c>
      <c r="AH3" s="252"/>
      <c r="AI3" s="262" t="str">
        <f>数据表!D102</f>
        <v/>
      </c>
      <c r="AJ3" s="265">
        <v>151</v>
      </c>
      <c r="AK3" s="263" t="str">
        <f>IFERROR(VLOOKUP(AM3,法术大全!$A:$Z,2,FALSE),"")</f>
        <v/>
      </c>
      <c r="AL3" s="251" t="str">
        <f>数据表!C152</f>
        <v/>
      </c>
      <c r="AM3" s="252"/>
      <c r="AN3" s="262" t="str">
        <f>数据表!D152</f>
        <v/>
      </c>
      <c r="AO3" s="268"/>
      <c r="AQ3" s="233"/>
      <c r="AR3" s="234"/>
      <c r="AS3" s="234"/>
      <c r="AT3" s="234"/>
      <c r="AU3" s="234"/>
      <c r="AV3" s="234"/>
      <c r="AW3" s="234"/>
      <c r="AX3" s="256"/>
    </row>
    <row r="4" ht="17.7" customHeight="1" spans="2:50">
      <c r="B4" s="212"/>
      <c r="C4" s="215"/>
      <c r="D4" s="216"/>
      <c r="E4" s="216"/>
      <c r="F4" s="216"/>
      <c r="G4" s="216"/>
      <c r="H4" s="216"/>
      <c r="I4" s="216"/>
      <c r="J4" s="216"/>
      <c r="K4" s="216"/>
      <c r="L4" s="216"/>
      <c r="M4" s="216"/>
      <c r="N4" s="216"/>
      <c r="O4" s="216"/>
      <c r="P4" s="216"/>
      <c r="Q4" s="216"/>
      <c r="R4" s="253"/>
      <c r="S4" s="248"/>
      <c r="T4" s="219"/>
      <c r="U4" s="249">
        <v>2</v>
      </c>
      <c r="V4" s="250" t="str">
        <f>IFERROR(VLOOKUP(X4,法术大全!$A:$Z,2,FALSE),"")</f>
        <v/>
      </c>
      <c r="W4" s="251" t="str">
        <f>数据表!C3</f>
        <v/>
      </c>
      <c r="X4" s="252"/>
      <c r="Y4" s="262" t="str">
        <f>数据表!D3</f>
        <v/>
      </c>
      <c r="Z4" s="249">
        <v>52</v>
      </c>
      <c r="AA4" s="263" t="str">
        <f>IFERROR(VLOOKUP(AC4,法术大全!$A:$Z,2,FALSE),"")</f>
        <v/>
      </c>
      <c r="AB4" s="257" t="str">
        <f>数据表!C53</f>
        <v/>
      </c>
      <c r="AC4" s="252"/>
      <c r="AD4" s="262" t="str">
        <f>数据表!D53</f>
        <v/>
      </c>
      <c r="AE4" s="264">
        <v>102</v>
      </c>
      <c r="AF4" s="250" t="str">
        <f>IFERROR(VLOOKUP(AH4,法术大全!$A:$Z,2,FALSE),"")</f>
        <v/>
      </c>
      <c r="AG4" s="251" t="str">
        <f>数据表!C103</f>
        <v/>
      </c>
      <c r="AH4" s="252"/>
      <c r="AI4" s="262" t="str">
        <f>数据表!D103</f>
        <v/>
      </c>
      <c r="AJ4" s="266">
        <v>152</v>
      </c>
      <c r="AK4" s="263" t="str">
        <f>IFERROR(VLOOKUP(AM4,法术大全!$A:$Z,2,FALSE),"")</f>
        <v/>
      </c>
      <c r="AL4" s="251" t="str">
        <f>数据表!C153</f>
        <v/>
      </c>
      <c r="AM4" s="252"/>
      <c r="AN4" s="262" t="str">
        <f>数据表!D153</f>
        <v/>
      </c>
      <c r="AO4" s="268"/>
      <c r="AQ4" s="233"/>
      <c r="AR4" s="234"/>
      <c r="AS4" s="234"/>
      <c r="AT4" s="234"/>
      <c r="AU4" s="234"/>
      <c r="AV4" s="234"/>
      <c r="AW4" s="234"/>
      <c r="AX4" s="256"/>
    </row>
    <row r="5" ht="17.7" customHeight="1" spans="2:50">
      <c r="B5" s="212"/>
      <c r="C5" s="215"/>
      <c r="D5" s="216"/>
      <c r="E5" s="216"/>
      <c r="F5" s="216"/>
      <c r="G5" s="216"/>
      <c r="H5" s="216"/>
      <c r="I5" s="216"/>
      <c r="J5" s="216"/>
      <c r="K5" s="216"/>
      <c r="L5" s="216"/>
      <c r="M5" s="216"/>
      <c r="N5" s="216"/>
      <c r="O5" s="216"/>
      <c r="P5" s="216"/>
      <c r="Q5" s="216"/>
      <c r="R5" s="253"/>
      <c r="S5" s="248"/>
      <c r="T5" s="219"/>
      <c r="U5" s="249">
        <v>3</v>
      </c>
      <c r="V5" s="250" t="str">
        <f>IFERROR(VLOOKUP(X5,法术大全!$A:$Z,2,FALSE),"")</f>
        <v/>
      </c>
      <c r="W5" s="251" t="str">
        <f>数据表!C4</f>
        <v/>
      </c>
      <c r="X5" s="252"/>
      <c r="Y5" s="262" t="str">
        <f>数据表!D4</f>
        <v/>
      </c>
      <c r="Z5" s="249">
        <v>53</v>
      </c>
      <c r="AA5" s="263" t="str">
        <f>IFERROR(VLOOKUP(AC5,法术大全!$A:$Z,2,FALSE),"")</f>
        <v/>
      </c>
      <c r="AB5" s="257" t="str">
        <f>数据表!C54</f>
        <v/>
      </c>
      <c r="AC5" s="252"/>
      <c r="AD5" s="262" t="str">
        <f>数据表!D54</f>
        <v/>
      </c>
      <c r="AE5" s="264">
        <v>103</v>
      </c>
      <c r="AF5" s="250" t="str">
        <f>IFERROR(VLOOKUP(AH5,法术大全!$A:$Z,2,FALSE),"")</f>
        <v/>
      </c>
      <c r="AG5" s="251" t="str">
        <f>数据表!C104</f>
        <v/>
      </c>
      <c r="AH5" s="252"/>
      <c r="AI5" s="262" t="str">
        <f>数据表!D104</f>
        <v/>
      </c>
      <c r="AJ5" s="266">
        <v>153</v>
      </c>
      <c r="AK5" s="263" t="str">
        <f>IFERROR(VLOOKUP(AM5,法术大全!$A:$Z,2,FALSE),"")</f>
        <v/>
      </c>
      <c r="AL5" s="251" t="str">
        <f>数据表!C154</f>
        <v/>
      </c>
      <c r="AM5" s="252"/>
      <c r="AN5" s="262" t="str">
        <f>数据表!D154</f>
        <v/>
      </c>
      <c r="AO5" s="268"/>
      <c r="AQ5" s="233"/>
      <c r="AR5" s="234"/>
      <c r="AS5" s="234"/>
      <c r="AT5" s="234"/>
      <c r="AU5" s="234"/>
      <c r="AV5" s="234"/>
      <c r="AW5" s="234"/>
      <c r="AX5" s="256"/>
    </row>
    <row r="6" ht="17.7" customHeight="1" spans="2:50">
      <c r="B6" s="212"/>
      <c r="C6" s="217"/>
      <c r="D6" s="218"/>
      <c r="E6" s="218"/>
      <c r="F6" s="218"/>
      <c r="G6" s="218"/>
      <c r="H6" s="218"/>
      <c r="I6" s="218"/>
      <c r="J6" s="218"/>
      <c r="K6" s="218"/>
      <c r="L6" s="218"/>
      <c r="M6" s="218"/>
      <c r="N6" s="218"/>
      <c r="O6" s="218"/>
      <c r="P6" s="218"/>
      <c r="Q6" s="218"/>
      <c r="R6" s="254"/>
      <c r="S6" s="248"/>
      <c r="T6" s="219"/>
      <c r="U6" s="249">
        <v>4</v>
      </c>
      <c r="V6" s="250" t="str">
        <f>IFERROR(VLOOKUP(X6,法术大全!$A:$Z,2,FALSE),"")</f>
        <v/>
      </c>
      <c r="W6" s="251" t="str">
        <f>数据表!C5</f>
        <v/>
      </c>
      <c r="X6" s="252"/>
      <c r="Y6" s="262" t="str">
        <f>数据表!D5</f>
        <v/>
      </c>
      <c r="Z6" s="249">
        <v>54</v>
      </c>
      <c r="AA6" s="263" t="str">
        <f>IFERROR(VLOOKUP(AC6,法术大全!$A:$Z,2,FALSE),"")</f>
        <v/>
      </c>
      <c r="AB6" s="257" t="str">
        <f>数据表!C55</f>
        <v/>
      </c>
      <c r="AC6" s="252"/>
      <c r="AD6" s="262" t="str">
        <f>数据表!D55</f>
        <v/>
      </c>
      <c r="AE6" s="264">
        <v>104</v>
      </c>
      <c r="AF6" s="250" t="str">
        <f>IFERROR(VLOOKUP(AH6,法术大全!$A:$Z,2,FALSE),"")</f>
        <v/>
      </c>
      <c r="AG6" s="251" t="str">
        <f>数据表!C105</f>
        <v/>
      </c>
      <c r="AH6" s="252"/>
      <c r="AI6" s="262" t="str">
        <f>数据表!D105</f>
        <v/>
      </c>
      <c r="AJ6" s="266">
        <v>154</v>
      </c>
      <c r="AK6" s="263" t="str">
        <f>IFERROR(VLOOKUP(AM6,法术大全!$A:$Z,2,FALSE),"")</f>
        <v/>
      </c>
      <c r="AL6" s="251" t="str">
        <f>数据表!C155</f>
        <v/>
      </c>
      <c r="AM6" s="252"/>
      <c r="AN6" s="262" t="str">
        <f>数据表!D155</f>
        <v/>
      </c>
      <c r="AO6" s="268"/>
      <c r="AQ6" s="233"/>
      <c r="AR6" s="234"/>
      <c r="AS6" s="234"/>
      <c r="AT6" s="234"/>
      <c r="AU6" s="234"/>
      <c r="AV6" s="234"/>
      <c r="AW6" s="234"/>
      <c r="AX6" s="256"/>
    </row>
    <row r="7" ht="17.7" customHeight="1" spans="2:50">
      <c r="B7" s="212"/>
      <c r="C7" s="219"/>
      <c r="D7" s="219"/>
      <c r="E7" s="219"/>
      <c r="F7" s="219"/>
      <c r="G7" s="219"/>
      <c r="H7" s="219"/>
      <c r="I7" s="219"/>
      <c r="J7" s="219"/>
      <c r="K7" s="219"/>
      <c r="L7" s="219"/>
      <c r="M7" s="219"/>
      <c r="N7" s="219"/>
      <c r="O7" s="219"/>
      <c r="P7" s="219"/>
      <c r="Q7" s="219"/>
      <c r="R7" s="219"/>
      <c r="S7" s="248"/>
      <c r="T7" s="219"/>
      <c r="U7" s="249">
        <v>5</v>
      </c>
      <c r="V7" s="250" t="str">
        <f>IFERROR(VLOOKUP(X7,法术大全!$A:$Z,2,FALSE),"")</f>
        <v/>
      </c>
      <c r="W7" s="251" t="str">
        <f>数据表!C6</f>
        <v/>
      </c>
      <c r="X7" s="252"/>
      <c r="Y7" s="262" t="str">
        <f>数据表!D6</f>
        <v/>
      </c>
      <c r="Z7" s="249">
        <v>55</v>
      </c>
      <c r="AA7" s="263" t="str">
        <f>IFERROR(VLOOKUP(AC7,法术大全!$A:$Z,2,FALSE),"")</f>
        <v/>
      </c>
      <c r="AB7" s="257" t="str">
        <f>数据表!C56</f>
        <v/>
      </c>
      <c r="AC7" s="252"/>
      <c r="AD7" s="262" t="str">
        <f>数据表!D56</f>
        <v/>
      </c>
      <c r="AE7" s="264">
        <v>105</v>
      </c>
      <c r="AF7" s="250" t="str">
        <f>IFERROR(VLOOKUP(AH7,法术大全!$A:$Z,2,FALSE),"")</f>
        <v/>
      </c>
      <c r="AG7" s="251" t="str">
        <f>数据表!C106</f>
        <v/>
      </c>
      <c r="AH7" s="252"/>
      <c r="AI7" s="262" t="str">
        <f>数据表!D106</f>
        <v/>
      </c>
      <c r="AJ7" s="266">
        <v>155</v>
      </c>
      <c r="AK7" s="263" t="str">
        <f>IFERROR(VLOOKUP(AM7,法术大全!$A:$Z,2,FALSE),"")</f>
        <v/>
      </c>
      <c r="AL7" s="251" t="str">
        <f>数据表!C156</f>
        <v/>
      </c>
      <c r="AM7" s="252"/>
      <c r="AN7" s="262" t="str">
        <f>数据表!D156</f>
        <v/>
      </c>
      <c r="AO7" s="268"/>
      <c r="AQ7" s="233"/>
      <c r="AR7" s="234"/>
      <c r="AS7" s="234"/>
      <c r="AT7" s="234"/>
      <c r="AU7" s="234"/>
      <c r="AV7" s="234"/>
      <c r="AW7" s="234"/>
      <c r="AX7" s="256"/>
    </row>
    <row r="8" ht="17.7" customHeight="1" spans="2:50">
      <c r="B8" s="212"/>
      <c r="C8" s="220" t="str">
        <f ca="1">IFERROR(VLOOKUP(C3,法术大全!$A:$Z,14,FALSE),"")</f>
        <v> </v>
      </c>
      <c r="D8" s="221"/>
      <c r="E8" s="221"/>
      <c r="F8" s="221"/>
      <c r="G8" s="221"/>
      <c r="H8" s="221"/>
      <c r="I8" s="221"/>
      <c r="J8" s="221"/>
      <c r="K8" s="230"/>
      <c r="L8" s="238"/>
      <c r="M8" s="239" t="s">
        <v>7507</v>
      </c>
      <c r="N8" s="239"/>
      <c r="O8" s="240" t="str">
        <f ca="1">IF(C3="","",VLOOKUP(C3,法术大全!A:Z,26,FALSE))</f>
        <v/>
      </c>
      <c r="P8" s="240"/>
      <c r="Q8" s="240"/>
      <c r="R8" s="240"/>
      <c r="S8" s="248"/>
      <c r="T8" s="219"/>
      <c r="U8" s="249">
        <v>6</v>
      </c>
      <c r="V8" s="250" t="str">
        <f>IFERROR(VLOOKUP(X8,法术大全!$A:$Z,2,FALSE),"")</f>
        <v/>
      </c>
      <c r="W8" s="251" t="str">
        <f>数据表!C7</f>
        <v/>
      </c>
      <c r="X8" s="252"/>
      <c r="Y8" s="262" t="str">
        <f>数据表!D7</f>
        <v/>
      </c>
      <c r="Z8" s="249">
        <v>56</v>
      </c>
      <c r="AA8" s="263" t="str">
        <f>IFERROR(VLOOKUP(AC8,法术大全!$A:$Z,2,FALSE),"")</f>
        <v/>
      </c>
      <c r="AB8" s="257" t="str">
        <f>数据表!C57</f>
        <v/>
      </c>
      <c r="AC8" s="252"/>
      <c r="AD8" s="262" t="str">
        <f>数据表!D57</f>
        <v/>
      </c>
      <c r="AE8" s="264">
        <v>106</v>
      </c>
      <c r="AF8" s="250" t="str">
        <f>IFERROR(VLOOKUP(AH8,法术大全!$A:$Z,2,FALSE),"")</f>
        <v/>
      </c>
      <c r="AG8" s="251" t="str">
        <f>数据表!C107</f>
        <v/>
      </c>
      <c r="AH8" s="252"/>
      <c r="AI8" s="262" t="str">
        <f>数据表!D107</f>
        <v/>
      </c>
      <c r="AJ8" s="266">
        <v>156</v>
      </c>
      <c r="AK8" s="263" t="str">
        <f>IFERROR(VLOOKUP(AM8,法术大全!$A:$Z,2,FALSE),"")</f>
        <v/>
      </c>
      <c r="AL8" s="251" t="str">
        <f>数据表!C157</f>
        <v/>
      </c>
      <c r="AM8" s="252"/>
      <c r="AN8" s="262" t="str">
        <f>数据表!D157</f>
        <v/>
      </c>
      <c r="AO8" s="268"/>
      <c r="AQ8" s="233"/>
      <c r="AR8" s="234"/>
      <c r="AS8" s="234"/>
      <c r="AT8" s="234"/>
      <c r="AU8" s="234"/>
      <c r="AV8" s="234"/>
      <c r="AW8" s="234"/>
      <c r="AX8" s="256"/>
    </row>
    <row r="9" ht="17.7" customHeight="1" spans="2:50">
      <c r="B9" s="212"/>
      <c r="C9" s="222" t="s">
        <v>7508</v>
      </c>
      <c r="D9" s="222"/>
      <c r="E9" s="223" t="str">
        <f ca="1">IF(C3="","",CONCATENATE(IF(VLOOKUP(C3,法术大全!$A:$Z,15,0)="√","吟游诗人 ",""),IF(VLOOKUP(C3,法术大全!$A:$Z,16,0)="√","牧师 ",""),IF(VLOOKUP(C3,法术大全!$A:$Z,17,0)="√","德鲁伊 ",""),IF(VLOOKUP(C3,法术大全!$A:$Z,18,0)="√","圣武士 ",""),IF(VLOOKUP(C3,法术大全!$A:$Z,19,0)="√","游侠 ",""),IF(VLOOKUP(C3,法术大全!$A:$Z,20,0)="√","术士 ",""),IF(VLOOKUP(C3,法术大全!$A:$Z,21,0)="√","魔契师 ",""),IF(VLOOKUP(C3,法术大全!$A:$Z,22,0)="√","法师 ",""),IF(VLOOKUP(C3,法术大全!$A:$Z,23,0)="√","奇械师 ",""),IF(VLOOKUP(C3,法术大全!$A:$Z,24,0)="√","灵能使 ",""),IF(VLOOKUP(C3,法术大全!$A:$Z,25,0)="√","药剂师 ","")))</f>
        <v/>
      </c>
      <c r="F9" s="224"/>
      <c r="G9" s="224"/>
      <c r="H9" s="224"/>
      <c r="I9" s="224"/>
      <c r="J9" s="241"/>
      <c r="K9" s="222" t="s">
        <v>7509</v>
      </c>
      <c r="L9" s="222"/>
      <c r="M9" s="242" t="str">
        <f ca="1">IF(C3="","",IF(VLOOKUP(C3,法术大全!$A:$Z,2,FALSE),CONCATENATE(VLOOKUP(C3,法术大全!$A:$Z,2,FALSE),"环"),"戏法"))</f>
        <v/>
      </c>
      <c r="N9" s="242"/>
      <c r="O9" s="222" t="s">
        <v>7510</v>
      </c>
      <c r="P9" s="222"/>
      <c r="Q9" s="242" t="str">
        <f ca="1">IFERROR(VLOOKUP(C3,法术大全!$A:$Z,3,FALSE),"")</f>
        <v/>
      </c>
      <c r="R9" s="242"/>
      <c r="S9" s="248"/>
      <c r="T9" s="219"/>
      <c r="U9" s="249">
        <v>7</v>
      </c>
      <c r="V9" s="250" t="str">
        <f>IFERROR(VLOOKUP(X9,法术大全!$A:$Z,2,FALSE),"")</f>
        <v/>
      </c>
      <c r="W9" s="251" t="str">
        <f>数据表!C8</f>
        <v/>
      </c>
      <c r="X9" s="252"/>
      <c r="Y9" s="262" t="str">
        <f>数据表!D8</f>
        <v/>
      </c>
      <c r="Z9" s="249">
        <v>57</v>
      </c>
      <c r="AA9" s="263" t="str">
        <f>IFERROR(VLOOKUP(AC9,法术大全!$A:$Z,2,FALSE),"")</f>
        <v/>
      </c>
      <c r="AB9" s="257" t="str">
        <f>数据表!C58</f>
        <v/>
      </c>
      <c r="AC9" s="252"/>
      <c r="AD9" s="262" t="str">
        <f>数据表!D58</f>
        <v/>
      </c>
      <c r="AE9" s="264">
        <v>107</v>
      </c>
      <c r="AF9" s="250" t="str">
        <f>IFERROR(VLOOKUP(AH9,法术大全!$A:$Z,2,FALSE),"")</f>
        <v/>
      </c>
      <c r="AG9" s="251" t="str">
        <f>数据表!C108</f>
        <v/>
      </c>
      <c r="AH9" s="252"/>
      <c r="AI9" s="262" t="str">
        <f>数据表!D108</f>
        <v/>
      </c>
      <c r="AJ9" s="266">
        <v>157</v>
      </c>
      <c r="AK9" s="263" t="str">
        <f>IFERROR(VLOOKUP(AM9,法术大全!$A:$Z,2,FALSE),"")</f>
        <v/>
      </c>
      <c r="AL9" s="251" t="str">
        <f>数据表!C158</f>
        <v/>
      </c>
      <c r="AM9" s="252"/>
      <c r="AN9" s="262" t="str">
        <f>数据表!D158</f>
        <v/>
      </c>
      <c r="AO9" s="268"/>
      <c r="AQ9" s="233"/>
      <c r="AR9" s="234"/>
      <c r="AS9" s="234"/>
      <c r="AT9" s="234"/>
      <c r="AU9" s="234"/>
      <c r="AV9" s="234"/>
      <c r="AW9" s="234"/>
      <c r="AX9" s="256"/>
    </row>
    <row r="10" ht="17.7" customHeight="1" spans="2:50">
      <c r="B10" s="212"/>
      <c r="C10" s="222"/>
      <c r="D10" s="222"/>
      <c r="E10" s="225"/>
      <c r="F10" s="226"/>
      <c r="G10" s="226"/>
      <c r="H10" s="226"/>
      <c r="I10" s="226"/>
      <c r="J10" s="243"/>
      <c r="K10" s="222"/>
      <c r="L10" s="222"/>
      <c r="M10" s="242"/>
      <c r="N10" s="242"/>
      <c r="O10" s="222"/>
      <c r="P10" s="222"/>
      <c r="Q10" s="242"/>
      <c r="R10" s="242"/>
      <c r="S10" s="248"/>
      <c r="T10" s="219"/>
      <c r="U10" s="249">
        <v>8</v>
      </c>
      <c r="V10" s="250" t="str">
        <f>IFERROR(VLOOKUP(X10,法术大全!$A:$Z,2,FALSE),"")</f>
        <v/>
      </c>
      <c r="W10" s="251" t="str">
        <f>数据表!C9</f>
        <v/>
      </c>
      <c r="X10" s="252"/>
      <c r="Y10" s="262" t="str">
        <f>数据表!D9</f>
        <v/>
      </c>
      <c r="Z10" s="249">
        <v>58</v>
      </c>
      <c r="AA10" s="263" t="str">
        <f>IFERROR(VLOOKUP(AC10,法术大全!$A:$Z,2,FALSE),"")</f>
        <v/>
      </c>
      <c r="AB10" s="257" t="str">
        <f>数据表!C59</f>
        <v/>
      </c>
      <c r="AC10" s="252"/>
      <c r="AD10" s="262" t="str">
        <f>数据表!D59</f>
        <v/>
      </c>
      <c r="AE10" s="264">
        <v>108</v>
      </c>
      <c r="AF10" s="250" t="str">
        <f>IFERROR(VLOOKUP(AH10,法术大全!$A:$Z,2,FALSE),"")</f>
        <v/>
      </c>
      <c r="AG10" s="251" t="str">
        <f>数据表!C109</f>
        <v/>
      </c>
      <c r="AH10" s="252"/>
      <c r="AI10" s="262" t="str">
        <f>数据表!D109</f>
        <v/>
      </c>
      <c r="AJ10" s="266">
        <v>158</v>
      </c>
      <c r="AK10" s="263" t="str">
        <f>IFERROR(VLOOKUP(AM10,法术大全!$A:$Z,2,FALSE),"")</f>
        <v/>
      </c>
      <c r="AL10" s="251" t="str">
        <f>数据表!C159</f>
        <v/>
      </c>
      <c r="AM10" s="252"/>
      <c r="AN10" s="262" t="str">
        <f>数据表!D159</f>
        <v/>
      </c>
      <c r="AO10" s="268"/>
      <c r="AQ10" s="233"/>
      <c r="AR10" s="234"/>
      <c r="AS10" s="234"/>
      <c r="AT10" s="234"/>
      <c r="AU10" s="234"/>
      <c r="AV10" s="234"/>
      <c r="AW10" s="234"/>
      <c r="AX10" s="256"/>
    </row>
    <row r="11" ht="17.7" customHeight="1" spans="2:50">
      <c r="B11" s="212"/>
      <c r="C11" s="222" t="s">
        <v>7511</v>
      </c>
      <c r="D11" s="222"/>
      <c r="E11" s="227" t="str">
        <f ca="1">IFERROR(VLOOKUP(C3,法术大全!$A:$Z,6,FALSE),"")</f>
        <v/>
      </c>
      <c r="F11" s="227"/>
      <c r="G11" s="227"/>
      <c r="H11" s="227"/>
      <c r="I11" s="227"/>
      <c r="J11" s="227"/>
      <c r="K11" s="222" t="s">
        <v>7512</v>
      </c>
      <c r="L11" s="222"/>
      <c r="M11" s="242" t="str">
        <f ca="1">IFERROR(VLOOKUP(C3,法术大全!$A:$Z,7,FALSE),"")</f>
        <v/>
      </c>
      <c r="N11" s="242"/>
      <c r="O11" s="242"/>
      <c r="P11" s="242"/>
      <c r="Q11" s="242"/>
      <c r="R11" s="242"/>
      <c r="S11" s="248"/>
      <c r="T11" s="219"/>
      <c r="U11" s="249">
        <v>9</v>
      </c>
      <c r="V11" s="250" t="str">
        <f>IFERROR(VLOOKUP(X11,法术大全!$A:$Z,2,FALSE),"")</f>
        <v/>
      </c>
      <c r="W11" s="251" t="str">
        <f>数据表!C10</f>
        <v/>
      </c>
      <c r="X11" s="252"/>
      <c r="Y11" s="262" t="str">
        <f>数据表!D10</f>
        <v/>
      </c>
      <c r="Z11" s="249">
        <v>59</v>
      </c>
      <c r="AA11" s="263" t="str">
        <f>IFERROR(VLOOKUP(AC11,法术大全!$A:$Z,2,FALSE),"")</f>
        <v/>
      </c>
      <c r="AB11" s="257" t="str">
        <f>数据表!C60</f>
        <v/>
      </c>
      <c r="AC11" s="252"/>
      <c r="AD11" s="262" t="str">
        <f>数据表!D60</f>
        <v/>
      </c>
      <c r="AE11" s="264">
        <v>109</v>
      </c>
      <c r="AF11" s="250" t="str">
        <f>IFERROR(VLOOKUP(AH11,法术大全!$A:$Z,2,FALSE),"")</f>
        <v/>
      </c>
      <c r="AG11" s="251" t="str">
        <f>数据表!C110</f>
        <v/>
      </c>
      <c r="AH11" s="252"/>
      <c r="AI11" s="262" t="str">
        <f>数据表!D110</f>
        <v/>
      </c>
      <c r="AJ11" s="266">
        <v>159</v>
      </c>
      <c r="AK11" s="263" t="str">
        <f>IFERROR(VLOOKUP(AM11,法术大全!$A:$Z,2,FALSE),"")</f>
        <v/>
      </c>
      <c r="AL11" s="251" t="str">
        <f>数据表!C160</f>
        <v/>
      </c>
      <c r="AM11" s="252"/>
      <c r="AN11" s="262" t="str">
        <f>数据表!D160</f>
        <v/>
      </c>
      <c r="AO11" s="268"/>
      <c r="AQ11" s="233"/>
      <c r="AR11" s="234"/>
      <c r="AS11" s="234"/>
      <c r="AT11" s="234"/>
      <c r="AU11" s="234"/>
      <c r="AV11" s="234"/>
      <c r="AW11" s="234"/>
      <c r="AX11" s="256"/>
    </row>
    <row r="12" ht="17.7" customHeight="1" spans="2:50">
      <c r="B12" s="212"/>
      <c r="C12" s="222"/>
      <c r="D12" s="222"/>
      <c r="E12" s="227"/>
      <c r="F12" s="227"/>
      <c r="G12" s="227"/>
      <c r="H12" s="227"/>
      <c r="I12" s="227"/>
      <c r="J12" s="227"/>
      <c r="K12" s="222"/>
      <c r="L12" s="222"/>
      <c r="M12" s="242"/>
      <c r="N12" s="242"/>
      <c r="O12" s="242"/>
      <c r="P12" s="242"/>
      <c r="Q12" s="242"/>
      <c r="R12" s="242"/>
      <c r="S12" s="248"/>
      <c r="T12" s="219"/>
      <c r="U12" s="249">
        <v>10</v>
      </c>
      <c r="V12" s="250" t="str">
        <f>IFERROR(VLOOKUP(X12,法术大全!$A:$Z,2,FALSE),"")</f>
        <v/>
      </c>
      <c r="W12" s="251" t="str">
        <f>数据表!C11</f>
        <v/>
      </c>
      <c r="X12" s="252"/>
      <c r="Y12" s="262" t="str">
        <f>数据表!D11</f>
        <v/>
      </c>
      <c r="Z12" s="249">
        <v>60</v>
      </c>
      <c r="AA12" s="263" t="str">
        <f>IFERROR(VLOOKUP(AC12,法术大全!$A:$Z,2,FALSE),"")</f>
        <v/>
      </c>
      <c r="AB12" s="257" t="str">
        <f>数据表!C61</f>
        <v/>
      </c>
      <c r="AC12" s="252"/>
      <c r="AD12" s="262" t="str">
        <f>数据表!D61</f>
        <v/>
      </c>
      <c r="AE12" s="264">
        <v>110</v>
      </c>
      <c r="AF12" s="250" t="str">
        <f>IFERROR(VLOOKUP(AH12,法术大全!$A:$Z,2,FALSE),"")</f>
        <v/>
      </c>
      <c r="AG12" s="251" t="str">
        <f>数据表!C111</f>
        <v/>
      </c>
      <c r="AH12" s="252"/>
      <c r="AI12" s="262" t="str">
        <f>数据表!D111</f>
        <v/>
      </c>
      <c r="AJ12" s="266">
        <v>160</v>
      </c>
      <c r="AK12" s="263" t="str">
        <f>IFERROR(VLOOKUP(AM12,法术大全!$A:$Z,2,FALSE),"")</f>
        <v/>
      </c>
      <c r="AL12" s="251" t="str">
        <f>数据表!C161</f>
        <v/>
      </c>
      <c r="AM12" s="252"/>
      <c r="AN12" s="262" t="str">
        <f>数据表!D161</f>
        <v/>
      </c>
      <c r="AO12" s="268"/>
      <c r="AQ12" s="233"/>
      <c r="AR12" s="234"/>
      <c r="AS12" s="234"/>
      <c r="AT12" s="234"/>
      <c r="AU12" s="234"/>
      <c r="AV12" s="234"/>
      <c r="AW12" s="234"/>
      <c r="AX12" s="256"/>
    </row>
    <row r="13" ht="17.7" customHeight="1" spans="2:50">
      <c r="B13" s="212"/>
      <c r="C13" s="222" t="s">
        <v>7513</v>
      </c>
      <c r="D13" s="222"/>
      <c r="E13" s="228" t="str">
        <f ca="1">IF(C3="","",CONCATENATE(IF(VLOOKUP(C3,法术大全!$A:$Z,8,0)="V","语言（V）",""),IF(VLOOKUP(C3,法术大全!$A:$Z,9,0)="S","姿势（S）",""),IF(VLOOKUP(C3,法术大全!$A:$Z,10,0)="M","材料(M)","")))</f>
        <v/>
      </c>
      <c r="F13" s="222" t="s">
        <v>7514</v>
      </c>
      <c r="G13" s="222"/>
      <c r="H13" s="229" t="str">
        <f ca="1">IFERROR(IF(VLOOKUP(C3,法术大全!$A:$Z,10,FALSE)="M",VLOOKUP(C3,法术大全!$A:$Z,11,FALSE),"无"),"")</f>
        <v>无</v>
      </c>
      <c r="I13" s="229"/>
      <c r="J13" s="229"/>
      <c r="K13" s="229"/>
      <c r="L13" s="229"/>
      <c r="M13" s="229"/>
      <c r="N13" s="229"/>
      <c r="O13" s="229"/>
      <c r="P13" s="229"/>
      <c r="Q13" s="229"/>
      <c r="R13" s="229"/>
      <c r="S13" s="248"/>
      <c r="T13" s="219"/>
      <c r="U13" s="249">
        <v>11</v>
      </c>
      <c r="V13" s="250" t="str">
        <f>IFERROR(VLOOKUP(X13,法术大全!$A:$Z,2,FALSE),"")</f>
        <v/>
      </c>
      <c r="W13" s="251" t="str">
        <f>数据表!C12</f>
        <v/>
      </c>
      <c r="X13" s="252"/>
      <c r="Y13" s="262" t="str">
        <f>数据表!D12</f>
        <v/>
      </c>
      <c r="Z13" s="249">
        <v>61</v>
      </c>
      <c r="AA13" s="263" t="str">
        <f>IFERROR(VLOOKUP(AC13,法术大全!$A:$Z,2,FALSE),"")</f>
        <v/>
      </c>
      <c r="AB13" s="257" t="str">
        <f>数据表!C62</f>
        <v/>
      </c>
      <c r="AC13" s="252"/>
      <c r="AD13" s="262" t="str">
        <f>数据表!D62</f>
        <v/>
      </c>
      <c r="AE13" s="264">
        <v>111</v>
      </c>
      <c r="AF13" s="250" t="str">
        <f>IFERROR(VLOOKUP(AH13,法术大全!$A:$Z,2,FALSE),"")</f>
        <v/>
      </c>
      <c r="AG13" s="251" t="str">
        <f>数据表!C112</f>
        <v/>
      </c>
      <c r="AH13" s="252"/>
      <c r="AI13" s="262" t="str">
        <f>数据表!D112</f>
        <v/>
      </c>
      <c r="AJ13" s="266">
        <v>161</v>
      </c>
      <c r="AK13" s="263" t="str">
        <f>IFERROR(VLOOKUP(AM13,法术大全!$A:$Z,2,FALSE),"")</f>
        <v/>
      </c>
      <c r="AL13" s="251" t="str">
        <f>数据表!C162</f>
        <v/>
      </c>
      <c r="AM13" s="252"/>
      <c r="AN13" s="262" t="str">
        <f>数据表!D162</f>
        <v/>
      </c>
      <c r="AO13" s="268"/>
      <c r="AQ13" s="233"/>
      <c r="AR13" s="234"/>
      <c r="AS13" s="234"/>
      <c r="AT13" s="234"/>
      <c r="AU13" s="234"/>
      <c r="AV13" s="234"/>
      <c r="AW13" s="234"/>
      <c r="AX13" s="256"/>
    </row>
    <row r="14" ht="17.7" customHeight="1" spans="2:50">
      <c r="B14" s="212"/>
      <c r="C14" s="222"/>
      <c r="D14" s="222"/>
      <c r="E14" s="228"/>
      <c r="F14" s="222"/>
      <c r="G14" s="222"/>
      <c r="H14" s="229"/>
      <c r="I14" s="229"/>
      <c r="J14" s="229"/>
      <c r="K14" s="229"/>
      <c r="L14" s="229"/>
      <c r="M14" s="229"/>
      <c r="N14" s="229"/>
      <c r="O14" s="229"/>
      <c r="P14" s="229"/>
      <c r="Q14" s="229"/>
      <c r="R14" s="229"/>
      <c r="S14" s="248"/>
      <c r="T14" s="219"/>
      <c r="U14" s="249">
        <v>12</v>
      </c>
      <c r="V14" s="250" t="str">
        <f>IFERROR(VLOOKUP(X14,法术大全!$A:$Z,2,FALSE),"")</f>
        <v/>
      </c>
      <c r="W14" s="251" t="str">
        <f>数据表!C13</f>
        <v/>
      </c>
      <c r="X14" s="252"/>
      <c r="Y14" s="262" t="str">
        <f>数据表!D13</f>
        <v/>
      </c>
      <c r="Z14" s="249">
        <v>62</v>
      </c>
      <c r="AA14" s="263" t="str">
        <f>IFERROR(VLOOKUP(AC14,法术大全!$A:$Z,2,FALSE),"")</f>
        <v/>
      </c>
      <c r="AB14" s="257" t="str">
        <f>数据表!C63</f>
        <v/>
      </c>
      <c r="AC14" s="252"/>
      <c r="AD14" s="262" t="str">
        <f>数据表!D63</f>
        <v/>
      </c>
      <c r="AE14" s="264">
        <v>112</v>
      </c>
      <c r="AF14" s="250" t="str">
        <f>IFERROR(VLOOKUP(AH14,法术大全!$A:$Z,2,FALSE),"")</f>
        <v/>
      </c>
      <c r="AG14" s="251" t="str">
        <f>数据表!C113</f>
        <v/>
      </c>
      <c r="AH14" s="252"/>
      <c r="AI14" s="262" t="str">
        <f>数据表!D113</f>
        <v/>
      </c>
      <c r="AJ14" s="266">
        <v>162</v>
      </c>
      <c r="AK14" s="263" t="str">
        <f>IFERROR(VLOOKUP(AM14,法术大全!$A:$Z,2,FALSE),"")</f>
        <v/>
      </c>
      <c r="AL14" s="251" t="str">
        <f>数据表!C163</f>
        <v/>
      </c>
      <c r="AM14" s="252"/>
      <c r="AN14" s="262" t="str">
        <f>数据表!D163</f>
        <v/>
      </c>
      <c r="AO14" s="268"/>
      <c r="AQ14" s="233"/>
      <c r="AR14" s="234"/>
      <c r="AS14" s="234"/>
      <c r="AT14" s="234"/>
      <c r="AU14" s="234"/>
      <c r="AV14" s="234"/>
      <c r="AW14" s="234"/>
      <c r="AX14" s="256"/>
    </row>
    <row r="15" ht="17.7" customHeight="1" spans="2:50">
      <c r="B15" s="212"/>
      <c r="C15" s="222"/>
      <c r="D15" s="222"/>
      <c r="E15" s="228"/>
      <c r="F15" s="222"/>
      <c r="G15" s="222"/>
      <c r="H15" s="229"/>
      <c r="I15" s="229"/>
      <c r="J15" s="229"/>
      <c r="K15" s="229"/>
      <c r="L15" s="229"/>
      <c r="M15" s="229"/>
      <c r="N15" s="229"/>
      <c r="O15" s="229"/>
      <c r="P15" s="229"/>
      <c r="Q15" s="229"/>
      <c r="R15" s="229"/>
      <c r="S15" s="248"/>
      <c r="T15" s="219"/>
      <c r="U15" s="249">
        <v>13</v>
      </c>
      <c r="V15" s="250" t="str">
        <f>IFERROR(VLOOKUP(X15,法术大全!$A:$Z,2,FALSE),"")</f>
        <v/>
      </c>
      <c r="W15" s="251" t="str">
        <f>数据表!C14</f>
        <v/>
      </c>
      <c r="X15" s="252"/>
      <c r="Y15" s="262" t="str">
        <f>数据表!D14</f>
        <v/>
      </c>
      <c r="Z15" s="249">
        <v>63</v>
      </c>
      <c r="AA15" s="263" t="str">
        <f>IFERROR(VLOOKUP(AC15,法术大全!$A:$Z,2,FALSE),"")</f>
        <v/>
      </c>
      <c r="AB15" s="257" t="str">
        <f>数据表!C64</f>
        <v/>
      </c>
      <c r="AC15" s="252"/>
      <c r="AD15" s="262" t="str">
        <f>数据表!D64</f>
        <v/>
      </c>
      <c r="AE15" s="264">
        <v>113</v>
      </c>
      <c r="AF15" s="250" t="str">
        <f>IFERROR(VLOOKUP(AH15,法术大全!$A:$Z,2,FALSE),"")</f>
        <v/>
      </c>
      <c r="AG15" s="251" t="str">
        <f>数据表!C114</f>
        <v/>
      </c>
      <c r="AH15" s="252"/>
      <c r="AI15" s="262" t="str">
        <f>数据表!D114</f>
        <v/>
      </c>
      <c r="AJ15" s="266">
        <v>163</v>
      </c>
      <c r="AK15" s="263" t="str">
        <f>IFERROR(VLOOKUP(AM15,法术大全!$A:$Z,2,FALSE),"")</f>
        <v/>
      </c>
      <c r="AL15" s="251" t="str">
        <f>数据表!C164</f>
        <v/>
      </c>
      <c r="AM15" s="252"/>
      <c r="AN15" s="262" t="str">
        <f>数据表!D164</f>
        <v/>
      </c>
      <c r="AO15" s="268"/>
      <c r="AQ15" s="233"/>
      <c r="AR15" s="234"/>
      <c r="AS15" s="234"/>
      <c r="AT15" s="234"/>
      <c r="AU15" s="234"/>
      <c r="AV15" s="234"/>
      <c r="AW15" s="234"/>
      <c r="AX15" s="256"/>
    </row>
    <row r="16" ht="17.7" customHeight="1" spans="2:50">
      <c r="B16" s="212"/>
      <c r="C16" s="222"/>
      <c r="D16" s="222"/>
      <c r="E16" s="228"/>
      <c r="F16" s="222"/>
      <c r="G16" s="222"/>
      <c r="H16" s="229"/>
      <c r="I16" s="229"/>
      <c r="J16" s="229"/>
      <c r="K16" s="229"/>
      <c r="L16" s="229"/>
      <c r="M16" s="229"/>
      <c r="N16" s="229"/>
      <c r="O16" s="229"/>
      <c r="P16" s="229"/>
      <c r="Q16" s="229"/>
      <c r="R16" s="229"/>
      <c r="S16" s="248"/>
      <c r="T16" s="219"/>
      <c r="U16" s="249">
        <v>14</v>
      </c>
      <c r="V16" s="250" t="str">
        <f>IFERROR(VLOOKUP(X16,法术大全!$A:$Z,2,FALSE),"")</f>
        <v/>
      </c>
      <c r="W16" s="251" t="str">
        <f>数据表!C15</f>
        <v/>
      </c>
      <c r="X16" s="252"/>
      <c r="Y16" s="262" t="str">
        <f>数据表!D15</f>
        <v/>
      </c>
      <c r="Z16" s="249">
        <v>64</v>
      </c>
      <c r="AA16" s="263" t="str">
        <f>IFERROR(VLOOKUP(AC16,法术大全!$A:$Z,2,FALSE),"")</f>
        <v/>
      </c>
      <c r="AB16" s="257" t="str">
        <f>数据表!C65</f>
        <v/>
      </c>
      <c r="AC16" s="252"/>
      <c r="AD16" s="262" t="str">
        <f>数据表!D65</f>
        <v/>
      </c>
      <c r="AE16" s="264">
        <v>114</v>
      </c>
      <c r="AF16" s="250" t="str">
        <f>IFERROR(VLOOKUP(AH16,法术大全!$A:$Z,2,FALSE),"")</f>
        <v/>
      </c>
      <c r="AG16" s="251" t="str">
        <f>数据表!C115</f>
        <v/>
      </c>
      <c r="AH16" s="252"/>
      <c r="AI16" s="262" t="str">
        <f>数据表!D115</f>
        <v/>
      </c>
      <c r="AJ16" s="266">
        <v>164</v>
      </c>
      <c r="AK16" s="263" t="str">
        <f>IFERROR(VLOOKUP(AM16,法术大全!$A:$Z,2,FALSE),"")</f>
        <v/>
      </c>
      <c r="AL16" s="251" t="str">
        <f>数据表!C165</f>
        <v/>
      </c>
      <c r="AM16" s="252"/>
      <c r="AN16" s="262" t="str">
        <f>数据表!D165</f>
        <v/>
      </c>
      <c r="AO16" s="268"/>
      <c r="AQ16" s="233"/>
      <c r="AR16" s="234"/>
      <c r="AS16" s="234"/>
      <c r="AT16" s="234"/>
      <c r="AU16" s="234"/>
      <c r="AV16" s="234"/>
      <c r="AW16" s="234"/>
      <c r="AX16" s="256"/>
    </row>
    <row r="17" ht="17.7" customHeight="1" spans="2:50">
      <c r="B17" s="212"/>
      <c r="C17" s="222"/>
      <c r="D17" s="222"/>
      <c r="E17" s="228"/>
      <c r="F17" s="222"/>
      <c r="G17" s="222"/>
      <c r="H17" s="229"/>
      <c r="I17" s="229"/>
      <c r="J17" s="229"/>
      <c r="K17" s="229"/>
      <c r="L17" s="229"/>
      <c r="M17" s="229"/>
      <c r="N17" s="229"/>
      <c r="O17" s="229"/>
      <c r="P17" s="229"/>
      <c r="Q17" s="229"/>
      <c r="R17" s="229"/>
      <c r="S17" s="248"/>
      <c r="T17" s="219"/>
      <c r="U17" s="249">
        <v>15</v>
      </c>
      <c r="V17" s="250" t="str">
        <f>IFERROR(VLOOKUP(X17,法术大全!$A:$Z,2,FALSE),"")</f>
        <v/>
      </c>
      <c r="W17" s="251" t="str">
        <f>数据表!C16</f>
        <v/>
      </c>
      <c r="X17" s="252"/>
      <c r="Y17" s="262" t="str">
        <f>数据表!D16</f>
        <v/>
      </c>
      <c r="Z17" s="249">
        <v>65</v>
      </c>
      <c r="AA17" s="263" t="str">
        <f>IFERROR(VLOOKUP(AC17,法术大全!$A:$Z,2,FALSE),"")</f>
        <v/>
      </c>
      <c r="AB17" s="257" t="str">
        <f>数据表!C66</f>
        <v/>
      </c>
      <c r="AC17" s="252"/>
      <c r="AD17" s="262" t="str">
        <f>数据表!D66</f>
        <v/>
      </c>
      <c r="AE17" s="264">
        <v>115</v>
      </c>
      <c r="AF17" s="250" t="str">
        <f>IFERROR(VLOOKUP(AH17,法术大全!$A:$Z,2,FALSE),"")</f>
        <v/>
      </c>
      <c r="AG17" s="251" t="str">
        <f>数据表!C116</f>
        <v/>
      </c>
      <c r="AH17" s="252"/>
      <c r="AI17" s="262" t="str">
        <f>数据表!D116</f>
        <v/>
      </c>
      <c r="AJ17" s="266">
        <v>165</v>
      </c>
      <c r="AK17" s="263" t="str">
        <f>IFERROR(VLOOKUP(AM17,法术大全!$A:$Z,2,FALSE),"")</f>
        <v/>
      </c>
      <c r="AL17" s="251" t="str">
        <f>数据表!C166</f>
        <v/>
      </c>
      <c r="AM17" s="252"/>
      <c r="AN17" s="262" t="str">
        <f>数据表!D166</f>
        <v/>
      </c>
      <c r="AO17" s="268"/>
      <c r="AQ17" s="233"/>
      <c r="AR17" s="234"/>
      <c r="AS17" s="234"/>
      <c r="AT17" s="234"/>
      <c r="AU17" s="234"/>
      <c r="AV17" s="234"/>
      <c r="AW17" s="234"/>
      <c r="AX17" s="256"/>
    </row>
    <row r="18" ht="17.7" customHeight="1" spans="2:50">
      <c r="B18" s="212"/>
      <c r="C18" s="222"/>
      <c r="D18" s="222"/>
      <c r="E18" s="228"/>
      <c r="F18" s="222"/>
      <c r="G18" s="222"/>
      <c r="H18" s="229"/>
      <c r="I18" s="229"/>
      <c r="J18" s="229"/>
      <c r="K18" s="229"/>
      <c r="L18" s="229"/>
      <c r="M18" s="229"/>
      <c r="N18" s="229"/>
      <c r="O18" s="229"/>
      <c r="P18" s="229"/>
      <c r="Q18" s="229"/>
      <c r="R18" s="229"/>
      <c r="S18" s="248"/>
      <c r="T18" s="219"/>
      <c r="U18" s="249">
        <v>16</v>
      </c>
      <c r="V18" s="250" t="str">
        <f>IFERROR(VLOOKUP(X18,法术大全!$A:$Z,2,FALSE),"")</f>
        <v/>
      </c>
      <c r="W18" s="251" t="str">
        <f>数据表!C17</f>
        <v/>
      </c>
      <c r="X18" s="252"/>
      <c r="Y18" s="262" t="str">
        <f>数据表!D17</f>
        <v/>
      </c>
      <c r="Z18" s="249">
        <v>66</v>
      </c>
      <c r="AA18" s="263" t="str">
        <f>IFERROR(VLOOKUP(AC18,法术大全!$A:$Z,2,FALSE),"")</f>
        <v/>
      </c>
      <c r="AB18" s="257" t="str">
        <f>数据表!C67</f>
        <v/>
      </c>
      <c r="AC18" s="252"/>
      <c r="AD18" s="262" t="str">
        <f>数据表!D67</f>
        <v/>
      </c>
      <c r="AE18" s="264">
        <v>116</v>
      </c>
      <c r="AF18" s="250" t="str">
        <f>IFERROR(VLOOKUP(AH18,法术大全!$A:$Z,2,FALSE),"")</f>
        <v/>
      </c>
      <c r="AG18" s="251" t="str">
        <f>数据表!C117</f>
        <v/>
      </c>
      <c r="AH18" s="252"/>
      <c r="AI18" s="262" t="str">
        <f>数据表!D117</f>
        <v/>
      </c>
      <c r="AJ18" s="266">
        <v>166</v>
      </c>
      <c r="AK18" s="263" t="str">
        <f>IFERROR(VLOOKUP(AM18,法术大全!$A:$Z,2,FALSE),"")</f>
        <v/>
      </c>
      <c r="AL18" s="251" t="str">
        <f>数据表!C167</f>
        <v/>
      </c>
      <c r="AM18" s="252"/>
      <c r="AN18" s="262" t="str">
        <f>数据表!D167</f>
        <v/>
      </c>
      <c r="AO18" s="268"/>
      <c r="AQ18" s="233"/>
      <c r="AR18" s="234"/>
      <c r="AS18" s="234"/>
      <c r="AT18" s="234"/>
      <c r="AU18" s="234"/>
      <c r="AV18" s="234"/>
      <c r="AW18" s="234"/>
      <c r="AX18" s="256"/>
    </row>
    <row r="19" ht="17.7" customHeight="1" spans="2:50">
      <c r="B19" s="212"/>
      <c r="C19" s="222" t="s">
        <v>7515</v>
      </c>
      <c r="D19" s="222"/>
      <c r="E19" s="227" t="str">
        <f ca="1">IFERROR(VLOOKUP(C3,法术大全!$A:$Z,12,FALSE),"")</f>
        <v/>
      </c>
      <c r="F19" s="227"/>
      <c r="G19" s="227"/>
      <c r="H19" s="227"/>
      <c r="I19" s="227"/>
      <c r="J19" s="227"/>
      <c r="K19" s="227"/>
      <c r="L19" s="227"/>
      <c r="M19" s="227"/>
      <c r="N19" s="227"/>
      <c r="O19" s="227"/>
      <c r="P19" s="227"/>
      <c r="Q19" s="227"/>
      <c r="R19" s="227"/>
      <c r="S19" s="248"/>
      <c r="T19" s="219"/>
      <c r="U19" s="249">
        <v>17</v>
      </c>
      <c r="V19" s="250" t="str">
        <f>IFERROR(VLOOKUP(X19,法术大全!$A:$Z,2,FALSE),"")</f>
        <v/>
      </c>
      <c r="W19" s="251" t="str">
        <f>数据表!C18</f>
        <v/>
      </c>
      <c r="X19" s="252"/>
      <c r="Y19" s="262" t="str">
        <f>数据表!D18</f>
        <v/>
      </c>
      <c r="Z19" s="249">
        <v>67</v>
      </c>
      <c r="AA19" s="263" t="str">
        <f>IFERROR(VLOOKUP(AC19,法术大全!$A:$Z,2,FALSE),"")</f>
        <v/>
      </c>
      <c r="AB19" s="257" t="str">
        <f>数据表!C68</f>
        <v/>
      </c>
      <c r="AC19" s="252"/>
      <c r="AD19" s="262" t="str">
        <f>数据表!D68</f>
        <v/>
      </c>
      <c r="AE19" s="264">
        <v>117</v>
      </c>
      <c r="AF19" s="250" t="str">
        <f>IFERROR(VLOOKUP(AH19,法术大全!$A:$Z,2,FALSE),"")</f>
        <v/>
      </c>
      <c r="AG19" s="251" t="str">
        <f>数据表!C118</f>
        <v/>
      </c>
      <c r="AH19" s="252"/>
      <c r="AI19" s="262" t="str">
        <f>数据表!D118</f>
        <v/>
      </c>
      <c r="AJ19" s="266">
        <v>167</v>
      </c>
      <c r="AK19" s="263" t="str">
        <f>IFERROR(VLOOKUP(AM19,法术大全!$A:$Z,2,FALSE),"")</f>
        <v/>
      </c>
      <c r="AL19" s="251" t="str">
        <f>数据表!C168</f>
        <v/>
      </c>
      <c r="AM19" s="252"/>
      <c r="AN19" s="262" t="str">
        <f>数据表!D168</f>
        <v/>
      </c>
      <c r="AO19" s="268"/>
      <c r="AQ19" s="233"/>
      <c r="AR19" s="234"/>
      <c r="AS19" s="234"/>
      <c r="AT19" s="234"/>
      <c r="AU19" s="234"/>
      <c r="AV19" s="234"/>
      <c r="AW19" s="234"/>
      <c r="AX19" s="256"/>
    </row>
    <row r="20" ht="17.7" customHeight="1" spans="2:50">
      <c r="B20" s="212"/>
      <c r="C20" s="222"/>
      <c r="D20" s="222"/>
      <c r="E20" s="227"/>
      <c r="F20" s="227"/>
      <c r="G20" s="227"/>
      <c r="H20" s="227"/>
      <c r="I20" s="227"/>
      <c r="J20" s="227"/>
      <c r="K20" s="227"/>
      <c r="L20" s="227"/>
      <c r="M20" s="227"/>
      <c r="N20" s="227"/>
      <c r="O20" s="227"/>
      <c r="P20" s="227"/>
      <c r="Q20" s="227"/>
      <c r="R20" s="227"/>
      <c r="S20" s="248"/>
      <c r="T20" s="219"/>
      <c r="U20" s="249">
        <v>18</v>
      </c>
      <c r="V20" s="250" t="str">
        <f>IFERROR(VLOOKUP(X20,法术大全!$A:$Z,2,FALSE),"")</f>
        <v/>
      </c>
      <c r="W20" s="251" t="str">
        <f>数据表!C19</f>
        <v/>
      </c>
      <c r="X20" s="252"/>
      <c r="Y20" s="262" t="str">
        <f>数据表!D19</f>
        <v/>
      </c>
      <c r="Z20" s="249">
        <v>68</v>
      </c>
      <c r="AA20" s="263" t="str">
        <f>IFERROR(VLOOKUP(AC20,法术大全!$A:$Z,2,FALSE),"")</f>
        <v/>
      </c>
      <c r="AB20" s="257" t="str">
        <f>数据表!C69</f>
        <v/>
      </c>
      <c r="AC20" s="252"/>
      <c r="AD20" s="262" t="str">
        <f>数据表!D69</f>
        <v/>
      </c>
      <c r="AE20" s="264">
        <v>118</v>
      </c>
      <c r="AF20" s="250" t="str">
        <f>IFERROR(VLOOKUP(AH20,法术大全!$A:$Z,2,FALSE),"")</f>
        <v/>
      </c>
      <c r="AG20" s="251" t="str">
        <f>数据表!C119</f>
        <v/>
      </c>
      <c r="AH20" s="252"/>
      <c r="AI20" s="262" t="str">
        <f>数据表!D119</f>
        <v/>
      </c>
      <c r="AJ20" s="266">
        <v>168</v>
      </c>
      <c r="AK20" s="263" t="str">
        <f>IFERROR(VLOOKUP(AM20,法术大全!$A:$Z,2,FALSE),"")</f>
        <v/>
      </c>
      <c r="AL20" s="251" t="str">
        <f>数据表!C169</f>
        <v/>
      </c>
      <c r="AM20" s="252"/>
      <c r="AN20" s="262" t="str">
        <f>数据表!D169</f>
        <v/>
      </c>
      <c r="AO20" s="268"/>
      <c r="AQ20" s="233"/>
      <c r="AR20" s="234"/>
      <c r="AS20" s="234"/>
      <c r="AT20" s="234"/>
      <c r="AU20" s="234"/>
      <c r="AV20" s="234"/>
      <c r="AW20" s="234"/>
      <c r="AX20" s="256"/>
    </row>
    <row r="21" ht="17.7" customHeight="1" spans="2:50">
      <c r="B21" s="212"/>
      <c r="C21" s="219"/>
      <c r="D21" s="219"/>
      <c r="E21" s="219"/>
      <c r="F21" s="219"/>
      <c r="G21" s="219"/>
      <c r="H21" s="219"/>
      <c r="I21" s="219"/>
      <c r="J21" s="219"/>
      <c r="K21" s="219"/>
      <c r="L21" s="219"/>
      <c r="M21" s="219"/>
      <c r="N21" s="219"/>
      <c r="O21" s="219"/>
      <c r="P21" s="219"/>
      <c r="Q21" s="219"/>
      <c r="R21" s="219"/>
      <c r="S21" s="248"/>
      <c r="T21" s="219"/>
      <c r="U21" s="249">
        <v>19</v>
      </c>
      <c r="V21" s="250" t="str">
        <f>IFERROR(VLOOKUP(X21,法术大全!$A:$Z,2,FALSE),"")</f>
        <v/>
      </c>
      <c r="W21" s="251" t="str">
        <f>数据表!C20</f>
        <v/>
      </c>
      <c r="X21" s="252"/>
      <c r="Y21" s="262" t="str">
        <f>数据表!D20</f>
        <v/>
      </c>
      <c r="Z21" s="249">
        <v>69</v>
      </c>
      <c r="AA21" s="263" t="str">
        <f>IFERROR(VLOOKUP(AC21,法术大全!$A:$Z,2,FALSE),"")</f>
        <v/>
      </c>
      <c r="AB21" s="257" t="str">
        <f>数据表!C70</f>
        <v/>
      </c>
      <c r="AC21" s="252"/>
      <c r="AD21" s="262" t="str">
        <f>数据表!D70</f>
        <v/>
      </c>
      <c r="AE21" s="264">
        <v>119</v>
      </c>
      <c r="AF21" s="250" t="str">
        <f>IFERROR(VLOOKUP(AH21,法术大全!$A:$Z,2,FALSE),"")</f>
        <v/>
      </c>
      <c r="AG21" s="251" t="str">
        <f>数据表!C120</f>
        <v/>
      </c>
      <c r="AH21" s="252"/>
      <c r="AI21" s="262" t="str">
        <f>数据表!D120</f>
        <v/>
      </c>
      <c r="AJ21" s="266">
        <v>169</v>
      </c>
      <c r="AK21" s="263" t="str">
        <f>IFERROR(VLOOKUP(AM21,法术大全!$A:$Z,2,FALSE),"")</f>
        <v/>
      </c>
      <c r="AL21" s="251" t="str">
        <f>数据表!C170</f>
        <v/>
      </c>
      <c r="AM21" s="252"/>
      <c r="AN21" s="262" t="str">
        <f>数据表!D170</f>
        <v/>
      </c>
      <c r="AO21" s="268"/>
      <c r="AQ21" s="233"/>
      <c r="AR21" s="234"/>
      <c r="AS21" s="234"/>
      <c r="AT21" s="234"/>
      <c r="AU21" s="234"/>
      <c r="AV21" s="234"/>
      <c r="AW21" s="234"/>
      <c r="AX21" s="256"/>
    </row>
    <row r="22" ht="17.7" customHeight="1" spans="2:50">
      <c r="B22" s="212"/>
      <c r="C22" s="220" t="s">
        <v>7516</v>
      </c>
      <c r="D22" s="221"/>
      <c r="E22" s="221"/>
      <c r="F22" s="230"/>
      <c r="G22" s="219"/>
      <c r="H22" s="219"/>
      <c r="I22" s="219"/>
      <c r="J22" s="219"/>
      <c r="K22" s="219"/>
      <c r="L22" s="219"/>
      <c r="M22" s="219"/>
      <c r="N22" s="219"/>
      <c r="O22" s="219"/>
      <c r="P22" s="219"/>
      <c r="Q22" s="219"/>
      <c r="R22" s="219"/>
      <c r="S22" s="248"/>
      <c r="T22" s="219"/>
      <c r="U22" s="249">
        <v>20</v>
      </c>
      <c r="V22" s="250" t="str">
        <f>IFERROR(VLOOKUP(X22,法术大全!$A:$Z,2,FALSE),"")</f>
        <v/>
      </c>
      <c r="W22" s="251" t="str">
        <f>数据表!C21</f>
        <v/>
      </c>
      <c r="X22" s="252"/>
      <c r="Y22" s="262" t="str">
        <f>数据表!D21</f>
        <v/>
      </c>
      <c r="Z22" s="249">
        <v>70</v>
      </c>
      <c r="AA22" s="263" t="str">
        <f>IFERROR(VLOOKUP(AC22,法术大全!$A:$Z,2,FALSE),"")</f>
        <v/>
      </c>
      <c r="AB22" s="257" t="str">
        <f>数据表!C71</f>
        <v/>
      </c>
      <c r="AC22" s="252"/>
      <c r="AD22" s="262" t="str">
        <f>数据表!D71</f>
        <v/>
      </c>
      <c r="AE22" s="264">
        <v>120</v>
      </c>
      <c r="AF22" s="250" t="str">
        <f>IFERROR(VLOOKUP(AH22,法术大全!$A:$Z,2,FALSE),"")</f>
        <v/>
      </c>
      <c r="AG22" s="251" t="str">
        <f>数据表!C121</f>
        <v/>
      </c>
      <c r="AH22" s="252"/>
      <c r="AI22" s="262" t="str">
        <f>数据表!D121</f>
        <v/>
      </c>
      <c r="AJ22" s="266">
        <v>170</v>
      </c>
      <c r="AK22" s="263" t="str">
        <f>IFERROR(VLOOKUP(AM22,法术大全!$A:$Z,2,FALSE),"")</f>
        <v/>
      </c>
      <c r="AL22" s="251" t="str">
        <f>数据表!C171</f>
        <v/>
      </c>
      <c r="AM22" s="252"/>
      <c r="AN22" s="262" t="str">
        <f>数据表!D171</f>
        <v/>
      </c>
      <c r="AO22" s="268"/>
      <c r="AQ22" s="233"/>
      <c r="AR22" s="234"/>
      <c r="AS22" s="234"/>
      <c r="AT22" s="234"/>
      <c r="AU22" s="234"/>
      <c r="AV22" s="234"/>
      <c r="AW22" s="234"/>
      <c r="AX22" s="256"/>
    </row>
    <row r="23" ht="17.7" customHeight="1" spans="2:50">
      <c r="B23" s="212"/>
      <c r="C23" s="231" t="str">
        <f ca="1">IFERROR(VLOOKUP(C3,法术大全!$A:$Z,13,FALSE),"")</f>
        <v/>
      </c>
      <c r="D23" s="232"/>
      <c r="E23" s="232"/>
      <c r="F23" s="232"/>
      <c r="G23" s="232"/>
      <c r="H23" s="232"/>
      <c r="I23" s="232"/>
      <c r="J23" s="232"/>
      <c r="K23" s="232"/>
      <c r="L23" s="232"/>
      <c r="M23" s="232"/>
      <c r="N23" s="232"/>
      <c r="O23" s="232"/>
      <c r="P23" s="232"/>
      <c r="Q23" s="232"/>
      <c r="R23" s="255"/>
      <c r="S23" s="248"/>
      <c r="T23" s="219"/>
      <c r="U23" s="249">
        <v>21</v>
      </c>
      <c r="V23" s="250" t="str">
        <f>IFERROR(VLOOKUP(X23,法术大全!$A:$Z,2,FALSE),"")</f>
        <v/>
      </c>
      <c r="W23" s="251" t="str">
        <f>数据表!C22</f>
        <v/>
      </c>
      <c r="X23" s="252"/>
      <c r="Y23" s="262" t="str">
        <f>数据表!D22</f>
        <v/>
      </c>
      <c r="Z23" s="249">
        <v>71</v>
      </c>
      <c r="AA23" s="263" t="str">
        <f>IFERROR(VLOOKUP(AC23,法术大全!$A:$Z,2,FALSE),"")</f>
        <v/>
      </c>
      <c r="AB23" s="257" t="str">
        <f>数据表!C72</f>
        <v/>
      </c>
      <c r="AC23" s="252"/>
      <c r="AD23" s="262" t="str">
        <f>数据表!D72</f>
        <v/>
      </c>
      <c r="AE23" s="264">
        <v>121</v>
      </c>
      <c r="AF23" s="250" t="str">
        <f>IFERROR(VLOOKUP(AH23,法术大全!$A:$Z,2,FALSE),"")</f>
        <v/>
      </c>
      <c r="AG23" s="251" t="str">
        <f>数据表!C122</f>
        <v/>
      </c>
      <c r="AH23" s="252"/>
      <c r="AI23" s="262" t="str">
        <f>数据表!D122</f>
        <v/>
      </c>
      <c r="AJ23" s="266">
        <v>171</v>
      </c>
      <c r="AK23" s="263" t="str">
        <f>IFERROR(VLOOKUP(AM23,法术大全!$A:$Z,2,FALSE),"")</f>
        <v/>
      </c>
      <c r="AL23" s="251" t="str">
        <f>数据表!C172</f>
        <v/>
      </c>
      <c r="AM23" s="252"/>
      <c r="AN23" s="262" t="str">
        <f>数据表!D172</f>
        <v/>
      </c>
      <c r="AO23" s="268"/>
      <c r="AQ23" s="233"/>
      <c r="AR23" s="234"/>
      <c r="AS23" s="234"/>
      <c r="AT23" s="234"/>
      <c r="AU23" s="234"/>
      <c r="AV23" s="234"/>
      <c r="AW23" s="234"/>
      <c r="AX23" s="256"/>
    </row>
    <row r="24" ht="17.7" customHeight="1" spans="2:50">
      <c r="B24" s="212"/>
      <c r="C24" s="233"/>
      <c r="D24" s="234"/>
      <c r="E24" s="234"/>
      <c r="F24" s="234"/>
      <c r="G24" s="234"/>
      <c r="H24" s="234"/>
      <c r="I24" s="234"/>
      <c r="J24" s="234"/>
      <c r="K24" s="234"/>
      <c r="L24" s="234"/>
      <c r="M24" s="234"/>
      <c r="N24" s="234"/>
      <c r="O24" s="234"/>
      <c r="P24" s="234"/>
      <c r="Q24" s="234"/>
      <c r="R24" s="256"/>
      <c r="S24" s="248"/>
      <c r="T24" s="219"/>
      <c r="U24" s="249">
        <v>22</v>
      </c>
      <c r="V24" s="250" t="str">
        <f>IFERROR(VLOOKUP(X24,法术大全!$A:$Z,2,FALSE),"")</f>
        <v/>
      </c>
      <c r="W24" s="251" t="str">
        <f>数据表!C23</f>
        <v/>
      </c>
      <c r="X24" s="252"/>
      <c r="Y24" s="262" t="str">
        <f>数据表!D23</f>
        <v/>
      </c>
      <c r="Z24" s="249">
        <v>72</v>
      </c>
      <c r="AA24" s="263" t="str">
        <f>IFERROR(VLOOKUP(AC24,法术大全!$A:$Z,2,FALSE),"")</f>
        <v/>
      </c>
      <c r="AB24" s="257" t="str">
        <f>数据表!C73</f>
        <v/>
      </c>
      <c r="AC24" s="252"/>
      <c r="AD24" s="262" t="str">
        <f>数据表!D73</f>
        <v/>
      </c>
      <c r="AE24" s="264">
        <v>122</v>
      </c>
      <c r="AF24" s="250" t="str">
        <f>IFERROR(VLOOKUP(AH24,法术大全!$A:$Z,2,FALSE),"")</f>
        <v/>
      </c>
      <c r="AG24" s="251" t="str">
        <f>数据表!C123</f>
        <v/>
      </c>
      <c r="AH24" s="252"/>
      <c r="AI24" s="262" t="str">
        <f>数据表!D123</f>
        <v/>
      </c>
      <c r="AJ24" s="266">
        <v>172</v>
      </c>
      <c r="AK24" s="263" t="str">
        <f>IFERROR(VLOOKUP(AM24,法术大全!$A:$Z,2,FALSE),"")</f>
        <v/>
      </c>
      <c r="AL24" s="251" t="str">
        <f>数据表!C173</f>
        <v/>
      </c>
      <c r="AM24" s="252"/>
      <c r="AN24" s="262" t="str">
        <f>数据表!D173</f>
        <v/>
      </c>
      <c r="AO24" s="268"/>
      <c r="AQ24" s="233"/>
      <c r="AR24" s="234"/>
      <c r="AS24" s="234"/>
      <c r="AT24" s="234"/>
      <c r="AU24" s="234"/>
      <c r="AV24" s="234"/>
      <c r="AW24" s="234"/>
      <c r="AX24" s="256"/>
    </row>
    <row r="25" ht="17.7" customHeight="1" spans="2:50">
      <c r="B25" s="212"/>
      <c r="C25" s="233"/>
      <c r="D25" s="234"/>
      <c r="E25" s="234"/>
      <c r="F25" s="234"/>
      <c r="G25" s="234"/>
      <c r="H25" s="234"/>
      <c r="I25" s="234"/>
      <c r="J25" s="234"/>
      <c r="K25" s="234"/>
      <c r="L25" s="234"/>
      <c r="M25" s="234"/>
      <c r="N25" s="234"/>
      <c r="O25" s="234"/>
      <c r="P25" s="234"/>
      <c r="Q25" s="234"/>
      <c r="R25" s="256"/>
      <c r="S25" s="248"/>
      <c r="T25" s="219"/>
      <c r="U25" s="249">
        <v>23</v>
      </c>
      <c r="V25" s="250" t="str">
        <f>IFERROR(VLOOKUP(X25,法术大全!$A:$Z,2,FALSE),"")</f>
        <v/>
      </c>
      <c r="W25" s="251" t="str">
        <f>数据表!C24</f>
        <v/>
      </c>
      <c r="X25" s="252"/>
      <c r="Y25" s="262" t="str">
        <f>数据表!D24</f>
        <v/>
      </c>
      <c r="Z25" s="249">
        <v>73</v>
      </c>
      <c r="AA25" s="263" t="str">
        <f>IFERROR(VLOOKUP(AC25,法术大全!$A:$Z,2,FALSE),"")</f>
        <v/>
      </c>
      <c r="AB25" s="257" t="str">
        <f>数据表!C74</f>
        <v/>
      </c>
      <c r="AC25" s="252"/>
      <c r="AD25" s="262" t="str">
        <f>数据表!D74</f>
        <v/>
      </c>
      <c r="AE25" s="264">
        <v>123</v>
      </c>
      <c r="AF25" s="250" t="str">
        <f>IFERROR(VLOOKUP(AH25,法术大全!$A:$Z,2,FALSE),"")</f>
        <v/>
      </c>
      <c r="AG25" s="251" t="str">
        <f>数据表!C124</f>
        <v/>
      </c>
      <c r="AH25" s="252"/>
      <c r="AI25" s="262" t="str">
        <f>数据表!D124</f>
        <v/>
      </c>
      <c r="AJ25" s="266">
        <v>173</v>
      </c>
      <c r="AK25" s="263" t="str">
        <f>IFERROR(VLOOKUP(AM25,法术大全!$A:$Z,2,FALSE),"")</f>
        <v/>
      </c>
      <c r="AL25" s="251" t="str">
        <f>数据表!C174</f>
        <v/>
      </c>
      <c r="AM25" s="252"/>
      <c r="AN25" s="262" t="str">
        <f>数据表!D174</f>
        <v/>
      </c>
      <c r="AO25" s="268"/>
      <c r="AQ25" s="233"/>
      <c r="AR25" s="234"/>
      <c r="AS25" s="234"/>
      <c r="AT25" s="234"/>
      <c r="AU25" s="234"/>
      <c r="AV25" s="234"/>
      <c r="AW25" s="234"/>
      <c r="AX25" s="256"/>
    </row>
    <row r="26" ht="17.7" customHeight="1" spans="2:50">
      <c r="B26" s="212"/>
      <c r="C26" s="233"/>
      <c r="D26" s="234"/>
      <c r="E26" s="234"/>
      <c r="F26" s="234"/>
      <c r="G26" s="234"/>
      <c r="H26" s="234"/>
      <c r="I26" s="234"/>
      <c r="J26" s="234"/>
      <c r="K26" s="234"/>
      <c r="L26" s="234"/>
      <c r="M26" s="234"/>
      <c r="N26" s="234"/>
      <c r="O26" s="234"/>
      <c r="P26" s="234"/>
      <c r="Q26" s="234"/>
      <c r="R26" s="256"/>
      <c r="S26" s="248"/>
      <c r="T26" s="219"/>
      <c r="U26" s="249">
        <v>24</v>
      </c>
      <c r="V26" s="250" t="str">
        <f>IFERROR(VLOOKUP(X26,法术大全!$A:$Z,2,FALSE),"")</f>
        <v/>
      </c>
      <c r="W26" s="251" t="str">
        <f>数据表!C25</f>
        <v/>
      </c>
      <c r="X26" s="252"/>
      <c r="Y26" s="262" t="str">
        <f>数据表!D25</f>
        <v/>
      </c>
      <c r="Z26" s="249">
        <v>74</v>
      </c>
      <c r="AA26" s="263" t="str">
        <f>IFERROR(VLOOKUP(AC26,法术大全!$A:$Z,2,FALSE),"")</f>
        <v/>
      </c>
      <c r="AB26" s="257" t="str">
        <f>数据表!C75</f>
        <v/>
      </c>
      <c r="AC26" s="252"/>
      <c r="AD26" s="262" t="str">
        <f>数据表!D75</f>
        <v/>
      </c>
      <c r="AE26" s="264">
        <v>124</v>
      </c>
      <c r="AF26" s="250" t="str">
        <f>IFERROR(VLOOKUP(AH26,法术大全!$A:$Z,2,FALSE),"")</f>
        <v/>
      </c>
      <c r="AG26" s="251" t="str">
        <f>数据表!C125</f>
        <v/>
      </c>
      <c r="AH26" s="252"/>
      <c r="AI26" s="262" t="str">
        <f>数据表!D125</f>
        <v/>
      </c>
      <c r="AJ26" s="266">
        <v>174</v>
      </c>
      <c r="AK26" s="263" t="str">
        <f>IFERROR(VLOOKUP(AM26,法术大全!$A:$Z,2,FALSE),"")</f>
        <v/>
      </c>
      <c r="AL26" s="251" t="str">
        <f>数据表!C175</f>
        <v/>
      </c>
      <c r="AM26" s="252"/>
      <c r="AN26" s="262" t="str">
        <f>数据表!D175</f>
        <v/>
      </c>
      <c r="AO26" s="268"/>
      <c r="AQ26" s="233"/>
      <c r="AR26" s="234"/>
      <c r="AS26" s="234"/>
      <c r="AT26" s="234"/>
      <c r="AU26" s="234"/>
      <c r="AV26" s="234"/>
      <c r="AW26" s="234"/>
      <c r="AX26" s="256"/>
    </row>
    <row r="27" ht="17.7" customHeight="1" spans="2:50">
      <c r="B27" s="212"/>
      <c r="C27" s="233"/>
      <c r="D27" s="234"/>
      <c r="E27" s="234"/>
      <c r="F27" s="234"/>
      <c r="G27" s="234"/>
      <c r="H27" s="234"/>
      <c r="I27" s="234"/>
      <c r="J27" s="234"/>
      <c r="K27" s="234"/>
      <c r="L27" s="234"/>
      <c r="M27" s="234"/>
      <c r="N27" s="234"/>
      <c r="O27" s="234"/>
      <c r="P27" s="234"/>
      <c r="Q27" s="234"/>
      <c r="R27" s="256"/>
      <c r="S27" s="248"/>
      <c r="T27" s="219"/>
      <c r="U27" s="249">
        <v>25</v>
      </c>
      <c r="V27" s="250" t="str">
        <f>IFERROR(VLOOKUP(X27,法术大全!$A:$Z,2,FALSE),"")</f>
        <v/>
      </c>
      <c r="W27" s="251" t="str">
        <f>数据表!C26</f>
        <v/>
      </c>
      <c r="X27" s="252"/>
      <c r="Y27" s="262" t="str">
        <f>数据表!D26</f>
        <v/>
      </c>
      <c r="Z27" s="249">
        <v>75</v>
      </c>
      <c r="AA27" s="263" t="str">
        <f>IFERROR(VLOOKUP(AC27,法术大全!$A:$Z,2,FALSE),"")</f>
        <v/>
      </c>
      <c r="AB27" s="257" t="str">
        <f>数据表!C76</f>
        <v/>
      </c>
      <c r="AC27" s="252"/>
      <c r="AD27" s="262" t="str">
        <f>数据表!D76</f>
        <v/>
      </c>
      <c r="AE27" s="264">
        <v>125</v>
      </c>
      <c r="AF27" s="250" t="str">
        <f>IFERROR(VLOOKUP(AH27,法术大全!$A:$Z,2,FALSE),"")</f>
        <v/>
      </c>
      <c r="AG27" s="251" t="str">
        <f>数据表!C126</f>
        <v/>
      </c>
      <c r="AH27" s="252"/>
      <c r="AI27" s="262" t="str">
        <f>数据表!D126</f>
        <v/>
      </c>
      <c r="AJ27" s="266">
        <v>175</v>
      </c>
      <c r="AK27" s="263" t="str">
        <f>IFERROR(VLOOKUP(AM27,法术大全!$A:$Z,2,FALSE),"")</f>
        <v/>
      </c>
      <c r="AL27" s="251" t="str">
        <f>数据表!C176</f>
        <v/>
      </c>
      <c r="AM27" s="252"/>
      <c r="AN27" s="262" t="str">
        <f>数据表!D176</f>
        <v/>
      </c>
      <c r="AO27" s="268"/>
      <c r="AQ27" s="233"/>
      <c r="AR27" s="234"/>
      <c r="AS27" s="234"/>
      <c r="AT27" s="234"/>
      <c r="AU27" s="234"/>
      <c r="AV27" s="234"/>
      <c r="AW27" s="234"/>
      <c r="AX27" s="256"/>
    </row>
    <row r="28" ht="17.7" customHeight="1" spans="2:50">
      <c r="B28" s="212"/>
      <c r="C28" s="233"/>
      <c r="D28" s="234"/>
      <c r="E28" s="234"/>
      <c r="F28" s="234"/>
      <c r="G28" s="234"/>
      <c r="H28" s="234"/>
      <c r="I28" s="234"/>
      <c r="J28" s="234"/>
      <c r="K28" s="234"/>
      <c r="L28" s="234"/>
      <c r="M28" s="234"/>
      <c r="N28" s="234"/>
      <c r="O28" s="234"/>
      <c r="P28" s="234"/>
      <c r="Q28" s="234"/>
      <c r="R28" s="256"/>
      <c r="S28" s="248"/>
      <c r="T28" s="219"/>
      <c r="U28" s="249">
        <v>26</v>
      </c>
      <c r="V28" s="250" t="str">
        <f>IFERROR(VLOOKUP(X28,法术大全!$A:$Z,2,FALSE),"")</f>
        <v/>
      </c>
      <c r="W28" s="251" t="str">
        <f>数据表!C27</f>
        <v/>
      </c>
      <c r="X28" s="252"/>
      <c r="Y28" s="262" t="str">
        <f>数据表!D27</f>
        <v/>
      </c>
      <c r="Z28" s="249">
        <v>76</v>
      </c>
      <c r="AA28" s="263" t="str">
        <f>IFERROR(VLOOKUP(AC28,法术大全!$A:$Z,2,FALSE),"")</f>
        <v/>
      </c>
      <c r="AB28" s="257" t="str">
        <f>数据表!C77</f>
        <v/>
      </c>
      <c r="AC28" s="252"/>
      <c r="AD28" s="262" t="str">
        <f>数据表!D77</f>
        <v/>
      </c>
      <c r="AE28" s="264">
        <v>126</v>
      </c>
      <c r="AF28" s="250" t="str">
        <f>IFERROR(VLOOKUP(AH28,法术大全!$A:$Z,2,FALSE),"")</f>
        <v/>
      </c>
      <c r="AG28" s="251" t="str">
        <f>数据表!C127</f>
        <v/>
      </c>
      <c r="AH28" s="252"/>
      <c r="AI28" s="262" t="str">
        <f>数据表!D127</f>
        <v/>
      </c>
      <c r="AJ28" s="266">
        <v>176</v>
      </c>
      <c r="AK28" s="263" t="str">
        <f>IFERROR(VLOOKUP(AM28,法术大全!$A:$Z,2,FALSE),"")</f>
        <v/>
      </c>
      <c r="AL28" s="251" t="str">
        <f>数据表!C177</f>
        <v/>
      </c>
      <c r="AM28" s="252"/>
      <c r="AN28" s="262" t="str">
        <f>数据表!D177</f>
        <v/>
      </c>
      <c r="AO28" s="268"/>
      <c r="AQ28" s="233"/>
      <c r="AR28" s="234"/>
      <c r="AS28" s="234"/>
      <c r="AT28" s="234"/>
      <c r="AU28" s="234"/>
      <c r="AV28" s="234"/>
      <c r="AW28" s="234"/>
      <c r="AX28" s="256"/>
    </row>
    <row r="29" ht="17.7" customHeight="1" spans="2:50">
      <c r="B29" s="212"/>
      <c r="C29" s="233"/>
      <c r="D29" s="234"/>
      <c r="E29" s="234"/>
      <c r="F29" s="234"/>
      <c r="G29" s="234"/>
      <c r="H29" s="234"/>
      <c r="I29" s="234"/>
      <c r="J29" s="234"/>
      <c r="K29" s="234"/>
      <c r="L29" s="234"/>
      <c r="M29" s="234"/>
      <c r="N29" s="234"/>
      <c r="O29" s="234"/>
      <c r="P29" s="234"/>
      <c r="Q29" s="234"/>
      <c r="R29" s="256"/>
      <c r="S29" s="248"/>
      <c r="T29" s="219"/>
      <c r="U29" s="249">
        <v>27</v>
      </c>
      <c r="V29" s="250" t="str">
        <f>IFERROR(VLOOKUP(X29,法术大全!$A:$Z,2,FALSE),"")</f>
        <v/>
      </c>
      <c r="W29" s="251" t="str">
        <f>数据表!C28</f>
        <v/>
      </c>
      <c r="X29" s="252"/>
      <c r="Y29" s="262" t="str">
        <f>数据表!D28</f>
        <v/>
      </c>
      <c r="Z29" s="249">
        <v>77</v>
      </c>
      <c r="AA29" s="263" t="str">
        <f>IFERROR(VLOOKUP(AC29,法术大全!$A:$Z,2,FALSE),"")</f>
        <v/>
      </c>
      <c r="AB29" s="257" t="str">
        <f>数据表!C78</f>
        <v/>
      </c>
      <c r="AC29" s="252"/>
      <c r="AD29" s="262" t="str">
        <f>数据表!D78</f>
        <v/>
      </c>
      <c r="AE29" s="264">
        <v>127</v>
      </c>
      <c r="AF29" s="250" t="str">
        <f>IFERROR(VLOOKUP(AH29,法术大全!$A:$Z,2,FALSE),"")</f>
        <v/>
      </c>
      <c r="AG29" s="251" t="str">
        <f>数据表!C128</f>
        <v/>
      </c>
      <c r="AH29" s="252"/>
      <c r="AI29" s="262" t="str">
        <f>数据表!D128</f>
        <v/>
      </c>
      <c r="AJ29" s="266">
        <v>177</v>
      </c>
      <c r="AK29" s="263" t="str">
        <f>IFERROR(VLOOKUP(AM29,法术大全!$A:$Z,2,FALSE),"")</f>
        <v/>
      </c>
      <c r="AL29" s="251" t="str">
        <f>数据表!C178</f>
        <v/>
      </c>
      <c r="AM29" s="252"/>
      <c r="AN29" s="262" t="str">
        <f>数据表!D178</f>
        <v/>
      </c>
      <c r="AO29" s="268"/>
      <c r="AQ29" s="233"/>
      <c r="AR29" s="234"/>
      <c r="AS29" s="234"/>
      <c r="AT29" s="234"/>
      <c r="AU29" s="234"/>
      <c r="AV29" s="234"/>
      <c r="AW29" s="234"/>
      <c r="AX29" s="256"/>
    </row>
    <row r="30" ht="17.7" customHeight="1" spans="2:50">
      <c r="B30" s="212"/>
      <c r="C30" s="233"/>
      <c r="D30" s="234"/>
      <c r="E30" s="234"/>
      <c r="F30" s="234"/>
      <c r="G30" s="234"/>
      <c r="H30" s="234"/>
      <c r="I30" s="234"/>
      <c r="J30" s="234"/>
      <c r="K30" s="234"/>
      <c r="L30" s="234"/>
      <c r="M30" s="234"/>
      <c r="N30" s="234"/>
      <c r="O30" s="234"/>
      <c r="P30" s="234"/>
      <c r="Q30" s="234"/>
      <c r="R30" s="256"/>
      <c r="S30" s="248"/>
      <c r="T30" s="219"/>
      <c r="U30" s="249">
        <v>28</v>
      </c>
      <c r="V30" s="250" t="str">
        <f>IFERROR(VLOOKUP(X30,法术大全!$A:$Z,2,FALSE),"")</f>
        <v/>
      </c>
      <c r="W30" s="251" t="str">
        <f>数据表!C29</f>
        <v/>
      </c>
      <c r="X30" s="252"/>
      <c r="Y30" s="262" t="str">
        <f>数据表!D29</f>
        <v/>
      </c>
      <c r="Z30" s="249">
        <v>78</v>
      </c>
      <c r="AA30" s="263" t="str">
        <f>IFERROR(VLOOKUP(AC30,法术大全!$A:$Z,2,FALSE),"")</f>
        <v/>
      </c>
      <c r="AB30" s="257" t="str">
        <f>数据表!C79</f>
        <v/>
      </c>
      <c r="AC30" s="252"/>
      <c r="AD30" s="262" t="str">
        <f>数据表!D79</f>
        <v/>
      </c>
      <c r="AE30" s="264">
        <v>128</v>
      </c>
      <c r="AF30" s="250" t="str">
        <f>IFERROR(VLOOKUP(AH30,法术大全!$A:$Z,2,FALSE),"")</f>
        <v/>
      </c>
      <c r="AG30" s="251" t="str">
        <f>数据表!C129</f>
        <v/>
      </c>
      <c r="AH30" s="252"/>
      <c r="AI30" s="262" t="str">
        <f>数据表!D129</f>
        <v/>
      </c>
      <c r="AJ30" s="266">
        <v>178</v>
      </c>
      <c r="AK30" s="263" t="str">
        <f>IFERROR(VLOOKUP(AM30,法术大全!$A:$Z,2,FALSE),"")</f>
        <v/>
      </c>
      <c r="AL30" s="251" t="str">
        <f>数据表!C179</f>
        <v/>
      </c>
      <c r="AM30" s="252"/>
      <c r="AN30" s="262" t="str">
        <f>数据表!D179</f>
        <v/>
      </c>
      <c r="AO30" s="268"/>
      <c r="AQ30" s="233"/>
      <c r="AR30" s="234"/>
      <c r="AS30" s="234"/>
      <c r="AT30" s="234"/>
      <c r="AU30" s="234"/>
      <c r="AV30" s="234"/>
      <c r="AW30" s="234"/>
      <c r="AX30" s="256"/>
    </row>
    <row r="31" ht="17.7" customHeight="1" spans="2:50">
      <c r="B31" s="212"/>
      <c r="C31" s="233"/>
      <c r="D31" s="234"/>
      <c r="E31" s="234"/>
      <c r="F31" s="234"/>
      <c r="G31" s="234"/>
      <c r="H31" s="234"/>
      <c r="I31" s="234"/>
      <c r="J31" s="234"/>
      <c r="K31" s="234"/>
      <c r="L31" s="234"/>
      <c r="M31" s="234"/>
      <c r="N31" s="234"/>
      <c r="O31" s="234"/>
      <c r="P31" s="234"/>
      <c r="Q31" s="234"/>
      <c r="R31" s="256"/>
      <c r="S31" s="248"/>
      <c r="T31" s="219"/>
      <c r="U31" s="249">
        <v>29</v>
      </c>
      <c r="V31" s="250" t="str">
        <f>IFERROR(VLOOKUP(X31,法术大全!$A:$Z,2,FALSE),"")</f>
        <v/>
      </c>
      <c r="W31" s="251" t="str">
        <f>数据表!C30</f>
        <v/>
      </c>
      <c r="X31" s="252"/>
      <c r="Y31" s="262" t="str">
        <f>数据表!D30</f>
        <v/>
      </c>
      <c r="Z31" s="249">
        <v>79</v>
      </c>
      <c r="AA31" s="263" t="str">
        <f>IFERROR(VLOOKUP(AC31,法术大全!$A:$Z,2,FALSE),"")</f>
        <v/>
      </c>
      <c r="AB31" s="257" t="str">
        <f>数据表!C80</f>
        <v/>
      </c>
      <c r="AC31" s="252"/>
      <c r="AD31" s="262" t="str">
        <f>数据表!D80</f>
        <v/>
      </c>
      <c r="AE31" s="264">
        <v>129</v>
      </c>
      <c r="AF31" s="250" t="str">
        <f>IFERROR(VLOOKUP(AH31,法术大全!$A:$Z,2,FALSE),"")</f>
        <v/>
      </c>
      <c r="AG31" s="251" t="str">
        <f>数据表!C130</f>
        <v/>
      </c>
      <c r="AH31" s="252"/>
      <c r="AI31" s="262" t="str">
        <f>数据表!D130</f>
        <v/>
      </c>
      <c r="AJ31" s="266">
        <v>179</v>
      </c>
      <c r="AK31" s="263" t="str">
        <f>IFERROR(VLOOKUP(AM31,法术大全!$A:$Z,2,FALSE),"")</f>
        <v/>
      </c>
      <c r="AL31" s="251" t="str">
        <f>数据表!C180</f>
        <v/>
      </c>
      <c r="AM31" s="252"/>
      <c r="AN31" s="262" t="str">
        <f>数据表!D180</f>
        <v/>
      </c>
      <c r="AO31" s="268"/>
      <c r="AQ31" s="233"/>
      <c r="AR31" s="234"/>
      <c r="AS31" s="234"/>
      <c r="AT31" s="234"/>
      <c r="AU31" s="234"/>
      <c r="AV31" s="234"/>
      <c r="AW31" s="234"/>
      <c r="AX31" s="256"/>
    </row>
    <row r="32" ht="17.7" customHeight="1" spans="2:50">
      <c r="B32" s="212"/>
      <c r="C32" s="233"/>
      <c r="D32" s="234"/>
      <c r="E32" s="234"/>
      <c r="F32" s="234"/>
      <c r="G32" s="234"/>
      <c r="H32" s="234"/>
      <c r="I32" s="234"/>
      <c r="J32" s="234"/>
      <c r="K32" s="234"/>
      <c r="L32" s="234"/>
      <c r="M32" s="234"/>
      <c r="N32" s="234"/>
      <c r="O32" s="234"/>
      <c r="P32" s="234"/>
      <c r="Q32" s="234"/>
      <c r="R32" s="256"/>
      <c r="S32" s="248"/>
      <c r="T32" s="219"/>
      <c r="U32" s="249">
        <v>30</v>
      </c>
      <c r="V32" s="250" t="str">
        <f>IFERROR(VLOOKUP(X32,法术大全!$A:$Z,2,FALSE),"")</f>
        <v/>
      </c>
      <c r="W32" s="251" t="str">
        <f>数据表!C31</f>
        <v/>
      </c>
      <c r="X32" s="252"/>
      <c r="Y32" s="262" t="str">
        <f>数据表!D31</f>
        <v/>
      </c>
      <c r="Z32" s="249">
        <v>80</v>
      </c>
      <c r="AA32" s="263" t="str">
        <f>IFERROR(VLOOKUP(AC32,法术大全!$A:$Z,2,FALSE),"")</f>
        <v/>
      </c>
      <c r="AB32" s="257" t="str">
        <f>数据表!C81</f>
        <v/>
      </c>
      <c r="AC32" s="252"/>
      <c r="AD32" s="262" t="str">
        <f>数据表!D81</f>
        <v/>
      </c>
      <c r="AE32" s="264">
        <v>130</v>
      </c>
      <c r="AF32" s="250" t="str">
        <f>IFERROR(VLOOKUP(AH32,法术大全!$A:$Z,2,FALSE),"")</f>
        <v/>
      </c>
      <c r="AG32" s="251" t="str">
        <f>数据表!C131</f>
        <v/>
      </c>
      <c r="AH32" s="252"/>
      <c r="AI32" s="262" t="str">
        <f>数据表!D131</f>
        <v/>
      </c>
      <c r="AJ32" s="266">
        <v>180</v>
      </c>
      <c r="AK32" s="263" t="str">
        <f>IFERROR(VLOOKUP(AM32,法术大全!$A:$Z,2,FALSE),"")</f>
        <v/>
      </c>
      <c r="AL32" s="251" t="str">
        <f>数据表!C181</f>
        <v/>
      </c>
      <c r="AM32" s="252"/>
      <c r="AN32" s="262" t="str">
        <f>数据表!D181</f>
        <v/>
      </c>
      <c r="AO32" s="268"/>
      <c r="AQ32" s="233"/>
      <c r="AR32" s="234"/>
      <c r="AS32" s="234"/>
      <c r="AT32" s="234"/>
      <c r="AU32" s="234"/>
      <c r="AV32" s="234"/>
      <c r="AW32" s="234"/>
      <c r="AX32" s="256"/>
    </row>
    <row r="33" ht="17.7" customHeight="1" spans="2:50">
      <c r="B33" s="212"/>
      <c r="C33" s="233"/>
      <c r="D33" s="234"/>
      <c r="E33" s="234"/>
      <c r="F33" s="234"/>
      <c r="G33" s="234"/>
      <c r="H33" s="234"/>
      <c r="I33" s="234"/>
      <c r="J33" s="234"/>
      <c r="K33" s="234"/>
      <c r="L33" s="234"/>
      <c r="M33" s="234"/>
      <c r="N33" s="234"/>
      <c r="O33" s="234"/>
      <c r="P33" s="234"/>
      <c r="Q33" s="234"/>
      <c r="R33" s="256"/>
      <c r="S33" s="248"/>
      <c r="T33" s="219"/>
      <c r="U33" s="249">
        <v>31</v>
      </c>
      <c r="V33" s="250" t="str">
        <f>IFERROR(VLOOKUP(X33,法术大全!$A:$Z,2,FALSE),"")</f>
        <v/>
      </c>
      <c r="W33" s="251" t="str">
        <f>数据表!C32</f>
        <v/>
      </c>
      <c r="X33" s="252"/>
      <c r="Y33" s="262" t="str">
        <f>数据表!D32</f>
        <v/>
      </c>
      <c r="Z33" s="249">
        <v>81</v>
      </c>
      <c r="AA33" s="263" t="str">
        <f>IFERROR(VLOOKUP(AC33,法术大全!$A:$Z,2,FALSE),"")</f>
        <v/>
      </c>
      <c r="AB33" s="257" t="str">
        <f>数据表!C82</f>
        <v/>
      </c>
      <c r="AC33" s="252"/>
      <c r="AD33" s="262" t="str">
        <f>数据表!D82</f>
        <v/>
      </c>
      <c r="AE33" s="264">
        <v>131</v>
      </c>
      <c r="AF33" s="250" t="str">
        <f>IFERROR(VLOOKUP(AH33,法术大全!$A:$Z,2,FALSE),"")</f>
        <v/>
      </c>
      <c r="AG33" s="251" t="str">
        <f>数据表!C132</f>
        <v/>
      </c>
      <c r="AH33" s="252"/>
      <c r="AI33" s="262" t="str">
        <f>数据表!D132</f>
        <v/>
      </c>
      <c r="AJ33" s="266">
        <v>181</v>
      </c>
      <c r="AK33" s="263" t="str">
        <f>IFERROR(VLOOKUP(AM33,法术大全!$A:$Z,2,FALSE),"")</f>
        <v/>
      </c>
      <c r="AL33" s="251" t="str">
        <f>数据表!C182</f>
        <v/>
      </c>
      <c r="AM33" s="252"/>
      <c r="AN33" s="262" t="str">
        <f>数据表!D182</f>
        <v/>
      </c>
      <c r="AO33" s="268"/>
      <c r="AQ33" s="233"/>
      <c r="AR33" s="234"/>
      <c r="AS33" s="234"/>
      <c r="AT33" s="234"/>
      <c r="AU33" s="234"/>
      <c r="AV33" s="234"/>
      <c r="AW33" s="234"/>
      <c r="AX33" s="256"/>
    </row>
    <row r="34" ht="17.7" customHeight="1" spans="2:50">
      <c r="B34" s="212"/>
      <c r="C34" s="233"/>
      <c r="D34" s="234"/>
      <c r="E34" s="234"/>
      <c r="F34" s="234"/>
      <c r="G34" s="234"/>
      <c r="H34" s="234"/>
      <c r="I34" s="234"/>
      <c r="J34" s="234"/>
      <c r="K34" s="234"/>
      <c r="L34" s="234"/>
      <c r="M34" s="234"/>
      <c r="N34" s="234"/>
      <c r="O34" s="234"/>
      <c r="P34" s="234"/>
      <c r="Q34" s="234"/>
      <c r="R34" s="256"/>
      <c r="S34" s="248"/>
      <c r="T34" s="219"/>
      <c r="U34" s="249">
        <v>32</v>
      </c>
      <c r="V34" s="250" t="str">
        <f>IFERROR(VLOOKUP(X34,法术大全!$A:$Z,2,FALSE),"")</f>
        <v/>
      </c>
      <c r="W34" s="251" t="str">
        <f>数据表!C33</f>
        <v/>
      </c>
      <c r="X34" s="252"/>
      <c r="Y34" s="262" t="str">
        <f>数据表!D33</f>
        <v/>
      </c>
      <c r="Z34" s="249">
        <v>82</v>
      </c>
      <c r="AA34" s="263" t="str">
        <f>IFERROR(VLOOKUP(AC34,法术大全!$A:$Z,2,FALSE),"")</f>
        <v/>
      </c>
      <c r="AB34" s="257" t="str">
        <f>数据表!C83</f>
        <v/>
      </c>
      <c r="AC34" s="252"/>
      <c r="AD34" s="262" t="str">
        <f>数据表!D83</f>
        <v/>
      </c>
      <c r="AE34" s="264">
        <v>132</v>
      </c>
      <c r="AF34" s="250" t="str">
        <f>IFERROR(VLOOKUP(AH34,法术大全!$A:$Z,2,FALSE),"")</f>
        <v/>
      </c>
      <c r="AG34" s="251" t="str">
        <f>数据表!C133</f>
        <v/>
      </c>
      <c r="AH34" s="252"/>
      <c r="AI34" s="262" t="str">
        <f>数据表!D133</f>
        <v/>
      </c>
      <c r="AJ34" s="266">
        <v>182</v>
      </c>
      <c r="AK34" s="263" t="str">
        <f>IFERROR(VLOOKUP(AM34,法术大全!$A:$Z,2,FALSE),"")</f>
        <v/>
      </c>
      <c r="AL34" s="251" t="str">
        <f>数据表!C183</f>
        <v/>
      </c>
      <c r="AM34" s="252"/>
      <c r="AN34" s="262" t="str">
        <f>数据表!D183</f>
        <v/>
      </c>
      <c r="AO34" s="268"/>
      <c r="AQ34" s="233"/>
      <c r="AR34" s="234"/>
      <c r="AS34" s="234"/>
      <c r="AT34" s="234"/>
      <c r="AU34" s="234"/>
      <c r="AV34" s="234"/>
      <c r="AW34" s="234"/>
      <c r="AX34" s="256"/>
    </row>
    <row r="35" ht="17.7" customHeight="1" spans="2:50">
      <c r="B35" s="212"/>
      <c r="C35" s="233"/>
      <c r="D35" s="234"/>
      <c r="E35" s="234"/>
      <c r="F35" s="234"/>
      <c r="G35" s="234"/>
      <c r="H35" s="234"/>
      <c r="I35" s="234"/>
      <c r="J35" s="234"/>
      <c r="K35" s="234"/>
      <c r="L35" s="234"/>
      <c r="M35" s="234"/>
      <c r="N35" s="234"/>
      <c r="O35" s="234"/>
      <c r="P35" s="234"/>
      <c r="Q35" s="234"/>
      <c r="R35" s="256"/>
      <c r="S35" s="248"/>
      <c r="T35" s="219"/>
      <c r="U35" s="249">
        <v>33</v>
      </c>
      <c r="V35" s="250" t="str">
        <f>IFERROR(VLOOKUP(X35,法术大全!$A:$Z,2,FALSE),"")</f>
        <v/>
      </c>
      <c r="W35" s="251" t="str">
        <f>数据表!C34</f>
        <v/>
      </c>
      <c r="X35" s="252"/>
      <c r="Y35" s="262" t="str">
        <f>数据表!D34</f>
        <v/>
      </c>
      <c r="Z35" s="249">
        <v>83</v>
      </c>
      <c r="AA35" s="263" t="str">
        <f>IFERROR(VLOOKUP(AC35,法术大全!$A:$Z,2,FALSE),"")</f>
        <v/>
      </c>
      <c r="AB35" s="257" t="str">
        <f>数据表!C84</f>
        <v/>
      </c>
      <c r="AC35" s="252"/>
      <c r="AD35" s="262" t="str">
        <f>数据表!D84</f>
        <v/>
      </c>
      <c r="AE35" s="264">
        <v>133</v>
      </c>
      <c r="AF35" s="250" t="str">
        <f>IFERROR(VLOOKUP(AH35,法术大全!$A:$Z,2,FALSE),"")</f>
        <v/>
      </c>
      <c r="AG35" s="251" t="str">
        <f>数据表!C134</f>
        <v/>
      </c>
      <c r="AH35" s="252"/>
      <c r="AI35" s="262" t="str">
        <f>数据表!D134</f>
        <v/>
      </c>
      <c r="AJ35" s="266">
        <v>183</v>
      </c>
      <c r="AK35" s="263" t="str">
        <f>IFERROR(VLOOKUP(AM35,法术大全!$A:$Z,2,FALSE),"")</f>
        <v/>
      </c>
      <c r="AL35" s="251" t="str">
        <f>数据表!C184</f>
        <v/>
      </c>
      <c r="AM35" s="252"/>
      <c r="AN35" s="262" t="str">
        <f>数据表!D184</f>
        <v/>
      </c>
      <c r="AO35" s="268"/>
      <c r="AQ35" s="233"/>
      <c r="AR35" s="234"/>
      <c r="AS35" s="234"/>
      <c r="AT35" s="234"/>
      <c r="AU35" s="234"/>
      <c r="AV35" s="234"/>
      <c r="AW35" s="234"/>
      <c r="AX35" s="256"/>
    </row>
    <row r="36" ht="17.7" customHeight="1" spans="2:50">
      <c r="B36" s="212"/>
      <c r="C36" s="233"/>
      <c r="D36" s="234"/>
      <c r="E36" s="234"/>
      <c r="F36" s="234"/>
      <c r="G36" s="234"/>
      <c r="H36" s="234"/>
      <c r="I36" s="234"/>
      <c r="J36" s="234"/>
      <c r="K36" s="234"/>
      <c r="L36" s="234"/>
      <c r="M36" s="234"/>
      <c r="N36" s="234"/>
      <c r="O36" s="234"/>
      <c r="P36" s="234"/>
      <c r="Q36" s="234"/>
      <c r="R36" s="256"/>
      <c r="S36" s="248"/>
      <c r="T36" s="219"/>
      <c r="U36" s="249">
        <v>34</v>
      </c>
      <c r="V36" s="250" t="str">
        <f>IFERROR(VLOOKUP(X36,法术大全!$A:$Z,2,FALSE),"")</f>
        <v/>
      </c>
      <c r="W36" s="251" t="str">
        <f>数据表!C35</f>
        <v/>
      </c>
      <c r="X36" s="252"/>
      <c r="Y36" s="262" t="str">
        <f>数据表!D35</f>
        <v/>
      </c>
      <c r="Z36" s="249">
        <v>84</v>
      </c>
      <c r="AA36" s="263" t="str">
        <f>IFERROR(VLOOKUP(AC36,法术大全!$A:$Z,2,FALSE),"")</f>
        <v/>
      </c>
      <c r="AB36" s="257" t="str">
        <f>数据表!C85</f>
        <v/>
      </c>
      <c r="AC36" s="252"/>
      <c r="AD36" s="262" t="str">
        <f>数据表!D85</f>
        <v/>
      </c>
      <c r="AE36" s="264">
        <v>134</v>
      </c>
      <c r="AF36" s="250" t="str">
        <f>IFERROR(VLOOKUP(AH36,法术大全!$A:$Z,2,FALSE),"")</f>
        <v/>
      </c>
      <c r="AG36" s="251" t="str">
        <f>数据表!C135</f>
        <v/>
      </c>
      <c r="AH36" s="252"/>
      <c r="AI36" s="262" t="str">
        <f>数据表!D135</f>
        <v/>
      </c>
      <c r="AJ36" s="266">
        <v>184</v>
      </c>
      <c r="AK36" s="263" t="str">
        <f>IFERROR(VLOOKUP(AM36,法术大全!$A:$Z,2,FALSE),"")</f>
        <v/>
      </c>
      <c r="AL36" s="251" t="str">
        <f>数据表!C185</f>
        <v/>
      </c>
      <c r="AM36" s="252"/>
      <c r="AN36" s="262" t="str">
        <f>数据表!D185</f>
        <v/>
      </c>
      <c r="AO36" s="268"/>
      <c r="AQ36" s="233"/>
      <c r="AR36" s="234"/>
      <c r="AS36" s="234"/>
      <c r="AT36" s="234"/>
      <c r="AU36" s="234"/>
      <c r="AV36" s="234"/>
      <c r="AW36" s="234"/>
      <c r="AX36" s="256"/>
    </row>
    <row r="37" ht="17.7" customHeight="1" spans="2:50">
      <c r="B37" s="212"/>
      <c r="C37" s="233"/>
      <c r="D37" s="234"/>
      <c r="E37" s="234"/>
      <c r="F37" s="234"/>
      <c r="G37" s="234"/>
      <c r="H37" s="234"/>
      <c r="I37" s="234"/>
      <c r="J37" s="234"/>
      <c r="K37" s="234"/>
      <c r="L37" s="234"/>
      <c r="M37" s="234"/>
      <c r="N37" s="234"/>
      <c r="O37" s="234"/>
      <c r="P37" s="234"/>
      <c r="Q37" s="234"/>
      <c r="R37" s="256"/>
      <c r="S37" s="248"/>
      <c r="T37" s="219"/>
      <c r="U37" s="249">
        <v>35</v>
      </c>
      <c r="V37" s="250" t="str">
        <f>IFERROR(VLOOKUP(X37,法术大全!$A:$Z,2,FALSE),"")</f>
        <v/>
      </c>
      <c r="W37" s="251" t="str">
        <f>数据表!C36</f>
        <v/>
      </c>
      <c r="X37" s="252"/>
      <c r="Y37" s="262" t="str">
        <f>数据表!D36</f>
        <v/>
      </c>
      <c r="Z37" s="249">
        <v>85</v>
      </c>
      <c r="AA37" s="263" t="str">
        <f>IFERROR(VLOOKUP(AC37,法术大全!$A:$Z,2,FALSE),"")</f>
        <v/>
      </c>
      <c r="AB37" s="257" t="str">
        <f>数据表!C86</f>
        <v/>
      </c>
      <c r="AC37" s="252"/>
      <c r="AD37" s="262" t="str">
        <f>数据表!D86</f>
        <v/>
      </c>
      <c r="AE37" s="264">
        <v>135</v>
      </c>
      <c r="AF37" s="250" t="str">
        <f>IFERROR(VLOOKUP(AH37,法术大全!$A:$Z,2,FALSE),"")</f>
        <v/>
      </c>
      <c r="AG37" s="251" t="str">
        <f>数据表!C136</f>
        <v/>
      </c>
      <c r="AH37" s="252" t="s">
        <v>233</v>
      </c>
      <c r="AI37" s="262" t="str">
        <f>数据表!D136</f>
        <v/>
      </c>
      <c r="AJ37" s="266">
        <v>185</v>
      </c>
      <c r="AK37" s="263" t="str">
        <f>IFERROR(VLOOKUP(AM37,法术大全!$A:$Z,2,FALSE),"")</f>
        <v/>
      </c>
      <c r="AL37" s="251" t="str">
        <f>数据表!C186</f>
        <v/>
      </c>
      <c r="AM37" s="252"/>
      <c r="AN37" s="262" t="str">
        <f>数据表!D186</f>
        <v/>
      </c>
      <c r="AO37" s="268"/>
      <c r="AQ37" s="233"/>
      <c r="AR37" s="234"/>
      <c r="AS37" s="234"/>
      <c r="AT37" s="234"/>
      <c r="AU37" s="234"/>
      <c r="AV37" s="234"/>
      <c r="AW37" s="234"/>
      <c r="AX37" s="256"/>
    </row>
    <row r="38" ht="17.7" customHeight="1" spans="2:50">
      <c r="B38" s="212"/>
      <c r="C38" s="233"/>
      <c r="D38" s="234"/>
      <c r="E38" s="234"/>
      <c r="F38" s="234"/>
      <c r="G38" s="234"/>
      <c r="H38" s="234"/>
      <c r="I38" s="234"/>
      <c r="J38" s="234"/>
      <c r="K38" s="234"/>
      <c r="L38" s="234"/>
      <c r="M38" s="234"/>
      <c r="N38" s="234"/>
      <c r="O38" s="234"/>
      <c r="P38" s="234"/>
      <c r="Q38" s="234"/>
      <c r="R38" s="256"/>
      <c r="S38" s="248"/>
      <c r="T38" s="219"/>
      <c r="U38" s="249">
        <v>36</v>
      </c>
      <c r="V38" s="250" t="str">
        <f>IFERROR(VLOOKUP(X38,法术大全!$A:$Z,2,FALSE),"")</f>
        <v/>
      </c>
      <c r="W38" s="251" t="str">
        <f>数据表!C37</f>
        <v/>
      </c>
      <c r="X38" s="252"/>
      <c r="Y38" s="262" t="str">
        <f>数据表!D37</f>
        <v/>
      </c>
      <c r="Z38" s="249">
        <v>86</v>
      </c>
      <c r="AA38" s="263" t="str">
        <f>IFERROR(VLOOKUP(AC38,法术大全!$A:$Z,2,FALSE),"")</f>
        <v/>
      </c>
      <c r="AB38" s="257" t="str">
        <f>数据表!C87</f>
        <v/>
      </c>
      <c r="AC38" s="252"/>
      <c r="AD38" s="262" t="str">
        <f>数据表!D87</f>
        <v/>
      </c>
      <c r="AE38" s="264">
        <v>136</v>
      </c>
      <c r="AF38" s="250" t="str">
        <f>IFERROR(VLOOKUP(AH38,法术大全!$A:$Z,2,FALSE),"")</f>
        <v/>
      </c>
      <c r="AG38" s="251" t="str">
        <f>数据表!C137</f>
        <v/>
      </c>
      <c r="AH38" s="252" t="s">
        <v>233</v>
      </c>
      <c r="AI38" s="262" t="str">
        <f>数据表!D137</f>
        <v/>
      </c>
      <c r="AJ38" s="266">
        <v>186</v>
      </c>
      <c r="AK38" s="263" t="str">
        <f>IFERROR(VLOOKUP(AM38,法术大全!$A:$Z,2,FALSE),"")</f>
        <v/>
      </c>
      <c r="AL38" s="251" t="str">
        <f>数据表!C187</f>
        <v/>
      </c>
      <c r="AM38" s="252"/>
      <c r="AN38" s="262" t="str">
        <f>数据表!D187</f>
        <v/>
      </c>
      <c r="AO38" s="268"/>
      <c r="AQ38" s="233"/>
      <c r="AR38" s="234"/>
      <c r="AS38" s="234"/>
      <c r="AT38" s="234"/>
      <c r="AU38" s="234"/>
      <c r="AV38" s="234"/>
      <c r="AW38" s="234"/>
      <c r="AX38" s="256"/>
    </row>
    <row r="39" ht="17.7" customHeight="1" spans="2:50">
      <c r="B39" s="212"/>
      <c r="C39" s="233"/>
      <c r="D39" s="234"/>
      <c r="E39" s="234"/>
      <c r="F39" s="234"/>
      <c r="G39" s="234"/>
      <c r="H39" s="234"/>
      <c r="I39" s="234"/>
      <c r="J39" s="234"/>
      <c r="K39" s="234"/>
      <c r="L39" s="234"/>
      <c r="M39" s="234"/>
      <c r="N39" s="234"/>
      <c r="O39" s="234"/>
      <c r="P39" s="234"/>
      <c r="Q39" s="234"/>
      <c r="R39" s="256"/>
      <c r="S39" s="248"/>
      <c r="T39" s="219"/>
      <c r="U39" s="249">
        <v>37</v>
      </c>
      <c r="V39" s="250" t="str">
        <f>IFERROR(VLOOKUP(X39,法术大全!$A:$Z,2,FALSE),"")</f>
        <v/>
      </c>
      <c r="W39" s="251" t="str">
        <f>数据表!C38</f>
        <v/>
      </c>
      <c r="X39" s="252"/>
      <c r="Y39" s="262" t="str">
        <f>数据表!D38</f>
        <v/>
      </c>
      <c r="Z39" s="249">
        <v>87</v>
      </c>
      <c r="AA39" s="263" t="str">
        <f>IFERROR(VLOOKUP(AC39,法术大全!$A:$Z,2,FALSE),"")</f>
        <v/>
      </c>
      <c r="AB39" s="257" t="str">
        <f>数据表!C88</f>
        <v/>
      </c>
      <c r="AC39" s="252"/>
      <c r="AD39" s="262" t="str">
        <f>数据表!D88</f>
        <v/>
      </c>
      <c r="AE39" s="264">
        <v>137</v>
      </c>
      <c r="AF39" s="250" t="str">
        <f>IFERROR(VLOOKUP(AH39,法术大全!$A:$Z,2,FALSE),"")</f>
        <v/>
      </c>
      <c r="AG39" s="251" t="str">
        <f>数据表!C138</f>
        <v/>
      </c>
      <c r="AH39" s="252" t="s">
        <v>233</v>
      </c>
      <c r="AI39" s="262" t="str">
        <f>数据表!D138</f>
        <v/>
      </c>
      <c r="AJ39" s="266">
        <v>187</v>
      </c>
      <c r="AK39" s="263" t="str">
        <f>IFERROR(VLOOKUP(AM39,法术大全!$A:$Z,2,FALSE),"")</f>
        <v/>
      </c>
      <c r="AL39" s="251" t="str">
        <f>数据表!C188</f>
        <v/>
      </c>
      <c r="AM39" s="252"/>
      <c r="AN39" s="262" t="str">
        <f>数据表!D188</f>
        <v/>
      </c>
      <c r="AO39" s="268"/>
      <c r="AQ39" s="233"/>
      <c r="AR39" s="234"/>
      <c r="AS39" s="234"/>
      <c r="AT39" s="234"/>
      <c r="AU39" s="234"/>
      <c r="AV39" s="234"/>
      <c r="AW39" s="234"/>
      <c r="AX39" s="256"/>
    </row>
    <row r="40" ht="17.7" customHeight="1" spans="2:50">
      <c r="B40" s="212"/>
      <c r="C40" s="233"/>
      <c r="D40" s="234"/>
      <c r="E40" s="234"/>
      <c r="F40" s="234"/>
      <c r="G40" s="234"/>
      <c r="H40" s="234"/>
      <c r="I40" s="234"/>
      <c r="J40" s="234"/>
      <c r="K40" s="234"/>
      <c r="L40" s="234"/>
      <c r="M40" s="234"/>
      <c r="N40" s="234"/>
      <c r="O40" s="234"/>
      <c r="P40" s="234"/>
      <c r="Q40" s="234"/>
      <c r="R40" s="256"/>
      <c r="S40" s="248"/>
      <c r="T40" s="219"/>
      <c r="U40" s="249">
        <v>38</v>
      </c>
      <c r="V40" s="250" t="str">
        <f>IFERROR(VLOOKUP(X40,法术大全!$A:$Z,2,FALSE),"")</f>
        <v/>
      </c>
      <c r="W40" s="251" t="str">
        <f>数据表!C39</f>
        <v/>
      </c>
      <c r="X40" s="252"/>
      <c r="Y40" s="262" t="str">
        <f>数据表!D39</f>
        <v/>
      </c>
      <c r="Z40" s="249">
        <v>88</v>
      </c>
      <c r="AA40" s="263" t="str">
        <f>IFERROR(VLOOKUP(AC40,法术大全!$A:$Z,2,FALSE),"")</f>
        <v/>
      </c>
      <c r="AB40" s="257" t="str">
        <f>数据表!C89</f>
        <v/>
      </c>
      <c r="AC40" s="252"/>
      <c r="AD40" s="262" t="str">
        <f>数据表!D89</f>
        <v/>
      </c>
      <c r="AE40" s="264">
        <v>138</v>
      </c>
      <c r="AF40" s="250" t="str">
        <f>IFERROR(VLOOKUP(AH40,法术大全!$A:$Z,2,FALSE),"")</f>
        <v/>
      </c>
      <c r="AG40" s="251" t="str">
        <f>数据表!C139</f>
        <v/>
      </c>
      <c r="AH40" s="252" t="s">
        <v>233</v>
      </c>
      <c r="AI40" s="262" t="str">
        <f>数据表!D139</f>
        <v/>
      </c>
      <c r="AJ40" s="266">
        <v>188</v>
      </c>
      <c r="AK40" s="263" t="str">
        <f>IFERROR(VLOOKUP(AM40,法术大全!$A:$Z,2,FALSE),"")</f>
        <v/>
      </c>
      <c r="AL40" s="251" t="str">
        <f>数据表!C189</f>
        <v/>
      </c>
      <c r="AM40" s="252"/>
      <c r="AN40" s="262" t="str">
        <f>数据表!D189</f>
        <v/>
      </c>
      <c r="AO40" s="268"/>
      <c r="AQ40" s="233"/>
      <c r="AR40" s="234"/>
      <c r="AS40" s="234"/>
      <c r="AT40" s="234"/>
      <c r="AU40" s="234"/>
      <c r="AV40" s="234"/>
      <c r="AW40" s="234"/>
      <c r="AX40" s="256"/>
    </row>
    <row r="41" ht="17.7" customHeight="1" spans="2:50">
      <c r="B41" s="212"/>
      <c r="C41" s="233"/>
      <c r="D41" s="234"/>
      <c r="E41" s="234"/>
      <c r="F41" s="234"/>
      <c r="G41" s="234"/>
      <c r="H41" s="234"/>
      <c r="I41" s="234"/>
      <c r="J41" s="234"/>
      <c r="K41" s="234"/>
      <c r="L41" s="234"/>
      <c r="M41" s="234"/>
      <c r="N41" s="234"/>
      <c r="O41" s="234"/>
      <c r="P41" s="234"/>
      <c r="Q41" s="234"/>
      <c r="R41" s="256"/>
      <c r="S41" s="248"/>
      <c r="T41" s="219"/>
      <c r="U41" s="249">
        <v>39</v>
      </c>
      <c r="V41" s="250" t="str">
        <f>IFERROR(VLOOKUP(X41,法术大全!$A:$Z,2,FALSE),"")</f>
        <v/>
      </c>
      <c r="W41" s="251" t="str">
        <f>数据表!C40</f>
        <v/>
      </c>
      <c r="X41" s="252"/>
      <c r="Y41" s="262" t="str">
        <f>数据表!D40</f>
        <v/>
      </c>
      <c r="Z41" s="249">
        <v>89</v>
      </c>
      <c r="AA41" s="263" t="str">
        <f>IFERROR(VLOOKUP(AC41,法术大全!$A:$Z,2,FALSE),"")</f>
        <v/>
      </c>
      <c r="AB41" s="257" t="str">
        <f>数据表!C90</f>
        <v/>
      </c>
      <c r="AC41" s="252"/>
      <c r="AD41" s="262" t="str">
        <f>数据表!D90</f>
        <v/>
      </c>
      <c r="AE41" s="264">
        <v>139</v>
      </c>
      <c r="AF41" s="250" t="str">
        <f>IFERROR(VLOOKUP(AH41,法术大全!$A:$Z,2,FALSE),"")</f>
        <v/>
      </c>
      <c r="AG41" s="251" t="str">
        <f>数据表!C140</f>
        <v/>
      </c>
      <c r="AH41" s="252" t="s">
        <v>233</v>
      </c>
      <c r="AI41" s="262" t="str">
        <f>数据表!D140</f>
        <v/>
      </c>
      <c r="AJ41" s="266">
        <v>189</v>
      </c>
      <c r="AK41" s="263" t="str">
        <f>IFERROR(VLOOKUP(AM41,法术大全!$A:$Z,2,FALSE),"")</f>
        <v/>
      </c>
      <c r="AL41" s="251" t="str">
        <f>数据表!C190</f>
        <v/>
      </c>
      <c r="AM41" s="252"/>
      <c r="AN41" s="262" t="str">
        <f>数据表!D190</f>
        <v/>
      </c>
      <c r="AO41" s="268"/>
      <c r="AQ41" s="233"/>
      <c r="AR41" s="234"/>
      <c r="AS41" s="234"/>
      <c r="AT41" s="234"/>
      <c r="AU41" s="234"/>
      <c r="AV41" s="234"/>
      <c r="AW41" s="234"/>
      <c r="AX41" s="256"/>
    </row>
    <row r="42" ht="17.7" customHeight="1" spans="2:50">
      <c r="B42" s="212"/>
      <c r="C42" s="233"/>
      <c r="D42" s="234"/>
      <c r="E42" s="234"/>
      <c r="F42" s="234"/>
      <c r="G42" s="234"/>
      <c r="H42" s="234"/>
      <c r="I42" s="234"/>
      <c r="J42" s="234"/>
      <c r="K42" s="234"/>
      <c r="L42" s="234"/>
      <c r="M42" s="234"/>
      <c r="N42" s="234"/>
      <c r="O42" s="234"/>
      <c r="P42" s="234"/>
      <c r="Q42" s="234"/>
      <c r="R42" s="256"/>
      <c r="S42" s="248"/>
      <c r="T42" s="219"/>
      <c r="U42" s="249">
        <v>40</v>
      </c>
      <c r="V42" s="250" t="str">
        <f>IFERROR(VLOOKUP(X42,法术大全!$A:$Z,2,FALSE),"")</f>
        <v/>
      </c>
      <c r="W42" s="251" t="str">
        <f>数据表!C41</f>
        <v/>
      </c>
      <c r="X42" s="252"/>
      <c r="Y42" s="262" t="str">
        <f>数据表!D41</f>
        <v/>
      </c>
      <c r="Z42" s="249">
        <v>90</v>
      </c>
      <c r="AA42" s="263" t="str">
        <f>IFERROR(VLOOKUP(AC42,法术大全!$A:$Z,2,FALSE),"")</f>
        <v/>
      </c>
      <c r="AB42" s="257" t="str">
        <f>数据表!C91</f>
        <v/>
      </c>
      <c r="AC42" s="252"/>
      <c r="AD42" s="262" t="str">
        <f>数据表!D91</f>
        <v/>
      </c>
      <c r="AE42" s="264">
        <v>140</v>
      </c>
      <c r="AF42" s="250" t="str">
        <f>IFERROR(VLOOKUP(AH42,法术大全!$A:$Z,2,FALSE),"")</f>
        <v/>
      </c>
      <c r="AG42" s="251" t="str">
        <f>数据表!C141</f>
        <v/>
      </c>
      <c r="AH42" s="252" t="s">
        <v>233</v>
      </c>
      <c r="AI42" s="262" t="str">
        <f>数据表!D141</f>
        <v/>
      </c>
      <c r="AJ42" s="266">
        <v>190</v>
      </c>
      <c r="AK42" s="263" t="str">
        <f>IFERROR(VLOOKUP(AM42,法术大全!$A:$Z,2,FALSE),"")</f>
        <v/>
      </c>
      <c r="AL42" s="251" t="str">
        <f>数据表!C191</f>
        <v/>
      </c>
      <c r="AM42" s="252"/>
      <c r="AN42" s="262" t="str">
        <f>数据表!D191</f>
        <v/>
      </c>
      <c r="AO42" s="268"/>
      <c r="AQ42" s="233"/>
      <c r="AR42" s="234"/>
      <c r="AS42" s="234"/>
      <c r="AT42" s="234"/>
      <c r="AU42" s="234"/>
      <c r="AV42" s="234"/>
      <c r="AW42" s="234"/>
      <c r="AX42" s="256"/>
    </row>
    <row r="43" ht="17.7" customHeight="1" spans="2:50">
      <c r="B43" s="212"/>
      <c r="C43" s="233"/>
      <c r="D43" s="234"/>
      <c r="E43" s="234"/>
      <c r="F43" s="234"/>
      <c r="G43" s="234"/>
      <c r="H43" s="234"/>
      <c r="I43" s="234"/>
      <c r="J43" s="234"/>
      <c r="K43" s="234"/>
      <c r="L43" s="234"/>
      <c r="M43" s="234"/>
      <c r="N43" s="234"/>
      <c r="O43" s="234"/>
      <c r="P43" s="234"/>
      <c r="Q43" s="234"/>
      <c r="R43" s="256"/>
      <c r="S43" s="248"/>
      <c r="T43" s="219"/>
      <c r="U43" s="249">
        <v>41</v>
      </c>
      <c r="V43" s="250" t="str">
        <f>IFERROR(VLOOKUP(X43,法术大全!$A:$Z,2,FALSE),"")</f>
        <v/>
      </c>
      <c r="W43" s="251" t="str">
        <f>数据表!C42</f>
        <v/>
      </c>
      <c r="X43" s="252"/>
      <c r="Y43" s="262" t="str">
        <f>数据表!D42</f>
        <v/>
      </c>
      <c r="Z43" s="249">
        <v>91</v>
      </c>
      <c r="AA43" s="263" t="str">
        <f>IFERROR(VLOOKUP(AC43,法术大全!$A:$Z,2,FALSE),"")</f>
        <v/>
      </c>
      <c r="AB43" s="251" t="str">
        <f>数据表!C92</f>
        <v/>
      </c>
      <c r="AC43" s="252"/>
      <c r="AD43" s="262" t="str">
        <f>数据表!D92</f>
        <v/>
      </c>
      <c r="AE43" s="264">
        <v>141</v>
      </c>
      <c r="AF43" s="250" t="str">
        <f>IFERROR(VLOOKUP(AH43,法术大全!$A:$Z,2,FALSE),"")</f>
        <v/>
      </c>
      <c r="AG43" s="251" t="str">
        <f>数据表!C142</f>
        <v/>
      </c>
      <c r="AH43" s="252" t="s">
        <v>233</v>
      </c>
      <c r="AI43" s="262" t="str">
        <f>数据表!D142</f>
        <v/>
      </c>
      <c r="AJ43" s="266">
        <v>191</v>
      </c>
      <c r="AK43" s="263" t="str">
        <f>IFERROR(VLOOKUP(AM43,法术大全!$A:$Z,2,FALSE),"")</f>
        <v/>
      </c>
      <c r="AL43" s="251" t="str">
        <f>数据表!C192</f>
        <v/>
      </c>
      <c r="AM43" s="252"/>
      <c r="AN43" s="262" t="str">
        <f>数据表!D192</f>
        <v/>
      </c>
      <c r="AO43" s="268"/>
      <c r="AQ43" s="233"/>
      <c r="AR43" s="234"/>
      <c r="AS43" s="234"/>
      <c r="AT43" s="234"/>
      <c r="AU43" s="234"/>
      <c r="AV43" s="234"/>
      <c r="AW43" s="234"/>
      <c r="AX43" s="256"/>
    </row>
    <row r="44" ht="17.7" customHeight="1" spans="2:50">
      <c r="B44" s="212"/>
      <c r="C44" s="233"/>
      <c r="D44" s="234"/>
      <c r="E44" s="234"/>
      <c r="F44" s="234"/>
      <c r="G44" s="234"/>
      <c r="H44" s="234"/>
      <c r="I44" s="234"/>
      <c r="J44" s="234"/>
      <c r="K44" s="234"/>
      <c r="L44" s="234"/>
      <c r="M44" s="234"/>
      <c r="N44" s="234"/>
      <c r="O44" s="234"/>
      <c r="P44" s="234"/>
      <c r="Q44" s="234"/>
      <c r="R44" s="256"/>
      <c r="S44" s="248"/>
      <c r="T44" s="219"/>
      <c r="U44" s="249">
        <v>42</v>
      </c>
      <c r="V44" s="250" t="str">
        <f>IFERROR(VLOOKUP(X44,法术大全!$A:$Z,2,FALSE),"")</f>
        <v/>
      </c>
      <c r="W44" s="251" t="str">
        <f>数据表!C43</f>
        <v/>
      </c>
      <c r="X44" s="252"/>
      <c r="Y44" s="262" t="str">
        <f>数据表!D43</f>
        <v/>
      </c>
      <c r="Z44" s="249">
        <v>92</v>
      </c>
      <c r="AA44" s="263" t="str">
        <f>IFERROR(VLOOKUP(AC44,法术大全!$A:$Z,2,FALSE),"")</f>
        <v/>
      </c>
      <c r="AB44" s="251" t="str">
        <f>数据表!C93</f>
        <v/>
      </c>
      <c r="AC44" s="252"/>
      <c r="AD44" s="262" t="str">
        <f>数据表!D93</f>
        <v/>
      </c>
      <c r="AE44" s="264">
        <v>142</v>
      </c>
      <c r="AF44" s="250" t="str">
        <f>IFERROR(VLOOKUP(AH44,法术大全!$A:$Z,2,FALSE),"")</f>
        <v/>
      </c>
      <c r="AG44" s="251" t="str">
        <f>数据表!C143</f>
        <v/>
      </c>
      <c r="AH44" s="252" t="s">
        <v>233</v>
      </c>
      <c r="AI44" s="262" t="str">
        <f>数据表!D143</f>
        <v/>
      </c>
      <c r="AJ44" s="266">
        <v>192</v>
      </c>
      <c r="AK44" s="263" t="str">
        <f>IFERROR(VLOOKUP(AM44,法术大全!$A:$Z,2,FALSE),"")</f>
        <v/>
      </c>
      <c r="AL44" s="251" t="str">
        <f>数据表!C193</f>
        <v/>
      </c>
      <c r="AM44" s="252"/>
      <c r="AN44" s="262" t="str">
        <f>数据表!D193</f>
        <v/>
      </c>
      <c r="AO44" s="268"/>
      <c r="AQ44" s="233"/>
      <c r="AR44" s="234"/>
      <c r="AS44" s="234"/>
      <c r="AT44" s="234"/>
      <c r="AU44" s="234"/>
      <c r="AV44" s="234"/>
      <c r="AW44" s="234"/>
      <c r="AX44" s="256"/>
    </row>
    <row r="45" ht="17.7" customHeight="1" spans="2:50">
      <c r="B45" s="212"/>
      <c r="C45" s="233"/>
      <c r="D45" s="234"/>
      <c r="E45" s="234"/>
      <c r="F45" s="234"/>
      <c r="G45" s="234"/>
      <c r="H45" s="234"/>
      <c r="I45" s="234"/>
      <c r="J45" s="234"/>
      <c r="K45" s="234"/>
      <c r="L45" s="234"/>
      <c r="M45" s="234"/>
      <c r="N45" s="234"/>
      <c r="O45" s="234"/>
      <c r="P45" s="234"/>
      <c r="Q45" s="234"/>
      <c r="R45" s="256"/>
      <c r="S45" s="248"/>
      <c r="T45" s="219"/>
      <c r="U45" s="249">
        <v>43</v>
      </c>
      <c r="V45" s="250" t="str">
        <f>IFERROR(VLOOKUP(X45,法术大全!$A:$Z,2,FALSE),"")</f>
        <v/>
      </c>
      <c r="W45" s="251" t="str">
        <f>数据表!C44</f>
        <v/>
      </c>
      <c r="X45" s="252"/>
      <c r="Y45" s="262" t="str">
        <f>数据表!D44</f>
        <v/>
      </c>
      <c r="Z45" s="249">
        <v>93</v>
      </c>
      <c r="AA45" s="263" t="str">
        <f>IFERROR(VLOOKUP(AC45,法术大全!$A:$Z,2,FALSE),"")</f>
        <v/>
      </c>
      <c r="AB45" s="251" t="str">
        <f>数据表!C94</f>
        <v/>
      </c>
      <c r="AC45" s="252"/>
      <c r="AD45" s="262" t="str">
        <f>数据表!D94</f>
        <v/>
      </c>
      <c r="AE45" s="264">
        <v>143</v>
      </c>
      <c r="AF45" s="250" t="str">
        <f>IFERROR(VLOOKUP(AH45,法术大全!$A:$Z,2,FALSE),"")</f>
        <v/>
      </c>
      <c r="AG45" s="251" t="str">
        <f>数据表!C144</f>
        <v/>
      </c>
      <c r="AH45" s="252" t="s">
        <v>233</v>
      </c>
      <c r="AI45" s="262" t="str">
        <f>数据表!D144</f>
        <v/>
      </c>
      <c r="AJ45" s="266">
        <v>193</v>
      </c>
      <c r="AK45" s="263" t="str">
        <f>IFERROR(VLOOKUP(AM45,法术大全!$A:$Z,2,FALSE),"")</f>
        <v/>
      </c>
      <c r="AL45" s="251" t="str">
        <f>数据表!C194</f>
        <v/>
      </c>
      <c r="AM45" s="252"/>
      <c r="AN45" s="262" t="str">
        <f>数据表!D194</f>
        <v/>
      </c>
      <c r="AO45" s="268"/>
      <c r="AQ45" s="233"/>
      <c r="AR45" s="234"/>
      <c r="AS45" s="234"/>
      <c r="AT45" s="234"/>
      <c r="AU45" s="234"/>
      <c r="AV45" s="234"/>
      <c r="AW45" s="234"/>
      <c r="AX45" s="256"/>
    </row>
    <row r="46" ht="17.7" customHeight="1" spans="2:50">
      <c r="B46" s="212"/>
      <c r="C46" s="233"/>
      <c r="D46" s="234"/>
      <c r="E46" s="234"/>
      <c r="F46" s="234"/>
      <c r="G46" s="234"/>
      <c r="H46" s="234"/>
      <c r="I46" s="234"/>
      <c r="J46" s="234"/>
      <c r="K46" s="234"/>
      <c r="L46" s="234"/>
      <c r="M46" s="234"/>
      <c r="N46" s="234"/>
      <c r="O46" s="234"/>
      <c r="P46" s="234"/>
      <c r="Q46" s="234"/>
      <c r="R46" s="256"/>
      <c r="S46" s="248"/>
      <c r="T46" s="219"/>
      <c r="U46" s="249">
        <v>44</v>
      </c>
      <c r="V46" s="250" t="str">
        <f>IFERROR(VLOOKUP(X46,法术大全!$A:$Z,2,FALSE),"")</f>
        <v/>
      </c>
      <c r="W46" s="251" t="str">
        <f>数据表!C45</f>
        <v/>
      </c>
      <c r="X46" s="252"/>
      <c r="Y46" s="262" t="str">
        <f>数据表!D45</f>
        <v/>
      </c>
      <c r="Z46" s="249">
        <v>94</v>
      </c>
      <c r="AA46" s="263" t="str">
        <f>IFERROR(VLOOKUP(AC46,法术大全!$A:$Z,2,FALSE),"")</f>
        <v/>
      </c>
      <c r="AB46" s="251" t="str">
        <f>数据表!C95</f>
        <v/>
      </c>
      <c r="AC46" s="252"/>
      <c r="AD46" s="262" t="str">
        <f>数据表!D95</f>
        <v/>
      </c>
      <c r="AE46" s="264">
        <v>144</v>
      </c>
      <c r="AF46" s="250" t="str">
        <f>IFERROR(VLOOKUP(AH46,法术大全!$A:$Z,2,FALSE),"")</f>
        <v/>
      </c>
      <c r="AG46" s="251" t="str">
        <f>数据表!C145</f>
        <v/>
      </c>
      <c r="AH46" s="252" t="s">
        <v>233</v>
      </c>
      <c r="AI46" s="262" t="str">
        <f>数据表!D145</f>
        <v/>
      </c>
      <c r="AJ46" s="266">
        <v>194</v>
      </c>
      <c r="AK46" s="263" t="str">
        <f>IFERROR(VLOOKUP(AM46,法术大全!$A:$Z,2,FALSE),"")</f>
        <v/>
      </c>
      <c r="AL46" s="251" t="str">
        <f>数据表!C195</f>
        <v/>
      </c>
      <c r="AM46" s="252"/>
      <c r="AN46" s="262" t="str">
        <f>数据表!D195</f>
        <v/>
      </c>
      <c r="AO46" s="268"/>
      <c r="AQ46" s="233"/>
      <c r="AR46" s="234"/>
      <c r="AS46" s="234"/>
      <c r="AT46" s="234"/>
      <c r="AU46" s="234"/>
      <c r="AV46" s="234"/>
      <c r="AW46" s="234"/>
      <c r="AX46" s="256"/>
    </row>
    <row r="47" ht="17.7" customHeight="1" spans="2:50">
      <c r="B47" s="212"/>
      <c r="C47" s="233"/>
      <c r="D47" s="234"/>
      <c r="E47" s="234"/>
      <c r="F47" s="234"/>
      <c r="G47" s="234"/>
      <c r="H47" s="234"/>
      <c r="I47" s="234"/>
      <c r="J47" s="234"/>
      <c r="K47" s="234"/>
      <c r="L47" s="234"/>
      <c r="M47" s="234"/>
      <c r="N47" s="234"/>
      <c r="O47" s="234"/>
      <c r="P47" s="234"/>
      <c r="Q47" s="234"/>
      <c r="R47" s="256"/>
      <c r="S47" s="248"/>
      <c r="T47" s="219"/>
      <c r="U47" s="249">
        <v>45</v>
      </c>
      <c r="V47" s="250" t="str">
        <f>IFERROR(VLOOKUP(X47,法术大全!$A:$Z,2,FALSE),"")</f>
        <v/>
      </c>
      <c r="W47" s="251" t="str">
        <f>数据表!C46</f>
        <v/>
      </c>
      <c r="X47" s="252"/>
      <c r="Y47" s="262" t="str">
        <f>数据表!D46</f>
        <v/>
      </c>
      <c r="Z47" s="249">
        <v>95</v>
      </c>
      <c r="AA47" s="263" t="str">
        <f>IFERROR(VLOOKUP(AC47,法术大全!$A:$Z,2,FALSE),"")</f>
        <v/>
      </c>
      <c r="AB47" s="251" t="str">
        <f>数据表!C96</f>
        <v/>
      </c>
      <c r="AC47" s="252"/>
      <c r="AD47" s="262" t="str">
        <f>数据表!D96</f>
        <v/>
      </c>
      <c r="AE47" s="264">
        <v>145</v>
      </c>
      <c r="AF47" s="250" t="str">
        <f>IFERROR(VLOOKUP(AH47,法术大全!$A:$Z,2,FALSE),"")</f>
        <v/>
      </c>
      <c r="AG47" s="251" t="str">
        <f>数据表!C146</f>
        <v/>
      </c>
      <c r="AH47" s="252" t="s">
        <v>233</v>
      </c>
      <c r="AI47" s="262" t="str">
        <f>数据表!D146</f>
        <v/>
      </c>
      <c r="AJ47" s="266">
        <v>195</v>
      </c>
      <c r="AK47" s="263" t="str">
        <f>IFERROR(VLOOKUP(AM47,法术大全!$A:$Z,2,FALSE),"")</f>
        <v/>
      </c>
      <c r="AL47" s="251" t="str">
        <f>数据表!C196</f>
        <v/>
      </c>
      <c r="AM47" s="252"/>
      <c r="AN47" s="262" t="str">
        <f>数据表!D196</f>
        <v/>
      </c>
      <c r="AO47" s="268"/>
      <c r="AQ47" s="233"/>
      <c r="AR47" s="234"/>
      <c r="AS47" s="234"/>
      <c r="AT47" s="234"/>
      <c r="AU47" s="234"/>
      <c r="AV47" s="234"/>
      <c r="AW47" s="234"/>
      <c r="AX47" s="256"/>
    </row>
    <row r="48" ht="17.7" customHeight="1" spans="2:50">
      <c r="B48" s="212"/>
      <c r="C48" s="233"/>
      <c r="D48" s="234"/>
      <c r="E48" s="234"/>
      <c r="F48" s="234"/>
      <c r="G48" s="234"/>
      <c r="H48" s="234"/>
      <c r="I48" s="234"/>
      <c r="J48" s="234"/>
      <c r="K48" s="234"/>
      <c r="L48" s="234"/>
      <c r="M48" s="234"/>
      <c r="N48" s="234"/>
      <c r="O48" s="234"/>
      <c r="P48" s="234"/>
      <c r="Q48" s="234"/>
      <c r="R48" s="256"/>
      <c r="S48" s="248"/>
      <c r="T48" s="219"/>
      <c r="U48" s="249">
        <v>46</v>
      </c>
      <c r="V48" s="250" t="str">
        <f>IFERROR(VLOOKUP(X48,法术大全!$A:$Z,2,FALSE),"")</f>
        <v/>
      </c>
      <c r="W48" s="257" t="str">
        <f>数据表!C47</f>
        <v/>
      </c>
      <c r="X48" s="252"/>
      <c r="Y48" s="262" t="str">
        <f>数据表!D47</f>
        <v/>
      </c>
      <c r="Z48" s="249">
        <v>96</v>
      </c>
      <c r="AA48" s="263" t="str">
        <f>IFERROR(VLOOKUP(AC48,法术大全!$A:$Z,2,FALSE),"")</f>
        <v/>
      </c>
      <c r="AB48" s="251" t="str">
        <f>数据表!C97</f>
        <v/>
      </c>
      <c r="AC48" s="252"/>
      <c r="AD48" s="262" t="str">
        <f>数据表!D97</f>
        <v/>
      </c>
      <c r="AE48" s="264">
        <v>146</v>
      </c>
      <c r="AF48" s="250" t="str">
        <f>IFERROR(VLOOKUP(AH48,法术大全!$A:$Z,2,FALSE),"")</f>
        <v/>
      </c>
      <c r="AG48" s="251" t="str">
        <f>数据表!C147</f>
        <v/>
      </c>
      <c r="AH48" s="252" t="s">
        <v>233</v>
      </c>
      <c r="AI48" s="262" t="str">
        <f>数据表!D147</f>
        <v/>
      </c>
      <c r="AJ48" s="266">
        <v>196</v>
      </c>
      <c r="AK48" s="263" t="str">
        <f>IFERROR(VLOOKUP(AM48,法术大全!$A:$Z,2,FALSE),"")</f>
        <v/>
      </c>
      <c r="AL48" s="251" t="str">
        <f>数据表!C197</f>
        <v/>
      </c>
      <c r="AM48" s="252"/>
      <c r="AN48" s="262" t="str">
        <f>数据表!D197</f>
        <v/>
      </c>
      <c r="AO48" s="268"/>
      <c r="AQ48" s="233"/>
      <c r="AR48" s="234"/>
      <c r="AS48" s="234"/>
      <c r="AT48" s="234"/>
      <c r="AU48" s="234"/>
      <c r="AV48" s="234"/>
      <c r="AW48" s="234"/>
      <c r="AX48" s="256"/>
    </row>
    <row r="49" ht="17.7" customHeight="1" spans="2:50">
      <c r="B49" s="212"/>
      <c r="C49" s="233"/>
      <c r="D49" s="234"/>
      <c r="E49" s="234"/>
      <c r="F49" s="234"/>
      <c r="G49" s="234"/>
      <c r="H49" s="234"/>
      <c r="I49" s="234"/>
      <c r="J49" s="234"/>
      <c r="K49" s="234"/>
      <c r="L49" s="234"/>
      <c r="M49" s="234"/>
      <c r="N49" s="234"/>
      <c r="O49" s="234"/>
      <c r="P49" s="234"/>
      <c r="Q49" s="234"/>
      <c r="R49" s="256"/>
      <c r="S49" s="248"/>
      <c r="T49" s="219"/>
      <c r="U49" s="249">
        <v>47</v>
      </c>
      <c r="V49" s="250" t="str">
        <f>IFERROR(VLOOKUP(X49,法术大全!$A:$Z,2,FALSE),"")</f>
        <v/>
      </c>
      <c r="W49" s="257" t="str">
        <f>数据表!C48</f>
        <v/>
      </c>
      <c r="X49" s="252"/>
      <c r="Y49" s="262" t="str">
        <f>数据表!D48</f>
        <v/>
      </c>
      <c r="Z49" s="249">
        <v>97</v>
      </c>
      <c r="AA49" s="263" t="str">
        <f>IFERROR(VLOOKUP(AC49,法术大全!$A:$Z,2,FALSE),"")</f>
        <v/>
      </c>
      <c r="AB49" s="251" t="str">
        <f>数据表!C98</f>
        <v/>
      </c>
      <c r="AC49" s="252"/>
      <c r="AD49" s="262" t="str">
        <f>数据表!D98</f>
        <v/>
      </c>
      <c r="AE49" s="264">
        <v>147</v>
      </c>
      <c r="AF49" s="250" t="str">
        <f>IFERROR(VLOOKUP(AH49,法术大全!$A:$Z,2,FALSE),"")</f>
        <v/>
      </c>
      <c r="AG49" s="251" t="str">
        <f>数据表!C148</f>
        <v/>
      </c>
      <c r="AH49" s="252" t="s">
        <v>233</v>
      </c>
      <c r="AI49" s="262" t="str">
        <f>数据表!D148</f>
        <v/>
      </c>
      <c r="AJ49" s="266">
        <v>197</v>
      </c>
      <c r="AK49" s="263" t="str">
        <f>IFERROR(VLOOKUP(AM49,法术大全!$A:$Z,2,FALSE),"")</f>
        <v/>
      </c>
      <c r="AL49" s="251" t="str">
        <f>数据表!C198</f>
        <v/>
      </c>
      <c r="AM49" s="252"/>
      <c r="AN49" s="262" t="str">
        <f>数据表!D198</f>
        <v/>
      </c>
      <c r="AO49" s="268"/>
      <c r="AQ49" s="233"/>
      <c r="AR49" s="234"/>
      <c r="AS49" s="234"/>
      <c r="AT49" s="234"/>
      <c r="AU49" s="234"/>
      <c r="AV49" s="234"/>
      <c r="AW49" s="234"/>
      <c r="AX49" s="256"/>
    </row>
    <row r="50" ht="17.7" customHeight="1" spans="2:50">
      <c r="B50" s="212"/>
      <c r="C50" s="233"/>
      <c r="D50" s="234"/>
      <c r="E50" s="234"/>
      <c r="F50" s="234"/>
      <c r="G50" s="234"/>
      <c r="H50" s="234"/>
      <c r="I50" s="234"/>
      <c r="J50" s="234"/>
      <c r="K50" s="234"/>
      <c r="L50" s="234"/>
      <c r="M50" s="234"/>
      <c r="N50" s="234"/>
      <c r="O50" s="234"/>
      <c r="P50" s="234"/>
      <c r="Q50" s="234"/>
      <c r="R50" s="256"/>
      <c r="S50" s="248"/>
      <c r="T50" s="219"/>
      <c r="U50" s="249">
        <v>48</v>
      </c>
      <c r="V50" s="250" t="str">
        <f>IFERROR(VLOOKUP(X50,法术大全!$A:$Z,2,FALSE),"")</f>
        <v/>
      </c>
      <c r="W50" s="257" t="str">
        <f>数据表!C49</f>
        <v/>
      </c>
      <c r="X50" s="252"/>
      <c r="Y50" s="262" t="str">
        <f>数据表!D49</f>
        <v/>
      </c>
      <c r="Z50" s="249">
        <v>98</v>
      </c>
      <c r="AA50" s="263" t="str">
        <f>IFERROR(VLOOKUP(AC50,法术大全!$A:$Z,2,FALSE),"")</f>
        <v/>
      </c>
      <c r="AB50" s="251" t="str">
        <f>数据表!C99</f>
        <v/>
      </c>
      <c r="AC50" s="252"/>
      <c r="AD50" s="262" t="str">
        <f>数据表!D99</f>
        <v/>
      </c>
      <c r="AE50" s="264">
        <v>148</v>
      </c>
      <c r="AF50" s="250" t="str">
        <f>IFERROR(VLOOKUP(AH50,法术大全!$A:$Z,2,FALSE),"")</f>
        <v/>
      </c>
      <c r="AG50" s="251" t="str">
        <f>数据表!C149</f>
        <v/>
      </c>
      <c r="AH50" s="252" t="s">
        <v>233</v>
      </c>
      <c r="AI50" s="262" t="str">
        <f>数据表!D149</f>
        <v/>
      </c>
      <c r="AJ50" s="266">
        <v>198</v>
      </c>
      <c r="AK50" s="263" t="str">
        <f>IFERROR(VLOOKUP(AM50,法术大全!$A:$Z,2,FALSE),"")</f>
        <v/>
      </c>
      <c r="AL50" s="251" t="str">
        <f>数据表!C199</f>
        <v/>
      </c>
      <c r="AM50" s="252"/>
      <c r="AN50" s="262" t="str">
        <f>数据表!D199</f>
        <v/>
      </c>
      <c r="AO50" s="268"/>
      <c r="AQ50" s="233"/>
      <c r="AR50" s="234"/>
      <c r="AS50" s="234"/>
      <c r="AT50" s="234"/>
      <c r="AU50" s="234"/>
      <c r="AV50" s="234"/>
      <c r="AW50" s="234"/>
      <c r="AX50" s="256"/>
    </row>
    <row r="51" ht="17.7" customHeight="1" spans="2:50">
      <c r="B51" s="212"/>
      <c r="C51" s="233"/>
      <c r="D51" s="234"/>
      <c r="E51" s="234"/>
      <c r="F51" s="234"/>
      <c r="G51" s="234"/>
      <c r="H51" s="234"/>
      <c r="I51" s="234"/>
      <c r="J51" s="234"/>
      <c r="K51" s="234"/>
      <c r="L51" s="234"/>
      <c r="M51" s="234"/>
      <c r="N51" s="234"/>
      <c r="O51" s="234"/>
      <c r="P51" s="234"/>
      <c r="Q51" s="234"/>
      <c r="R51" s="256"/>
      <c r="S51" s="248"/>
      <c r="T51" s="219"/>
      <c r="U51" s="249">
        <v>49</v>
      </c>
      <c r="V51" s="250" t="str">
        <f>IFERROR(VLOOKUP(X51,法术大全!$A:$Z,2,FALSE),"")</f>
        <v/>
      </c>
      <c r="W51" s="257" t="str">
        <f>数据表!C50</f>
        <v/>
      </c>
      <c r="X51" s="252"/>
      <c r="Y51" s="262" t="str">
        <f>数据表!D50</f>
        <v/>
      </c>
      <c r="Z51" s="249">
        <v>99</v>
      </c>
      <c r="AA51" s="263" t="str">
        <f>IFERROR(VLOOKUP(AC51,法术大全!$A:$Z,2,FALSE),"")</f>
        <v/>
      </c>
      <c r="AB51" s="251" t="str">
        <f>数据表!C100</f>
        <v/>
      </c>
      <c r="AC51" s="252"/>
      <c r="AD51" s="262" t="str">
        <f>数据表!D100</f>
        <v/>
      </c>
      <c r="AE51" s="264">
        <v>149</v>
      </c>
      <c r="AF51" s="250" t="str">
        <f>IFERROR(VLOOKUP(AH51,法术大全!$A:$Z,2,FALSE),"")</f>
        <v/>
      </c>
      <c r="AG51" s="251" t="str">
        <f>数据表!C150</f>
        <v/>
      </c>
      <c r="AH51" s="252" t="s">
        <v>233</v>
      </c>
      <c r="AI51" s="262" t="str">
        <f>数据表!D150</f>
        <v/>
      </c>
      <c r="AJ51" s="266">
        <v>199</v>
      </c>
      <c r="AK51" s="263" t="str">
        <f>IFERROR(VLOOKUP(AM51,法术大全!$A:$Z,2,FALSE),"")</f>
        <v/>
      </c>
      <c r="AL51" s="251" t="str">
        <f>数据表!C200</f>
        <v/>
      </c>
      <c r="AM51" s="252"/>
      <c r="AN51" s="262" t="str">
        <f>数据表!D200</f>
        <v/>
      </c>
      <c r="AO51" s="268"/>
      <c r="AQ51" s="233"/>
      <c r="AR51" s="234"/>
      <c r="AS51" s="234"/>
      <c r="AT51" s="234"/>
      <c r="AU51" s="234"/>
      <c r="AV51" s="234"/>
      <c r="AW51" s="234"/>
      <c r="AX51" s="256"/>
    </row>
    <row r="52" ht="17.7" customHeight="1" spans="2:50">
      <c r="B52" s="212"/>
      <c r="C52" s="235"/>
      <c r="D52" s="236"/>
      <c r="E52" s="236"/>
      <c r="F52" s="236"/>
      <c r="G52" s="236"/>
      <c r="H52" s="236"/>
      <c r="I52" s="236"/>
      <c r="J52" s="236"/>
      <c r="K52" s="236"/>
      <c r="L52" s="236"/>
      <c r="M52" s="236"/>
      <c r="N52" s="236"/>
      <c r="O52" s="236"/>
      <c r="P52" s="236"/>
      <c r="Q52" s="236"/>
      <c r="R52" s="258"/>
      <c r="S52" s="248"/>
      <c r="T52" s="219"/>
      <c r="U52" s="249">
        <v>50</v>
      </c>
      <c r="V52" s="250" t="str">
        <f>IFERROR(VLOOKUP(X52,法术大全!$A:$Z,2,FALSE),"")</f>
        <v/>
      </c>
      <c r="W52" s="257" t="str">
        <f>数据表!C51</f>
        <v/>
      </c>
      <c r="X52" s="252"/>
      <c r="Y52" s="262" t="str">
        <f>数据表!D51</f>
        <v/>
      </c>
      <c r="Z52" s="249">
        <v>100</v>
      </c>
      <c r="AA52" s="263" t="str">
        <f>IFERROR(VLOOKUP(AC52,法术大全!$A:$Z,2,FALSE),"")</f>
        <v/>
      </c>
      <c r="AB52" s="251" t="str">
        <f>数据表!C101</f>
        <v/>
      </c>
      <c r="AC52" s="252"/>
      <c r="AD52" s="262" t="str">
        <f>数据表!D101</f>
        <v/>
      </c>
      <c r="AE52" s="264">
        <v>150</v>
      </c>
      <c r="AF52" s="250" t="str">
        <f>IFERROR(VLOOKUP(AH52,法术大全!$A:$Z,2,FALSE),"")</f>
        <v/>
      </c>
      <c r="AG52" s="251" t="str">
        <f>数据表!C151</f>
        <v/>
      </c>
      <c r="AH52" s="252" t="s">
        <v>233</v>
      </c>
      <c r="AI52" s="262" t="str">
        <f>数据表!D151</f>
        <v/>
      </c>
      <c r="AJ52" s="265">
        <v>200</v>
      </c>
      <c r="AK52" s="263" t="str">
        <f>IFERROR(VLOOKUP(AM52,法术大全!$A:$Z,2,FALSE),"")</f>
        <v/>
      </c>
      <c r="AL52" s="251" t="str">
        <f>数据表!C201</f>
        <v/>
      </c>
      <c r="AM52" s="252"/>
      <c r="AN52" s="262" t="str">
        <f>数据表!D201</f>
        <v/>
      </c>
      <c r="AO52" s="268"/>
      <c r="AQ52" s="233"/>
      <c r="AR52" s="234"/>
      <c r="AS52" s="234"/>
      <c r="AT52" s="234"/>
      <c r="AU52" s="234"/>
      <c r="AV52" s="234"/>
      <c r="AW52" s="234"/>
      <c r="AX52" s="256"/>
    </row>
    <row r="53" ht="17.7" customHeight="1" spans="2:50">
      <c r="B53" s="237"/>
      <c r="C53" s="238"/>
      <c r="D53" s="238"/>
      <c r="E53" s="238"/>
      <c r="F53" s="238"/>
      <c r="G53" s="238"/>
      <c r="H53" s="238"/>
      <c r="I53" s="238"/>
      <c r="J53" s="238"/>
      <c r="K53" s="238"/>
      <c r="L53" s="238"/>
      <c r="M53" s="238"/>
      <c r="N53" s="238"/>
      <c r="O53" s="238"/>
      <c r="P53" s="238"/>
      <c r="Q53" s="238"/>
      <c r="R53" s="238"/>
      <c r="S53" s="259"/>
      <c r="T53" s="238"/>
      <c r="U53" s="238"/>
      <c r="V53" s="260"/>
      <c r="W53" s="260"/>
      <c r="X53" s="238"/>
      <c r="Y53" s="238"/>
      <c r="Z53" s="238"/>
      <c r="AA53" s="238"/>
      <c r="AB53" s="238"/>
      <c r="AC53" s="238"/>
      <c r="AD53" s="238"/>
      <c r="AE53" s="238"/>
      <c r="AF53" s="238"/>
      <c r="AG53" s="238"/>
      <c r="AH53" s="238"/>
      <c r="AI53" s="238"/>
      <c r="AJ53" s="238"/>
      <c r="AK53" s="267"/>
      <c r="AL53" s="238"/>
      <c r="AM53" s="238"/>
      <c r="AN53" s="238"/>
      <c r="AO53" s="259"/>
      <c r="AQ53" s="235"/>
      <c r="AR53" s="236"/>
      <c r="AS53" s="236"/>
      <c r="AT53" s="236"/>
      <c r="AU53" s="236"/>
      <c r="AV53" s="236"/>
      <c r="AW53" s="236"/>
      <c r="AX53" s="258"/>
    </row>
  </sheetData>
  <sheetProtection sheet="1" selectLockedCells="1"/>
  <mergeCells count="31">
    <mergeCell ref="C2:F2"/>
    <mergeCell ref="U2:X2"/>
    <mergeCell ref="Z2:AI2"/>
    <mergeCell ref="C7:R7"/>
    <mergeCell ref="C8:J8"/>
    <mergeCell ref="M8:N8"/>
    <mergeCell ref="O8:R8"/>
    <mergeCell ref="C21:R21"/>
    <mergeCell ref="C22:E22"/>
    <mergeCell ref="G22:R22"/>
    <mergeCell ref="B3:B51"/>
    <mergeCell ref="E13:E18"/>
    <mergeCell ref="S3:S52"/>
    <mergeCell ref="AQ2:AX53"/>
    <mergeCell ref="C3:R6"/>
    <mergeCell ref="C9:D10"/>
    <mergeCell ref="K9:L10"/>
    <mergeCell ref="M9:N10"/>
    <mergeCell ref="O9:P10"/>
    <mergeCell ref="Q9:R10"/>
    <mergeCell ref="E9:J10"/>
    <mergeCell ref="C11:D12"/>
    <mergeCell ref="K11:L12"/>
    <mergeCell ref="C19:D20"/>
    <mergeCell ref="E19:R20"/>
    <mergeCell ref="C23:R52"/>
    <mergeCell ref="E11:J12"/>
    <mergeCell ref="M11:R12"/>
    <mergeCell ref="C13:D18"/>
    <mergeCell ref="F13:G18"/>
    <mergeCell ref="H13:R18"/>
  </mergeCells>
  <conditionalFormatting sqref="AL3:AL52">
    <cfRule type="cellIs" dxfId="8" priority="2" operator="equal">
      <formula>"√"</formula>
    </cfRule>
  </conditionalFormatting>
  <conditionalFormatting sqref="AM3:AM52">
    <cfRule type="duplicateValues" dxfId="5" priority="3"/>
  </conditionalFormatting>
  <conditionalFormatting sqref="W3:W52 AB3:AB52 AG3:AG52">
    <cfRule type="cellIs" dxfId="9" priority="14" operator="equal">
      <formula>"√"</formula>
    </cfRule>
  </conditionalFormatting>
  <conditionalFormatting sqref="AC3:AC52 AH3:AH52 AM3:AM52 X3:X52">
    <cfRule type="duplicateValues" dxfId="5" priority="16"/>
  </conditionalFormatting>
  <conditionalFormatting sqref="Y3:Y52 AD3:AD52 AI3:AI52 AN3:AN52">
    <cfRule type="cellIs" dxfId="10" priority="4" operator="equal">
      <formula>"√"</formula>
    </cfRule>
  </conditionalFormatting>
  <dataValidations count="1">
    <dataValidation type="list" allowBlank="1" showInputMessage="1" errorTitle="此法术不存在" error="可能是译名未更新，或是扩展尚未收录，" sqref="X3:X52 AC3:AC52 AH3:AH52 AM3:AM52" errorStyle="information">
      <formula1>OFFSET(法术大全!$A$3,,,SUMPRODUCT(N(LEN(法术大全!$A$3:$A$864)&gt;0)),)</formula1>
    </dataValidation>
  </dataValidation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7030A0"/>
  </sheetPr>
  <dimension ref="A1:AA865"/>
  <sheetViews>
    <sheetView zoomScale="95" zoomScaleNormal="95" workbookViewId="0">
      <pane ySplit="2" topLeftCell="A3" activePane="bottomLeft" state="frozen"/>
      <selection/>
      <selection pane="bottomLeft" activeCell="N812" sqref="$A52:$XFD812"/>
    </sheetView>
  </sheetViews>
  <sheetFormatPr defaultColWidth="8.89090909090909" defaultRowHeight="16.95" customHeight="1"/>
  <cols>
    <col min="1" max="1" width="22.6636363636364" style="117" customWidth="1"/>
    <col min="2" max="2" width="4.89090909090909" style="117" customWidth="1"/>
    <col min="3" max="3" width="6.78181818181818" style="117" customWidth="1"/>
    <col min="4" max="5" width="4.78181818181818" style="117" customWidth="1"/>
    <col min="6" max="6" width="10.7818181818182" style="119" customWidth="1"/>
    <col min="7" max="7" width="11.8909090909091" style="117" customWidth="1"/>
    <col min="8" max="10" width="4.78181818181818" style="117" customWidth="1"/>
    <col min="11" max="11" width="10.8909090909091" style="120" customWidth="1"/>
    <col min="12" max="12" width="18" style="121" customWidth="1"/>
    <col min="13" max="13" width="57.2181818181818" style="122" customWidth="1"/>
    <col min="14" max="14" width="25.8909090909091" style="120" customWidth="1"/>
    <col min="15" max="15" width="11.7818181818182" style="117" customWidth="1"/>
    <col min="16" max="16" width="7.78181818181818" style="117" customWidth="1"/>
    <col min="17" max="18" width="9.78181818181818" style="117" customWidth="1"/>
    <col min="19" max="20" width="7.78181818181818" style="117" customWidth="1"/>
    <col min="21" max="21" width="9.78181818181818" style="117" customWidth="1"/>
    <col min="22" max="22" width="7.78181818181818" style="117" customWidth="1"/>
    <col min="23" max="25" width="9.78181818181818" style="117" customWidth="1"/>
    <col min="26" max="26" width="29.2181818181818" style="118" customWidth="1"/>
    <col min="27" max="16384" width="8.89090909090909" style="121"/>
  </cols>
  <sheetData>
    <row r="1" s="117" customFormat="1" ht="14.4" customHeight="1" spans="1:26">
      <c r="A1" s="117">
        <v>1</v>
      </c>
      <c r="B1" s="117">
        <v>2</v>
      </c>
      <c r="C1" s="117">
        <v>3</v>
      </c>
      <c r="D1" s="117">
        <v>4</v>
      </c>
      <c r="E1" s="117">
        <v>5</v>
      </c>
      <c r="F1" s="119">
        <v>6</v>
      </c>
      <c r="G1" s="117">
        <v>7</v>
      </c>
      <c r="H1" s="117">
        <v>8</v>
      </c>
      <c r="I1" s="117">
        <v>9</v>
      </c>
      <c r="J1" s="117">
        <v>10</v>
      </c>
      <c r="K1" s="119">
        <v>11</v>
      </c>
      <c r="L1" s="117">
        <v>12</v>
      </c>
      <c r="M1" s="119">
        <v>13</v>
      </c>
      <c r="N1" s="140">
        <v>14</v>
      </c>
      <c r="O1" s="117">
        <v>15</v>
      </c>
      <c r="P1" s="117">
        <v>16</v>
      </c>
      <c r="Q1" s="117">
        <v>17</v>
      </c>
      <c r="R1" s="117">
        <v>18</v>
      </c>
      <c r="S1" s="117">
        <v>19</v>
      </c>
      <c r="T1" s="117">
        <v>20</v>
      </c>
      <c r="U1" s="117">
        <v>21</v>
      </c>
      <c r="V1" s="117">
        <v>22</v>
      </c>
      <c r="W1" s="117">
        <v>23</v>
      </c>
      <c r="X1" s="117">
        <v>24</v>
      </c>
      <c r="Y1" s="117">
        <v>25</v>
      </c>
      <c r="Z1" s="117">
        <v>26</v>
      </c>
    </row>
    <row r="2" s="118" customFormat="1" ht="14.4" customHeight="1" spans="1:26">
      <c r="A2" s="118" t="s">
        <v>238</v>
      </c>
      <c r="B2" s="118" t="s">
        <v>230</v>
      </c>
      <c r="C2" s="118" t="s">
        <v>7517</v>
      </c>
      <c r="D2" s="118" t="s">
        <v>247</v>
      </c>
      <c r="E2" s="118" t="s">
        <v>246</v>
      </c>
      <c r="F2" s="122" t="s">
        <v>240</v>
      </c>
      <c r="G2" s="118" t="s">
        <v>239</v>
      </c>
      <c r="H2" s="118" t="s">
        <v>7518</v>
      </c>
      <c r="I2" s="118" t="s">
        <v>7519</v>
      </c>
      <c r="J2" s="118" t="s">
        <v>7520</v>
      </c>
      <c r="K2" s="122" t="s">
        <v>7521</v>
      </c>
      <c r="L2" s="118" t="s">
        <v>242</v>
      </c>
      <c r="M2" s="122" t="s">
        <v>7522</v>
      </c>
      <c r="N2" s="122" t="s">
        <v>7523</v>
      </c>
      <c r="O2" s="118" t="s">
        <v>256</v>
      </c>
      <c r="P2" s="118" t="s">
        <v>260</v>
      </c>
      <c r="Q2" s="118" t="s">
        <v>265</v>
      </c>
      <c r="R2" s="118" t="s">
        <v>269</v>
      </c>
      <c r="S2" s="118" t="s">
        <v>273</v>
      </c>
      <c r="T2" s="118" t="s">
        <v>276</v>
      </c>
      <c r="U2" s="118" t="s">
        <v>279</v>
      </c>
      <c r="V2" s="118" t="s">
        <v>282</v>
      </c>
      <c r="W2" s="118" t="s">
        <v>286</v>
      </c>
      <c r="X2" s="118" t="s">
        <v>292</v>
      </c>
      <c r="Y2" s="118" t="s">
        <v>289</v>
      </c>
      <c r="Z2" s="118" t="s">
        <v>7524</v>
      </c>
    </row>
    <row r="3" customHeight="1" spans="1:26">
      <c r="A3" s="123" t="s">
        <v>7525</v>
      </c>
      <c r="B3" s="123">
        <v>0</v>
      </c>
      <c r="C3" s="123" t="s">
        <v>324</v>
      </c>
      <c r="D3" s="123"/>
      <c r="E3" s="123"/>
      <c r="F3" s="124" t="s">
        <v>321</v>
      </c>
      <c r="G3" s="123" t="s">
        <v>337</v>
      </c>
      <c r="H3" s="123" t="s">
        <v>7526</v>
      </c>
      <c r="I3" s="123" t="s">
        <v>7527</v>
      </c>
      <c r="J3" s="123"/>
      <c r="K3" s="141"/>
      <c r="L3" s="139" t="s">
        <v>323</v>
      </c>
      <c r="M3" s="141" t="s">
        <v>7528</v>
      </c>
      <c r="N3" s="141" t="s">
        <v>7529</v>
      </c>
      <c r="O3" s="123"/>
      <c r="P3" s="123"/>
      <c r="Q3" s="123"/>
      <c r="R3" s="123"/>
      <c r="S3" s="123"/>
      <c r="T3" s="123" t="s">
        <v>5122</v>
      </c>
      <c r="U3" s="123"/>
      <c r="V3" s="123" t="s">
        <v>5122</v>
      </c>
      <c r="W3" s="123" t="s">
        <v>5122</v>
      </c>
      <c r="X3" s="123"/>
      <c r="Y3" s="123" t="s">
        <v>5122</v>
      </c>
      <c r="Z3" s="118" t="s">
        <v>7530</v>
      </c>
    </row>
    <row r="4" customHeight="1" spans="1:26">
      <c r="A4" s="125" t="s">
        <v>7531</v>
      </c>
      <c r="B4" s="125">
        <v>0</v>
      </c>
      <c r="C4" s="125" t="s">
        <v>328</v>
      </c>
      <c r="D4" s="125"/>
      <c r="E4" s="125" t="s">
        <v>5122</v>
      </c>
      <c r="F4" s="126" t="s">
        <v>321</v>
      </c>
      <c r="G4" s="125" t="s">
        <v>326</v>
      </c>
      <c r="H4" s="125" t="s">
        <v>7526</v>
      </c>
      <c r="I4" s="125" t="s">
        <v>7527</v>
      </c>
      <c r="J4" s="125"/>
      <c r="K4" s="142"/>
      <c r="L4" s="143" t="s">
        <v>352</v>
      </c>
      <c r="M4" s="142" t="s">
        <v>7532</v>
      </c>
      <c r="N4" s="142" t="s">
        <v>7533</v>
      </c>
      <c r="O4" s="125" t="s">
        <v>5122</v>
      </c>
      <c r="P4" s="125"/>
      <c r="Q4" s="125"/>
      <c r="R4" s="125"/>
      <c r="S4" s="125"/>
      <c r="T4" s="125" t="s">
        <v>5122</v>
      </c>
      <c r="U4" s="125" t="s">
        <v>5122</v>
      </c>
      <c r="V4" s="125" t="s">
        <v>5122</v>
      </c>
      <c r="W4" s="125"/>
      <c r="X4" s="125"/>
      <c r="Y4" s="125"/>
      <c r="Z4" s="118" t="s">
        <v>7530</v>
      </c>
    </row>
    <row r="5" customHeight="1" spans="1:26">
      <c r="A5" s="127" t="s">
        <v>7534</v>
      </c>
      <c r="B5" s="127">
        <v>0</v>
      </c>
      <c r="C5" s="127" t="s">
        <v>331</v>
      </c>
      <c r="D5" s="127"/>
      <c r="E5" s="127"/>
      <c r="F5" s="128" t="s">
        <v>321</v>
      </c>
      <c r="G5" s="127" t="s">
        <v>7535</v>
      </c>
      <c r="H5" s="127" t="s">
        <v>7526</v>
      </c>
      <c r="I5" s="127" t="s">
        <v>7527</v>
      </c>
      <c r="J5" s="127"/>
      <c r="K5" s="144"/>
      <c r="L5" s="145" t="s">
        <v>323</v>
      </c>
      <c r="M5" s="144" t="s">
        <v>7536</v>
      </c>
      <c r="N5" s="144" t="s">
        <v>7537</v>
      </c>
      <c r="O5" s="127"/>
      <c r="P5" s="127"/>
      <c r="Q5" s="127"/>
      <c r="R5" s="127"/>
      <c r="S5" s="127"/>
      <c r="T5" s="127" t="s">
        <v>5122</v>
      </c>
      <c r="U5" s="127" t="s">
        <v>5122</v>
      </c>
      <c r="V5" s="127" t="s">
        <v>5122</v>
      </c>
      <c r="W5" s="127"/>
      <c r="X5" s="127"/>
      <c r="Y5" s="127" t="s">
        <v>5122</v>
      </c>
      <c r="Z5" s="118" t="s">
        <v>7530</v>
      </c>
    </row>
    <row r="6" customHeight="1" spans="1:26">
      <c r="A6" s="129" t="s">
        <v>7538</v>
      </c>
      <c r="B6" s="129">
        <v>0</v>
      </c>
      <c r="C6" s="129" t="s">
        <v>347</v>
      </c>
      <c r="D6" s="129"/>
      <c r="E6" s="129" t="s">
        <v>5122</v>
      </c>
      <c r="F6" s="130" t="s">
        <v>321</v>
      </c>
      <c r="G6" s="129" t="s">
        <v>343</v>
      </c>
      <c r="H6" s="129" t="s">
        <v>7526</v>
      </c>
      <c r="I6" s="129" t="s">
        <v>7527</v>
      </c>
      <c r="J6" s="129" t="s">
        <v>7539</v>
      </c>
      <c r="K6" s="146" t="s">
        <v>7540</v>
      </c>
      <c r="L6" s="147" t="s">
        <v>352</v>
      </c>
      <c r="M6" s="146" t="s">
        <v>7541</v>
      </c>
      <c r="N6" s="146" t="s">
        <v>7542</v>
      </c>
      <c r="O6" s="129" t="s">
        <v>5122</v>
      </c>
      <c r="P6" s="129"/>
      <c r="Q6" s="129"/>
      <c r="R6" s="129"/>
      <c r="S6" s="129"/>
      <c r="T6" s="129" t="s">
        <v>5122</v>
      </c>
      <c r="U6" s="129"/>
      <c r="V6" s="129" t="s">
        <v>5122</v>
      </c>
      <c r="W6" s="129" t="s">
        <v>5122</v>
      </c>
      <c r="X6" s="129"/>
      <c r="Y6" s="129"/>
      <c r="Z6" s="118" t="s">
        <v>7530</v>
      </c>
    </row>
    <row r="7" customHeight="1" spans="1:26">
      <c r="A7" s="131" t="s">
        <v>7543</v>
      </c>
      <c r="B7" s="131">
        <v>0</v>
      </c>
      <c r="C7" s="131" t="s">
        <v>320</v>
      </c>
      <c r="D7" s="131"/>
      <c r="E7" s="131"/>
      <c r="F7" s="132" t="s">
        <v>321</v>
      </c>
      <c r="G7" s="131" t="s">
        <v>333</v>
      </c>
      <c r="H7" s="131" t="s">
        <v>7526</v>
      </c>
      <c r="I7" s="131" t="s">
        <v>7527</v>
      </c>
      <c r="J7" s="131"/>
      <c r="K7" s="148"/>
      <c r="L7" s="149" t="s">
        <v>323</v>
      </c>
      <c r="M7" s="148" t="s">
        <v>7544</v>
      </c>
      <c r="N7" s="148" t="s">
        <v>7545</v>
      </c>
      <c r="O7" s="131"/>
      <c r="P7" s="131"/>
      <c r="Q7" s="131" t="s">
        <v>5122</v>
      </c>
      <c r="R7" s="131"/>
      <c r="S7" s="131"/>
      <c r="T7" s="131"/>
      <c r="U7" s="131"/>
      <c r="V7" s="131"/>
      <c r="W7" s="131"/>
      <c r="X7" s="131"/>
      <c r="Y7" s="131"/>
      <c r="Z7" s="118" t="s">
        <v>7530</v>
      </c>
    </row>
    <row r="8" customHeight="1" spans="1:26">
      <c r="A8" s="123" t="s">
        <v>7546</v>
      </c>
      <c r="B8" s="123">
        <v>0</v>
      </c>
      <c r="C8" s="123" t="s">
        <v>324</v>
      </c>
      <c r="D8" s="123"/>
      <c r="E8" s="123"/>
      <c r="F8" s="124" t="s">
        <v>321</v>
      </c>
      <c r="G8" s="123" t="s">
        <v>343</v>
      </c>
      <c r="H8" s="123" t="s">
        <v>7526</v>
      </c>
      <c r="I8" s="123" t="s">
        <v>7527</v>
      </c>
      <c r="J8" s="123"/>
      <c r="K8" s="141"/>
      <c r="L8" s="139" t="s">
        <v>323</v>
      </c>
      <c r="M8" s="141" t="s">
        <v>7547</v>
      </c>
      <c r="N8" s="141" t="s">
        <v>7548</v>
      </c>
      <c r="O8" s="123"/>
      <c r="P8" s="123"/>
      <c r="Q8" s="123"/>
      <c r="R8" s="123"/>
      <c r="S8" s="123"/>
      <c r="T8" s="123"/>
      <c r="U8" s="123" t="s">
        <v>5122</v>
      </c>
      <c r="V8" s="123"/>
      <c r="W8" s="123"/>
      <c r="X8" s="123"/>
      <c r="Y8" s="123"/>
      <c r="Z8" s="118" t="s">
        <v>7530</v>
      </c>
    </row>
    <row r="9" customHeight="1" spans="1:26">
      <c r="A9" s="131" t="s">
        <v>7549</v>
      </c>
      <c r="B9" s="131">
        <v>0</v>
      </c>
      <c r="C9" s="131" t="s">
        <v>320</v>
      </c>
      <c r="D9" s="131"/>
      <c r="E9" s="131"/>
      <c r="F9" s="132" t="s">
        <v>321</v>
      </c>
      <c r="G9" s="131" t="s">
        <v>333</v>
      </c>
      <c r="H9" s="131" t="s">
        <v>7526</v>
      </c>
      <c r="I9" s="131" t="s">
        <v>7527</v>
      </c>
      <c r="J9" s="131"/>
      <c r="K9" s="148"/>
      <c r="L9" s="149" t="s">
        <v>323</v>
      </c>
      <c r="M9" s="148" t="s">
        <v>7550</v>
      </c>
      <c r="N9" s="148" t="s">
        <v>7551</v>
      </c>
      <c r="O9" s="131"/>
      <c r="P9" s="131"/>
      <c r="Q9" s="131" t="s">
        <v>5122</v>
      </c>
      <c r="R9" s="131"/>
      <c r="S9" s="131"/>
      <c r="T9" s="131" t="s">
        <v>5122</v>
      </c>
      <c r="U9" s="131"/>
      <c r="V9" s="131" t="s">
        <v>5122</v>
      </c>
      <c r="W9" s="131" t="s">
        <v>5122</v>
      </c>
      <c r="X9" s="131"/>
      <c r="Y9" s="131"/>
      <c r="Z9" s="118" t="s">
        <v>7530</v>
      </c>
    </row>
    <row r="10" customHeight="1" spans="1:26">
      <c r="A10" s="123" t="s">
        <v>7552</v>
      </c>
      <c r="B10" s="123">
        <v>0</v>
      </c>
      <c r="C10" s="123" t="s">
        <v>324</v>
      </c>
      <c r="D10" s="123"/>
      <c r="E10" s="123"/>
      <c r="F10" s="124" t="s">
        <v>321</v>
      </c>
      <c r="G10" s="123" t="s">
        <v>343</v>
      </c>
      <c r="H10" s="123" t="s">
        <v>7526</v>
      </c>
      <c r="I10" s="123" t="s">
        <v>7527</v>
      </c>
      <c r="J10" s="123"/>
      <c r="K10" s="141"/>
      <c r="L10" s="139" t="s">
        <v>323</v>
      </c>
      <c r="M10" s="141" t="s">
        <v>7553</v>
      </c>
      <c r="N10" s="141" t="s">
        <v>7554</v>
      </c>
      <c r="O10" s="123"/>
      <c r="P10" s="123"/>
      <c r="Q10" s="123"/>
      <c r="R10" s="123"/>
      <c r="S10" s="123"/>
      <c r="T10" s="123" t="s">
        <v>5122</v>
      </c>
      <c r="U10" s="123"/>
      <c r="V10" s="123" t="s">
        <v>5122</v>
      </c>
      <c r="W10" s="123" t="s">
        <v>5122</v>
      </c>
      <c r="X10" s="123"/>
      <c r="Y10" s="123"/>
      <c r="Z10" s="118" t="s">
        <v>7530</v>
      </c>
    </row>
    <row r="11" customHeight="1" spans="1:26">
      <c r="A11" s="133" t="s">
        <v>7555</v>
      </c>
      <c r="B11" s="133">
        <v>0</v>
      </c>
      <c r="C11" s="133" t="s">
        <v>342</v>
      </c>
      <c r="D11" s="133"/>
      <c r="E11" s="133" t="s">
        <v>5122</v>
      </c>
      <c r="F11" s="134" t="s">
        <v>321</v>
      </c>
      <c r="G11" s="133" t="s">
        <v>7556</v>
      </c>
      <c r="H11" s="133"/>
      <c r="I11" s="133" t="s">
        <v>7527</v>
      </c>
      <c r="J11" s="133" t="s">
        <v>7539</v>
      </c>
      <c r="K11" s="150" t="s">
        <v>7557</v>
      </c>
      <c r="L11" s="151" t="s">
        <v>352</v>
      </c>
      <c r="M11" s="150" t="s">
        <v>7558</v>
      </c>
      <c r="N11" s="150" t="s">
        <v>7559</v>
      </c>
      <c r="O11" s="133" t="s">
        <v>5122</v>
      </c>
      <c r="P11" s="133"/>
      <c r="Q11" s="133"/>
      <c r="R11" s="133"/>
      <c r="S11" s="133"/>
      <c r="T11" s="133" t="s">
        <v>5122</v>
      </c>
      <c r="U11" s="133" t="s">
        <v>5122</v>
      </c>
      <c r="V11" s="133" t="s">
        <v>5122</v>
      </c>
      <c r="W11" s="133"/>
      <c r="X11" s="133"/>
      <c r="Y11" s="133"/>
      <c r="Z11" s="118" t="s">
        <v>7530</v>
      </c>
    </row>
    <row r="12" customHeight="1" spans="1:26">
      <c r="A12" s="135" t="s">
        <v>7560</v>
      </c>
      <c r="B12" s="135">
        <v>0</v>
      </c>
      <c r="C12" s="135" t="s">
        <v>335</v>
      </c>
      <c r="D12" s="135"/>
      <c r="E12" s="135" t="s">
        <v>5122</v>
      </c>
      <c r="F12" s="136" t="s">
        <v>321</v>
      </c>
      <c r="G12" s="135" t="s">
        <v>7535</v>
      </c>
      <c r="H12" s="135" t="s">
        <v>7526</v>
      </c>
      <c r="I12" s="135" t="s">
        <v>7527</v>
      </c>
      <c r="J12" s="135"/>
      <c r="K12" s="152"/>
      <c r="L12" s="153" t="s">
        <v>352</v>
      </c>
      <c r="M12" s="152" t="s">
        <v>7561</v>
      </c>
      <c r="N12" s="152" t="s">
        <v>7562</v>
      </c>
      <c r="O12" s="135"/>
      <c r="P12" s="135" t="s">
        <v>5122</v>
      </c>
      <c r="Q12" s="135" t="s">
        <v>5122</v>
      </c>
      <c r="R12" s="135"/>
      <c r="S12" s="135"/>
      <c r="T12" s="135"/>
      <c r="U12" s="135"/>
      <c r="V12" s="135"/>
      <c r="W12" s="135" t="s">
        <v>5122</v>
      </c>
      <c r="X12" s="135"/>
      <c r="Y12" s="135" t="s">
        <v>5122</v>
      </c>
      <c r="Z12" s="118" t="s">
        <v>7530</v>
      </c>
    </row>
    <row r="13" customHeight="1" spans="1:26">
      <c r="A13" s="123" t="s">
        <v>7563</v>
      </c>
      <c r="B13" s="123">
        <v>0</v>
      </c>
      <c r="C13" s="123" t="s">
        <v>324</v>
      </c>
      <c r="D13" s="123"/>
      <c r="E13" s="123"/>
      <c r="F13" s="124" t="s">
        <v>321</v>
      </c>
      <c r="G13" s="123" t="s">
        <v>7535</v>
      </c>
      <c r="H13" s="123" t="s">
        <v>7526</v>
      </c>
      <c r="I13" s="123" t="s">
        <v>7527</v>
      </c>
      <c r="J13" s="123"/>
      <c r="K13" s="141"/>
      <c r="L13" s="139" t="s">
        <v>338</v>
      </c>
      <c r="M13" s="141" t="s">
        <v>7564</v>
      </c>
      <c r="N13" s="141" t="s">
        <v>7565</v>
      </c>
      <c r="O13" s="123" t="s">
        <v>5122</v>
      </c>
      <c r="P13" s="123" t="s">
        <v>5122</v>
      </c>
      <c r="Q13" s="123"/>
      <c r="R13" s="123"/>
      <c r="S13" s="123"/>
      <c r="T13" s="123" t="s">
        <v>5122</v>
      </c>
      <c r="U13" s="123"/>
      <c r="V13" s="123" t="s">
        <v>5122</v>
      </c>
      <c r="W13" s="123" t="s">
        <v>5122</v>
      </c>
      <c r="X13" s="123"/>
      <c r="Y13" s="123" t="s">
        <v>5122</v>
      </c>
      <c r="Z13" s="118" t="s">
        <v>7530</v>
      </c>
    </row>
    <row r="14" customHeight="1" spans="1:26">
      <c r="A14" s="137" t="s">
        <v>7566</v>
      </c>
      <c r="B14" s="137">
        <v>0</v>
      </c>
      <c r="C14" s="137" t="s">
        <v>339</v>
      </c>
      <c r="D14" s="137"/>
      <c r="E14" s="137"/>
      <c r="F14" s="138" t="s">
        <v>321</v>
      </c>
      <c r="G14" s="137" t="s">
        <v>333</v>
      </c>
      <c r="H14" s="137" t="s">
        <v>7526</v>
      </c>
      <c r="I14" s="137" t="s">
        <v>7527</v>
      </c>
      <c r="J14" s="137"/>
      <c r="K14" s="154"/>
      <c r="L14" s="155" t="s">
        <v>329</v>
      </c>
      <c r="M14" s="154" t="s">
        <v>7567</v>
      </c>
      <c r="N14" s="154" t="s">
        <v>7568</v>
      </c>
      <c r="O14" s="137" t="s">
        <v>5122</v>
      </c>
      <c r="P14" s="137"/>
      <c r="Q14" s="137"/>
      <c r="R14" s="137"/>
      <c r="S14" s="137"/>
      <c r="T14" s="137" t="s">
        <v>5122</v>
      </c>
      <c r="U14" s="137" t="s">
        <v>5122</v>
      </c>
      <c r="V14" s="137" t="s">
        <v>5122</v>
      </c>
      <c r="W14" s="137" t="s">
        <v>5122</v>
      </c>
      <c r="X14" s="137"/>
      <c r="Y14" s="137"/>
      <c r="Z14" s="118" t="s">
        <v>7530</v>
      </c>
    </row>
    <row r="15" customHeight="1" spans="1:26">
      <c r="A15" s="131" t="s">
        <v>7569</v>
      </c>
      <c r="B15" s="131">
        <v>0</v>
      </c>
      <c r="C15" s="131" t="s">
        <v>320</v>
      </c>
      <c r="D15" s="131"/>
      <c r="E15" s="131"/>
      <c r="F15" s="132" t="s">
        <v>329</v>
      </c>
      <c r="G15" s="131" t="s">
        <v>7535</v>
      </c>
      <c r="H15" s="131" t="s">
        <v>7526</v>
      </c>
      <c r="I15" s="131" t="s">
        <v>7527</v>
      </c>
      <c r="J15" s="131" t="s">
        <v>7539</v>
      </c>
      <c r="K15" s="148" t="s">
        <v>7570</v>
      </c>
      <c r="L15" s="149" t="s">
        <v>323</v>
      </c>
      <c r="M15" s="148" t="s">
        <v>7571</v>
      </c>
      <c r="N15" s="148" t="s">
        <v>7572</v>
      </c>
      <c r="O15" s="131" t="s">
        <v>5122</v>
      </c>
      <c r="P15" s="131" t="s">
        <v>5122</v>
      </c>
      <c r="Q15" s="131" t="s">
        <v>5122</v>
      </c>
      <c r="R15" s="131"/>
      <c r="S15" s="131"/>
      <c r="T15" s="131" t="s">
        <v>5122</v>
      </c>
      <c r="U15" s="131"/>
      <c r="V15" s="131" t="s">
        <v>5122</v>
      </c>
      <c r="W15" s="131" t="s">
        <v>5122</v>
      </c>
      <c r="X15" s="131"/>
      <c r="Y15" s="131"/>
      <c r="Z15" s="118" t="s">
        <v>7530</v>
      </c>
    </row>
    <row r="16" customHeight="1" spans="1:26">
      <c r="A16" s="131" t="s">
        <v>7573</v>
      </c>
      <c r="B16" s="131">
        <v>0</v>
      </c>
      <c r="C16" s="131" t="s">
        <v>320</v>
      </c>
      <c r="D16" s="131"/>
      <c r="E16" s="131"/>
      <c r="F16" s="132" t="s">
        <v>321</v>
      </c>
      <c r="G16" s="131" t="s">
        <v>343</v>
      </c>
      <c r="H16" s="131"/>
      <c r="I16" s="131" t="s">
        <v>7527</v>
      </c>
      <c r="J16" s="131" t="s">
        <v>7539</v>
      </c>
      <c r="K16" s="148" t="s">
        <v>7574</v>
      </c>
      <c r="L16" s="149" t="s">
        <v>323</v>
      </c>
      <c r="M16" s="148" t="s">
        <v>7575</v>
      </c>
      <c r="N16" s="148" t="s">
        <v>7576</v>
      </c>
      <c r="O16" s="131" t="s">
        <v>5122</v>
      </c>
      <c r="P16" s="131"/>
      <c r="Q16" s="131" t="s">
        <v>5122</v>
      </c>
      <c r="R16" s="131"/>
      <c r="S16" s="131"/>
      <c r="T16" s="131" t="s">
        <v>5122</v>
      </c>
      <c r="U16" s="131"/>
      <c r="V16" s="131" t="s">
        <v>5122</v>
      </c>
      <c r="W16" s="131" t="s">
        <v>5122</v>
      </c>
      <c r="X16" s="131"/>
      <c r="Y16" s="131" t="s">
        <v>5122</v>
      </c>
      <c r="Z16" s="118" t="s">
        <v>7530</v>
      </c>
    </row>
    <row r="17" customHeight="1" spans="1:26">
      <c r="A17" s="133" t="s">
        <v>7577</v>
      </c>
      <c r="B17" s="133">
        <v>0</v>
      </c>
      <c r="C17" s="133" t="s">
        <v>342</v>
      </c>
      <c r="D17" s="133"/>
      <c r="E17" s="133"/>
      <c r="F17" s="134" t="s">
        <v>321</v>
      </c>
      <c r="G17" s="133" t="s">
        <v>337</v>
      </c>
      <c r="H17" s="133" t="s">
        <v>7526</v>
      </c>
      <c r="I17" s="133"/>
      <c r="J17" s="133"/>
      <c r="K17" s="150"/>
      <c r="L17" s="151" t="s">
        <v>327</v>
      </c>
      <c r="M17" s="150" t="s">
        <v>7578</v>
      </c>
      <c r="N17" s="150" t="s">
        <v>7579</v>
      </c>
      <c r="O17" s="133"/>
      <c r="P17" s="133"/>
      <c r="Q17" s="133"/>
      <c r="R17" s="133"/>
      <c r="S17" s="133"/>
      <c r="T17" s="133" t="s">
        <v>5122</v>
      </c>
      <c r="U17" s="133" t="s">
        <v>5122</v>
      </c>
      <c r="V17" s="133" t="s">
        <v>5122</v>
      </c>
      <c r="W17" s="133"/>
      <c r="X17" s="133"/>
      <c r="Y17" s="133"/>
      <c r="Z17" s="118" t="s">
        <v>7530</v>
      </c>
    </row>
    <row r="18" customHeight="1" spans="1:26">
      <c r="A18" s="129" t="s">
        <v>7580</v>
      </c>
      <c r="B18" s="129">
        <v>0</v>
      </c>
      <c r="C18" s="129" t="s">
        <v>347</v>
      </c>
      <c r="D18" s="129"/>
      <c r="E18" s="129"/>
      <c r="F18" s="130" t="s">
        <v>321</v>
      </c>
      <c r="G18" s="129" t="s">
        <v>333</v>
      </c>
      <c r="H18" s="129"/>
      <c r="I18" s="129" t="s">
        <v>7527</v>
      </c>
      <c r="J18" s="129" t="s">
        <v>7539</v>
      </c>
      <c r="K18" s="146" t="s">
        <v>7581</v>
      </c>
      <c r="L18" s="147" t="s">
        <v>329</v>
      </c>
      <c r="M18" s="146" t="s">
        <v>7582</v>
      </c>
      <c r="N18" s="146" t="s">
        <v>7583</v>
      </c>
      <c r="O18" s="129" t="s">
        <v>5122</v>
      </c>
      <c r="P18" s="129"/>
      <c r="Q18" s="129"/>
      <c r="R18" s="129"/>
      <c r="S18" s="129"/>
      <c r="T18" s="129" t="s">
        <v>5122</v>
      </c>
      <c r="U18" s="129" t="s">
        <v>5122</v>
      </c>
      <c r="V18" s="129" t="s">
        <v>5122</v>
      </c>
      <c r="W18" s="129"/>
      <c r="X18" s="129"/>
      <c r="Y18" s="129"/>
      <c r="Z18" s="118" t="s">
        <v>7530</v>
      </c>
    </row>
    <row r="19" customHeight="1" spans="1:26">
      <c r="A19" s="127" t="s">
        <v>7584</v>
      </c>
      <c r="B19" s="127">
        <v>0</v>
      </c>
      <c r="C19" s="127" t="s">
        <v>331</v>
      </c>
      <c r="D19" s="127"/>
      <c r="E19" s="127"/>
      <c r="F19" s="128" t="s">
        <v>321</v>
      </c>
      <c r="G19" s="127" t="s">
        <v>333</v>
      </c>
      <c r="H19" s="127" t="s">
        <v>7526</v>
      </c>
      <c r="I19" s="127" t="s">
        <v>7527</v>
      </c>
      <c r="J19" s="127"/>
      <c r="K19" s="144"/>
      <c r="L19" s="145" t="s">
        <v>323</v>
      </c>
      <c r="M19" s="144" t="s">
        <v>7585</v>
      </c>
      <c r="N19" s="144" t="s">
        <v>7586</v>
      </c>
      <c r="O19" s="127"/>
      <c r="P19" s="127"/>
      <c r="Q19" s="127" t="s">
        <v>5122</v>
      </c>
      <c r="R19" s="127"/>
      <c r="S19" s="127"/>
      <c r="T19" s="127" t="s">
        <v>5122</v>
      </c>
      <c r="U19" s="127" t="s">
        <v>5122</v>
      </c>
      <c r="V19" s="127" t="s">
        <v>5122</v>
      </c>
      <c r="W19" s="127" t="s">
        <v>5122</v>
      </c>
      <c r="X19" s="127"/>
      <c r="Y19" s="127" t="s">
        <v>5122</v>
      </c>
      <c r="Z19" s="118" t="s">
        <v>7530</v>
      </c>
    </row>
    <row r="20" customHeight="1" spans="1:26">
      <c r="A20" s="131" t="s">
        <v>7587</v>
      </c>
      <c r="B20" s="131">
        <v>0</v>
      </c>
      <c r="C20" s="131" t="s">
        <v>320</v>
      </c>
      <c r="D20" s="131"/>
      <c r="E20" s="131"/>
      <c r="F20" s="132" t="s">
        <v>321</v>
      </c>
      <c r="G20" s="131" t="s">
        <v>7556</v>
      </c>
      <c r="H20" s="131" t="s">
        <v>7526</v>
      </c>
      <c r="I20" s="131" t="s">
        <v>7527</v>
      </c>
      <c r="J20" s="131"/>
      <c r="K20" s="148"/>
      <c r="L20" s="149" t="s">
        <v>7588</v>
      </c>
      <c r="M20" s="148" t="s">
        <v>7589</v>
      </c>
      <c r="N20" s="148" t="s">
        <v>7590</v>
      </c>
      <c r="O20" s="131" t="s">
        <v>5122</v>
      </c>
      <c r="P20" s="131"/>
      <c r="Q20" s="131"/>
      <c r="R20" s="131"/>
      <c r="S20" s="131"/>
      <c r="T20" s="131" t="s">
        <v>5122</v>
      </c>
      <c r="U20" s="131" t="s">
        <v>5122</v>
      </c>
      <c r="V20" s="131" t="s">
        <v>5122</v>
      </c>
      <c r="W20" s="131" t="s">
        <v>5122</v>
      </c>
      <c r="X20" s="131"/>
      <c r="Y20" s="131"/>
      <c r="Z20" s="118" t="s">
        <v>7530</v>
      </c>
    </row>
    <row r="21" customHeight="1" spans="1:26">
      <c r="A21" s="137" t="s">
        <v>7591</v>
      </c>
      <c r="B21" s="137">
        <v>0</v>
      </c>
      <c r="C21" s="137" t="s">
        <v>339</v>
      </c>
      <c r="D21" s="137"/>
      <c r="E21" s="137"/>
      <c r="F21" s="138" t="s">
        <v>325</v>
      </c>
      <c r="G21" s="137" t="s">
        <v>326</v>
      </c>
      <c r="H21" s="137" t="s">
        <v>7526</v>
      </c>
      <c r="I21" s="137" t="s">
        <v>7527</v>
      </c>
      <c r="J21" s="137"/>
      <c r="K21" s="154"/>
      <c r="L21" s="155" t="s">
        <v>334</v>
      </c>
      <c r="M21" s="154" t="s">
        <v>7592</v>
      </c>
      <c r="N21" s="154" t="s">
        <v>7593</v>
      </c>
      <c r="O21" s="137"/>
      <c r="P21" s="137"/>
      <c r="Q21" s="137" t="s">
        <v>5122</v>
      </c>
      <c r="R21" s="137"/>
      <c r="S21" s="137"/>
      <c r="T21" s="137"/>
      <c r="U21" s="137"/>
      <c r="V21" s="137"/>
      <c r="W21" s="137"/>
      <c r="X21" s="137"/>
      <c r="Y21" s="137"/>
      <c r="Z21" s="118" t="s">
        <v>7530</v>
      </c>
    </row>
    <row r="22" customHeight="1" spans="1:26">
      <c r="A22" s="123" t="s">
        <v>7594</v>
      </c>
      <c r="B22" s="123">
        <v>0</v>
      </c>
      <c r="C22" s="123" t="s">
        <v>324</v>
      </c>
      <c r="D22" s="123"/>
      <c r="E22" s="123"/>
      <c r="F22" s="124" t="s">
        <v>321</v>
      </c>
      <c r="G22" s="123" t="s">
        <v>337</v>
      </c>
      <c r="H22" s="123" t="s">
        <v>7526</v>
      </c>
      <c r="I22" s="123" t="s">
        <v>7527</v>
      </c>
      <c r="J22" s="123"/>
      <c r="K22" s="141"/>
      <c r="L22" s="139" t="s">
        <v>323</v>
      </c>
      <c r="M22" s="141" t="s">
        <v>7595</v>
      </c>
      <c r="N22" s="141" t="s">
        <v>7596</v>
      </c>
      <c r="O22" s="123"/>
      <c r="P22" s="123"/>
      <c r="Q22" s="123"/>
      <c r="R22" s="123"/>
      <c r="S22" s="123"/>
      <c r="T22" s="123" t="s">
        <v>5122</v>
      </c>
      <c r="U22" s="123"/>
      <c r="V22" s="123" t="s">
        <v>5122</v>
      </c>
      <c r="W22" s="123" t="s">
        <v>5122</v>
      </c>
      <c r="X22" s="123"/>
      <c r="Y22" s="123"/>
      <c r="Z22" s="118" t="s">
        <v>7530</v>
      </c>
    </row>
    <row r="23" customHeight="1" spans="1:26">
      <c r="A23" s="125" t="s">
        <v>7597</v>
      </c>
      <c r="B23" s="125">
        <v>0</v>
      </c>
      <c r="C23" s="125" t="s">
        <v>328</v>
      </c>
      <c r="D23" s="125"/>
      <c r="E23" s="125" t="s">
        <v>5122</v>
      </c>
      <c r="F23" s="126" t="s">
        <v>321</v>
      </c>
      <c r="G23" s="125" t="s">
        <v>7535</v>
      </c>
      <c r="H23" s="125" t="s">
        <v>7526</v>
      </c>
      <c r="I23" s="125" t="s">
        <v>7527</v>
      </c>
      <c r="J23" s="125"/>
      <c r="K23" s="142"/>
      <c r="L23" s="143" t="s">
        <v>352</v>
      </c>
      <c r="M23" s="142" t="s">
        <v>7598</v>
      </c>
      <c r="N23" s="142" t="s">
        <v>7599</v>
      </c>
      <c r="O23" s="125"/>
      <c r="P23" s="125" t="s">
        <v>5122</v>
      </c>
      <c r="Q23" s="125" t="s">
        <v>5122</v>
      </c>
      <c r="R23" s="125"/>
      <c r="S23" s="125"/>
      <c r="T23" s="125"/>
      <c r="U23" s="125"/>
      <c r="V23" s="125"/>
      <c r="W23" s="125" t="s">
        <v>5122</v>
      </c>
      <c r="X23" s="125"/>
      <c r="Y23" s="125" t="s">
        <v>5122</v>
      </c>
      <c r="Z23" s="118" t="s">
        <v>7530</v>
      </c>
    </row>
    <row r="24" customHeight="1" spans="1:26">
      <c r="A24" s="123" t="s">
        <v>7600</v>
      </c>
      <c r="B24" s="123">
        <v>0</v>
      </c>
      <c r="C24" s="123" t="s">
        <v>324</v>
      </c>
      <c r="D24" s="123"/>
      <c r="E24" s="123"/>
      <c r="F24" s="124" t="s">
        <v>321</v>
      </c>
      <c r="G24" s="123" t="s">
        <v>337</v>
      </c>
      <c r="H24" s="123" t="s">
        <v>7526</v>
      </c>
      <c r="I24" s="123" t="s">
        <v>7527</v>
      </c>
      <c r="J24" s="123"/>
      <c r="K24" s="141"/>
      <c r="L24" s="139" t="s">
        <v>323</v>
      </c>
      <c r="M24" s="141" t="s">
        <v>7601</v>
      </c>
      <c r="N24" s="141" t="s">
        <v>7602</v>
      </c>
      <c r="O24" s="123"/>
      <c r="P24" s="123" t="s">
        <v>5122</v>
      </c>
      <c r="Q24" s="123"/>
      <c r="R24" s="123"/>
      <c r="S24" s="123"/>
      <c r="T24" s="123"/>
      <c r="U24" s="123"/>
      <c r="V24" s="123"/>
      <c r="W24" s="123"/>
      <c r="X24" s="123"/>
      <c r="Y24" s="123"/>
      <c r="Z24" s="118" t="s">
        <v>7530</v>
      </c>
    </row>
    <row r="25" customHeight="1" spans="1:26">
      <c r="A25" s="131" t="s">
        <v>7603</v>
      </c>
      <c r="B25" s="131">
        <v>0</v>
      </c>
      <c r="C25" s="131" t="s">
        <v>320</v>
      </c>
      <c r="D25" s="131"/>
      <c r="E25" s="131"/>
      <c r="F25" s="132" t="s">
        <v>325</v>
      </c>
      <c r="G25" s="131" t="s">
        <v>326</v>
      </c>
      <c r="H25" s="131" t="s">
        <v>7526</v>
      </c>
      <c r="I25" s="131" t="s">
        <v>7527</v>
      </c>
      <c r="J25" s="131" t="s">
        <v>7539</v>
      </c>
      <c r="K25" s="148" t="s">
        <v>7604</v>
      </c>
      <c r="L25" s="149" t="s">
        <v>329</v>
      </c>
      <c r="M25" s="148" t="s">
        <v>7605</v>
      </c>
      <c r="N25" s="148" t="s">
        <v>7606</v>
      </c>
      <c r="O25" s="131"/>
      <c r="P25" s="131"/>
      <c r="Q25" s="131" t="s">
        <v>5122</v>
      </c>
      <c r="R25" s="131"/>
      <c r="S25" s="131"/>
      <c r="T25" s="131"/>
      <c r="U25" s="131"/>
      <c r="V25" s="131"/>
      <c r="W25" s="131"/>
      <c r="X25" s="131"/>
      <c r="Y25" s="131"/>
      <c r="Z25" s="118" t="s">
        <v>7530</v>
      </c>
    </row>
    <row r="26" customHeight="1" spans="1:26">
      <c r="A26" s="123" t="s">
        <v>7607</v>
      </c>
      <c r="B26" s="123">
        <v>0</v>
      </c>
      <c r="C26" s="123" t="s">
        <v>324</v>
      </c>
      <c r="D26" s="123"/>
      <c r="E26" s="123"/>
      <c r="F26" s="124" t="s">
        <v>321</v>
      </c>
      <c r="G26" s="123" t="s">
        <v>7535</v>
      </c>
      <c r="H26" s="123" t="s">
        <v>7526</v>
      </c>
      <c r="I26" s="123" t="s">
        <v>7527</v>
      </c>
      <c r="J26" s="123"/>
      <c r="K26" s="141"/>
      <c r="L26" s="139" t="s">
        <v>323</v>
      </c>
      <c r="M26" s="141" t="s">
        <v>7608</v>
      </c>
      <c r="N26" s="141" t="s">
        <v>7609</v>
      </c>
      <c r="O26" s="123"/>
      <c r="P26" s="123"/>
      <c r="Q26" s="123"/>
      <c r="R26" s="123"/>
      <c r="S26" s="123"/>
      <c r="T26" s="123" t="s">
        <v>5122</v>
      </c>
      <c r="U26" s="123"/>
      <c r="V26" s="123" t="s">
        <v>5122</v>
      </c>
      <c r="W26" s="123" t="s">
        <v>5122</v>
      </c>
      <c r="X26" s="123"/>
      <c r="Y26" s="123" t="s">
        <v>5122</v>
      </c>
      <c r="Z26" s="118" t="s">
        <v>7530</v>
      </c>
    </row>
    <row r="27" customHeight="1" spans="1:26">
      <c r="A27" s="123" t="s">
        <v>7610</v>
      </c>
      <c r="B27" s="123">
        <v>0</v>
      </c>
      <c r="C27" s="123" t="s">
        <v>324</v>
      </c>
      <c r="D27" s="123"/>
      <c r="E27" s="123"/>
      <c r="F27" s="124" t="s">
        <v>321</v>
      </c>
      <c r="G27" s="123" t="s">
        <v>343</v>
      </c>
      <c r="H27" s="123" t="s">
        <v>7526</v>
      </c>
      <c r="I27" s="123" t="s">
        <v>7527</v>
      </c>
      <c r="J27" s="123"/>
      <c r="K27" s="141"/>
      <c r="L27" s="139" t="s">
        <v>323</v>
      </c>
      <c r="M27" s="141" t="s">
        <v>7611</v>
      </c>
      <c r="N27" s="141" t="s">
        <v>7612</v>
      </c>
      <c r="O27" s="123"/>
      <c r="P27" s="123"/>
      <c r="Q27" s="123"/>
      <c r="R27" s="123"/>
      <c r="S27" s="123"/>
      <c r="T27" s="123" t="s">
        <v>5122</v>
      </c>
      <c r="U27" s="123"/>
      <c r="V27" s="123"/>
      <c r="W27" s="123"/>
      <c r="X27" s="123"/>
      <c r="Y27" s="123"/>
      <c r="Z27" s="118" t="s">
        <v>7530</v>
      </c>
    </row>
    <row r="28" customHeight="1" spans="1:26">
      <c r="A28" s="127" t="s">
        <v>7613</v>
      </c>
      <c r="B28" s="127">
        <v>0</v>
      </c>
      <c r="C28" s="127" t="s">
        <v>331</v>
      </c>
      <c r="D28" s="127"/>
      <c r="E28" s="127"/>
      <c r="F28" s="128" t="s">
        <v>321</v>
      </c>
      <c r="G28" s="127" t="s">
        <v>330</v>
      </c>
      <c r="H28" s="127" t="s">
        <v>7526</v>
      </c>
      <c r="I28" s="127" t="s">
        <v>7527</v>
      </c>
      <c r="J28" s="127"/>
      <c r="K28" s="144"/>
      <c r="L28" s="145" t="s">
        <v>323</v>
      </c>
      <c r="M28" s="144" t="s">
        <v>7614</v>
      </c>
      <c r="N28" s="144" t="s">
        <v>7615</v>
      </c>
      <c r="O28" s="127"/>
      <c r="P28" s="127" t="s">
        <v>5122</v>
      </c>
      <c r="Q28" s="127" t="s">
        <v>5122</v>
      </c>
      <c r="R28" s="127"/>
      <c r="S28" s="127"/>
      <c r="T28" s="127"/>
      <c r="U28" s="127"/>
      <c r="V28" s="127"/>
      <c r="W28" s="127" t="s">
        <v>5122</v>
      </c>
      <c r="X28" s="127"/>
      <c r="Y28" s="127" t="s">
        <v>5122</v>
      </c>
      <c r="Z28" s="118" t="s">
        <v>7530</v>
      </c>
    </row>
    <row r="29" customHeight="1" spans="1:26">
      <c r="A29" s="123" t="s">
        <v>7616</v>
      </c>
      <c r="B29" s="123">
        <v>0</v>
      </c>
      <c r="C29" s="123" t="s">
        <v>324</v>
      </c>
      <c r="D29" s="123"/>
      <c r="E29" s="123"/>
      <c r="F29" s="124" t="s">
        <v>321</v>
      </c>
      <c r="G29" s="123" t="s">
        <v>337</v>
      </c>
      <c r="H29" s="123" t="s">
        <v>7526</v>
      </c>
      <c r="I29" s="123" t="s">
        <v>7527</v>
      </c>
      <c r="J29" s="123"/>
      <c r="K29" s="141"/>
      <c r="L29" s="139" t="s">
        <v>323</v>
      </c>
      <c r="M29" s="141" t="s">
        <v>7617</v>
      </c>
      <c r="N29" s="141" t="s">
        <v>7618</v>
      </c>
      <c r="O29" s="123" t="s">
        <v>5122</v>
      </c>
      <c r="P29" s="123"/>
      <c r="Q29" s="123" t="s">
        <v>5122</v>
      </c>
      <c r="R29" s="123"/>
      <c r="S29" s="123"/>
      <c r="T29" s="123"/>
      <c r="U29" s="123"/>
      <c r="V29" s="123"/>
      <c r="W29" s="123"/>
      <c r="X29" s="123"/>
      <c r="Y29" s="123"/>
      <c r="Z29" s="118" t="s">
        <v>7530</v>
      </c>
    </row>
    <row r="30" customHeight="1" spans="1:26">
      <c r="A30" s="131" t="s">
        <v>7619</v>
      </c>
      <c r="B30" s="131">
        <v>0</v>
      </c>
      <c r="C30" s="131" t="s">
        <v>320</v>
      </c>
      <c r="D30" s="131"/>
      <c r="E30" s="131"/>
      <c r="F30" s="132" t="s">
        <v>321</v>
      </c>
      <c r="G30" s="131" t="s">
        <v>333</v>
      </c>
      <c r="H30" s="131" t="s">
        <v>7526</v>
      </c>
      <c r="I30" s="131"/>
      <c r="J30" s="131"/>
      <c r="K30" s="148"/>
      <c r="L30" s="149" t="s">
        <v>329</v>
      </c>
      <c r="M30" s="148" t="s">
        <v>7620</v>
      </c>
      <c r="N30" s="148" t="s">
        <v>7621</v>
      </c>
      <c r="O30" s="131"/>
      <c r="P30" s="131" t="s">
        <v>5122</v>
      </c>
      <c r="Q30" s="131"/>
      <c r="R30" s="131"/>
      <c r="S30" s="131"/>
      <c r="T30" s="131"/>
      <c r="U30" s="131"/>
      <c r="V30" s="131"/>
      <c r="W30" s="131"/>
      <c r="X30" s="131"/>
      <c r="Y30" s="131" t="s">
        <v>5122</v>
      </c>
      <c r="Z30" s="118" t="s">
        <v>7530</v>
      </c>
    </row>
    <row r="31" customHeight="1" spans="1:26">
      <c r="A31" s="131" t="s">
        <v>7622</v>
      </c>
      <c r="B31" s="131">
        <v>0</v>
      </c>
      <c r="C31" s="131" t="s">
        <v>320</v>
      </c>
      <c r="D31" s="131"/>
      <c r="E31" s="131"/>
      <c r="F31" s="132" t="s">
        <v>321</v>
      </c>
      <c r="G31" s="131" t="s">
        <v>333</v>
      </c>
      <c r="H31" s="131" t="s">
        <v>7526</v>
      </c>
      <c r="I31" s="131" t="s">
        <v>7527</v>
      </c>
      <c r="J31" s="131" t="s">
        <v>7539</v>
      </c>
      <c r="K31" s="148" t="s">
        <v>7623</v>
      </c>
      <c r="L31" s="149" t="s">
        <v>323</v>
      </c>
      <c r="M31" s="148" t="s">
        <v>7624</v>
      </c>
      <c r="N31" s="148" t="s">
        <v>7625</v>
      </c>
      <c r="O31" s="131"/>
      <c r="P31" s="131"/>
      <c r="Q31" s="131" t="s">
        <v>5122</v>
      </c>
      <c r="R31" s="131"/>
      <c r="S31" s="131"/>
      <c r="T31" s="131"/>
      <c r="U31" s="131"/>
      <c r="V31" s="131"/>
      <c r="W31" s="131" t="s">
        <v>5122</v>
      </c>
      <c r="X31" s="131"/>
      <c r="Y31" s="131"/>
      <c r="Z31" s="118" t="s">
        <v>7530</v>
      </c>
    </row>
    <row r="32" customHeight="1" spans="1:26">
      <c r="A32" s="123" t="s">
        <v>7626</v>
      </c>
      <c r="B32" s="123">
        <v>0</v>
      </c>
      <c r="C32" s="123" t="s">
        <v>324</v>
      </c>
      <c r="D32" s="123"/>
      <c r="E32" s="123"/>
      <c r="F32" s="124" t="s">
        <v>321</v>
      </c>
      <c r="G32" s="123" t="s">
        <v>326</v>
      </c>
      <c r="H32" s="123"/>
      <c r="I32" s="123" t="s">
        <v>7527</v>
      </c>
      <c r="J32" s="123"/>
      <c r="K32" s="141"/>
      <c r="L32" s="139" t="s">
        <v>323</v>
      </c>
      <c r="M32" s="141" t="s">
        <v>7627</v>
      </c>
      <c r="N32" s="141" t="s">
        <v>7628</v>
      </c>
      <c r="O32" s="123" t="s">
        <v>5122</v>
      </c>
      <c r="P32" s="123"/>
      <c r="Q32" s="123" t="s">
        <v>5122</v>
      </c>
      <c r="R32" s="123"/>
      <c r="S32" s="123"/>
      <c r="T32" s="123" t="s">
        <v>5122</v>
      </c>
      <c r="U32" s="123" t="s">
        <v>5122</v>
      </c>
      <c r="V32" s="123" t="s">
        <v>5122</v>
      </c>
      <c r="W32" s="123" t="s">
        <v>5122</v>
      </c>
      <c r="X32" s="123"/>
      <c r="Y32" s="123"/>
      <c r="Z32" s="118" t="s">
        <v>7530</v>
      </c>
    </row>
    <row r="33" customHeight="1" spans="1:26">
      <c r="A33" s="127" t="s">
        <v>7629</v>
      </c>
      <c r="B33" s="127">
        <v>0</v>
      </c>
      <c r="C33" s="127" t="s">
        <v>331</v>
      </c>
      <c r="D33" s="127"/>
      <c r="E33" s="127"/>
      <c r="F33" s="128" t="s">
        <v>321</v>
      </c>
      <c r="G33" s="127" t="s">
        <v>337</v>
      </c>
      <c r="H33" s="127" t="s">
        <v>7526</v>
      </c>
      <c r="I33" s="127" t="s">
        <v>7527</v>
      </c>
      <c r="J33" s="127"/>
      <c r="K33" s="144"/>
      <c r="L33" s="145" t="s">
        <v>323</v>
      </c>
      <c r="M33" s="144" t="s">
        <v>7630</v>
      </c>
      <c r="N33" s="144" t="s">
        <v>7631</v>
      </c>
      <c r="O33" s="127"/>
      <c r="P33" s="127" t="s">
        <v>5122</v>
      </c>
      <c r="Q33" s="127"/>
      <c r="R33" s="127"/>
      <c r="S33" s="127"/>
      <c r="T33" s="127"/>
      <c r="U33" s="127" t="s">
        <v>5122</v>
      </c>
      <c r="V33" s="127" t="s">
        <v>5122</v>
      </c>
      <c r="W33" s="127"/>
      <c r="X33" s="127"/>
      <c r="Y33" s="127"/>
      <c r="Z33" s="118" t="s">
        <v>7530</v>
      </c>
    </row>
    <row r="34" customHeight="1" spans="1:26">
      <c r="A34" s="135" t="s">
        <v>7632</v>
      </c>
      <c r="B34" s="135">
        <v>0</v>
      </c>
      <c r="C34" s="135" t="s">
        <v>335</v>
      </c>
      <c r="D34" s="135"/>
      <c r="E34" s="135"/>
      <c r="F34" s="136" t="s">
        <v>321</v>
      </c>
      <c r="G34" s="135" t="s">
        <v>326</v>
      </c>
      <c r="H34" s="135"/>
      <c r="I34" s="135" t="s">
        <v>7527</v>
      </c>
      <c r="J34" s="135" t="s">
        <v>7539</v>
      </c>
      <c r="K34" s="152" t="s">
        <v>7633</v>
      </c>
      <c r="L34" s="153" t="s">
        <v>323</v>
      </c>
      <c r="M34" s="152" t="s">
        <v>7634</v>
      </c>
      <c r="N34" s="152" t="s">
        <v>7635</v>
      </c>
      <c r="O34" s="135" t="s">
        <v>5122</v>
      </c>
      <c r="P34" s="135"/>
      <c r="Q34" s="135"/>
      <c r="R34" s="135"/>
      <c r="S34" s="135"/>
      <c r="T34" s="135" t="s">
        <v>5122</v>
      </c>
      <c r="U34" s="135" t="s">
        <v>5122</v>
      </c>
      <c r="V34" s="135" t="s">
        <v>5122</v>
      </c>
      <c r="W34" s="135" t="s">
        <v>5122</v>
      </c>
      <c r="X34" s="135"/>
      <c r="Y34" s="135"/>
      <c r="Z34" s="118" t="s">
        <v>7530</v>
      </c>
    </row>
    <row r="35" customHeight="1" spans="1:26">
      <c r="A35" s="133" t="s">
        <v>7636</v>
      </c>
      <c r="B35" s="133">
        <v>0</v>
      </c>
      <c r="C35" s="133" t="s">
        <v>342</v>
      </c>
      <c r="D35" s="133"/>
      <c r="E35" s="133"/>
      <c r="F35" s="134" t="s">
        <v>321</v>
      </c>
      <c r="G35" s="133" t="s">
        <v>337</v>
      </c>
      <c r="H35" s="133" t="s">
        <v>7526</v>
      </c>
      <c r="I35" s="133"/>
      <c r="J35" s="133"/>
      <c r="K35" s="150"/>
      <c r="L35" s="151" t="s">
        <v>323</v>
      </c>
      <c r="M35" s="150" t="s">
        <v>7637</v>
      </c>
      <c r="N35" s="150" t="s">
        <v>7638</v>
      </c>
      <c r="O35" s="133" t="s">
        <v>5122</v>
      </c>
      <c r="P35" s="133"/>
      <c r="Q35" s="133"/>
      <c r="R35" s="133"/>
      <c r="S35" s="133"/>
      <c r="T35" s="133"/>
      <c r="U35" s="133"/>
      <c r="V35" s="133"/>
      <c r="W35" s="133"/>
      <c r="X35" s="133"/>
      <c r="Y35" s="133"/>
      <c r="Z35" s="118" t="s">
        <v>7530</v>
      </c>
    </row>
    <row r="36" customHeight="1" spans="1:26">
      <c r="A36" s="123" t="s">
        <v>7639</v>
      </c>
      <c r="B36" s="123">
        <v>0</v>
      </c>
      <c r="C36" s="123" t="s">
        <v>324</v>
      </c>
      <c r="D36" s="123"/>
      <c r="E36" s="123"/>
      <c r="F36" s="124" t="s">
        <v>321</v>
      </c>
      <c r="G36" s="123" t="s">
        <v>326</v>
      </c>
      <c r="H36" s="123" t="s">
        <v>7526</v>
      </c>
      <c r="I36" s="123"/>
      <c r="J36" s="123" t="s">
        <v>7539</v>
      </c>
      <c r="K36" s="141" t="s">
        <v>7640</v>
      </c>
      <c r="L36" s="139" t="s">
        <v>323</v>
      </c>
      <c r="M36" s="141" t="s">
        <v>7641</v>
      </c>
      <c r="N36" s="141" t="s">
        <v>7642</v>
      </c>
      <c r="O36" s="123"/>
      <c r="P36" s="123" t="s">
        <v>5122</v>
      </c>
      <c r="Q36" s="123"/>
      <c r="R36" s="123"/>
      <c r="S36" s="123"/>
      <c r="T36" s="123"/>
      <c r="U36" s="123"/>
      <c r="V36" s="123"/>
      <c r="W36" s="123"/>
      <c r="X36" s="123"/>
      <c r="Y36" s="123"/>
      <c r="Z36" s="118" t="s">
        <v>7530</v>
      </c>
    </row>
    <row r="37" customHeight="1" spans="1:26">
      <c r="A37" s="123" t="s">
        <v>7643</v>
      </c>
      <c r="B37" s="123">
        <v>0</v>
      </c>
      <c r="C37" s="123" t="s">
        <v>324</v>
      </c>
      <c r="D37" s="123"/>
      <c r="E37" s="123"/>
      <c r="F37" s="124" t="s">
        <v>321</v>
      </c>
      <c r="G37" s="123" t="s">
        <v>330</v>
      </c>
      <c r="H37" s="123" t="s">
        <v>7526</v>
      </c>
      <c r="I37" s="123"/>
      <c r="J37" s="123"/>
      <c r="K37" s="156"/>
      <c r="L37" s="139" t="s">
        <v>323</v>
      </c>
      <c r="M37" s="141" t="s">
        <v>7644</v>
      </c>
      <c r="N37" s="141" t="s">
        <v>7645</v>
      </c>
      <c r="O37" s="123"/>
      <c r="P37" s="123"/>
      <c r="Q37" s="123"/>
      <c r="R37" s="123"/>
      <c r="S37" s="123"/>
      <c r="T37" s="123" t="s">
        <v>5122</v>
      </c>
      <c r="U37" s="123" t="s">
        <v>5122</v>
      </c>
      <c r="V37" s="123" t="s">
        <v>5122</v>
      </c>
      <c r="W37" s="123" t="s">
        <v>5122</v>
      </c>
      <c r="X37" s="123"/>
      <c r="Y37" s="123"/>
      <c r="Z37" s="118" t="s">
        <v>110</v>
      </c>
    </row>
    <row r="38" customHeight="1" spans="1:26">
      <c r="A38" s="137" t="s">
        <v>7646</v>
      </c>
      <c r="B38" s="137">
        <v>0</v>
      </c>
      <c r="C38" s="137" t="s">
        <v>339</v>
      </c>
      <c r="D38" s="137"/>
      <c r="E38" s="137"/>
      <c r="F38" s="138" t="s">
        <v>321</v>
      </c>
      <c r="G38" s="137" t="s">
        <v>355</v>
      </c>
      <c r="H38" s="137" t="s">
        <v>7526</v>
      </c>
      <c r="I38" s="137"/>
      <c r="J38" s="137"/>
      <c r="K38" s="157"/>
      <c r="L38" s="155" t="s">
        <v>323</v>
      </c>
      <c r="M38" s="154" t="s">
        <v>7647</v>
      </c>
      <c r="N38" s="154" t="s">
        <v>7648</v>
      </c>
      <c r="O38" s="137"/>
      <c r="P38" s="137"/>
      <c r="Q38" s="137"/>
      <c r="R38" s="137"/>
      <c r="S38" s="137"/>
      <c r="T38" s="137" t="s">
        <v>5122</v>
      </c>
      <c r="U38" s="137" t="s">
        <v>5122</v>
      </c>
      <c r="V38" s="137" t="s">
        <v>5122</v>
      </c>
      <c r="W38" s="137" t="s">
        <v>5122</v>
      </c>
      <c r="X38" s="137"/>
      <c r="Y38" s="137"/>
      <c r="Z38" s="118" t="s">
        <v>110</v>
      </c>
    </row>
    <row r="39" customHeight="1" spans="1:26">
      <c r="A39" s="123" t="s">
        <v>7649</v>
      </c>
      <c r="B39" s="123">
        <v>0</v>
      </c>
      <c r="C39" s="123" t="s">
        <v>324</v>
      </c>
      <c r="D39" s="139"/>
      <c r="E39" s="139"/>
      <c r="F39" s="124" t="s">
        <v>321</v>
      </c>
      <c r="G39" s="123" t="s">
        <v>355</v>
      </c>
      <c r="H39" s="123"/>
      <c r="I39" s="123" t="s">
        <v>7527</v>
      </c>
      <c r="J39" s="123" t="s">
        <v>7539</v>
      </c>
      <c r="K39" s="139" t="s">
        <v>7650</v>
      </c>
      <c r="L39" s="139" t="s">
        <v>327</v>
      </c>
      <c r="M39" s="141" t="s">
        <v>7651</v>
      </c>
      <c r="N39" s="158" t="s">
        <v>7652</v>
      </c>
      <c r="O39" s="123"/>
      <c r="P39" s="123"/>
      <c r="Q39" s="123"/>
      <c r="R39" s="123"/>
      <c r="S39" s="123"/>
      <c r="T39" s="123" t="s">
        <v>5122</v>
      </c>
      <c r="U39" s="123" t="s">
        <v>5122</v>
      </c>
      <c r="V39" s="123" t="s">
        <v>5122</v>
      </c>
      <c r="W39" s="123" t="s">
        <v>5122</v>
      </c>
      <c r="X39" s="123"/>
      <c r="Y39" s="123"/>
      <c r="Z39" s="118" t="s">
        <v>110</v>
      </c>
    </row>
    <row r="40" customHeight="1" spans="1:26">
      <c r="A40" s="123" t="s">
        <v>7653</v>
      </c>
      <c r="B40" s="123">
        <v>0</v>
      </c>
      <c r="C40" s="123" t="s">
        <v>324</v>
      </c>
      <c r="D40" s="139"/>
      <c r="E40" s="139"/>
      <c r="F40" s="124" t="s">
        <v>321</v>
      </c>
      <c r="G40" s="123" t="s">
        <v>355</v>
      </c>
      <c r="H40" s="123"/>
      <c r="I40" s="123" t="s">
        <v>7527</v>
      </c>
      <c r="J40" s="123" t="s">
        <v>7539</v>
      </c>
      <c r="K40" s="139" t="s">
        <v>7650</v>
      </c>
      <c r="L40" s="139" t="s">
        <v>323</v>
      </c>
      <c r="M40" s="141" t="s">
        <v>7654</v>
      </c>
      <c r="N40" s="158" t="s">
        <v>7655</v>
      </c>
      <c r="O40" s="123"/>
      <c r="P40" s="123"/>
      <c r="Q40" s="123"/>
      <c r="R40" s="123"/>
      <c r="S40" s="123"/>
      <c r="T40" s="123" t="s">
        <v>5122</v>
      </c>
      <c r="U40" s="123" t="s">
        <v>5122</v>
      </c>
      <c r="V40" s="123" t="s">
        <v>5122</v>
      </c>
      <c r="W40" s="123" t="s">
        <v>5122</v>
      </c>
      <c r="X40" s="123"/>
      <c r="Y40" s="123"/>
      <c r="Z40" s="118" t="s">
        <v>110</v>
      </c>
    </row>
    <row r="41" customHeight="1" spans="1:26">
      <c r="A41" s="131" t="s">
        <v>7656</v>
      </c>
      <c r="B41" s="131">
        <v>0</v>
      </c>
      <c r="C41" s="131" t="s">
        <v>320</v>
      </c>
      <c r="D41" s="131"/>
      <c r="E41" s="131"/>
      <c r="F41" s="132" t="s">
        <v>321</v>
      </c>
      <c r="G41" s="131" t="s">
        <v>337</v>
      </c>
      <c r="H41" s="131"/>
      <c r="I41" s="131" t="s">
        <v>7527</v>
      </c>
      <c r="J41" s="131"/>
      <c r="K41" s="159"/>
      <c r="L41" s="149" t="s">
        <v>7657</v>
      </c>
      <c r="M41" s="148" t="s">
        <v>7658</v>
      </c>
      <c r="N41" s="148" t="s">
        <v>7659</v>
      </c>
      <c r="O41" s="131"/>
      <c r="P41" s="131"/>
      <c r="Q41" s="131" t="s">
        <v>5122</v>
      </c>
      <c r="R41" s="131"/>
      <c r="S41" s="131"/>
      <c r="T41" s="131" t="s">
        <v>5122</v>
      </c>
      <c r="U41" s="131"/>
      <c r="V41" s="131" t="s">
        <v>5122</v>
      </c>
      <c r="W41" s="131"/>
      <c r="X41" s="131"/>
      <c r="Y41" s="131"/>
      <c r="Z41" s="162" t="s">
        <v>45</v>
      </c>
    </row>
    <row r="42" customHeight="1" spans="1:26">
      <c r="A42" s="137" t="s">
        <v>7660</v>
      </c>
      <c r="B42" s="137">
        <v>0</v>
      </c>
      <c r="C42" s="137" t="s">
        <v>339</v>
      </c>
      <c r="D42" s="137"/>
      <c r="E42" s="137" t="s">
        <v>5122</v>
      </c>
      <c r="F42" s="138" t="s">
        <v>321</v>
      </c>
      <c r="G42" s="137" t="s">
        <v>337</v>
      </c>
      <c r="H42" s="137" t="s">
        <v>7526</v>
      </c>
      <c r="I42" s="137" t="s">
        <v>7527</v>
      </c>
      <c r="J42" s="137"/>
      <c r="K42" s="157"/>
      <c r="L42" s="155" t="s">
        <v>7661</v>
      </c>
      <c r="M42" s="154" t="s">
        <v>7662</v>
      </c>
      <c r="N42" s="154" t="s">
        <v>7663</v>
      </c>
      <c r="O42" s="137"/>
      <c r="P42" s="137"/>
      <c r="Q42" s="137" t="s">
        <v>5122</v>
      </c>
      <c r="R42" s="137"/>
      <c r="S42" s="137"/>
      <c r="T42" s="137" t="s">
        <v>5122</v>
      </c>
      <c r="U42" s="137" t="s">
        <v>5122</v>
      </c>
      <c r="V42" s="137" t="s">
        <v>5122</v>
      </c>
      <c r="W42" s="137" t="s">
        <v>5122</v>
      </c>
      <c r="X42" s="137"/>
      <c r="Y42" s="137"/>
      <c r="Z42" s="162" t="s">
        <v>45</v>
      </c>
    </row>
    <row r="43" customHeight="1" spans="1:26">
      <c r="A43" s="123" t="s">
        <v>7664</v>
      </c>
      <c r="B43" s="123">
        <v>0</v>
      </c>
      <c r="C43" s="123" t="s">
        <v>324</v>
      </c>
      <c r="D43" s="123"/>
      <c r="E43" s="123"/>
      <c r="F43" s="124" t="s">
        <v>321</v>
      </c>
      <c r="G43" s="123" t="s">
        <v>337</v>
      </c>
      <c r="H43" s="123" t="s">
        <v>7526</v>
      </c>
      <c r="I43" s="123" t="s">
        <v>7527</v>
      </c>
      <c r="J43" s="123"/>
      <c r="K43" s="156"/>
      <c r="L43" s="139" t="s">
        <v>323</v>
      </c>
      <c r="M43" s="141" t="s">
        <v>7665</v>
      </c>
      <c r="N43" s="141" t="s">
        <v>7666</v>
      </c>
      <c r="O43" s="123"/>
      <c r="P43" s="123"/>
      <c r="Q43" s="123" t="s">
        <v>5122</v>
      </c>
      <c r="R43" s="123"/>
      <c r="S43" s="123"/>
      <c r="T43" s="123" t="s">
        <v>5122</v>
      </c>
      <c r="U43" s="123" t="s">
        <v>5122</v>
      </c>
      <c r="V43" s="123" t="s">
        <v>5122</v>
      </c>
      <c r="W43" s="123" t="s">
        <v>5122</v>
      </c>
      <c r="X43" s="123"/>
      <c r="Y43" s="123"/>
      <c r="Z43" s="162" t="s">
        <v>45</v>
      </c>
    </row>
    <row r="44" customHeight="1" spans="1:26">
      <c r="A44" s="131" t="s">
        <v>7667</v>
      </c>
      <c r="B44" s="131">
        <v>0</v>
      </c>
      <c r="C44" s="131" t="s">
        <v>320</v>
      </c>
      <c r="D44" s="131"/>
      <c r="E44" s="131"/>
      <c r="F44" s="132" t="s">
        <v>321</v>
      </c>
      <c r="G44" s="131" t="s">
        <v>333</v>
      </c>
      <c r="H44" s="131" t="s">
        <v>7526</v>
      </c>
      <c r="I44" s="131" t="s">
        <v>7527</v>
      </c>
      <c r="J44" s="131"/>
      <c r="K44" s="159"/>
      <c r="L44" s="149" t="s">
        <v>323</v>
      </c>
      <c r="M44" s="148" t="s">
        <v>7668</v>
      </c>
      <c r="N44" s="148" t="s">
        <v>7669</v>
      </c>
      <c r="O44" s="131"/>
      <c r="P44" s="131"/>
      <c r="Q44" s="131" t="s">
        <v>5122</v>
      </c>
      <c r="R44" s="131"/>
      <c r="S44" s="131"/>
      <c r="T44" s="131" t="s">
        <v>5122</v>
      </c>
      <c r="U44" s="131"/>
      <c r="V44" s="131" t="s">
        <v>5122</v>
      </c>
      <c r="W44" s="131"/>
      <c r="X44" s="131"/>
      <c r="Y44" s="131"/>
      <c r="Z44" s="162" t="s">
        <v>45</v>
      </c>
    </row>
    <row r="45" customHeight="1" spans="1:26">
      <c r="A45" s="137" t="s">
        <v>7670</v>
      </c>
      <c r="B45" s="137">
        <v>0</v>
      </c>
      <c r="C45" s="137" t="s">
        <v>339</v>
      </c>
      <c r="D45" s="137"/>
      <c r="E45" s="137"/>
      <c r="F45" s="138" t="s">
        <v>321</v>
      </c>
      <c r="G45" s="137" t="s">
        <v>333</v>
      </c>
      <c r="H45" s="137" t="s">
        <v>7526</v>
      </c>
      <c r="I45" s="137" t="s">
        <v>7527</v>
      </c>
      <c r="J45" s="137" t="s">
        <v>7539</v>
      </c>
      <c r="K45" s="157" t="s">
        <v>7671</v>
      </c>
      <c r="L45" s="155" t="s">
        <v>323</v>
      </c>
      <c r="M45" s="154" t="s">
        <v>7672</v>
      </c>
      <c r="N45" s="154" t="s">
        <v>7673</v>
      </c>
      <c r="O45" s="137"/>
      <c r="P45" s="137"/>
      <c r="Q45" s="137" t="s">
        <v>5122</v>
      </c>
      <c r="R45" s="137"/>
      <c r="S45" s="137"/>
      <c r="T45" s="137" t="s">
        <v>5122</v>
      </c>
      <c r="U45" s="137" t="s">
        <v>5122</v>
      </c>
      <c r="V45" s="137" t="s">
        <v>5122</v>
      </c>
      <c r="W45" s="137"/>
      <c r="X45" s="137"/>
      <c r="Y45" s="137"/>
      <c r="Z45" s="162" t="s">
        <v>45</v>
      </c>
    </row>
    <row r="46" customHeight="1" spans="1:26">
      <c r="A46" s="131" t="s">
        <v>7674</v>
      </c>
      <c r="B46" s="131">
        <v>0</v>
      </c>
      <c r="C46" s="131" t="s">
        <v>320</v>
      </c>
      <c r="D46" s="131"/>
      <c r="E46" s="131"/>
      <c r="F46" s="132" t="s">
        <v>325</v>
      </c>
      <c r="G46" s="131" t="s">
        <v>322</v>
      </c>
      <c r="H46" s="131" t="s">
        <v>7526</v>
      </c>
      <c r="I46" s="131" t="s">
        <v>7527</v>
      </c>
      <c r="J46" s="131"/>
      <c r="K46" s="159"/>
      <c r="L46" s="149" t="s">
        <v>329</v>
      </c>
      <c r="M46" s="148" t="s">
        <v>7675</v>
      </c>
      <c r="N46" s="148" t="s">
        <v>7676</v>
      </c>
      <c r="O46" s="131"/>
      <c r="P46" s="131"/>
      <c r="Q46" s="131" t="s">
        <v>5122</v>
      </c>
      <c r="R46" s="131"/>
      <c r="S46" s="131"/>
      <c r="T46" s="131"/>
      <c r="U46" s="131" t="s">
        <v>5122</v>
      </c>
      <c r="V46" s="131"/>
      <c r="W46" s="131" t="s">
        <v>5122</v>
      </c>
      <c r="X46" s="131"/>
      <c r="Y46" s="131"/>
      <c r="Z46" s="162" t="s">
        <v>45</v>
      </c>
    </row>
    <row r="47" customHeight="1" spans="1:26">
      <c r="A47" s="131" t="s">
        <v>7677</v>
      </c>
      <c r="B47" s="131">
        <v>0</v>
      </c>
      <c r="C47" s="131" t="s">
        <v>320</v>
      </c>
      <c r="D47" s="131"/>
      <c r="E47" s="131"/>
      <c r="F47" s="132" t="s">
        <v>321</v>
      </c>
      <c r="G47" s="131" t="s">
        <v>333</v>
      </c>
      <c r="H47" s="131"/>
      <c r="I47" s="131" t="s">
        <v>7527</v>
      </c>
      <c r="J47" s="131"/>
      <c r="K47" s="159"/>
      <c r="L47" s="149" t="s">
        <v>7657</v>
      </c>
      <c r="M47" s="148" t="s">
        <v>7678</v>
      </c>
      <c r="N47" s="148" t="s">
        <v>7679</v>
      </c>
      <c r="O47" s="131"/>
      <c r="P47" s="131"/>
      <c r="Q47" s="131" t="s">
        <v>5122</v>
      </c>
      <c r="R47" s="131"/>
      <c r="S47" s="131"/>
      <c r="T47" s="131" t="s">
        <v>5122</v>
      </c>
      <c r="U47" s="131"/>
      <c r="V47" s="131" t="s">
        <v>5122</v>
      </c>
      <c r="W47" s="131"/>
      <c r="X47" s="131"/>
      <c r="Y47" s="131"/>
      <c r="Z47" s="162" t="s">
        <v>45</v>
      </c>
    </row>
    <row r="48" customHeight="1" spans="1:26">
      <c r="A48" s="131" t="s">
        <v>7680</v>
      </c>
      <c r="B48" s="131">
        <v>0</v>
      </c>
      <c r="C48" s="131" t="s">
        <v>320</v>
      </c>
      <c r="D48" s="131"/>
      <c r="E48" s="131"/>
      <c r="F48" s="132" t="s">
        <v>321</v>
      </c>
      <c r="G48" s="131" t="s">
        <v>326</v>
      </c>
      <c r="H48" s="131"/>
      <c r="I48" s="131" t="s">
        <v>7527</v>
      </c>
      <c r="J48" s="131"/>
      <c r="K48" s="159"/>
      <c r="L48" s="149" t="s">
        <v>323</v>
      </c>
      <c r="M48" s="148" t="s">
        <v>7681</v>
      </c>
      <c r="N48" s="148" t="s">
        <v>7682</v>
      </c>
      <c r="O48" s="131"/>
      <c r="P48" s="131"/>
      <c r="Q48" s="131" t="s">
        <v>5122</v>
      </c>
      <c r="R48" s="131"/>
      <c r="S48" s="131"/>
      <c r="T48" s="131"/>
      <c r="U48" s="131"/>
      <c r="V48" s="131"/>
      <c r="W48" s="131"/>
      <c r="X48" s="131"/>
      <c r="Y48" s="131"/>
      <c r="Z48" s="162" t="s">
        <v>45</v>
      </c>
    </row>
    <row r="49" customHeight="1" spans="1:26">
      <c r="A49" s="131" t="s">
        <v>7683</v>
      </c>
      <c r="B49" s="131">
        <v>0</v>
      </c>
      <c r="C49" s="131" t="s">
        <v>320</v>
      </c>
      <c r="D49" s="131"/>
      <c r="E49" s="131"/>
      <c r="F49" s="132" t="s">
        <v>321</v>
      </c>
      <c r="G49" s="131" t="s">
        <v>333</v>
      </c>
      <c r="H49" s="131"/>
      <c r="I49" s="131" t="s">
        <v>7527</v>
      </c>
      <c r="J49" s="131"/>
      <c r="K49" s="159"/>
      <c r="L49" s="149" t="s">
        <v>7657</v>
      </c>
      <c r="M49" s="148" t="s">
        <v>7684</v>
      </c>
      <c r="N49" s="148" t="s">
        <v>7685</v>
      </c>
      <c r="O49" s="131"/>
      <c r="P49" s="131"/>
      <c r="Q49" s="131" t="s">
        <v>5122</v>
      </c>
      <c r="R49" s="131"/>
      <c r="S49" s="131"/>
      <c r="T49" s="131" t="s">
        <v>5122</v>
      </c>
      <c r="U49" s="131"/>
      <c r="V49" s="131" t="s">
        <v>5122</v>
      </c>
      <c r="W49" s="131"/>
      <c r="X49" s="131"/>
      <c r="Y49" s="131"/>
      <c r="Z49" s="162" t="s">
        <v>45</v>
      </c>
    </row>
    <row r="50" customHeight="1" spans="1:26">
      <c r="A50" s="133" t="s">
        <v>7686</v>
      </c>
      <c r="B50" s="133">
        <v>0</v>
      </c>
      <c r="C50" s="133" t="s">
        <v>342</v>
      </c>
      <c r="D50" s="133"/>
      <c r="E50" s="133"/>
      <c r="F50" s="134" t="s">
        <v>321</v>
      </c>
      <c r="G50" s="133" t="s">
        <v>326</v>
      </c>
      <c r="H50" s="133"/>
      <c r="I50" s="133" t="s">
        <v>7527</v>
      </c>
      <c r="J50" s="133"/>
      <c r="K50" s="160"/>
      <c r="L50" s="151" t="s">
        <v>341</v>
      </c>
      <c r="M50" s="150" t="s">
        <v>7687</v>
      </c>
      <c r="N50" s="150" t="s">
        <v>7688</v>
      </c>
      <c r="O50" s="133"/>
      <c r="P50" s="133"/>
      <c r="Q50" s="133"/>
      <c r="R50" s="133"/>
      <c r="S50" s="133"/>
      <c r="T50" s="133"/>
      <c r="U50" s="133"/>
      <c r="V50" s="133"/>
      <c r="W50" s="133"/>
      <c r="X50" s="133"/>
      <c r="Y50" s="133"/>
      <c r="Z50" s="162" t="s">
        <v>7689</v>
      </c>
    </row>
    <row r="51" customHeight="1" spans="1:26">
      <c r="A51" s="127" t="s">
        <v>7690</v>
      </c>
      <c r="B51" s="127">
        <v>0</v>
      </c>
      <c r="C51" s="127" t="s">
        <v>331</v>
      </c>
      <c r="D51" s="127"/>
      <c r="E51" s="127"/>
      <c r="F51" s="128" t="s">
        <v>321</v>
      </c>
      <c r="G51" s="127" t="s">
        <v>333</v>
      </c>
      <c r="H51" s="127" t="s">
        <v>7526</v>
      </c>
      <c r="I51" s="127" t="s">
        <v>7527</v>
      </c>
      <c r="J51" s="127"/>
      <c r="K51" s="145"/>
      <c r="L51" s="145" t="s">
        <v>323</v>
      </c>
      <c r="M51" s="144" t="s">
        <v>7691</v>
      </c>
      <c r="N51" s="161" t="s">
        <v>7692</v>
      </c>
      <c r="O51" s="127"/>
      <c r="P51" s="127"/>
      <c r="Q51" s="127"/>
      <c r="R51" s="127"/>
      <c r="S51" s="127"/>
      <c r="T51" s="127"/>
      <c r="U51" s="127"/>
      <c r="V51" s="127" t="s">
        <v>5122</v>
      </c>
      <c r="W51" s="127"/>
      <c r="X51" s="127"/>
      <c r="Y51" s="127"/>
      <c r="Z51" s="162" t="s">
        <v>7693</v>
      </c>
    </row>
    <row r="52" customHeight="1" spans="1:26">
      <c r="A52" s="137" t="s">
        <v>7694</v>
      </c>
      <c r="B52" s="137">
        <v>0</v>
      </c>
      <c r="C52" s="137" t="s">
        <v>339</v>
      </c>
      <c r="D52" s="137"/>
      <c r="E52" s="137"/>
      <c r="F52" s="138" t="s">
        <v>321</v>
      </c>
      <c r="G52" s="137" t="s">
        <v>326</v>
      </c>
      <c r="H52" s="137" t="s">
        <v>7526</v>
      </c>
      <c r="I52" s="137" t="s">
        <v>7527</v>
      </c>
      <c r="J52" s="137"/>
      <c r="K52" s="154"/>
      <c r="L52" s="155" t="s">
        <v>323</v>
      </c>
      <c r="M52" s="154" t="s">
        <v>7695</v>
      </c>
      <c r="N52" s="154" t="s">
        <v>7696</v>
      </c>
      <c r="O52" s="137" t="s">
        <v>5122</v>
      </c>
      <c r="P52" s="137"/>
      <c r="Q52" s="137" t="s">
        <v>5122</v>
      </c>
      <c r="R52" s="137"/>
      <c r="S52" s="137"/>
      <c r="T52" s="137" t="s">
        <v>5122</v>
      </c>
      <c r="U52" s="137" t="s">
        <v>5122</v>
      </c>
      <c r="V52" s="137" t="s">
        <v>5122</v>
      </c>
      <c r="W52" s="137"/>
      <c r="X52" s="137"/>
      <c r="Y52" s="137"/>
      <c r="Z52" s="118" t="s">
        <v>111</v>
      </c>
    </row>
    <row r="53" customHeight="1" spans="1:26">
      <c r="A53" s="135" t="s">
        <v>7697</v>
      </c>
      <c r="B53" s="135">
        <v>0</v>
      </c>
      <c r="C53" s="135" t="s">
        <v>335</v>
      </c>
      <c r="D53" s="135"/>
      <c r="E53" s="135"/>
      <c r="F53" s="136" t="s">
        <v>329</v>
      </c>
      <c r="G53" s="135" t="s">
        <v>326</v>
      </c>
      <c r="H53" s="135" t="s">
        <v>7526</v>
      </c>
      <c r="I53" s="135"/>
      <c r="J53" s="135"/>
      <c r="K53" s="152"/>
      <c r="L53" s="153" t="s">
        <v>341</v>
      </c>
      <c r="M53" s="152" t="s">
        <v>7698</v>
      </c>
      <c r="N53" s="152" t="s">
        <v>7699</v>
      </c>
      <c r="O53" s="135" t="s">
        <v>5122</v>
      </c>
      <c r="P53" s="135"/>
      <c r="Q53" s="135"/>
      <c r="R53" s="135"/>
      <c r="S53" s="135"/>
      <c r="T53" s="135" t="s">
        <v>5122</v>
      </c>
      <c r="U53" s="135" t="s">
        <v>5122</v>
      </c>
      <c r="V53" s="135" t="s">
        <v>5122</v>
      </c>
      <c r="W53" s="135"/>
      <c r="X53" s="135"/>
      <c r="Y53" s="135"/>
      <c r="Z53" s="118" t="s">
        <v>111</v>
      </c>
    </row>
    <row r="54" customHeight="1" spans="1:26">
      <c r="A54" s="137" t="s">
        <v>7700</v>
      </c>
      <c r="B54" s="137">
        <v>0</v>
      </c>
      <c r="C54" s="137" t="s">
        <v>339</v>
      </c>
      <c r="D54" s="137"/>
      <c r="E54" s="137"/>
      <c r="F54" s="138" t="s">
        <v>321</v>
      </c>
      <c r="G54" s="137" t="s">
        <v>343</v>
      </c>
      <c r="H54" s="137" t="s">
        <v>7526</v>
      </c>
      <c r="I54" s="137" t="s">
        <v>7527</v>
      </c>
      <c r="J54" s="137"/>
      <c r="K54" s="154"/>
      <c r="L54" s="155" t="s">
        <v>327</v>
      </c>
      <c r="M54" s="154" t="s">
        <v>7701</v>
      </c>
      <c r="N54" s="154" t="s">
        <v>7702</v>
      </c>
      <c r="O54" s="137" t="s">
        <v>5122</v>
      </c>
      <c r="P54" s="137"/>
      <c r="Q54" s="137"/>
      <c r="R54" s="137"/>
      <c r="S54" s="137"/>
      <c r="T54" s="137" t="s">
        <v>5122</v>
      </c>
      <c r="U54" s="137" t="s">
        <v>5122</v>
      </c>
      <c r="V54" s="137" t="s">
        <v>5122</v>
      </c>
      <c r="W54" s="137"/>
      <c r="X54" s="137"/>
      <c r="Y54" s="137"/>
      <c r="Z54" s="118" t="s">
        <v>111</v>
      </c>
    </row>
    <row r="55" customHeight="1" spans="1:26">
      <c r="A55" s="133" t="s">
        <v>7703</v>
      </c>
      <c r="B55" s="133">
        <v>0</v>
      </c>
      <c r="C55" s="133" t="s">
        <v>342</v>
      </c>
      <c r="D55" s="133"/>
      <c r="E55" s="133"/>
      <c r="F55" s="134" t="s">
        <v>321</v>
      </c>
      <c r="G55" s="133" t="s">
        <v>343</v>
      </c>
      <c r="H55" s="133"/>
      <c r="I55" s="133" t="s">
        <v>7527</v>
      </c>
      <c r="J55" s="133"/>
      <c r="K55" s="150"/>
      <c r="L55" s="151" t="s">
        <v>327</v>
      </c>
      <c r="M55" s="150" t="s">
        <v>7704</v>
      </c>
      <c r="N55" s="150" t="s">
        <v>7705</v>
      </c>
      <c r="O55" s="133"/>
      <c r="P55" s="133"/>
      <c r="Q55" s="133" t="s">
        <v>5122</v>
      </c>
      <c r="R55" s="133"/>
      <c r="S55" s="133"/>
      <c r="T55" s="133" t="s">
        <v>5122</v>
      </c>
      <c r="U55" s="133" t="s">
        <v>5122</v>
      </c>
      <c r="V55" s="133" t="s">
        <v>5122</v>
      </c>
      <c r="W55" s="133"/>
      <c r="X55" s="133"/>
      <c r="Y55" s="133"/>
      <c r="Z55" s="118" t="s">
        <v>111</v>
      </c>
    </row>
    <row r="56" customHeight="1" spans="1:26">
      <c r="A56" s="123" t="s">
        <v>7706</v>
      </c>
      <c r="B56" s="123">
        <v>0</v>
      </c>
      <c r="C56" s="123" t="s">
        <v>324</v>
      </c>
      <c r="D56" s="123"/>
      <c r="E56" s="123"/>
      <c r="F56" s="124" t="s">
        <v>321</v>
      </c>
      <c r="G56" s="123" t="s">
        <v>326</v>
      </c>
      <c r="H56" s="123" t="s">
        <v>7526</v>
      </c>
      <c r="I56" s="123" t="s">
        <v>7527</v>
      </c>
      <c r="J56" s="123"/>
      <c r="K56" s="141"/>
      <c r="L56" s="139" t="s">
        <v>323</v>
      </c>
      <c r="M56" s="141" t="s">
        <v>7707</v>
      </c>
      <c r="N56" s="141" t="s">
        <v>7708</v>
      </c>
      <c r="O56" s="123"/>
      <c r="P56" s="123"/>
      <c r="Q56" s="123"/>
      <c r="R56" s="123"/>
      <c r="S56" s="123"/>
      <c r="T56" s="123" t="s">
        <v>5122</v>
      </c>
      <c r="U56" s="123"/>
      <c r="V56" s="123" t="s">
        <v>5122</v>
      </c>
      <c r="W56" s="123"/>
      <c r="X56" s="123"/>
      <c r="Y56" s="123" t="s">
        <v>5122</v>
      </c>
      <c r="Z56" s="118" t="s">
        <v>72</v>
      </c>
    </row>
    <row r="57" customHeight="1" spans="1:26">
      <c r="A57" s="127" t="s">
        <v>7709</v>
      </c>
      <c r="B57" s="127">
        <v>0</v>
      </c>
      <c r="C57" s="127" t="s">
        <v>331</v>
      </c>
      <c r="D57" s="127"/>
      <c r="E57" s="127"/>
      <c r="F57" s="128" t="s">
        <v>321</v>
      </c>
      <c r="G57" s="127" t="s">
        <v>7710</v>
      </c>
      <c r="H57" s="127" t="s">
        <v>7526</v>
      </c>
      <c r="I57" s="127" t="s">
        <v>7527</v>
      </c>
      <c r="J57" s="127"/>
      <c r="K57" s="144"/>
      <c r="L57" s="145" t="s">
        <v>323</v>
      </c>
      <c r="M57" s="144" t="s">
        <v>7711</v>
      </c>
      <c r="N57" s="144" t="s">
        <v>7712</v>
      </c>
      <c r="O57" s="127"/>
      <c r="P57" s="127"/>
      <c r="Q57" s="127" t="s">
        <v>5122</v>
      </c>
      <c r="R57" s="127"/>
      <c r="S57" s="127"/>
      <c r="T57" s="127" t="s">
        <v>5122</v>
      </c>
      <c r="U57" s="127"/>
      <c r="V57" s="127" t="s">
        <v>5122</v>
      </c>
      <c r="W57" s="127"/>
      <c r="X57" s="127"/>
      <c r="Y57" s="127" t="s">
        <v>5122</v>
      </c>
      <c r="Z57" s="118" t="s">
        <v>72</v>
      </c>
    </row>
    <row r="58" customHeight="1" spans="1:26">
      <c r="A58" s="137" t="s">
        <v>7713</v>
      </c>
      <c r="B58" s="137">
        <v>0</v>
      </c>
      <c r="C58" s="137" t="s">
        <v>339</v>
      </c>
      <c r="D58" s="137"/>
      <c r="E58" s="137"/>
      <c r="F58" s="138" t="s">
        <v>321</v>
      </c>
      <c r="G58" s="137" t="s">
        <v>7714</v>
      </c>
      <c r="H58" s="137" t="s">
        <v>7526</v>
      </c>
      <c r="I58" s="137" t="s">
        <v>7527</v>
      </c>
      <c r="J58" s="137"/>
      <c r="K58" s="154"/>
      <c r="L58" s="155" t="s">
        <v>323</v>
      </c>
      <c r="M58" s="154" t="s">
        <v>7715</v>
      </c>
      <c r="N58" s="154" t="s">
        <v>7716</v>
      </c>
      <c r="O58" s="137"/>
      <c r="P58" s="137"/>
      <c r="Q58" s="137" t="s">
        <v>5122</v>
      </c>
      <c r="R58" s="137"/>
      <c r="S58" s="137"/>
      <c r="T58" s="137" t="s">
        <v>5122</v>
      </c>
      <c r="U58" s="137"/>
      <c r="V58" s="137" t="s">
        <v>5122</v>
      </c>
      <c r="W58" s="137"/>
      <c r="X58" s="137"/>
      <c r="Y58" s="137" t="s">
        <v>5122</v>
      </c>
      <c r="Z58" s="118" t="s">
        <v>72</v>
      </c>
    </row>
    <row r="59" customHeight="1" spans="1:26">
      <c r="A59" s="129" t="s">
        <v>7717</v>
      </c>
      <c r="B59" s="129">
        <v>0</v>
      </c>
      <c r="C59" s="129" t="s">
        <v>347</v>
      </c>
      <c r="D59" s="129"/>
      <c r="E59" s="129"/>
      <c r="F59" s="130" t="s">
        <v>321</v>
      </c>
      <c r="G59" s="129" t="s">
        <v>7535</v>
      </c>
      <c r="H59" s="129"/>
      <c r="I59" s="129" t="s">
        <v>7527</v>
      </c>
      <c r="J59" s="129" t="s">
        <v>7539</v>
      </c>
      <c r="K59" s="146" t="s">
        <v>7718</v>
      </c>
      <c r="L59" s="147" t="s">
        <v>329</v>
      </c>
      <c r="M59" s="146" t="s">
        <v>7719</v>
      </c>
      <c r="N59" s="146" t="s">
        <v>7720</v>
      </c>
      <c r="O59" s="129" t="s">
        <v>5122</v>
      </c>
      <c r="P59" s="129"/>
      <c r="Q59" s="129" t="s">
        <v>5122</v>
      </c>
      <c r="R59" s="129"/>
      <c r="S59" s="129"/>
      <c r="T59" s="129" t="s">
        <v>5122</v>
      </c>
      <c r="U59" s="129" t="s">
        <v>5122</v>
      </c>
      <c r="V59" s="129" t="s">
        <v>5122</v>
      </c>
      <c r="W59" s="129"/>
      <c r="X59" s="129"/>
      <c r="Y59" s="129"/>
      <c r="Z59" s="118" t="s">
        <v>103</v>
      </c>
    </row>
    <row r="60" customHeight="1" spans="1:26">
      <c r="A60" s="123" t="s">
        <v>7721</v>
      </c>
      <c r="B60" s="123">
        <v>0</v>
      </c>
      <c r="C60" s="123" t="s">
        <v>324</v>
      </c>
      <c r="D60" s="123"/>
      <c r="E60" s="123"/>
      <c r="F60" s="124" t="s">
        <v>325</v>
      </c>
      <c r="G60" s="123" t="s">
        <v>326</v>
      </c>
      <c r="H60" s="123" t="s">
        <v>7526</v>
      </c>
      <c r="I60" s="123" t="s">
        <v>7527</v>
      </c>
      <c r="J60" s="123"/>
      <c r="K60" s="141"/>
      <c r="L60" s="139" t="s">
        <v>329</v>
      </c>
      <c r="M60" s="141" t="s">
        <v>7722</v>
      </c>
      <c r="N60" s="141" t="s">
        <v>7723</v>
      </c>
      <c r="O60" s="123" t="s">
        <v>5122</v>
      </c>
      <c r="P60" s="123"/>
      <c r="Q60" s="123"/>
      <c r="R60" s="123"/>
      <c r="S60" s="123"/>
      <c r="T60" s="123" t="s">
        <v>5122</v>
      </c>
      <c r="U60" s="123"/>
      <c r="V60" s="123" t="s">
        <v>5122</v>
      </c>
      <c r="W60" s="123"/>
      <c r="X60" s="123"/>
      <c r="Y60" s="123"/>
      <c r="Z60" s="118" t="s">
        <v>103</v>
      </c>
    </row>
    <row r="61" customHeight="1" spans="1:26">
      <c r="A61" s="131" t="s">
        <v>7724</v>
      </c>
      <c r="B61" s="131">
        <v>0</v>
      </c>
      <c r="C61" s="131" t="s">
        <v>320</v>
      </c>
      <c r="D61" s="131"/>
      <c r="E61" s="131"/>
      <c r="F61" s="132" t="s">
        <v>325</v>
      </c>
      <c r="G61" s="131" t="s">
        <v>326</v>
      </c>
      <c r="H61" s="131" t="s">
        <v>7526</v>
      </c>
      <c r="I61" s="131"/>
      <c r="J61" s="131"/>
      <c r="K61" s="148"/>
      <c r="L61" s="149" t="s">
        <v>323</v>
      </c>
      <c r="M61" s="148" t="s">
        <v>7725</v>
      </c>
      <c r="N61" s="148" t="s">
        <v>7726</v>
      </c>
      <c r="O61" s="131"/>
      <c r="P61" s="131" t="s">
        <v>5122</v>
      </c>
      <c r="Q61" s="131"/>
      <c r="R61" s="131"/>
      <c r="S61" s="131"/>
      <c r="T61" s="131" t="s">
        <v>5122</v>
      </c>
      <c r="U61" s="131"/>
      <c r="V61" s="131" t="s">
        <v>5122</v>
      </c>
      <c r="W61" s="131"/>
      <c r="X61" s="131"/>
      <c r="Y61" s="131"/>
      <c r="Z61" s="118" t="s">
        <v>103</v>
      </c>
    </row>
    <row r="62" customHeight="1" spans="1:26">
      <c r="A62" s="123" t="s">
        <v>7727</v>
      </c>
      <c r="B62" s="123">
        <v>0</v>
      </c>
      <c r="C62" s="123" t="s">
        <v>324</v>
      </c>
      <c r="D62" s="123"/>
      <c r="E62" s="123"/>
      <c r="F62" s="124" t="s">
        <v>321</v>
      </c>
      <c r="G62" s="123" t="s">
        <v>333</v>
      </c>
      <c r="H62" s="123" t="s">
        <v>7526</v>
      </c>
      <c r="I62" s="123" t="s">
        <v>7527</v>
      </c>
      <c r="J62" s="123"/>
      <c r="K62" s="141"/>
      <c r="L62" s="139" t="s">
        <v>323</v>
      </c>
      <c r="M62" s="141" t="s">
        <v>7728</v>
      </c>
      <c r="N62" s="141" t="s">
        <v>7729</v>
      </c>
      <c r="O62" s="123" t="s">
        <v>5122</v>
      </c>
      <c r="P62" s="123"/>
      <c r="Q62" s="123"/>
      <c r="R62" s="123"/>
      <c r="S62" s="123"/>
      <c r="T62" s="123" t="s">
        <v>5122</v>
      </c>
      <c r="U62" s="123" t="s">
        <v>5122</v>
      </c>
      <c r="V62" s="123" t="s">
        <v>5122</v>
      </c>
      <c r="W62" s="123"/>
      <c r="X62" s="123"/>
      <c r="Y62" s="123"/>
      <c r="Z62" s="118" t="s">
        <v>95</v>
      </c>
    </row>
    <row r="63" customHeight="1" spans="1:26">
      <c r="A63" s="133" t="s">
        <v>7730</v>
      </c>
      <c r="B63" s="133">
        <v>0</v>
      </c>
      <c r="C63" s="133" t="s">
        <v>342</v>
      </c>
      <c r="D63" s="133"/>
      <c r="E63" s="133"/>
      <c r="F63" s="134" t="s">
        <v>321</v>
      </c>
      <c r="G63" s="133" t="s">
        <v>7731</v>
      </c>
      <c r="H63" s="133" t="s">
        <v>7526</v>
      </c>
      <c r="I63" s="133"/>
      <c r="J63" s="133"/>
      <c r="K63" s="150"/>
      <c r="L63" s="151" t="s">
        <v>323</v>
      </c>
      <c r="M63" s="150" t="s">
        <v>7732</v>
      </c>
      <c r="N63" s="150" t="s">
        <v>7733</v>
      </c>
      <c r="O63" s="133" t="s">
        <v>5122</v>
      </c>
      <c r="P63" s="133" t="s">
        <v>5122</v>
      </c>
      <c r="Q63" s="133" t="s">
        <v>5122</v>
      </c>
      <c r="R63" s="133"/>
      <c r="S63" s="133"/>
      <c r="T63" s="133"/>
      <c r="U63" s="133"/>
      <c r="V63" s="133"/>
      <c r="W63" s="133"/>
      <c r="X63" s="133"/>
      <c r="Y63" s="133"/>
      <c r="Z63" s="118" t="s">
        <v>95</v>
      </c>
    </row>
    <row r="64" customHeight="1" spans="1:26">
      <c r="A64" s="131" t="s">
        <v>7734</v>
      </c>
      <c r="B64" s="131">
        <v>0</v>
      </c>
      <c r="C64" s="131" t="s">
        <v>320</v>
      </c>
      <c r="D64" s="131"/>
      <c r="E64" s="131"/>
      <c r="F64" s="132" t="s">
        <v>325</v>
      </c>
      <c r="G64" s="131" t="s">
        <v>330</v>
      </c>
      <c r="H64" s="131" t="s">
        <v>7526</v>
      </c>
      <c r="I64" s="131"/>
      <c r="J64" s="131"/>
      <c r="K64" s="148"/>
      <c r="L64" s="149" t="s">
        <v>323</v>
      </c>
      <c r="M64" s="148" t="s">
        <v>7735</v>
      </c>
      <c r="N64" s="148" t="s">
        <v>7736</v>
      </c>
      <c r="O64" s="131" t="s">
        <v>5122</v>
      </c>
      <c r="P64" s="131"/>
      <c r="Q64" s="131"/>
      <c r="R64" s="131"/>
      <c r="S64" s="131"/>
      <c r="T64" s="131" t="s">
        <v>5122</v>
      </c>
      <c r="U64" s="131"/>
      <c r="V64" s="131" t="s">
        <v>5122</v>
      </c>
      <c r="W64" s="131"/>
      <c r="X64" s="131"/>
      <c r="Y64" s="131"/>
      <c r="Z64" s="118" t="s">
        <v>95</v>
      </c>
    </row>
    <row r="65" customHeight="1" spans="1:26">
      <c r="A65" s="137" t="s">
        <v>7737</v>
      </c>
      <c r="B65" s="137">
        <v>0</v>
      </c>
      <c r="C65" s="137" t="s">
        <v>339</v>
      </c>
      <c r="D65" s="137"/>
      <c r="E65" s="137"/>
      <c r="F65" s="138" t="s">
        <v>7738</v>
      </c>
      <c r="G65" s="137" t="s">
        <v>7556</v>
      </c>
      <c r="H65" s="137" t="s">
        <v>7526</v>
      </c>
      <c r="I65" s="137" t="s">
        <v>7527</v>
      </c>
      <c r="J65" s="137"/>
      <c r="K65" s="154"/>
      <c r="L65" s="155" t="s">
        <v>323</v>
      </c>
      <c r="M65" s="154" t="s">
        <v>7739</v>
      </c>
      <c r="N65" s="154" t="s">
        <v>7740</v>
      </c>
      <c r="O65" s="137" t="s">
        <v>5122</v>
      </c>
      <c r="P65" s="137"/>
      <c r="Q65" s="137" t="s">
        <v>5122</v>
      </c>
      <c r="R65" s="137"/>
      <c r="S65" s="137"/>
      <c r="T65" s="137" t="s">
        <v>5122</v>
      </c>
      <c r="U65" s="137"/>
      <c r="V65" s="137" t="s">
        <v>5122</v>
      </c>
      <c r="W65" s="137"/>
      <c r="X65" s="137"/>
      <c r="Y65" s="137"/>
      <c r="Z65" s="118" t="s">
        <v>95</v>
      </c>
    </row>
    <row r="66" customHeight="1" spans="1:26">
      <c r="A66" s="131" t="s">
        <v>7741</v>
      </c>
      <c r="B66" s="131">
        <v>0</v>
      </c>
      <c r="C66" s="131" t="s">
        <v>320</v>
      </c>
      <c r="D66" s="131"/>
      <c r="E66" s="131"/>
      <c r="F66" s="132" t="s">
        <v>321</v>
      </c>
      <c r="G66" s="131" t="s">
        <v>330</v>
      </c>
      <c r="H66" s="131"/>
      <c r="I66" s="131" t="s">
        <v>7527</v>
      </c>
      <c r="J66" s="131"/>
      <c r="K66" s="148"/>
      <c r="L66" s="149" t="s">
        <v>7588</v>
      </c>
      <c r="M66" s="148" t="s">
        <v>7742</v>
      </c>
      <c r="N66" s="148" t="s">
        <v>7743</v>
      </c>
      <c r="O66" s="131" t="s">
        <v>5122</v>
      </c>
      <c r="P66" s="131"/>
      <c r="Q66" s="131"/>
      <c r="R66" s="131"/>
      <c r="S66" s="131"/>
      <c r="T66" s="131" t="s">
        <v>5122</v>
      </c>
      <c r="U66" s="131" t="s">
        <v>5122</v>
      </c>
      <c r="V66" s="131" t="s">
        <v>5122</v>
      </c>
      <c r="W66" s="131"/>
      <c r="X66" s="131"/>
      <c r="Y66" s="131"/>
      <c r="Z66" s="118" t="s">
        <v>95</v>
      </c>
    </row>
    <row r="67" customHeight="1" spans="1:26">
      <c r="A67" s="127" t="s">
        <v>7744</v>
      </c>
      <c r="B67" s="127">
        <v>0</v>
      </c>
      <c r="C67" s="127" t="s">
        <v>331</v>
      </c>
      <c r="D67" s="127"/>
      <c r="E67" s="127"/>
      <c r="F67" s="128" t="s">
        <v>321</v>
      </c>
      <c r="G67" s="127" t="s">
        <v>340</v>
      </c>
      <c r="H67" s="127" t="s">
        <v>7526</v>
      </c>
      <c r="I67" s="127" t="s">
        <v>7527</v>
      </c>
      <c r="J67" s="127"/>
      <c r="K67" s="144"/>
      <c r="L67" s="145" t="s">
        <v>323</v>
      </c>
      <c r="M67" s="144" t="s">
        <v>7745</v>
      </c>
      <c r="N67" s="144" t="s">
        <v>7746</v>
      </c>
      <c r="O67" s="127"/>
      <c r="P67" s="127"/>
      <c r="Q67" s="127"/>
      <c r="R67" s="127"/>
      <c r="S67" s="127"/>
      <c r="T67" s="127" t="s">
        <v>5122</v>
      </c>
      <c r="U67" s="127" t="s">
        <v>5122</v>
      </c>
      <c r="V67" s="127" t="s">
        <v>5122</v>
      </c>
      <c r="W67" s="127"/>
      <c r="X67" s="127"/>
      <c r="Y67" s="127"/>
      <c r="Z67" s="118" t="s">
        <v>108</v>
      </c>
    </row>
    <row r="68" customHeight="1" spans="1:26">
      <c r="A68" s="131" t="s">
        <v>7747</v>
      </c>
      <c r="B68" s="131">
        <v>0</v>
      </c>
      <c r="C68" s="131" t="s">
        <v>320</v>
      </c>
      <c r="D68" s="131"/>
      <c r="E68" s="131"/>
      <c r="F68" s="132" t="s">
        <v>321</v>
      </c>
      <c r="G68" s="131" t="s">
        <v>7535</v>
      </c>
      <c r="H68" s="131" t="s">
        <v>7526</v>
      </c>
      <c r="I68" s="131" t="s">
        <v>7527</v>
      </c>
      <c r="J68" s="131"/>
      <c r="K68" s="148"/>
      <c r="L68" s="149" t="s">
        <v>323</v>
      </c>
      <c r="M68" s="148" t="s">
        <v>7748</v>
      </c>
      <c r="N68" s="148" t="s">
        <v>7749</v>
      </c>
      <c r="O68" s="131"/>
      <c r="P68" s="131"/>
      <c r="Q68" s="131"/>
      <c r="R68" s="131"/>
      <c r="S68" s="131"/>
      <c r="T68" s="131"/>
      <c r="U68" s="131"/>
      <c r="V68" s="131" t="s">
        <v>5122</v>
      </c>
      <c r="W68" s="131"/>
      <c r="X68" s="131"/>
      <c r="Y68" s="131"/>
      <c r="Z68" s="118" t="s">
        <v>108</v>
      </c>
    </row>
    <row r="69" customHeight="1" spans="1:26">
      <c r="A69" s="131" t="s">
        <v>7750</v>
      </c>
      <c r="B69" s="131">
        <v>0</v>
      </c>
      <c r="C69" s="131" t="s">
        <v>320</v>
      </c>
      <c r="D69" s="131"/>
      <c r="E69" s="131"/>
      <c r="F69" s="132" t="s">
        <v>7751</v>
      </c>
      <c r="G69" s="131" t="s">
        <v>333</v>
      </c>
      <c r="H69" s="131" t="s">
        <v>7526</v>
      </c>
      <c r="I69" s="131" t="s">
        <v>7527</v>
      </c>
      <c r="J69" s="131" t="s">
        <v>7539</v>
      </c>
      <c r="K69" s="148" t="s">
        <v>7752</v>
      </c>
      <c r="L69" s="149" t="s">
        <v>327</v>
      </c>
      <c r="M69" s="148" t="s">
        <v>7753</v>
      </c>
      <c r="N69" s="148" t="s">
        <v>7754</v>
      </c>
      <c r="O69" s="131"/>
      <c r="P69" s="131"/>
      <c r="Q69" s="131" t="s">
        <v>5122</v>
      </c>
      <c r="R69" s="131"/>
      <c r="S69" s="131"/>
      <c r="T69" s="131"/>
      <c r="U69" s="131"/>
      <c r="V69" s="131" t="s">
        <v>5122</v>
      </c>
      <c r="W69" s="131"/>
      <c r="X69" s="131"/>
      <c r="Y69" s="131"/>
      <c r="Z69" s="118" t="s">
        <v>108</v>
      </c>
    </row>
    <row r="70" customHeight="1" spans="1:26">
      <c r="A70" s="129" t="s">
        <v>7755</v>
      </c>
      <c r="B70" s="129">
        <v>0</v>
      </c>
      <c r="C70" s="129" t="s">
        <v>347</v>
      </c>
      <c r="D70" s="129"/>
      <c r="E70" s="129" t="s">
        <v>5122</v>
      </c>
      <c r="F70" s="130" t="s">
        <v>321</v>
      </c>
      <c r="G70" s="129" t="s">
        <v>7535</v>
      </c>
      <c r="H70" s="129" t="s">
        <v>7526</v>
      </c>
      <c r="I70" s="129" t="s">
        <v>7527</v>
      </c>
      <c r="J70" s="129"/>
      <c r="K70" s="146"/>
      <c r="L70" s="147" t="s">
        <v>352</v>
      </c>
      <c r="M70" s="146" t="s">
        <v>7756</v>
      </c>
      <c r="N70" s="146" t="s">
        <v>7757</v>
      </c>
      <c r="O70" s="129" t="s">
        <v>5122</v>
      </c>
      <c r="P70" s="129"/>
      <c r="Q70" s="129" t="s">
        <v>5122</v>
      </c>
      <c r="R70" s="129"/>
      <c r="S70" s="129"/>
      <c r="T70" s="129" t="s">
        <v>5122</v>
      </c>
      <c r="U70" s="129"/>
      <c r="V70" s="129"/>
      <c r="W70" s="129"/>
      <c r="X70" s="129"/>
      <c r="Y70" s="129"/>
      <c r="Z70" s="118" t="s">
        <v>108</v>
      </c>
    </row>
    <row r="71" customHeight="1" spans="1:26">
      <c r="A71" s="123" t="s">
        <v>7758</v>
      </c>
      <c r="B71" s="123">
        <v>0</v>
      </c>
      <c r="C71" s="123" t="s">
        <v>324</v>
      </c>
      <c r="D71" s="123"/>
      <c r="E71" s="123"/>
      <c r="F71" s="124" t="s">
        <v>321</v>
      </c>
      <c r="G71" s="123" t="s">
        <v>343</v>
      </c>
      <c r="H71" s="123" t="s">
        <v>7526</v>
      </c>
      <c r="I71" s="123" t="s">
        <v>7527</v>
      </c>
      <c r="J71" s="123"/>
      <c r="K71" s="141"/>
      <c r="L71" s="139" t="s">
        <v>323</v>
      </c>
      <c r="M71" s="141" t="s">
        <v>7759</v>
      </c>
      <c r="N71" s="141" t="s">
        <v>7760</v>
      </c>
      <c r="O71" s="123"/>
      <c r="P71" s="123"/>
      <c r="Q71" s="123"/>
      <c r="R71" s="123"/>
      <c r="S71" s="123"/>
      <c r="T71" s="123" t="s">
        <v>5122</v>
      </c>
      <c r="U71" s="123" t="s">
        <v>5122</v>
      </c>
      <c r="V71" s="123" t="s">
        <v>5122</v>
      </c>
      <c r="W71" s="123"/>
      <c r="X71" s="123"/>
      <c r="Y71" s="123"/>
      <c r="Z71" s="118" t="s">
        <v>87</v>
      </c>
    </row>
    <row r="72" customHeight="1" spans="1:26">
      <c r="A72" s="123" t="s">
        <v>7761</v>
      </c>
      <c r="B72" s="123">
        <v>0</v>
      </c>
      <c r="C72" s="123" t="s">
        <v>324</v>
      </c>
      <c r="D72" s="123"/>
      <c r="E72" s="123"/>
      <c r="F72" s="124" t="s">
        <v>321</v>
      </c>
      <c r="G72" s="123" t="s">
        <v>326</v>
      </c>
      <c r="H72" s="123"/>
      <c r="I72" s="123" t="s">
        <v>7527</v>
      </c>
      <c r="J72" s="123" t="s">
        <v>7539</v>
      </c>
      <c r="K72" s="141" t="s">
        <v>7762</v>
      </c>
      <c r="L72" s="139" t="s">
        <v>323</v>
      </c>
      <c r="M72" s="141" t="s">
        <v>7763</v>
      </c>
      <c r="N72" s="141" t="s">
        <v>7764</v>
      </c>
      <c r="O72" s="123"/>
      <c r="P72" s="123"/>
      <c r="Q72" s="123"/>
      <c r="R72" s="123"/>
      <c r="S72" s="123"/>
      <c r="T72" s="123" t="s">
        <v>5122</v>
      </c>
      <c r="U72" s="123" t="s">
        <v>5122</v>
      </c>
      <c r="V72" s="123" t="s">
        <v>5122</v>
      </c>
      <c r="W72" s="123"/>
      <c r="X72" s="123"/>
      <c r="Y72" s="123"/>
      <c r="Z72" s="118" t="s">
        <v>87</v>
      </c>
    </row>
    <row r="73" customHeight="1" spans="1:26">
      <c r="A73" s="123" t="s">
        <v>7765</v>
      </c>
      <c r="B73" s="123">
        <v>0</v>
      </c>
      <c r="C73" s="123" t="s">
        <v>324</v>
      </c>
      <c r="D73" s="123"/>
      <c r="E73" s="123"/>
      <c r="F73" s="124" t="s">
        <v>321</v>
      </c>
      <c r="G73" s="123" t="s">
        <v>337</v>
      </c>
      <c r="H73" s="123" t="s">
        <v>7526</v>
      </c>
      <c r="I73" s="123" t="s">
        <v>7527</v>
      </c>
      <c r="J73" s="123"/>
      <c r="K73" s="141"/>
      <c r="L73" s="139" t="s">
        <v>323</v>
      </c>
      <c r="M73" s="141" t="s">
        <v>7766</v>
      </c>
      <c r="N73" s="141" t="s">
        <v>7767</v>
      </c>
      <c r="O73" s="123"/>
      <c r="P73" s="123" t="s">
        <v>5122</v>
      </c>
      <c r="Q73" s="123"/>
      <c r="R73" s="123"/>
      <c r="S73" s="123"/>
      <c r="T73" s="123"/>
      <c r="U73" s="123"/>
      <c r="V73" s="123"/>
      <c r="W73" s="123"/>
      <c r="X73" s="123"/>
      <c r="Y73" s="123"/>
      <c r="Z73" s="118" t="s">
        <v>65</v>
      </c>
    </row>
    <row r="74" ht="16.8" customHeight="1" spans="1:26">
      <c r="A74" s="123" t="s">
        <v>7768</v>
      </c>
      <c r="B74" s="123">
        <v>0</v>
      </c>
      <c r="C74" s="123" t="s">
        <v>324</v>
      </c>
      <c r="D74" s="123"/>
      <c r="E74" s="123"/>
      <c r="F74" s="124" t="s">
        <v>321</v>
      </c>
      <c r="G74" s="123" t="s">
        <v>326</v>
      </c>
      <c r="H74" s="123"/>
      <c r="I74" s="123" t="s">
        <v>7527</v>
      </c>
      <c r="J74" s="123"/>
      <c r="K74" s="141"/>
      <c r="L74" s="139" t="s">
        <v>327</v>
      </c>
      <c r="M74" s="141" t="s">
        <v>7769</v>
      </c>
      <c r="N74" s="141" t="s">
        <v>7770</v>
      </c>
      <c r="O74" s="123" t="s">
        <v>5122</v>
      </c>
      <c r="P74" s="123"/>
      <c r="Q74" s="123" t="s">
        <v>5122</v>
      </c>
      <c r="R74" s="123"/>
      <c r="S74" s="123"/>
      <c r="T74" s="123" t="s">
        <v>5122</v>
      </c>
      <c r="U74" s="123" t="s">
        <v>5122</v>
      </c>
      <c r="V74" s="123"/>
      <c r="W74" s="123"/>
      <c r="X74" s="123"/>
      <c r="Y74" s="123"/>
      <c r="Z74" s="118" t="s">
        <v>7771</v>
      </c>
    </row>
    <row r="75" customHeight="1" spans="1:26">
      <c r="A75" s="131" t="s">
        <v>7772</v>
      </c>
      <c r="B75" s="131">
        <v>0</v>
      </c>
      <c r="C75" s="131" t="s">
        <v>320</v>
      </c>
      <c r="D75" s="131"/>
      <c r="E75" s="131"/>
      <c r="F75" s="132" t="s">
        <v>321</v>
      </c>
      <c r="G75" s="131" t="s">
        <v>7535</v>
      </c>
      <c r="H75" s="131" t="s">
        <v>7526</v>
      </c>
      <c r="I75" s="131" t="s">
        <v>7527</v>
      </c>
      <c r="J75" s="131" t="s">
        <v>7539</v>
      </c>
      <c r="K75" s="148" t="s">
        <v>7773</v>
      </c>
      <c r="L75" s="149" t="s">
        <v>323</v>
      </c>
      <c r="M75" s="148" t="s">
        <v>7774</v>
      </c>
      <c r="N75" s="148" t="s">
        <v>7775</v>
      </c>
      <c r="O75" s="131"/>
      <c r="P75" s="131"/>
      <c r="Q75" s="131" t="s">
        <v>5122</v>
      </c>
      <c r="R75" s="131"/>
      <c r="S75" s="131"/>
      <c r="T75" s="131" t="s">
        <v>5122</v>
      </c>
      <c r="U75" s="131"/>
      <c r="V75" s="131" t="s">
        <v>5122</v>
      </c>
      <c r="W75" s="131"/>
      <c r="X75" s="131"/>
      <c r="Y75" s="131"/>
      <c r="Z75" s="118" t="s">
        <v>7776</v>
      </c>
    </row>
    <row r="76" customHeight="1" spans="1:26">
      <c r="A76" s="123" t="s">
        <v>7777</v>
      </c>
      <c r="B76" s="123">
        <v>0</v>
      </c>
      <c r="C76" s="123" t="s">
        <v>324</v>
      </c>
      <c r="D76" s="123"/>
      <c r="E76" s="123"/>
      <c r="F76" s="124" t="s">
        <v>321</v>
      </c>
      <c r="G76" s="123" t="s">
        <v>326</v>
      </c>
      <c r="H76" s="123" t="s">
        <v>7526</v>
      </c>
      <c r="I76" s="123"/>
      <c r="J76" s="123" t="s">
        <v>7539</v>
      </c>
      <c r="K76" s="141" t="s">
        <v>7778</v>
      </c>
      <c r="L76" s="139" t="s">
        <v>327</v>
      </c>
      <c r="M76" s="141" t="s">
        <v>7779</v>
      </c>
      <c r="N76" s="141" t="s">
        <v>7780</v>
      </c>
      <c r="O76" s="123" t="s">
        <v>5122</v>
      </c>
      <c r="P76" s="123" t="s">
        <v>5122</v>
      </c>
      <c r="Q76" s="123"/>
      <c r="R76" s="123"/>
      <c r="S76" s="123"/>
      <c r="T76" s="123" t="s">
        <v>5122</v>
      </c>
      <c r="U76" s="123"/>
      <c r="V76" s="123" t="s">
        <v>5122</v>
      </c>
      <c r="W76" s="123"/>
      <c r="X76" s="123"/>
      <c r="Y76" s="123"/>
      <c r="Z76" s="118" t="s">
        <v>7781</v>
      </c>
    </row>
    <row r="77" customHeight="1" spans="1:26">
      <c r="A77" s="127" t="s">
        <v>7782</v>
      </c>
      <c r="B77" s="127">
        <v>0</v>
      </c>
      <c r="C77" s="127" t="s">
        <v>331</v>
      </c>
      <c r="D77" s="127"/>
      <c r="E77" s="127" t="s">
        <v>5122</v>
      </c>
      <c r="F77" s="128" t="s">
        <v>321</v>
      </c>
      <c r="G77" s="127" t="s">
        <v>333</v>
      </c>
      <c r="H77" s="127" t="s">
        <v>7526</v>
      </c>
      <c r="I77" s="127" t="s">
        <v>7527</v>
      </c>
      <c r="J77" s="127"/>
      <c r="K77" s="144"/>
      <c r="L77" s="145" t="s">
        <v>352</v>
      </c>
      <c r="M77" s="144" t="s">
        <v>7783</v>
      </c>
      <c r="N77" s="144" t="s">
        <v>7784</v>
      </c>
      <c r="O77" s="127" t="s">
        <v>5122</v>
      </c>
      <c r="P77" s="127" t="s">
        <v>5122</v>
      </c>
      <c r="Q77" s="127"/>
      <c r="R77" s="127"/>
      <c r="S77" s="127"/>
      <c r="T77" s="127" t="s">
        <v>5122</v>
      </c>
      <c r="U77" s="127" t="s">
        <v>5122</v>
      </c>
      <c r="V77" s="127" t="s">
        <v>5122</v>
      </c>
      <c r="W77" s="127"/>
      <c r="X77" s="127"/>
      <c r="Y77" s="127"/>
      <c r="Z77" s="118" t="s">
        <v>7781</v>
      </c>
    </row>
    <row r="78" customHeight="1" spans="1:26">
      <c r="A78" s="137" t="s">
        <v>7785</v>
      </c>
      <c r="B78" s="137">
        <v>0</v>
      </c>
      <c r="C78" s="137" t="s">
        <v>339</v>
      </c>
      <c r="D78" s="137"/>
      <c r="E78" s="137" t="s">
        <v>5122</v>
      </c>
      <c r="F78" s="138" t="s">
        <v>321</v>
      </c>
      <c r="G78" s="137" t="s">
        <v>7786</v>
      </c>
      <c r="H78" s="137" t="s">
        <v>7526</v>
      </c>
      <c r="I78" s="137" t="s">
        <v>7527</v>
      </c>
      <c r="J78" s="137"/>
      <c r="K78" s="154"/>
      <c r="L78" s="155" t="s">
        <v>7787</v>
      </c>
      <c r="M78" s="154" t="s">
        <v>7788</v>
      </c>
      <c r="N78" s="154" t="s">
        <v>7789</v>
      </c>
      <c r="O78" s="137"/>
      <c r="P78" s="137"/>
      <c r="Q78" s="137" t="s">
        <v>5122</v>
      </c>
      <c r="R78" s="137"/>
      <c r="S78" s="137"/>
      <c r="T78" s="137"/>
      <c r="U78" s="137"/>
      <c r="V78" s="137" t="s">
        <v>5122</v>
      </c>
      <c r="W78" s="137"/>
      <c r="X78" s="137"/>
      <c r="Y78" s="137"/>
      <c r="Z78" s="118" t="s">
        <v>7781</v>
      </c>
    </row>
    <row r="79" customHeight="1" spans="1:26">
      <c r="A79" s="131" t="s">
        <v>7790</v>
      </c>
      <c r="B79" s="131">
        <v>0</v>
      </c>
      <c r="C79" s="131" t="s">
        <v>320</v>
      </c>
      <c r="D79" s="131"/>
      <c r="E79" s="131" t="s">
        <v>5122</v>
      </c>
      <c r="F79" s="132" t="s">
        <v>321</v>
      </c>
      <c r="G79" s="131" t="s">
        <v>7786</v>
      </c>
      <c r="H79" s="131" t="s">
        <v>7526</v>
      </c>
      <c r="I79" s="131"/>
      <c r="J79" s="131"/>
      <c r="K79" s="148"/>
      <c r="L79" s="149" t="s">
        <v>352</v>
      </c>
      <c r="M79" s="148" t="s">
        <v>7791</v>
      </c>
      <c r="N79" s="148" t="s">
        <v>7792</v>
      </c>
      <c r="O79" s="131"/>
      <c r="P79" s="131" t="s">
        <v>5122</v>
      </c>
      <c r="Q79" s="131" t="s">
        <v>5122</v>
      </c>
      <c r="R79" s="131"/>
      <c r="S79" s="131"/>
      <c r="T79" s="131"/>
      <c r="U79" s="131"/>
      <c r="V79" s="131"/>
      <c r="W79" s="131"/>
      <c r="X79" s="131"/>
      <c r="Y79" s="131"/>
      <c r="Z79" s="118" t="s">
        <v>7781</v>
      </c>
    </row>
    <row r="80" customHeight="1" spans="1:26">
      <c r="A80" s="129" t="s">
        <v>7793</v>
      </c>
      <c r="B80" s="129">
        <v>0</v>
      </c>
      <c r="C80" s="129" t="s">
        <v>347</v>
      </c>
      <c r="D80" s="129"/>
      <c r="E80" s="129" t="s">
        <v>5122</v>
      </c>
      <c r="F80" s="130" t="s">
        <v>325</v>
      </c>
      <c r="G80" s="129" t="s">
        <v>7556</v>
      </c>
      <c r="H80" s="129"/>
      <c r="I80" s="129" t="s">
        <v>7527</v>
      </c>
      <c r="J80" s="129"/>
      <c r="K80" s="146"/>
      <c r="L80" s="147" t="s">
        <v>352</v>
      </c>
      <c r="M80" s="146" t="s">
        <v>7794</v>
      </c>
      <c r="N80" s="146" t="s">
        <v>7795</v>
      </c>
      <c r="O80" s="129" t="s">
        <v>5122</v>
      </c>
      <c r="P80" s="129"/>
      <c r="Q80" s="129"/>
      <c r="R80" s="129"/>
      <c r="S80" s="129"/>
      <c r="T80" s="129"/>
      <c r="U80" s="129" t="s">
        <v>5122</v>
      </c>
      <c r="V80" s="129"/>
      <c r="W80" s="129"/>
      <c r="X80" s="129"/>
      <c r="Y80" s="129"/>
      <c r="Z80" s="118" t="s">
        <v>7781</v>
      </c>
    </row>
    <row r="81" customHeight="1" spans="1:26">
      <c r="A81" s="125" t="s">
        <v>7796</v>
      </c>
      <c r="B81" s="125">
        <v>1</v>
      </c>
      <c r="C81" s="125" t="s">
        <v>328</v>
      </c>
      <c r="D81" s="125" t="s">
        <v>5122</v>
      </c>
      <c r="E81" s="125"/>
      <c r="F81" s="126" t="s">
        <v>7797</v>
      </c>
      <c r="G81" s="125" t="s">
        <v>333</v>
      </c>
      <c r="H81" s="125" t="s">
        <v>7526</v>
      </c>
      <c r="I81" s="125" t="s">
        <v>7527</v>
      </c>
      <c r="J81" s="125" t="s">
        <v>7539</v>
      </c>
      <c r="K81" s="142" t="s">
        <v>7798</v>
      </c>
      <c r="L81" s="143" t="s">
        <v>341</v>
      </c>
      <c r="M81" s="142" t="s">
        <v>7799</v>
      </c>
      <c r="N81" s="142" t="s">
        <v>7800</v>
      </c>
      <c r="O81" s="125"/>
      <c r="P81" s="125"/>
      <c r="Q81" s="125"/>
      <c r="R81" s="125"/>
      <c r="S81" s="125" t="s">
        <v>5122</v>
      </c>
      <c r="T81" s="125"/>
      <c r="U81" s="125"/>
      <c r="V81" s="125" t="s">
        <v>5122</v>
      </c>
      <c r="W81" s="125" t="s">
        <v>5122</v>
      </c>
      <c r="X81" s="125"/>
      <c r="Y81" s="125" t="s">
        <v>5122</v>
      </c>
      <c r="Z81" s="118" t="s">
        <v>7530</v>
      </c>
    </row>
    <row r="82" customHeight="1" spans="1:26">
      <c r="A82" s="133" t="s">
        <v>7801</v>
      </c>
      <c r="B82" s="133">
        <v>1</v>
      </c>
      <c r="C82" s="133" t="s">
        <v>342</v>
      </c>
      <c r="D82" s="133"/>
      <c r="E82" s="133"/>
      <c r="F82" s="134" t="s">
        <v>321</v>
      </c>
      <c r="G82" s="133" t="s">
        <v>333</v>
      </c>
      <c r="H82" s="133" t="s">
        <v>7526</v>
      </c>
      <c r="I82" s="133" t="s">
        <v>7527</v>
      </c>
      <c r="J82" s="133" t="s">
        <v>7539</v>
      </c>
      <c r="K82" s="150" t="s">
        <v>7802</v>
      </c>
      <c r="L82" s="151" t="s">
        <v>344</v>
      </c>
      <c r="M82" s="150" t="s">
        <v>7803</v>
      </c>
      <c r="N82" s="150" t="s">
        <v>7804</v>
      </c>
      <c r="O82" s="133" t="s">
        <v>5122</v>
      </c>
      <c r="P82" s="133"/>
      <c r="Q82" s="133" t="s">
        <v>5122</v>
      </c>
      <c r="R82" s="133"/>
      <c r="S82" s="133" t="s">
        <v>5122</v>
      </c>
      <c r="T82" s="133"/>
      <c r="U82" s="133"/>
      <c r="V82" s="133"/>
      <c r="W82" s="133"/>
      <c r="X82" s="133"/>
      <c r="Y82" s="133"/>
      <c r="Z82" s="118" t="s">
        <v>7530</v>
      </c>
    </row>
    <row r="83" customHeight="1" spans="1:26">
      <c r="A83" s="125" t="s">
        <v>7805</v>
      </c>
      <c r="B83" s="125">
        <v>1</v>
      </c>
      <c r="C83" s="125" t="s">
        <v>328</v>
      </c>
      <c r="D83" s="125"/>
      <c r="E83" s="125"/>
      <c r="F83" s="126" t="s">
        <v>325</v>
      </c>
      <c r="G83" s="125" t="s">
        <v>326</v>
      </c>
      <c r="H83" s="125" t="s">
        <v>7526</v>
      </c>
      <c r="I83" s="125" t="s">
        <v>7527</v>
      </c>
      <c r="J83" s="125" t="s">
        <v>7539</v>
      </c>
      <c r="K83" s="142" t="s">
        <v>7806</v>
      </c>
      <c r="L83" s="143" t="s">
        <v>338</v>
      </c>
      <c r="M83" s="142" t="s">
        <v>7807</v>
      </c>
      <c r="N83" s="142" t="s">
        <v>7808</v>
      </c>
      <c r="O83" s="125"/>
      <c r="P83" s="125"/>
      <c r="Q83" s="125"/>
      <c r="R83" s="125"/>
      <c r="S83" s="125"/>
      <c r="T83" s="125"/>
      <c r="U83" s="125" t="s">
        <v>5122</v>
      </c>
      <c r="V83" s="125"/>
      <c r="W83" s="125"/>
      <c r="X83" s="125"/>
      <c r="Y83" s="125"/>
      <c r="Z83" s="118" t="s">
        <v>7530</v>
      </c>
    </row>
    <row r="84" customHeight="1" spans="1:26">
      <c r="A84" s="137" t="s">
        <v>7809</v>
      </c>
      <c r="B84" s="137">
        <v>1</v>
      </c>
      <c r="C84" s="137" t="s">
        <v>339</v>
      </c>
      <c r="D84" s="137"/>
      <c r="E84" s="137"/>
      <c r="F84" s="138" t="s">
        <v>321</v>
      </c>
      <c r="G84" s="137" t="s">
        <v>326</v>
      </c>
      <c r="H84" s="137" t="s">
        <v>7526</v>
      </c>
      <c r="I84" s="137" t="s">
        <v>7527</v>
      </c>
      <c r="J84" s="137"/>
      <c r="K84" s="154"/>
      <c r="L84" s="155" t="s">
        <v>323</v>
      </c>
      <c r="M84" s="154" t="s">
        <v>7810</v>
      </c>
      <c r="N84" s="154" t="s">
        <v>7811</v>
      </c>
      <c r="O84" s="137"/>
      <c r="P84" s="137"/>
      <c r="Q84" s="137"/>
      <c r="R84" s="137"/>
      <c r="S84" s="137"/>
      <c r="T84" s="137"/>
      <c r="U84" s="137" t="s">
        <v>5122</v>
      </c>
      <c r="V84" s="137"/>
      <c r="W84" s="137"/>
      <c r="X84" s="137"/>
      <c r="Y84" s="137"/>
      <c r="Z84" s="118" t="s">
        <v>7530</v>
      </c>
    </row>
    <row r="85" customHeight="1" spans="1:26">
      <c r="A85" s="133" t="s">
        <v>7812</v>
      </c>
      <c r="B85" s="133">
        <v>1</v>
      </c>
      <c r="C85" s="133" t="s">
        <v>342</v>
      </c>
      <c r="D85" s="133"/>
      <c r="E85" s="133" t="s">
        <v>5122</v>
      </c>
      <c r="F85" s="134" t="s">
        <v>321</v>
      </c>
      <c r="G85" s="133" t="s">
        <v>333</v>
      </c>
      <c r="H85" s="133" t="s">
        <v>7526</v>
      </c>
      <c r="I85" s="133" t="s">
        <v>7527</v>
      </c>
      <c r="J85" s="133" t="s">
        <v>7539</v>
      </c>
      <c r="K85" s="150" t="s">
        <v>7813</v>
      </c>
      <c r="L85" s="151" t="s">
        <v>352</v>
      </c>
      <c r="M85" s="150" t="s">
        <v>7814</v>
      </c>
      <c r="N85" s="150" t="s">
        <v>7815</v>
      </c>
      <c r="O85" s="133" t="s">
        <v>5122</v>
      </c>
      <c r="P85" s="133" t="s">
        <v>5122</v>
      </c>
      <c r="Q85" s="133"/>
      <c r="R85" s="133"/>
      <c r="S85" s="133"/>
      <c r="T85" s="133"/>
      <c r="U85" s="133" t="s">
        <v>5122</v>
      </c>
      <c r="V85" s="133"/>
      <c r="W85" s="133"/>
      <c r="X85" s="133"/>
      <c r="Y85" s="133"/>
      <c r="Z85" s="118" t="s">
        <v>7530</v>
      </c>
    </row>
    <row r="86" customHeight="1" spans="1:26">
      <c r="A86" s="133" t="s">
        <v>7816</v>
      </c>
      <c r="B86" s="133">
        <v>1</v>
      </c>
      <c r="C86" s="133" t="s">
        <v>342</v>
      </c>
      <c r="D86" s="133"/>
      <c r="E86" s="133" t="s">
        <v>5122</v>
      </c>
      <c r="F86" s="134" t="s">
        <v>321</v>
      </c>
      <c r="G86" s="133" t="s">
        <v>333</v>
      </c>
      <c r="H86" s="133" t="s">
        <v>7526</v>
      </c>
      <c r="I86" s="133" t="s">
        <v>7527</v>
      </c>
      <c r="J86" s="133" t="s">
        <v>7539</v>
      </c>
      <c r="K86" s="150" t="s">
        <v>7817</v>
      </c>
      <c r="L86" s="151" t="s">
        <v>352</v>
      </c>
      <c r="M86" s="150" t="s">
        <v>7818</v>
      </c>
      <c r="N86" s="150" t="s">
        <v>7819</v>
      </c>
      <c r="O86" s="133"/>
      <c r="P86" s="133" t="s">
        <v>5122</v>
      </c>
      <c r="Q86" s="133"/>
      <c r="R86" s="133" t="s">
        <v>5122</v>
      </c>
      <c r="S86" s="133"/>
      <c r="T86" s="133"/>
      <c r="U86" s="133"/>
      <c r="V86" s="133"/>
      <c r="W86" s="133"/>
      <c r="X86" s="133"/>
      <c r="Y86" s="133"/>
      <c r="Z86" s="118" t="s">
        <v>7530</v>
      </c>
    </row>
    <row r="87" customHeight="1" spans="1:26">
      <c r="A87" s="123" t="s">
        <v>7820</v>
      </c>
      <c r="B87" s="123">
        <v>1</v>
      </c>
      <c r="C87" s="123" t="s">
        <v>324</v>
      </c>
      <c r="D87" s="123"/>
      <c r="E87" s="123"/>
      <c r="F87" s="124" t="s">
        <v>321</v>
      </c>
      <c r="G87" s="123" t="s">
        <v>326</v>
      </c>
      <c r="H87" s="123" t="s">
        <v>7526</v>
      </c>
      <c r="I87" s="123" t="s">
        <v>7527</v>
      </c>
      <c r="J87" s="123"/>
      <c r="K87" s="141"/>
      <c r="L87" s="139" t="s">
        <v>323</v>
      </c>
      <c r="M87" s="141" t="s">
        <v>7821</v>
      </c>
      <c r="N87" s="141" t="s">
        <v>7822</v>
      </c>
      <c r="O87" s="123"/>
      <c r="P87" s="123"/>
      <c r="Q87" s="123"/>
      <c r="R87" s="123"/>
      <c r="S87" s="123"/>
      <c r="T87" s="123" t="s">
        <v>5122</v>
      </c>
      <c r="U87" s="123"/>
      <c r="V87" s="123" t="s">
        <v>5122</v>
      </c>
      <c r="W87" s="123"/>
      <c r="X87" s="123"/>
      <c r="Y87" s="123"/>
      <c r="Z87" s="118" t="s">
        <v>7530</v>
      </c>
    </row>
    <row r="88" customHeight="1" spans="1:26">
      <c r="A88" s="133" t="s">
        <v>7823</v>
      </c>
      <c r="B88" s="133">
        <v>1</v>
      </c>
      <c r="C88" s="133" t="s">
        <v>342</v>
      </c>
      <c r="D88" s="133"/>
      <c r="E88" s="133"/>
      <c r="F88" s="134" t="s">
        <v>321</v>
      </c>
      <c r="G88" s="133" t="s">
        <v>333</v>
      </c>
      <c r="H88" s="133" t="s">
        <v>7526</v>
      </c>
      <c r="I88" s="133" t="s">
        <v>7527</v>
      </c>
      <c r="J88" s="133"/>
      <c r="K88" s="150"/>
      <c r="L88" s="151" t="s">
        <v>338</v>
      </c>
      <c r="M88" s="150" t="s">
        <v>7824</v>
      </c>
      <c r="N88" s="150" t="s">
        <v>7825</v>
      </c>
      <c r="O88" s="133" t="s">
        <v>5122</v>
      </c>
      <c r="P88" s="133"/>
      <c r="Q88" s="133" t="s">
        <v>5122</v>
      </c>
      <c r="R88" s="133"/>
      <c r="S88" s="133"/>
      <c r="T88" s="133" t="s">
        <v>5122</v>
      </c>
      <c r="U88" s="133" t="s">
        <v>5122</v>
      </c>
      <c r="V88" s="133" t="s">
        <v>5122</v>
      </c>
      <c r="W88" s="133"/>
      <c r="X88" s="133"/>
      <c r="Y88" s="133"/>
      <c r="Z88" s="118" t="s">
        <v>7530</v>
      </c>
    </row>
    <row r="89" customHeight="1" spans="1:26">
      <c r="A89" s="123" t="s">
        <v>7826</v>
      </c>
      <c r="B89" s="123">
        <v>1</v>
      </c>
      <c r="C89" s="123" t="s">
        <v>324</v>
      </c>
      <c r="D89" s="123"/>
      <c r="E89" s="123"/>
      <c r="F89" s="124" t="s">
        <v>321</v>
      </c>
      <c r="G89" s="123" t="s">
        <v>340</v>
      </c>
      <c r="H89" s="123" t="s">
        <v>7526</v>
      </c>
      <c r="I89" s="123" t="s">
        <v>7527</v>
      </c>
      <c r="J89" s="123" t="s">
        <v>7539</v>
      </c>
      <c r="K89" s="141" t="s">
        <v>7827</v>
      </c>
      <c r="L89" s="139" t="s">
        <v>323</v>
      </c>
      <c r="M89" s="141" t="s">
        <v>7828</v>
      </c>
      <c r="N89" s="141" t="s">
        <v>7829</v>
      </c>
      <c r="O89" s="123"/>
      <c r="P89" s="123"/>
      <c r="Q89" s="123"/>
      <c r="R89" s="123"/>
      <c r="S89" s="123"/>
      <c r="T89" s="123" t="s">
        <v>5122</v>
      </c>
      <c r="U89" s="123"/>
      <c r="V89" s="123" t="s">
        <v>5122</v>
      </c>
      <c r="W89" s="123"/>
      <c r="X89" s="123"/>
      <c r="Y89" s="123"/>
      <c r="Z89" s="118" t="s">
        <v>7530</v>
      </c>
    </row>
    <row r="90" customHeight="1" spans="1:26">
      <c r="A90" s="129" t="s">
        <v>7830</v>
      </c>
      <c r="B90" s="129">
        <v>1</v>
      </c>
      <c r="C90" s="129" t="s">
        <v>347</v>
      </c>
      <c r="D90" s="129"/>
      <c r="E90" s="129"/>
      <c r="F90" s="130" t="s">
        <v>321</v>
      </c>
      <c r="G90" s="129" t="s">
        <v>326</v>
      </c>
      <c r="H90" s="129" t="s">
        <v>7526</v>
      </c>
      <c r="I90" s="129" t="s">
        <v>7527</v>
      </c>
      <c r="J90" s="129" t="s">
        <v>7539</v>
      </c>
      <c r="K90" s="146" t="s">
        <v>7831</v>
      </c>
      <c r="L90" s="147" t="s">
        <v>323</v>
      </c>
      <c r="M90" s="146" t="s">
        <v>7832</v>
      </c>
      <c r="N90" s="146" t="s">
        <v>7833</v>
      </c>
      <c r="O90" s="129" t="s">
        <v>5122</v>
      </c>
      <c r="P90" s="129"/>
      <c r="Q90" s="129"/>
      <c r="R90" s="129"/>
      <c r="S90" s="129"/>
      <c r="T90" s="129" t="s">
        <v>5122</v>
      </c>
      <c r="U90" s="129"/>
      <c r="V90" s="129" t="s">
        <v>5122</v>
      </c>
      <c r="W90" s="129"/>
      <c r="X90" s="129"/>
      <c r="Y90" s="129"/>
      <c r="Z90" s="118" t="s">
        <v>7530</v>
      </c>
    </row>
    <row r="91" customHeight="1" spans="1:26">
      <c r="A91" s="133" t="s">
        <v>7834</v>
      </c>
      <c r="B91" s="133">
        <v>1</v>
      </c>
      <c r="C91" s="133" t="s">
        <v>342</v>
      </c>
      <c r="D91" s="133"/>
      <c r="E91" s="133"/>
      <c r="F91" s="134" t="s">
        <v>321</v>
      </c>
      <c r="G91" s="133" t="s">
        <v>337</v>
      </c>
      <c r="H91" s="133" t="s">
        <v>7526</v>
      </c>
      <c r="I91" s="133"/>
      <c r="J91" s="133"/>
      <c r="K91" s="150"/>
      <c r="L91" s="151" t="s">
        <v>323</v>
      </c>
      <c r="M91" s="150" t="s">
        <v>7835</v>
      </c>
      <c r="N91" s="150" t="s">
        <v>7836</v>
      </c>
      <c r="O91" s="133" t="s">
        <v>5122</v>
      </c>
      <c r="P91" s="133" t="s">
        <v>5122</v>
      </c>
      <c r="Q91" s="133"/>
      <c r="R91" s="133" t="s">
        <v>5122</v>
      </c>
      <c r="S91" s="133"/>
      <c r="T91" s="133"/>
      <c r="U91" s="133"/>
      <c r="V91" s="133"/>
      <c r="W91" s="133"/>
      <c r="X91" s="133"/>
      <c r="Y91" s="133"/>
      <c r="Z91" s="118" t="s">
        <v>7530</v>
      </c>
    </row>
    <row r="92" customHeight="1" spans="1:26">
      <c r="A92" s="133" t="s">
        <v>7837</v>
      </c>
      <c r="B92" s="133">
        <v>1</v>
      </c>
      <c r="C92" s="133" t="s">
        <v>342</v>
      </c>
      <c r="D92" s="133"/>
      <c r="E92" s="133" t="s">
        <v>5122</v>
      </c>
      <c r="F92" s="134" t="s">
        <v>325</v>
      </c>
      <c r="G92" s="133" t="s">
        <v>333</v>
      </c>
      <c r="H92" s="133" t="s">
        <v>7526</v>
      </c>
      <c r="I92" s="133"/>
      <c r="J92" s="133"/>
      <c r="K92" s="150"/>
      <c r="L92" s="151" t="s">
        <v>352</v>
      </c>
      <c r="M92" s="150" t="s">
        <v>7838</v>
      </c>
      <c r="N92" s="150" t="s">
        <v>7839</v>
      </c>
      <c r="O92" s="133"/>
      <c r="P92" s="133"/>
      <c r="Q92" s="133"/>
      <c r="R92" s="133" t="s">
        <v>5122</v>
      </c>
      <c r="S92" s="133"/>
      <c r="T92" s="133"/>
      <c r="U92" s="133"/>
      <c r="V92" s="133"/>
      <c r="W92" s="133"/>
      <c r="X92" s="133"/>
      <c r="Y92" s="133"/>
      <c r="Z92" s="118" t="s">
        <v>7530</v>
      </c>
    </row>
    <row r="93" customHeight="1" spans="1:26">
      <c r="A93" s="135" t="s">
        <v>7840</v>
      </c>
      <c r="B93" s="135">
        <v>1</v>
      </c>
      <c r="C93" s="135" t="s">
        <v>335</v>
      </c>
      <c r="D93" s="135" t="s">
        <v>5122</v>
      </c>
      <c r="E93" s="135"/>
      <c r="F93" s="136" t="s">
        <v>332</v>
      </c>
      <c r="G93" s="135" t="s">
        <v>326</v>
      </c>
      <c r="H93" s="135" t="s">
        <v>7526</v>
      </c>
      <c r="I93" s="135" t="s">
        <v>7527</v>
      </c>
      <c r="J93" s="135" t="s">
        <v>7539</v>
      </c>
      <c r="K93" s="152" t="s">
        <v>7841</v>
      </c>
      <c r="L93" s="153" t="s">
        <v>338</v>
      </c>
      <c r="M93" s="152" t="s">
        <v>7842</v>
      </c>
      <c r="N93" s="152" t="s">
        <v>7843</v>
      </c>
      <c r="O93" s="135" t="s">
        <v>5122</v>
      </c>
      <c r="P93" s="135"/>
      <c r="Q93" s="135"/>
      <c r="R93" s="135"/>
      <c r="S93" s="135"/>
      <c r="T93" s="135" t="s">
        <v>5122</v>
      </c>
      <c r="U93" s="135" t="s">
        <v>5122</v>
      </c>
      <c r="V93" s="135" t="s">
        <v>5122</v>
      </c>
      <c r="W93" s="135"/>
      <c r="X93" s="135"/>
      <c r="Y93" s="135" t="s">
        <v>5122</v>
      </c>
      <c r="Z93" s="118" t="s">
        <v>7530</v>
      </c>
    </row>
    <row r="94" customHeight="1" spans="1:26">
      <c r="A94" s="131" t="s">
        <v>7844</v>
      </c>
      <c r="B94" s="131">
        <v>1</v>
      </c>
      <c r="C94" s="131" t="s">
        <v>320</v>
      </c>
      <c r="D94" s="131"/>
      <c r="E94" s="131"/>
      <c r="F94" s="132" t="s">
        <v>321</v>
      </c>
      <c r="G94" s="131" t="s">
        <v>333</v>
      </c>
      <c r="H94" s="131" t="s">
        <v>7526</v>
      </c>
      <c r="I94" s="131" t="s">
        <v>7527</v>
      </c>
      <c r="J94" s="131" t="s">
        <v>7539</v>
      </c>
      <c r="K94" s="148" t="s">
        <v>7845</v>
      </c>
      <c r="L94" s="149" t="s">
        <v>323</v>
      </c>
      <c r="M94" s="148" t="s">
        <v>7846</v>
      </c>
      <c r="N94" s="148" t="s">
        <v>7847</v>
      </c>
      <c r="O94" s="131"/>
      <c r="P94" s="131" t="s">
        <v>5122</v>
      </c>
      <c r="Q94" s="131" t="s">
        <v>5122</v>
      </c>
      <c r="R94" s="131"/>
      <c r="S94" s="131"/>
      <c r="T94" s="131"/>
      <c r="U94" s="131"/>
      <c r="V94" s="131"/>
      <c r="W94" s="131"/>
      <c r="X94" s="131"/>
      <c r="Y94" s="131" t="s">
        <v>5122</v>
      </c>
      <c r="Z94" s="118" t="s">
        <v>7530</v>
      </c>
    </row>
    <row r="95" customHeight="1" spans="1:26">
      <c r="A95" s="125" t="s">
        <v>7848</v>
      </c>
      <c r="B95" s="125">
        <v>1</v>
      </c>
      <c r="C95" s="125" t="s">
        <v>328</v>
      </c>
      <c r="D95" s="125"/>
      <c r="E95" s="125"/>
      <c r="F95" s="126" t="s">
        <v>321</v>
      </c>
      <c r="G95" s="125" t="s">
        <v>7535</v>
      </c>
      <c r="H95" s="125" t="s">
        <v>7526</v>
      </c>
      <c r="I95" s="125" t="s">
        <v>7527</v>
      </c>
      <c r="J95" s="125"/>
      <c r="K95" s="142"/>
      <c r="L95" s="143" t="s">
        <v>323</v>
      </c>
      <c r="M95" s="142" t="s">
        <v>7849</v>
      </c>
      <c r="N95" s="142" t="s">
        <v>7850</v>
      </c>
      <c r="O95" s="125" t="s">
        <v>5122</v>
      </c>
      <c r="P95" s="125" t="s">
        <v>5122</v>
      </c>
      <c r="Q95" s="125" t="s">
        <v>5122</v>
      </c>
      <c r="R95" s="125" t="s">
        <v>5122</v>
      </c>
      <c r="S95" s="125" t="s">
        <v>5122</v>
      </c>
      <c r="T95" s="125"/>
      <c r="U95" s="125"/>
      <c r="V95" s="125"/>
      <c r="W95" s="125" t="s">
        <v>5122</v>
      </c>
      <c r="X95" s="125"/>
      <c r="Y95" s="125" t="s">
        <v>5122</v>
      </c>
      <c r="Z95" s="118" t="s">
        <v>7530</v>
      </c>
    </row>
    <row r="96" customHeight="1" spans="1:26">
      <c r="A96" s="135" t="s">
        <v>7851</v>
      </c>
      <c r="B96" s="135">
        <v>1</v>
      </c>
      <c r="C96" s="135" t="s">
        <v>335</v>
      </c>
      <c r="D96" s="135"/>
      <c r="E96" s="135" t="s">
        <v>5122</v>
      </c>
      <c r="F96" s="136" t="s">
        <v>321</v>
      </c>
      <c r="G96" s="135" t="s">
        <v>326</v>
      </c>
      <c r="H96" s="135" t="s">
        <v>7526</v>
      </c>
      <c r="I96" s="135" t="s">
        <v>7527</v>
      </c>
      <c r="J96" s="135"/>
      <c r="K96" s="152"/>
      <c r="L96" s="153" t="s">
        <v>356</v>
      </c>
      <c r="M96" s="152" t="s">
        <v>7852</v>
      </c>
      <c r="N96" s="152" t="s">
        <v>7853</v>
      </c>
      <c r="O96" s="135"/>
      <c r="P96" s="135" t="s">
        <v>5122</v>
      </c>
      <c r="Q96" s="135"/>
      <c r="R96" s="135" t="s">
        <v>5122</v>
      </c>
      <c r="S96" s="135"/>
      <c r="T96" s="135"/>
      <c r="U96" s="135"/>
      <c r="V96" s="135"/>
      <c r="W96" s="135"/>
      <c r="X96" s="135"/>
      <c r="Y96" s="135" t="s">
        <v>5122</v>
      </c>
      <c r="Z96" s="118" t="s">
        <v>7530</v>
      </c>
    </row>
    <row r="97" customHeight="1" spans="1:26">
      <c r="A97" s="135" t="s">
        <v>7854</v>
      </c>
      <c r="B97" s="135">
        <v>1</v>
      </c>
      <c r="C97" s="135" t="s">
        <v>335</v>
      </c>
      <c r="D97" s="135" t="s">
        <v>5122</v>
      </c>
      <c r="E97" s="135" t="s">
        <v>5122</v>
      </c>
      <c r="F97" s="136" t="s">
        <v>332</v>
      </c>
      <c r="G97" s="135" t="s">
        <v>326</v>
      </c>
      <c r="H97" s="135" t="s">
        <v>7526</v>
      </c>
      <c r="I97" s="135" t="s">
        <v>7527</v>
      </c>
      <c r="J97" s="135"/>
      <c r="K97" s="152"/>
      <c r="L97" s="153" t="s">
        <v>356</v>
      </c>
      <c r="M97" s="152" t="s">
        <v>7855</v>
      </c>
      <c r="N97" s="152" t="s">
        <v>7856</v>
      </c>
      <c r="O97" s="135" t="s">
        <v>5122</v>
      </c>
      <c r="P97" s="135" t="s">
        <v>5122</v>
      </c>
      <c r="Q97" s="135" t="s">
        <v>5122</v>
      </c>
      <c r="R97" s="135" t="s">
        <v>5122</v>
      </c>
      <c r="S97" s="135" t="s">
        <v>5122</v>
      </c>
      <c r="T97" s="135" t="s">
        <v>5122</v>
      </c>
      <c r="U97" s="135" t="s">
        <v>5122</v>
      </c>
      <c r="V97" s="135" t="s">
        <v>5122</v>
      </c>
      <c r="W97" s="135" t="s">
        <v>5122</v>
      </c>
      <c r="X97" s="135"/>
      <c r="Y97" s="135" t="s">
        <v>5122</v>
      </c>
      <c r="Z97" s="118" t="s">
        <v>7530</v>
      </c>
    </row>
    <row r="98" customHeight="1" spans="1:26">
      <c r="A98" s="135" t="s">
        <v>7857</v>
      </c>
      <c r="B98" s="135">
        <v>1</v>
      </c>
      <c r="C98" s="135" t="s">
        <v>335</v>
      </c>
      <c r="D98" s="135" t="s">
        <v>5122</v>
      </c>
      <c r="E98" s="135" t="s">
        <v>5122</v>
      </c>
      <c r="F98" s="136" t="s">
        <v>332</v>
      </c>
      <c r="G98" s="135" t="s">
        <v>326</v>
      </c>
      <c r="H98" s="135" t="s">
        <v>7526</v>
      </c>
      <c r="I98" s="135" t="s">
        <v>7527</v>
      </c>
      <c r="J98" s="135" t="s">
        <v>7539</v>
      </c>
      <c r="K98" s="152" t="s">
        <v>7858</v>
      </c>
      <c r="L98" s="153" t="s">
        <v>356</v>
      </c>
      <c r="M98" s="152" t="s">
        <v>7859</v>
      </c>
      <c r="N98" s="152" t="s">
        <v>7860</v>
      </c>
      <c r="O98" s="135"/>
      <c r="P98" s="135" t="s">
        <v>5122</v>
      </c>
      <c r="Q98" s="135" t="s">
        <v>5122</v>
      </c>
      <c r="R98" s="135" t="s">
        <v>5122</v>
      </c>
      <c r="S98" s="135" t="s">
        <v>5122</v>
      </c>
      <c r="T98" s="135"/>
      <c r="U98" s="135"/>
      <c r="V98" s="135"/>
      <c r="W98" s="135"/>
      <c r="X98" s="135"/>
      <c r="Y98" s="135" t="s">
        <v>5122</v>
      </c>
      <c r="Z98" s="118" t="s">
        <v>7530</v>
      </c>
    </row>
    <row r="99" customHeight="1" spans="1:26">
      <c r="A99" s="129" t="s">
        <v>7861</v>
      </c>
      <c r="B99" s="129">
        <v>1</v>
      </c>
      <c r="C99" s="129" t="s">
        <v>347</v>
      </c>
      <c r="D99" s="129"/>
      <c r="E99" s="129"/>
      <c r="F99" s="130" t="s">
        <v>321</v>
      </c>
      <c r="G99" s="129" t="s">
        <v>326</v>
      </c>
      <c r="H99" s="129" t="s">
        <v>7526</v>
      </c>
      <c r="I99" s="129" t="s">
        <v>7527</v>
      </c>
      <c r="J99" s="129"/>
      <c r="K99" s="146"/>
      <c r="L99" s="147" t="s">
        <v>338</v>
      </c>
      <c r="M99" s="146" t="s">
        <v>7862</v>
      </c>
      <c r="N99" s="146" t="s">
        <v>7863</v>
      </c>
      <c r="O99" s="129" t="s">
        <v>5122</v>
      </c>
      <c r="P99" s="129"/>
      <c r="Q99" s="129"/>
      <c r="R99" s="129"/>
      <c r="S99" s="129"/>
      <c r="T99" s="129" t="s">
        <v>5122</v>
      </c>
      <c r="U99" s="129"/>
      <c r="V99" s="129" t="s">
        <v>5122</v>
      </c>
      <c r="W99" s="129" t="s">
        <v>5122</v>
      </c>
      <c r="X99" s="129"/>
      <c r="Y99" s="129"/>
      <c r="Z99" s="118" t="s">
        <v>7530</v>
      </c>
    </row>
    <row r="100" customHeight="1" spans="1:26">
      <c r="A100" s="133" t="s">
        <v>7864</v>
      </c>
      <c r="B100" s="133">
        <v>1</v>
      </c>
      <c r="C100" s="133" t="s">
        <v>342</v>
      </c>
      <c r="D100" s="133"/>
      <c r="E100" s="133"/>
      <c r="F100" s="134" t="s">
        <v>321</v>
      </c>
      <c r="G100" s="133" t="s">
        <v>337</v>
      </c>
      <c r="H100" s="133" t="s">
        <v>7526</v>
      </c>
      <c r="I100" s="133"/>
      <c r="J100" s="133"/>
      <c r="K100" s="150"/>
      <c r="L100" s="151" t="s">
        <v>323</v>
      </c>
      <c r="M100" s="150" t="s">
        <v>7865</v>
      </c>
      <c r="N100" s="150" t="s">
        <v>7866</v>
      </c>
      <c r="O100" s="133" t="s">
        <v>5122</v>
      </c>
      <c r="P100" s="133"/>
      <c r="Q100" s="133"/>
      <c r="R100" s="133"/>
      <c r="S100" s="133"/>
      <c r="T100" s="133"/>
      <c r="U100" s="133"/>
      <c r="V100" s="133"/>
      <c r="W100" s="133"/>
      <c r="X100" s="133"/>
      <c r="Y100" s="133"/>
      <c r="Z100" s="118" t="s">
        <v>7530</v>
      </c>
    </row>
    <row r="101" customHeight="1" spans="1:26">
      <c r="A101" s="131" t="s">
        <v>7867</v>
      </c>
      <c r="B101" s="131">
        <v>1</v>
      </c>
      <c r="C101" s="131" t="s">
        <v>320</v>
      </c>
      <c r="D101" s="131"/>
      <c r="E101" s="131"/>
      <c r="F101" s="132" t="s">
        <v>325</v>
      </c>
      <c r="G101" s="131" t="s">
        <v>326</v>
      </c>
      <c r="H101" s="131" t="s">
        <v>7526</v>
      </c>
      <c r="I101" s="131" t="s">
        <v>7527</v>
      </c>
      <c r="J101" s="131"/>
      <c r="K101" s="148"/>
      <c r="L101" s="149" t="s">
        <v>329</v>
      </c>
      <c r="M101" s="148" t="s">
        <v>7868</v>
      </c>
      <c r="N101" s="148" t="s">
        <v>7869</v>
      </c>
      <c r="O101" s="131"/>
      <c r="P101" s="131"/>
      <c r="Q101" s="131"/>
      <c r="R101" s="131" t="s">
        <v>5122</v>
      </c>
      <c r="S101" s="131"/>
      <c r="T101" s="131"/>
      <c r="U101" s="131"/>
      <c r="V101" s="131"/>
      <c r="W101" s="131"/>
      <c r="X101" s="131"/>
      <c r="Y101" s="131"/>
      <c r="Z101" s="118" t="s">
        <v>7530</v>
      </c>
    </row>
    <row r="102" customHeight="1" spans="1:26">
      <c r="A102" s="123" t="s">
        <v>7870</v>
      </c>
      <c r="B102" s="123">
        <v>1</v>
      </c>
      <c r="C102" s="123" t="s">
        <v>324</v>
      </c>
      <c r="D102" s="123"/>
      <c r="E102" s="123"/>
      <c r="F102" s="124" t="s">
        <v>7871</v>
      </c>
      <c r="G102" s="123" t="s">
        <v>326</v>
      </c>
      <c r="H102" s="123" t="s">
        <v>7526</v>
      </c>
      <c r="I102" s="123"/>
      <c r="J102" s="123"/>
      <c r="K102" s="141"/>
      <c r="L102" s="139" t="s">
        <v>323</v>
      </c>
      <c r="M102" s="141" t="s">
        <v>7872</v>
      </c>
      <c r="N102" s="141" t="s">
        <v>7873</v>
      </c>
      <c r="O102" s="123"/>
      <c r="P102" s="123"/>
      <c r="Q102" s="123"/>
      <c r="R102" s="123" t="s">
        <v>5122</v>
      </c>
      <c r="S102" s="123"/>
      <c r="T102" s="123"/>
      <c r="U102" s="123"/>
      <c r="V102" s="123"/>
      <c r="W102" s="123"/>
      <c r="X102" s="123"/>
      <c r="Y102" s="123"/>
      <c r="Z102" s="118" t="s">
        <v>7530</v>
      </c>
    </row>
    <row r="103" customHeight="1" spans="1:26">
      <c r="A103" s="137" t="s">
        <v>7874</v>
      </c>
      <c r="B103" s="137">
        <v>1</v>
      </c>
      <c r="C103" s="137" t="s">
        <v>339</v>
      </c>
      <c r="D103" s="137"/>
      <c r="E103" s="137" t="s">
        <v>5122</v>
      </c>
      <c r="F103" s="138" t="s">
        <v>7875</v>
      </c>
      <c r="G103" s="137" t="s">
        <v>326</v>
      </c>
      <c r="H103" s="137" t="s">
        <v>7526</v>
      </c>
      <c r="I103" s="137"/>
      <c r="J103" s="137"/>
      <c r="K103" s="154"/>
      <c r="L103" s="155" t="s">
        <v>352</v>
      </c>
      <c r="M103" s="154" t="s">
        <v>7876</v>
      </c>
      <c r="N103" s="154" t="s">
        <v>7877</v>
      </c>
      <c r="O103" s="137"/>
      <c r="P103" s="137"/>
      <c r="Q103" s="137"/>
      <c r="R103" s="137"/>
      <c r="S103" s="137" t="s">
        <v>5122</v>
      </c>
      <c r="T103" s="137"/>
      <c r="U103" s="137"/>
      <c r="V103" s="137"/>
      <c r="W103" s="137"/>
      <c r="X103" s="137"/>
      <c r="Y103" s="137"/>
      <c r="Z103" s="118" t="s">
        <v>7530</v>
      </c>
    </row>
    <row r="104" customHeight="1" spans="1:26">
      <c r="A104" s="137" t="s">
        <v>7878</v>
      </c>
      <c r="B104" s="137">
        <v>1</v>
      </c>
      <c r="C104" s="137" t="s">
        <v>339</v>
      </c>
      <c r="D104" s="137"/>
      <c r="E104" s="137" t="s">
        <v>5122</v>
      </c>
      <c r="F104" s="138" t="s">
        <v>321</v>
      </c>
      <c r="G104" s="137" t="s">
        <v>340</v>
      </c>
      <c r="H104" s="137" t="s">
        <v>7526</v>
      </c>
      <c r="I104" s="137" t="s">
        <v>7527</v>
      </c>
      <c r="J104" s="137"/>
      <c r="K104" s="154"/>
      <c r="L104" s="155" t="s">
        <v>352</v>
      </c>
      <c r="M104" s="154" t="s">
        <v>7879</v>
      </c>
      <c r="N104" s="154" t="s">
        <v>7880</v>
      </c>
      <c r="O104" s="137"/>
      <c r="P104" s="137"/>
      <c r="Q104" s="137" t="s">
        <v>5122</v>
      </c>
      <c r="R104" s="137"/>
      <c r="S104" s="137" t="s">
        <v>5122</v>
      </c>
      <c r="T104" s="137"/>
      <c r="U104" s="137"/>
      <c r="V104" s="137"/>
      <c r="W104" s="137"/>
      <c r="X104" s="137"/>
      <c r="Y104" s="137"/>
      <c r="Z104" s="118" t="s">
        <v>7530</v>
      </c>
    </row>
    <row r="105" customHeight="1" spans="1:26">
      <c r="A105" s="131" t="s">
        <v>7881</v>
      </c>
      <c r="B105" s="131">
        <v>1</v>
      </c>
      <c r="C105" s="131" t="s">
        <v>320</v>
      </c>
      <c r="D105" s="131"/>
      <c r="E105" s="131" t="s">
        <v>5122</v>
      </c>
      <c r="F105" s="132" t="s">
        <v>325</v>
      </c>
      <c r="G105" s="131" t="s">
        <v>326</v>
      </c>
      <c r="H105" s="131" t="s">
        <v>7526</v>
      </c>
      <c r="I105" s="131" t="s">
        <v>7527</v>
      </c>
      <c r="J105" s="131"/>
      <c r="K105" s="148"/>
      <c r="L105" s="149" t="s">
        <v>356</v>
      </c>
      <c r="M105" s="148" t="s">
        <v>7882</v>
      </c>
      <c r="N105" s="148" t="s">
        <v>7883</v>
      </c>
      <c r="O105" s="131"/>
      <c r="P105" s="131"/>
      <c r="Q105" s="131"/>
      <c r="R105" s="131"/>
      <c r="S105" s="131"/>
      <c r="T105" s="131" t="s">
        <v>5122</v>
      </c>
      <c r="U105" s="131" t="s">
        <v>5122</v>
      </c>
      <c r="V105" s="131" t="s">
        <v>5122</v>
      </c>
      <c r="W105" s="131" t="s">
        <v>5122</v>
      </c>
      <c r="X105" s="131"/>
      <c r="Y105" s="131"/>
      <c r="Z105" s="118" t="s">
        <v>7530</v>
      </c>
    </row>
    <row r="106" customHeight="1" spans="1:26">
      <c r="A106" s="123" t="s">
        <v>7884</v>
      </c>
      <c r="B106" s="123">
        <v>1</v>
      </c>
      <c r="C106" s="123" t="s">
        <v>324</v>
      </c>
      <c r="D106" s="123"/>
      <c r="E106" s="123" t="s">
        <v>5122</v>
      </c>
      <c r="F106" s="124" t="s">
        <v>321</v>
      </c>
      <c r="G106" s="123" t="s">
        <v>337</v>
      </c>
      <c r="H106" s="123" t="s">
        <v>7526</v>
      </c>
      <c r="I106" s="123"/>
      <c r="J106" s="123"/>
      <c r="K106" s="141"/>
      <c r="L106" s="139" t="s">
        <v>352</v>
      </c>
      <c r="M106" s="141" t="s">
        <v>7885</v>
      </c>
      <c r="N106" s="141" t="s">
        <v>7886</v>
      </c>
      <c r="O106" s="123" t="s">
        <v>5122</v>
      </c>
      <c r="P106" s="123"/>
      <c r="Q106" s="123" t="s">
        <v>5122</v>
      </c>
      <c r="R106" s="123"/>
      <c r="S106" s="123"/>
      <c r="T106" s="123"/>
      <c r="U106" s="123"/>
      <c r="V106" s="123"/>
      <c r="W106" s="123" t="s">
        <v>5122</v>
      </c>
      <c r="X106" s="123"/>
      <c r="Y106" s="123"/>
      <c r="Z106" s="118" t="s">
        <v>7530</v>
      </c>
    </row>
    <row r="107" customHeight="1" spans="1:26">
      <c r="A107" s="127" t="s">
        <v>7887</v>
      </c>
      <c r="B107" s="127">
        <v>1</v>
      </c>
      <c r="C107" s="127" t="s">
        <v>331</v>
      </c>
      <c r="D107" s="127"/>
      <c r="E107" s="127"/>
      <c r="F107" s="128" t="s">
        <v>321</v>
      </c>
      <c r="G107" s="127" t="s">
        <v>326</v>
      </c>
      <c r="H107" s="127" t="s">
        <v>7526</v>
      </c>
      <c r="I107" s="127" t="s">
        <v>7527</v>
      </c>
      <c r="J107" s="127" t="s">
        <v>7539</v>
      </c>
      <c r="K107" s="144" t="s">
        <v>7888</v>
      </c>
      <c r="L107" s="145" t="s">
        <v>323</v>
      </c>
      <c r="M107" s="144" t="s">
        <v>7889</v>
      </c>
      <c r="N107" s="144" t="s">
        <v>7890</v>
      </c>
      <c r="O107" s="127"/>
      <c r="P107" s="127"/>
      <c r="Q107" s="127"/>
      <c r="R107" s="127"/>
      <c r="S107" s="127"/>
      <c r="T107" s="127" t="s">
        <v>5122</v>
      </c>
      <c r="U107" s="127"/>
      <c r="V107" s="127" t="s">
        <v>5122</v>
      </c>
      <c r="W107" s="127" t="s">
        <v>5122</v>
      </c>
      <c r="X107" s="127"/>
      <c r="Y107" s="127" t="s">
        <v>5122</v>
      </c>
      <c r="Z107" s="118" t="s">
        <v>7530</v>
      </c>
    </row>
    <row r="108" customHeight="1" spans="1:26">
      <c r="A108" s="131" t="s">
        <v>7891</v>
      </c>
      <c r="B108" s="131">
        <v>1</v>
      </c>
      <c r="C108" s="131" t="s">
        <v>320</v>
      </c>
      <c r="D108" s="131"/>
      <c r="E108" s="131"/>
      <c r="F108" s="132" t="s">
        <v>7892</v>
      </c>
      <c r="G108" s="131" t="s">
        <v>337</v>
      </c>
      <c r="H108" s="131" t="s">
        <v>7526</v>
      </c>
      <c r="I108" s="131"/>
      <c r="J108" s="131" t="s">
        <v>7539</v>
      </c>
      <c r="K108" s="148" t="s">
        <v>7893</v>
      </c>
      <c r="L108" s="149" t="s">
        <v>329</v>
      </c>
      <c r="M108" s="148" t="s">
        <v>7894</v>
      </c>
      <c r="N108" s="148" t="s">
        <v>7895</v>
      </c>
      <c r="O108" s="131" t="s">
        <v>5122</v>
      </c>
      <c r="P108" s="131"/>
      <c r="Q108" s="131"/>
      <c r="R108" s="131"/>
      <c r="S108" s="131"/>
      <c r="T108" s="131" t="s">
        <v>5122</v>
      </c>
      <c r="U108" s="131"/>
      <c r="V108" s="131" t="s">
        <v>5122</v>
      </c>
      <c r="W108" s="131" t="s">
        <v>5122</v>
      </c>
      <c r="X108" s="131"/>
      <c r="Y108" s="131" t="s">
        <v>5122</v>
      </c>
      <c r="Z108" s="118" t="s">
        <v>7530</v>
      </c>
    </row>
    <row r="109" customHeight="1" spans="1:26">
      <c r="A109" s="137" t="s">
        <v>7896</v>
      </c>
      <c r="B109" s="137">
        <v>1</v>
      </c>
      <c r="C109" s="137" t="s">
        <v>339</v>
      </c>
      <c r="D109" s="137" t="s">
        <v>5122</v>
      </c>
      <c r="E109" s="137"/>
      <c r="F109" s="138" t="s">
        <v>7897</v>
      </c>
      <c r="G109" s="137" t="s">
        <v>7556</v>
      </c>
      <c r="H109" s="137" t="s">
        <v>7526</v>
      </c>
      <c r="I109" s="137" t="s">
        <v>7527</v>
      </c>
      <c r="J109" s="137" t="s">
        <v>7539</v>
      </c>
      <c r="K109" s="154" t="s">
        <v>7898</v>
      </c>
      <c r="L109" s="155" t="s">
        <v>323</v>
      </c>
      <c r="M109" s="154" t="s">
        <v>7899</v>
      </c>
      <c r="N109" s="154" t="s">
        <v>7900</v>
      </c>
      <c r="O109" s="137"/>
      <c r="P109" s="137"/>
      <c r="Q109" s="137"/>
      <c r="R109" s="137"/>
      <c r="S109" s="137"/>
      <c r="T109" s="137"/>
      <c r="U109" s="137"/>
      <c r="V109" s="137" t="s">
        <v>5122</v>
      </c>
      <c r="W109" s="137"/>
      <c r="X109" s="137"/>
      <c r="Y109" s="137"/>
      <c r="Z109" s="118" t="s">
        <v>7530</v>
      </c>
    </row>
    <row r="110" customHeight="1" spans="1:26">
      <c r="A110" s="137" t="s">
        <v>7901</v>
      </c>
      <c r="B110" s="137">
        <v>1</v>
      </c>
      <c r="C110" s="137" t="s">
        <v>339</v>
      </c>
      <c r="D110" s="137"/>
      <c r="E110" s="137" t="s">
        <v>5122</v>
      </c>
      <c r="F110" s="138" t="s">
        <v>321</v>
      </c>
      <c r="G110" s="137" t="s">
        <v>343</v>
      </c>
      <c r="H110" s="137" t="s">
        <v>7526</v>
      </c>
      <c r="I110" s="137" t="s">
        <v>7527</v>
      </c>
      <c r="J110" s="137"/>
      <c r="K110" s="154"/>
      <c r="L110" s="155" t="s">
        <v>359</v>
      </c>
      <c r="M110" s="154" t="s">
        <v>7902</v>
      </c>
      <c r="N110" s="154" t="s">
        <v>7903</v>
      </c>
      <c r="O110" s="137"/>
      <c r="P110" s="137"/>
      <c r="Q110" s="137" t="s">
        <v>5122</v>
      </c>
      <c r="R110" s="137"/>
      <c r="S110" s="137" t="s">
        <v>5122</v>
      </c>
      <c r="T110" s="137" t="s">
        <v>5122</v>
      </c>
      <c r="U110" s="137"/>
      <c r="V110" s="137" t="s">
        <v>5122</v>
      </c>
      <c r="W110" s="137"/>
      <c r="X110" s="137"/>
      <c r="Y110" s="137" t="s">
        <v>5122</v>
      </c>
      <c r="Z110" s="118" t="s">
        <v>7530</v>
      </c>
    </row>
    <row r="111" customHeight="1" spans="1:26">
      <c r="A111" s="137" t="s">
        <v>7904</v>
      </c>
      <c r="B111" s="137">
        <v>1</v>
      </c>
      <c r="C111" s="137" t="s">
        <v>339</v>
      </c>
      <c r="D111" s="137"/>
      <c r="E111" s="137"/>
      <c r="F111" s="138" t="s">
        <v>321</v>
      </c>
      <c r="G111" s="137" t="s">
        <v>326</v>
      </c>
      <c r="H111" s="137" t="s">
        <v>7526</v>
      </c>
      <c r="I111" s="137" t="s">
        <v>7527</v>
      </c>
      <c r="J111" s="137" t="s">
        <v>7539</v>
      </c>
      <c r="K111" s="154" t="s">
        <v>7905</v>
      </c>
      <c r="L111" s="155" t="s">
        <v>344</v>
      </c>
      <c r="M111" s="154" t="s">
        <v>7906</v>
      </c>
      <c r="N111" s="154" t="s">
        <v>7907</v>
      </c>
      <c r="O111" s="137"/>
      <c r="P111" s="137"/>
      <c r="Q111" s="137" t="s">
        <v>5122</v>
      </c>
      <c r="R111" s="137"/>
      <c r="S111" s="137" t="s">
        <v>5122</v>
      </c>
      <c r="T111" s="137"/>
      <c r="U111" s="137"/>
      <c r="V111" s="137"/>
      <c r="W111" s="137"/>
      <c r="X111" s="137"/>
      <c r="Y111" s="137"/>
      <c r="Z111" s="118" t="s">
        <v>7530</v>
      </c>
    </row>
    <row r="112" customHeight="1" spans="1:26">
      <c r="A112" s="137" t="s">
        <v>7908</v>
      </c>
      <c r="B112" s="137">
        <v>1</v>
      </c>
      <c r="C112" s="137" t="s">
        <v>339</v>
      </c>
      <c r="D112" s="137"/>
      <c r="E112" s="137"/>
      <c r="F112" s="138" t="s">
        <v>321</v>
      </c>
      <c r="G112" s="137" t="s">
        <v>337</v>
      </c>
      <c r="H112" s="137" t="s">
        <v>7526</v>
      </c>
      <c r="I112" s="137" t="s">
        <v>7527</v>
      </c>
      <c r="J112" s="137" t="s">
        <v>7539</v>
      </c>
      <c r="K112" s="154" t="s">
        <v>7909</v>
      </c>
      <c r="L112" s="155" t="s">
        <v>329</v>
      </c>
      <c r="M112" s="154" t="s">
        <v>7910</v>
      </c>
      <c r="N112" s="154" t="s">
        <v>7911</v>
      </c>
      <c r="O112" s="137"/>
      <c r="P112" s="137"/>
      <c r="Q112" s="137"/>
      <c r="R112" s="137"/>
      <c r="S112" s="137"/>
      <c r="T112" s="137" t="s">
        <v>5122</v>
      </c>
      <c r="U112" s="137"/>
      <c r="V112" s="137" t="s">
        <v>5122</v>
      </c>
      <c r="W112" s="137" t="s">
        <v>5122</v>
      </c>
      <c r="X112" s="137"/>
      <c r="Y112" s="137" t="s">
        <v>5122</v>
      </c>
      <c r="Z112" s="118" t="s">
        <v>7530</v>
      </c>
    </row>
    <row r="113" customHeight="1" spans="1:26">
      <c r="A113" s="123" t="s">
        <v>7912</v>
      </c>
      <c r="B113" s="123">
        <v>1</v>
      </c>
      <c r="C113" s="123" t="s">
        <v>324</v>
      </c>
      <c r="D113" s="123"/>
      <c r="E113" s="123"/>
      <c r="F113" s="124" t="s">
        <v>321</v>
      </c>
      <c r="G113" s="123" t="s">
        <v>343</v>
      </c>
      <c r="H113" s="123" t="s">
        <v>7526</v>
      </c>
      <c r="I113" s="123" t="s">
        <v>7527</v>
      </c>
      <c r="J113" s="123"/>
      <c r="K113" s="141"/>
      <c r="L113" s="139" t="s">
        <v>327</v>
      </c>
      <c r="M113" s="141" t="s">
        <v>7913</v>
      </c>
      <c r="N113" s="141" t="s">
        <v>7914</v>
      </c>
      <c r="O113" s="123"/>
      <c r="P113" s="123" t="s">
        <v>5122</v>
      </c>
      <c r="Q113" s="123"/>
      <c r="R113" s="123"/>
      <c r="S113" s="123"/>
      <c r="T113" s="123"/>
      <c r="U113" s="123"/>
      <c r="V113" s="123"/>
      <c r="W113" s="123"/>
      <c r="X113" s="123"/>
      <c r="Y113" s="123"/>
      <c r="Z113" s="118" t="s">
        <v>7530</v>
      </c>
    </row>
    <row r="114" customHeight="1" spans="1:26">
      <c r="A114" s="137" t="s">
        <v>7915</v>
      </c>
      <c r="B114" s="137">
        <v>1</v>
      </c>
      <c r="C114" s="137" t="s">
        <v>339</v>
      </c>
      <c r="D114" s="137"/>
      <c r="E114" s="137"/>
      <c r="F114" s="138" t="s">
        <v>7916</v>
      </c>
      <c r="G114" s="137" t="s">
        <v>326</v>
      </c>
      <c r="H114" s="137" t="s">
        <v>7526</v>
      </c>
      <c r="I114" s="137"/>
      <c r="J114" s="137"/>
      <c r="K114" s="154"/>
      <c r="L114" s="155" t="s">
        <v>323</v>
      </c>
      <c r="M114" s="154" t="s">
        <v>7917</v>
      </c>
      <c r="N114" s="154" t="s">
        <v>7918</v>
      </c>
      <c r="O114" s="137"/>
      <c r="P114" s="137"/>
      <c r="Q114" s="137"/>
      <c r="R114" s="137"/>
      <c r="S114" s="137" t="s">
        <v>5122</v>
      </c>
      <c r="T114" s="137"/>
      <c r="U114" s="137"/>
      <c r="V114" s="137"/>
      <c r="W114" s="137"/>
      <c r="X114" s="137"/>
      <c r="Y114" s="137"/>
      <c r="Z114" s="118" t="s">
        <v>7530</v>
      </c>
    </row>
    <row r="115" customHeight="1" spans="1:26">
      <c r="A115" s="125" t="s">
        <v>7919</v>
      </c>
      <c r="B115" s="125">
        <v>1</v>
      </c>
      <c r="C115" s="125" t="s">
        <v>328</v>
      </c>
      <c r="D115" s="125"/>
      <c r="E115" s="125"/>
      <c r="F115" s="126" t="s">
        <v>325</v>
      </c>
      <c r="G115" s="125" t="s">
        <v>337</v>
      </c>
      <c r="H115" s="125" t="s">
        <v>7526</v>
      </c>
      <c r="I115" s="125"/>
      <c r="J115" s="125"/>
      <c r="K115" s="142"/>
      <c r="L115" s="143" t="s">
        <v>323</v>
      </c>
      <c r="M115" s="142" t="s">
        <v>7920</v>
      </c>
      <c r="N115" s="142" t="s">
        <v>7921</v>
      </c>
      <c r="O115" s="125" t="s">
        <v>5122</v>
      </c>
      <c r="P115" s="125" t="s">
        <v>5122</v>
      </c>
      <c r="Q115" s="125" t="s">
        <v>5122</v>
      </c>
      <c r="R115" s="125"/>
      <c r="S115" s="125"/>
      <c r="T115" s="125"/>
      <c r="U115" s="125"/>
      <c r="V115" s="125"/>
      <c r="W115" s="125"/>
      <c r="X115" s="125"/>
      <c r="Y115" s="125" t="s">
        <v>5122</v>
      </c>
      <c r="Z115" s="118" t="s">
        <v>7530</v>
      </c>
    </row>
    <row r="116" customHeight="1" spans="1:26">
      <c r="A116" s="123" t="s">
        <v>7922</v>
      </c>
      <c r="B116" s="123">
        <v>1</v>
      </c>
      <c r="C116" s="123" t="s">
        <v>324</v>
      </c>
      <c r="D116" s="123"/>
      <c r="E116" s="123"/>
      <c r="F116" s="124" t="s">
        <v>7923</v>
      </c>
      <c r="G116" s="123" t="s">
        <v>337</v>
      </c>
      <c r="H116" s="123" t="s">
        <v>7526</v>
      </c>
      <c r="I116" s="123" t="s">
        <v>7527</v>
      </c>
      <c r="J116" s="123"/>
      <c r="K116" s="141"/>
      <c r="L116" s="139" t="s">
        <v>323</v>
      </c>
      <c r="M116" s="141" t="s">
        <v>7924</v>
      </c>
      <c r="N116" s="141" t="s">
        <v>7925</v>
      </c>
      <c r="O116" s="123"/>
      <c r="P116" s="123"/>
      <c r="Q116" s="123"/>
      <c r="R116" s="123"/>
      <c r="S116" s="123"/>
      <c r="T116" s="123"/>
      <c r="U116" s="123" t="s">
        <v>5122</v>
      </c>
      <c r="V116" s="123"/>
      <c r="W116" s="123"/>
      <c r="X116" s="123"/>
      <c r="Y116" s="123"/>
      <c r="Z116" s="118" t="s">
        <v>7530</v>
      </c>
    </row>
    <row r="117" customHeight="1" spans="1:26">
      <c r="A117" s="133" t="s">
        <v>7926</v>
      </c>
      <c r="B117" s="133">
        <v>1</v>
      </c>
      <c r="C117" s="133" t="s">
        <v>342</v>
      </c>
      <c r="D117" s="133"/>
      <c r="E117" s="133" t="s">
        <v>5122</v>
      </c>
      <c r="F117" s="134" t="s">
        <v>321</v>
      </c>
      <c r="G117" s="133" t="s">
        <v>7535</v>
      </c>
      <c r="H117" s="133" t="s">
        <v>7526</v>
      </c>
      <c r="I117" s="133" t="s">
        <v>7527</v>
      </c>
      <c r="J117" s="133"/>
      <c r="K117" s="150"/>
      <c r="L117" s="151" t="s">
        <v>352</v>
      </c>
      <c r="M117" s="150" t="s">
        <v>7927</v>
      </c>
      <c r="N117" s="150" t="s">
        <v>7928</v>
      </c>
      <c r="O117" s="133" t="s">
        <v>5122</v>
      </c>
      <c r="P117" s="133"/>
      <c r="Q117" s="133"/>
      <c r="R117" s="133" t="s">
        <v>5122</v>
      </c>
      <c r="S117" s="133"/>
      <c r="T117" s="133"/>
      <c r="U117" s="133"/>
      <c r="V117" s="133"/>
      <c r="W117" s="133"/>
      <c r="X117" s="133"/>
      <c r="Y117" s="133"/>
      <c r="Z117" s="118" t="s">
        <v>7530</v>
      </c>
    </row>
    <row r="118" customHeight="1" spans="1:26">
      <c r="A118" s="133" t="s">
        <v>7929</v>
      </c>
      <c r="B118" s="133">
        <v>1</v>
      </c>
      <c r="C118" s="133" t="s">
        <v>342</v>
      </c>
      <c r="D118" s="133"/>
      <c r="E118" s="133" t="s">
        <v>5122</v>
      </c>
      <c r="F118" s="134" t="s">
        <v>325</v>
      </c>
      <c r="G118" s="133" t="s">
        <v>340</v>
      </c>
      <c r="H118" s="133" t="s">
        <v>7526</v>
      </c>
      <c r="I118" s="133" t="s">
        <v>7527</v>
      </c>
      <c r="J118" s="133" t="s">
        <v>7539</v>
      </c>
      <c r="K118" s="150" t="s">
        <v>7930</v>
      </c>
      <c r="L118" s="151" t="s">
        <v>359</v>
      </c>
      <c r="M118" s="150" t="s">
        <v>7931</v>
      </c>
      <c r="N118" s="150" t="s">
        <v>7932</v>
      </c>
      <c r="O118" s="133"/>
      <c r="P118" s="133"/>
      <c r="Q118" s="133"/>
      <c r="R118" s="133"/>
      <c r="S118" s="133"/>
      <c r="T118" s="133"/>
      <c r="U118" s="133" t="s">
        <v>5122</v>
      </c>
      <c r="V118" s="133"/>
      <c r="W118" s="133"/>
      <c r="X118" s="133"/>
      <c r="Y118" s="133"/>
      <c r="Z118" s="118" t="s">
        <v>7530</v>
      </c>
    </row>
    <row r="119" customHeight="1" spans="1:26">
      <c r="A119" s="135" t="s">
        <v>7933</v>
      </c>
      <c r="B119" s="135">
        <v>1</v>
      </c>
      <c r="C119" s="135" t="s">
        <v>335</v>
      </c>
      <c r="D119" s="135"/>
      <c r="E119" s="135" t="s">
        <v>5122</v>
      </c>
      <c r="F119" s="136" t="s">
        <v>325</v>
      </c>
      <c r="G119" s="135" t="s">
        <v>340</v>
      </c>
      <c r="H119" s="135" t="s">
        <v>7526</v>
      </c>
      <c r="I119" s="135"/>
      <c r="J119" s="135"/>
      <c r="K119" s="152"/>
      <c r="L119" s="153" t="s">
        <v>359</v>
      </c>
      <c r="M119" s="152" t="s">
        <v>7934</v>
      </c>
      <c r="N119" s="152" t="s">
        <v>7935</v>
      </c>
      <c r="O119" s="135"/>
      <c r="P119" s="135"/>
      <c r="Q119" s="135"/>
      <c r="R119" s="135"/>
      <c r="S119" s="135" t="s">
        <v>5122</v>
      </c>
      <c r="T119" s="135"/>
      <c r="U119" s="135"/>
      <c r="V119" s="135"/>
      <c r="W119" s="135"/>
      <c r="X119" s="135"/>
      <c r="Y119" s="135"/>
      <c r="Z119" s="118" t="s">
        <v>7530</v>
      </c>
    </row>
    <row r="120" customHeight="1" spans="1:26">
      <c r="A120" s="137" t="s">
        <v>7936</v>
      </c>
      <c r="B120" s="137">
        <v>1</v>
      </c>
      <c r="C120" s="137" t="s">
        <v>339</v>
      </c>
      <c r="D120" s="137"/>
      <c r="E120" s="137"/>
      <c r="F120" s="138" t="s">
        <v>321</v>
      </c>
      <c r="G120" s="137" t="s">
        <v>337</v>
      </c>
      <c r="H120" s="137"/>
      <c r="I120" s="137" t="s">
        <v>7527</v>
      </c>
      <c r="J120" s="137" t="s">
        <v>7539</v>
      </c>
      <c r="K120" s="154" t="s">
        <v>7937</v>
      </c>
      <c r="L120" s="155" t="s">
        <v>323</v>
      </c>
      <c r="M120" s="154" t="s">
        <v>7938</v>
      </c>
      <c r="N120" s="154" t="s">
        <v>7939</v>
      </c>
      <c r="O120" s="137"/>
      <c r="P120" s="137"/>
      <c r="Q120" s="137" t="s">
        <v>5122</v>
      </c>
      <c r="R120" s="137"/>
      <c r="S120" s="137"/>
      <c r="T120" s="137" t="s">
        <v>5122</v>
      </c>
      <c r="U120" s="137"/>
      <c r="V120" s="137" t="s">
        <v>5122</v>
      </c>
      <c r="W120" s="137"/>
      <c r="X120" s="137"/>
      <c r="Y120" s="137"/>
      <c r="Z120" s="118" t="s">
        <v>7530</v>
      </c>
    </row>
    <row r="121" customHeight="1" spans="1:26">
      <c r="A121" s="135" t="s">
        <v>7940</v>
      </c>
      <c r="B121" s="135">
        <v>1</v>
      </c>
      <c r="C121" s="135" t="s">
        <v>335</v>
      </c>
      <c r="D121" s="135" t="s">
        <v>5122</v>
      </c>
      <c r="E121" s="135"/>
      <c r="F121" s="136" t="s">
        <v>336</v>
      </c>
      <c r="G121" s="135" t="s">
        <v>7535</v>
      </c>
      <c r="H121" s="135" t="s">
        <v>7526</v>
      </c>
      <c r="I121" s="135" t="s">
        <v>7527</v>
      </c>
      <c r="J121" s="135" t="s">
        <v>7539</v>
      </c>
      <c r="K121" s="152" t="s">
        <v>7941</v>
      </c>
      <c r="L121" s="153" t="s">
        <v>323</v>
      </c>
      <c r="M121" s="152" t="s">
        <v>7942</v>
      </c>
      <c r="N121" s="152" t="s">
        <v>7943</v>
      </c>
      <c r="O121" s="135" t="s">
        <v>5122</v>
      </c>
      <c r="P121" s="135"/>
      <c r="Q121" s="135"/>
      <c r="R121" s="135"/>
      <c r="S121" s="135"/>
      <c r="T121" s="135"/>
      <c r="U121" s="135"/>
      <c r="V121" s="135" t="s">
        <v>5122</v>
      </c>
      <c r="W121" s="135" t="s">
        <v>5122</v>
      </c>
      <c r="X121" s="135"/>
      <c r="Y121" s="135" t="s">
        <v>5122</v>
      </c>
      <c r="Z121" s="118" t="s">
        <v>7530</v>
      </c>
    </row>
    <row r="122" customHeight="1" spans="1:26">
      <c r="A122" s="129" t="s">
        <v>7944</v>
      </c>
      <c r="B122" s="129">
        <v>1</v>
      </c>
      <c r="C122" s="129" t="s">
        <v>347</v>
      </c>
      <c r="D122" s="129" t="s">
        <v>5122</v>
      </c>
      <c r="E122" s="129"/>
      <c r="F122" s="130" t="s">
        <v>336</v>
      </c>
      <c r="G122" s="129" t="s">
        <v>7535</v>
      </c>
      <c r="H122" s="129" t="s">
        <v>7526</v>
      </c>
      <c r="I122" s="129" t="s">
        <v>7527</v>
      </c>
      <c r="J122" s="129" t="s">
        <v>7539</v>
      </c>
      <c r="K122" s="146" t="s">
        <v>7945</v>
      </c>
      <c r="L122" s="147" t="s">
        <v>361</v>
      </c>
      <c r="M122" s="146" t="s">
        <v>7946</v>
      </c>
      <c r="N122" s="146" t="s">
        <v>7947</v>
      </c>
      <c r="O122" s="129" t="s">
        <v>5122</v>
      </c>
      <c r="P122" s="129"/>
      <c r="Q122" s="129"/>
      <c r="R122" s="129"/>
      <c r="S122" s="129"/>
      <c r="T122" s="129"/>
      <c r="U122" s="129"/>
      <c r="V122" s="129" t="s">
        <v>5122</v>
      </c>
      <c r="W122" s="129"/>
      <c r="X122" s="129"/>
      <c r="Y122" s="129" t="s">
        <v>5122</v>
      </c>
      <c r="Z122" s="118" t="s">
        <v>7530</v>
      </c>
    </row>
    <row r="123" customHeight="1" spans="1:26">
      <c r="A123" s="127" t="s">
        <v>7948</v>
      </c>
      <c r="B123" s="127">
        <v>1</v>
      </c>
      <c r="C123" s="127" t="s">
        <v>331</v>
      </c>
      <c r="D123" s="127"/>
      <c r="E123" s="127"/>
      <c r="F123" s="128" t="s">
        <v>321</v>
      </c>
      <c r="G123" s="127" t="s">
        <v>7535</v>
      </c>
      <c r="H123" s="127" t="s">
        <v>7526</v>
      </c>
      <c r="I123" s="127" t="s">
        <v>7527</v>
      </c>
      <c r="J123" s="127"/>
      <c r="K123" s="144"/>
      <c r="L123" s="145" t="s">
        <v>323</v>
      </c>
      <c r="M123" s="144" t="s">
        <v>7949</v>
      </c>
      <c r="N123" s="144" t="s">
        <v>7950</v>
      </c>
      <c r="O123" s="127"/>
      <c r="P123" s="127" t="s">
        <v>5122</v>
      </c>
      <c r="Q123" s="127"/>
      <c r="R123" s="127"/>
      <c r="S123" s="127"/>
      <c r="T123" s="127"/>
      <c r="U123" s="127"/>
      <c r="V123" s="127"/>
      <c r="W123" s="127"/>
      <c r="X123" s="127"/>
      <c r="Y123" s="127"/>
      <c r="Z123" s="118" t="s">
        <v>7530</v>
      </c>
    </row>
    <row r="124" customHeight="1" spans="1:26">
      <c r="A124" s="131" t="s">
        <v>7951</v>
      </c>
      <c r="B124" s="131">
        <v>1</v>
      </c>
      <c r="C124" s="131" t="s">
        <v>320</v>
      </c>
      <c r="D124" s="131"/>
      <c r="E124" s="131"/>
      <c r="F124" s="132" t="s">
        <v>325</v>
      </c>
      <c r="G124" s="131" t="s">
        <v>7535</v>
      </c>
      <c r="H124" s="131" t="s">
        <v>7526</v>
      </c>
      <c r="I124" s="131" t="s">
        <v>7527</v>
      </c>
      <c r="J124" s="131" t="s">
        <v>7539</v>
      </c>
      <c r="K124" s="148" t="s">
        <v>7952</v>
      </c>
      <c r="L124" s="149" t="s">
        <v>329</v>
      </c>
      <c r="M124" s="148" t="s">
        <v>7953</v>
      </c>
      <c r="N124" s="148" t="s">
        <v>7954</v>
      </c>
      <c r="O124" s="131"/>
      <c r="P124" s="131"/>
      <c r="Q124" s="131" t="s">
        <v>5122</v>
      </c>
      <c r="R124" s="131"/>
      <c r="S124" s="131" t="s">
        <v>5122</v>
      </c>
      <c r="T124" s="131" t="s">
        <v>5122</v>
      </c>
      <c r="U124" s="131"/>
      <c r="V124" s="131" t="s">
        <v>5122</v>
      </c>
      <c r="W124" s="131"/>
      <c r="X124" s="131"/>
      <c r="Y124" s="131" t="s">
        <v>5122</v>
      </c>
      <c r="Z124" s="118" t="s">
        <v>7530</v>
      </c>
    </row>
    <row r="125" customHeight="1" spans="1:26">
      <c r="A125" s="131" t="s">
        <v>7955</v>
      </c>
      <c r="B125" s="131">
        <v>1</v>
      </c>
      <c r="C125" s="131" t="s">
        <v>320</v>
      </c>
      <c r="D125" s="131"/>
      <c r="E125" s="131"/>
      <c r="F125" s="132" t="s">
        <v>321</v>
      </c>
      <c r="G125" s="131" t="s">
        <v>7535</v>
      </c>
      <c r="H125" s="131" t="s">
        <v>7526</v>
      </c>
      <c r="I125" s="131" t="s">
        <v>7527</v>
      </c>
      <c r="J125" s="131" t="s">
        <v>7539</v>
      </c>
      <c r="K125" s="148" t="s">
        <v>7956</v>
      </c>
      <c r="L125" s="149" t="s">
        <v>338</v>
      </c>
      <c r="M125" s="148" t="s">
        <v>7957</v>
      </c>
      <c r="N125" s="148" t="s">
        <v>7958</v>
      </c>
      <c r="O125" s="131" t="s">
        <v>5122</v>
      </c>
      <c r="P125" s="131"/>
      <c r="Q125" s="131" t="s">
        <v>5122</v>
      </c>
      <c r="R125" s="131"/>
      <c r="S125" s="131" t="s">
        <v>5122</v>
      </c>
      <c r="T125" s="131"/>
      <c r="U125" s="131"/>
      <c r="V125" s="131" t="s">
        <v>5122</v>
      </c>
      <c r="W125" s="131" t="s">
        <v>5122</v>
      </c>
      <c r="X125" s="131"/>
      <c r="Y125" s="131"/>
      <c r="Z125" s="118" t="s">
        <v>7530</v>
      </c>
    </row>
    <row r="126" customHeight="1" spans="1:26">
      <c r="A126" s="125" t="s">
        <v>5035</v>
      </c>
      <c r="B126" s="125">
        <v>1</v>
      </c>
      <c r="C126" s="125" t="s">
        <v>328</v>
      </c>
      <c r="D126" s="125"/>
      <c r="E126" s="125"/>
      <c r="F126" s="126" t="s">
        <v>321</v>
      </c>
      <c r="G126" s="125" t="s">
        <v>7535</v>
      </c>
      <c r="H126" s="125" t="s">
        <v>7526</v>
      </c>
      <c r="I126" s="125" t="s">
        <v>7527</v>
      </c>
      <c r="J126" s="125" t="s">
        <v>7539</v>
      </c>
      <c r="K126" s="142" t="s">
        <v>7959</v>
      </c>
      <c r="L126" s="143" t="s">
        <v>341</v>
      </c>
      <c r="M126" s="142" t="s">
        <v>7960</v>
      </c>
      <c r="N126" s="142" t="s">
        <v>7961</v>
      </c>
      <c r="O126" s="125"/>
      <c r="P126" s="125"/>
      <c r="Q126" s="125"/>
      <c r="R126" s="125"/>
      <c r="S126" s="125"/>
      <c r="T126" s="125" t="s">
        <v>5122</v>
      </c>
      <c r="U126" s="125"/>
      <c r="V126" s="125" t="s">
        <v>5122</v>
      </c>
      <c r="W126" s="125"/>
      <c r="X126" s="125"/>
      <c r="Y126" s="125"/>
      <c r="Z126" s="118" t="s">
        <v>7530</v>
      </c>
    </row>
    <row r="127" customHeight="1" spans="1:26">
      <c r="A127" s="123" t="s">
        <v>7962</v>
      </c>
      <c r="B127" s="123">
        <v>1</v>
      </c>
      <c r="C127" s="123" t="s">
        <v>324</v>
      </c>
      <c r="D127" s="123"/>
      <c r="E127" s="123"/>
      <c r="F127" s="124" t="s">
        <v>321</v>
      </c>
      <c r="G127" s="123" t="s">
        <v>343</v>
      </c>
      <c r="H127" s="123" t="s">
        <v>7526</v>
      </c>
      <c r="I127" s="123" t="s">
        <v>7527</v>
      </c>
      <c r="J127" s="123"/>
      <c r="K127" s="141"/>
      <c r="L127" s="139" t="s">
        <v>323</v>
      </c>
      <c r="M127" s="141" t="s">
        <v>7963</v>
      </c>
      <c r="N127" s="141" t="s">
        <v>7964</v>
      </c>
      <c r="O127" s="123"/>
      <c r="P127" s="123"/>
      <c r="Q127" s="123"/>
      <c r="R127" s="123"/>
      <c r="S127" s="123"/>
      <c r="T127" s="123" t="s">
        <v>5122</v>
      </c>
      <c r="U127" s="123"/>
      <c r="V127" s="123" t="s">
        <v>5122</v>
      </c>
      <c r="W127" s="123"/>
      <c r="X127" s="123"/>
      <c r="Y127" s="123"/>
      <c r="Z127" s="118" t="s">
        <v>7530</v>
      </c>
    </row>
    <row r="128" customHeight="1" spans="1:26">
      <c r="A128" s="125" t="s">
        <v>7965</v>
      </c>
      <c r="B128" s="125">
        <v>1</v>
      </c>
      <c r="C128" s="125" t="s">
        <v>328</v>
      </c>
      <c r="D128" s="125"/>
      <c r="E128" s="125" t="s">
        <v>5122</v>
      </c>
      <c r="F128" s="126" t="s">
        <v>321</v>
      </c>
      <c r="G128" s="125" t="s">
        <v>7535</v>
      </c>
      <c r="H128" s="125" t="s">
        <v>7526</v>
      </c>
      <c r="I128" s="125" t="s">
        <v>7527</v>
      </c>
      <c r="J128" s="125" t="s">
        <v>7539</v>
      </c>
      <c r="K128" s="142" t="s">
        <v>7966</v>
      </c>
      <c r="L128" s="143" t="s">
        <v>356</v>
      </c>
      <c r="M128" s="142" t="s">
        <v>7967</v>
      </c>
      <c r="N128" s="142" t="s">
        <v>7968</v>
      </c>
      <c r="O128" s="125"/>
      <c r="P128" s="125" t="s">
        <v>5122</v>
      </c>
      <c r="Q128" s="125" t="s">
        <v>5122</v>
      </c>
      <c r="R128" s="125" t="s">
        <v>5122</v>
      </c>
      <c r="S128" s="125"/>
      <c r="T128" s="125"/>
      <c r="U128" s="125" t="s">
        <v>5122</v>
      </c>
      <c r="V128" s="125" t="s">
        <v>5122</v>
      </c>
      <c r="W128" s="125"/>
      <c r="X128" s="125"/>
      <c r="Y128" s="125" t="s">
        <v>5122</v>
      </c>
      <c r="Z128" s="118" t="s">
        <v>7530</v>
      </c>
    </row>
    <row r="129" customHeight="1" spans="1:26">
      <c r="A129" s="131" t="s">
        <v>7969</v>
      </c>
      <c r="B129" s="131">
        <v>1</v>
      </c>
      <c r="C129" s="131" t="s">
        <v>320</v>
      </c>
      <c r="D129" s="131" t="s">
        <v>5122</v>
      </c>
      <c r="E129" s="131"/>
      <c r="F129" s="132" t="s">
        <v>332</v>
      </c>
      <c r="G129" s="131" t="s">
        <v>7556</v>
      </c>
      <c r="H129" s="131" t="s">
        <v>7526</v>
      </c>
      <c r="I129" s="131" t="s">
        <v>7527</v>
      </c>
      <c r="J129" s="131"/>
      <c r="K129" s="148"/>
      <c r="L129" s="149" t="s">
        <v>323</v>
      </c>
      <c r="M129" s="148" t="s">
        <v>7970</v>
      </c>
      <c r="N129" s="148" t="s">
        <v>7971</v>
      </c>
      <c r="O129" s="131"/>
      <c r="P129" s="131" t="s">
        <v>5122</v>
      </c>
      <c r="Q129" s="131" t="s">
        <v>5122</v>
      </c>
      <c r="R129" s="131" t="s">
        <v>5122</v>
      </c>
      <c r="S129" s="131"/>
      <c r="T129" s="131"/>
      <c r="U129" s="131"/>
      <c r="V129" s="131"/>
      <c r="W129" s="131" t="s">
        <v>5122</v>
      </c>
      <c r="X129" s="131"/>
      <c r="Y129" s="131" t="s">
        <v>5122</v>
      </c>
      <c r="Z129" s="118" t="s">
        <v>7530</v>
      </c>
    </row>
    <row r="130" customHeight="1" spans="1:26">
      <c r="A130" s="127" t="s">
        <v>7972</v>
      </c>
      <c r="B130" s="127">
        <v>1</v>
      </c>
      <c r="C130" s="127" t="s">
        <v>331</v>
      </c>
      <c r="D130" s="127"/>
      <c r="E130" s="127"/>
      <c r="F130" s="128" t="s">
        <v>321</v>
      </c>
      <c r="G130" s="127" t="s">
        <v>337</v>
      </c>
      <c r="H130" s="127" t="s">
        <v>7526</v>
      </c>
      <c r="I130" s="127" t="s">
        <v>7527</v>
      </c>
      <c r="J130" s="127"/>
      <c r="K130" s="144"/>
      <c r="L130" s="145" t="s">
        <v>323</v>
      </c>
      <c r="M130" s="144" t="s">
        <v>7973</v>
      </c>
      <c r="N130" s="144" t="s">
        <v>7974</v>
      </c>
      <c r="O130" s="127"/>
      <c r="P130" s="127"/>
      <c r="Q130" s="127"/>
      <c r="R130" s="127"/>
      <c r="S130" s="127"/>
      <c r="T130" s="127" t="s">
        <v>5122</v>
      </c>
      <c r="U130" s="127"/>
      <c r="V130" s="127" t="s">
        <v>5122</v>
      </c>
      <c r="W130" s="127"/>
      <c r="X130" s="127"/>
      <c r="Y130" s="127" t="s">
        <v>5122</v>
      </c>
      <c r="Z130" s="118" t="s">
        <v>7530</v>
      </c>
    </row>
    <row r="131" customHeight="1" spans="1:26">
      <c r="A131" s="125" t="s">
        <v>7975</v>
      </c>
      <c r="B131" s="125">
        <v>1</v>
      </c>
      <c r="C131" s="125" t="s">
        <v>328</v>
      </c>
      <c r="D131" s="125"/>
      <c r="E131" s="125"/>
      <c r="F131" s="126" t="s">
        <v>325</v>
      </c>
      <c r="G131" s="125" t="s">
        <v>333</v>
      </c>
      <c r="H131" s="125" t="s">
        <v>7526</v>
      </c>
      <c r="I131" s="125" t="s">
        <v>7527</v>
      </c>
      <c r="J131" s="125" t="s">
        <v>7539</v>
      </c>
      <c r="K131" s="142" t="s">
        <v>7976</v>
      </c>
      <c r="L131" s="143" t="s">
        <v>329</v>
      </c>
      <c r="M131" s="142" t="s">
        <v>7977</v>
      </c>
      <c r="N131" s="142" t="s">
        <v>7978</v>
      </c>
      <c r="O131" s="125"/>
      <c r="P131" s="125" t="s">
        <v>5122</v>
      </c>
      <c r="Q131" s="125"/>
      <c r="R131" s="125"/>
      <c r="S131" s="125"/>
      <c r="T131" s="125"/>
      <c r="U131" s="125"/>
      <c r="V131" s="125"/>
      <c r="W131" s="125" t="s">
        <v>5122</v>
      </c>
      <c r="X131" s="125"/>
      <c r="Y131" s="125"/>
      <c r="Z131" s="118" t="s">
        <v>7530</v>
      </c>
    </row>
    <row r="132" customHeight="1" spans="1:26">
      <c r="A132" s="123" t="s">
        <v>7979</v>
      </c>
      <c r="B132" s="123">
        <v>1</v>
      </c>
      <c r="C132" s="123" t="s">
        <v>324</v>
      </c>
      <c r="D132" s="123"/>
      <c r="E132" s="123"/>
      <c r="F132" s="124" t="s">
        <v>7871</v>
      </c>
      <c r="G132" s="123" t="s">
        <v>326</v>
      </c>
      <c r="H132" s="123" t="s">
        <v>7526</v>
      </c>
      <c r="I132" s="123"/>
      <c r="J132" s="123"/>
      <c r="K132" s="141"/>
      <c r="L132" s="139" t="s">
        <v>329</v>
      </c>
      <c r="M132" s="141" t="s">
        <v>7980</v>
      </c>
      <c r="N132" s="141" t="s">
        <v>7981</v>
      </c>
      <c r="O132" s="123"/>
      <c r="P132" s="123"/>
      <c r="Q132" s="123"/>
      <c r="R132" s="123" t="s">
        <v>5122</v>
      </c>
      <c r="S132" s="123"/>
      <c r="T132" s="123"/>
      <c r="U132" s="123"/>
      <c r="V132" s="123"/>
      <c r="W132" s="123"/>
      <c r="X132" s="123"/>
      <c r="Y132" s="123"/>
      <c r="Z132" s="118" t="s">
        <v>7530</v>
      </c>
    </row>
    <row r="133" customHeight="1" spans="1:26">
      <c r="A133" s="125" t="s">
        <v>7982</v>
      </c>
      <c r="B133" s="125">
        <v>1</v>
      </c>
      <c r="C133" s="125" t="s">
        <v>328</v>
      </c>
      <c r="D133" s="125"/>
      <c r="E133" s="125"/>
      <c r="F133" s="126" t="s">
        <v>7983</v>
      </c>
      <c r="G133" s="125" t="s">
        <v>326</v>
      </c>
      <c r="H133" s="125" t="s">
        <v>7526</v>
      </c>
      <c r="I133" s="125" t="s">
        <v>7527</v>
      </c>
      <c r="J133" s="125"/>
      <c r="K133" s="142"/>
      <c r="L133" s="143" t="s">
        <v>327</v>
      </c>
      <c r="M133" s="142" t="s">
        <v>7984</v>
      </c>
      <c r="N133" s="142" t="s">
        <v>7985</v>
      </c>
      <c r="O133" s="125"/>
      <c r="P133" s="125"/>
      <c r="Q133" s="125"/>
      <c r="R133" s="125"/>
      <c r="S133" s="125"/>
      <c r="T133" s="125" t="s">
        <v>5122</v>
      </c>
      <c r="U133" s="125"/>
      <c r="V133" s="125" t="s">
        <v>5122</v>
      </c>
      <c r="W133" s="125"/>
      <c r="X133" s="125"/>
      <c r="Y133" s="125"/>
      <c r="Z133" s="118" t="s">
        <v>7530</v>
      </c>
    </row>
    <row r="134" customHeight="1" spans="1:26">
      <c r="A134" s="125" t="s">
        <v>7986</v>
      </c>
      <c r="B134" s="125">
        <v>1</v>
      </c>
      <c r="C134" s="125" t="s">
        <v>328</v>
      </c>
      <c r="D134" s="125"/>
      <c r="E134" s="125" t="s">
        <v>5122</v>
      </c>
      <c r="F134" s="126" t="s">
        <v>325</v>
      </c>
      <c r="G134" s="125" t="s">
        <v>337</v>
      </c>
      <c r="H134" s="125" t="s">
        <v>7526</v>
      </c>
      <c r="I134" s="125" t="s">
        <v>7527</v>
      </c>
      <c r="J134" s="125" t="s">
        <v>7539</v>
      </c>
      <c r="K134" s="142" t="s">
        <v>7987</v>
      </c>
      <c r="L134" s="143" t="s">
        <v>356</v>
      </c>
      <c r="M134" s="142" t="s">
        <v>7988</v>
      </c>
      <c r="N134" s="142" t="s">
        <v>7989</v>
      </c>
      <c r="O134" s="125"/>
      <c r="P134" s="125" t="s">
        <v>5122</v>
      </c>
      <c r="Q134" s="125"/>
      <c r="R134" s="125" t="s">
        <v>5122</v>
      </c>
      <c r="S134" s="125"/>
      <c r="T134" s="125"/>
      <c r="U134" s="125"/>
      <c r="V134" s="125"/>
      <c r="W134" s="125"/>
      <c r="X134" s="125"/>
      <c r="Y134" s="125"/>
      <c r="Z134" s="118" t="s">
        <v>7530</v>
      </c>
    </row>
    <row r="135" customHeight="1" spans="1:26">
      <c r="A135" s="129" t="s">
        <v>7990</v>
      </c>
      <c r="B135" s="129">
        <v>1</v>
      </c>
      <c r="C135" s="129" t="s">
        <v>347</v>
      </c>
      <c r="D135" s="129"/>
      <c r="E135" s="129" t="s">
        <v>5122</v>
      </c>
      <c r="F135" s="130" t="s">
        <v>321</v>
      </c>
      <c r="G135" s="129" t="s">
        <v>337</v>
      </c>
      <c r="H135" s="129" t="s">
        <v>7526</v>
      </c>
      <c r="I135" s="129" t="s">
        <v>7527</v>
      </c>
      <c r="J135" s="129" t="s">
        <v>7539</v>
      </c>
      <c r="K135" s="146" t="s">
        <v>7991</v>
      </c>
      <c r="L135" s="147" t="s">
        <v>356</v>
      </c>
      <c r="M135" s="146" t="s">
        <v>7992</v>
      </c>
      <c r="N135" s="146" t="s">
        <v>7993</v>
      </c>
      <c r="O135" s="129" t="s">
        <v>5122</v>
      </c>
      <c r="P135" s="129"/>
      <c r="Q135" s="129"/>
      <c r="R135" s="129"/>
      <c r="S135" s="129"/>
      <c r="T135" s="129" t="s">
        <v>5122</v>
      </c>
      <c r="U135" s="129"/>
      <c r="V135" s="129" t="s">
        <v>5122</v>
      </c>
      <c r="W135" s="129"/>
      <c r="X135" s="129"/>
      <c r="Y135" s="129"/>
      <c r="Z135" s="118" t="s">
        <v>7530</v>
      </c>
    </row>
    <row r="136" customHeight="1" spans="1:26">
      <c r="A136" s="133" t="s">
        <v>7994</v>
      </c>
      <c r="B136" s="133">
        <v>1</v>
      </c>
      <c r="C136" s="133" t="s">
        <v>342</v>
      </c>
      <c r="D136" s="133"/>
      <c r="E136" s="133" t="s">
        <v>5122</v>
      </c>
      <c r="F136" s="134" t="s">
        <v>321</v>
      </c>
      <c r="G136" s="133" t="s">
        <v>337</v>
      </c>
      <c r="H136" s="133" t="s">
        <v>7526</v>
      </c>
      <c r="I136" s="133" t="s">
        <v>7527</v>
      </c>
      <c r="J136" s="133" t="s">
        <v>7539</v>
      </c>
      <c r="K136" s="150" t="s">
        <v>7995</v>
      </c>
      <c r="L136" s="151" t="s">
        <v>352</v>
      </c>
      <c r="M136" s="150" t="s">
        <v>7996</v>
      </c>
      <c r="N136" s="150" t="s">
        <v>7997</v>
      </c>
      <c r="O136" s="133" t="s">
        <v>5122</v>
      </c>
      <c r="P136" s="133"/>
      <c r="Q136" s="133"/>
      <c r="R136" s="133"/>
      <c r="S136" s="133"/>
      <c r="T136" s="133" t="s">
        <v>5122</v>
      </c>
      <c r="U136" s="133"/>
      <c r="V136" s="133" t="s">
        <v>5122</v>
      </c>
      <c r="W136" s="133"/>
      <c r="X136" s="133"/>
      <c r="Y136" s="133" t="s">
        <v>5122</v>
      </c>
      <c r="Z136" s="118" t="s">
        <v>7530</v>
      </c>
    </row>
    <row r="137" customHeight="1" spans="1:26">
      <c r="A137" s="135" t="s">
        <v>7998</v>
      </c>
      <c r="B137" s="135">
        <v>1</v>
      </c>
      <c r="C137" s="135" t="s">
        <v>335</v>
      </c>
      <c r="D137" s="135" t="s">
        <v>5122</v>
      </c>
      <c r="E137" s="135"/>
      <c r="F137" s="136" t="s">
        <v>332</v>
      </c>
      <c r="G137" s="135" t="s">
        <v>326</v>
      </c>
      <c r="H137" s="135" t="s">
        <v>7526</v>
      </c>
      <c r="I137" s="135" t="s">
        <v>7527</v>
      </c>
      <c r="J137" s="135"/>
      <c r="K137" s="152"/>
      <c r="L137" s="153" t="s">
        <v>334</v>
      </c>
      <c r="M137" s="152" t="s">
        <v>7999</v>
      </c>
      <c r="N137" s="152" t="s">
        <v>8000</v>
      </c>
      <c r="O137" s="135" t="s">
        <v>5122</v>
      </c>
      <c r="P137" s="135"/>
      <c r="Q137" s="135" t="s">
        <v>5122</v>
      </c>
      <c r="R137" s="135"/>
      <c r="S137" s="135" t="s">
        <v>5122</v>
      </c>
      <c r="T137" s="135"/>
      <c r="U137" s="135" t="s">
        <v>5122</v>
      </c>
      <c r="V137" s="135"/>
      <c r="W137" s="135"/>
      <c r="X137" s="135"/>
      <c r="Y137" s="135"/>
      <c r="Z137" s="118" t="s">
        <v>7530</v>
      </c>
    </row>
    <row r="138" customHeight="1" spans="1:26">
      <c r="A138" s="133" t="s">
        <v>8001</v>
      </c>
      <c r="B138" s="133">
        <v>1</v>
      </c>
      <c r="C138" s="133" t="s">
        <v>342</v>
      </c>
      <c r="D138" s="133"/>
      <c r="E138" s="133" t="s">
        <v>5122</v>
      </c>
      <c r="F138" s="134" t="s">
        <v>321</v>
      </c>
      <c r="G138" s="133" t="s">
        <v>333</v>
      </c>
      <c r="H138" s="133" t="s">
        <v>7526</v>
      </c>
      <c r="I138" s="133" t="s">
        <v>7527</v>
      </c>
      <c r="J138" s="133" t="s">
        <v>7539</v>
      </c>
      <c r="K138" s="150" t="s">
        <v>8002</v>
      </c>
      <c r="L138" s="151" t="s">
        <v>352</v>
      </c>
      <c r="M138" s="150" t="s">
        <v>8003</v>
      </c>
      <c r="N138" s="150" t="s">
        <v>8004</v>
      </c>
      <c r="O138" s="133" t="s">
        <v>5122</v>
      </c>
      <c r="P138" s="133"/>
      <c r="Q138" s="133"/>
      <c r="R138" s="133"/>
      <c r="S138" s="133"/>
      <c r="T138" s="133"/>
      <c r="U138" s="133" t="s">
        <v>5122</v>
      </c>
      <c r="V138" s="133" t="s">
        <v>5122</v>
      </c>
      <c r="W138" s="133"/>
      <c r="X138" s="133"/>
      <c r="Y138" s="133" t="s">
        <v>5122</v>
      </c>
      <c r="Z138" s="118" t="s">
        <v>7530</v>
      </c>
    </row>
    <row r="139" customHeight="1" spans="1:26">
      <c r="A139" s="137" t="s">
        <v>8005</v>
      </c>
      <c r="B139" s="137">
        <v>1</v>
      </c>
      <c r="C139" s="137" t="s">
        <v>339</v>
      </c>
      <c r="D139" s="137" t="s">
        <v>5122</v>
      </c>
      <c r="E139" s="137"/>
      <c r="F139" s="138" t="s">
        <v>332</v>
      </c>
      <c r="G139" s="137" t="s">
        <v>333</v>
      </c>
      <c r="H139" s="137" t="s">
        <v>7526</v>
      </c>
      <c r="I139" s="137" t="s">
        <v>7527</v>
      </c>
      <c r="J139" s="137" t="s">
        <v>7539</v>
      </c>
      <c r="K139" s="154" t="s">
        <v>8006</v>
      </c>
      <c r="L139" s="155" t="s">
        <v>338</v>
      </c>
      <c r="M139" s="154" t="s">
        <v>8007</v>
      </c>
      <c r="N139" s="154" t="s">
        <v>8008</v>
      </c>
      <c r="O139" s="137"/>
      <c r="P139" s="137"/>
      <c r="Q139" s="137"/>
      <c r="R139" s="137"/>
      <c r="S139" s="137"/>
      <c r="T139" s="137"/>
      <c r="U139" s="137"/>
      <c r="V139" s="137" t="s">
        <v>5122</v>
      </c>
      <c r="W139" s="137"/>
      <c r="X139" s="137"/>
      <c r="Y139" s="137" t="s">
        <v>5122</v>
      </c>
      <c r="Z139" s="118" t="s">
        <v>7530</v>
      </c>
    </row>
    <row r="140" customHeight="1" spans="1:26">
      <c r="A140" s="123" t="s">
        <v>8009</v>
      </c>
      <c r="B140" s="123">
        <v>1</v>
      </c>
      <c r="C140" s="123" t="s">
        <v>324</v>
      </c>
      <c r="D140" s="123"/>
      <c r="E140" s="123"/>
      <c r="F140" s="124" t="s">
        <v>7871</v>
      </c>
      <c r="G140" s="123" t="s">
        <v>326</v>
      </c>
      <c r="H140" s="123" t="s">
        <v>7526</v>
      </c>
      <c r="I140" s="123"/>
      <c r="J140" s="123"/>
      <c r="K140" s="141"/>
      <c r="L140" s="139" t="s">
        <v>323</v>
      </c>
      <c r="M140" s="141" t="s">
        <v>8010</v>
      </c>
      <c r="N140" s="141" t="s">
        <v>8011</v>
      </c>
      <c r="O140" s="123"/>
      <c r="P140" s="123"/>
      <c r="Q140" s="123"/>
      <c r="R140" s="123" t="s">
        <v>5122</v>
      </c>
      <c r="S140" s="123"/>
      <c r="T140" s="123"/>
      <c r="U140" s="123"/>
      <c r="V140" s="123"/>
      <c r="W140" s="123"/>
      <c r="X140" s="123"/>
      <c r="Y140" s="123"/>
      <c r="Z140" s="118" t="s">
        <v>7530</v>
      </c>
    </row>
    <row r="141" customHeight="1" spans="1:26">
      <c r="A141" s="123" t="s">
        <v>8012</v>
      </c>
      <c r="B141" s="123">
        <v>1</v>
      </c>
      <c r="C141" s="123" t="s">
        <v>324</v>
      </c>
      <c r="D141" s="123"/>
      <c r="E141" s="123"/>
      <c r="F141" s="124" t="s">
        <v>321</v>
      </c>
      <c r="G141" s="123" t="s">
        <v>326</v>
      </c>
      <c r="H141" s="123" t="s">
        <v>7526</v>
      </c>
      <c r="I141" s="123" t="s">
        <v>7527</v>
      </c>
      <c r="J141" s="123"/>
      <c r="K141" s="141"/>
      <c r="L141" s="139" t="s">
        <v>323</v>
      </c>
      <c r="M141" s="141" t="s">
        <v>8013</v>
      </c>
      <c r="N141" s="141" t="s">
        <v>8014</v>
      </c>
      <c r="O141" s="123" t="s">
        <v>5122</v>
      </c>
      <c r="P141" s="123"/>
      <c r="Q141" s="123" t="s">
        <v>5122</v>
      </c>
      <c r="R141" s="123"/>
      <c r="S141" s="123"/>
      <c r="T141" s="123" t="s">
        <v>5122</v>
      </c>
      <c r="U141" s="123"/>
      <c r="V141" s="123" t="s">
        <v>5122</v>
      </c>
      <c r="W141" s="123"/>
      <c r="X141" s="123"/>
      <c r="Y141" s="123"/>
      <c r="Z141" s="118" t="s">
        <v>7530</v>
      </c>
    </row>
    <row r="142" customHeight="1" spans="1:26">
      <c r="A142" s="137" t="s">
        <v>8015</v>
      </c>
      <c r="B142" s="137">
        <v>1</v>
      </c>
      <c r="C142" s="137" t="s">
        <v>339</v>
      </c>
      <c r="D142" s="137" t="s">
        <v>5122</v>
      </c>
      <c r="E142" s="137"/>
      <c r="F142" s="138" t="s">
        <v>332</v>
      </c>
      <c r="G142" s="137" t="s">
        <v>337</v>
      </c>
      <c r="H142" s="137" t="s">
        <v>7526</v>
      </c>
      <c r="I142" s="137" t="s">
        <v>7527</v>
      </c>
      <c r="J142" s="137" t="s">
        <v>7539</v>
      </c>
      <c r="K142" s="154" t="s">
        <v>8016</v>
      </c>
      <c r="L142" s="155" t="s">
        <v>338</v>
      </c>
      <c r="M142" s="154" t="s">
        <v>8017</v>
      </c>
      <c r="N142" s="154" t="s">
        <v>8018</v>
      </c>
      <c r="O142" s="137" t="s">
        <v>5122</v>
      </c>
      <c r="P142" s="137"/>
      <c r="Q142" s="137"/>
      <c r="R142" s="137"/>
      <c r="S142" s="137"/>
      <c r="T142" s="137"/>
      <c r="U142" s="137" t="s">
        <v>5122</v>
      </c>
      <c r="V142" s="137" t="s">
        <v>5122</v>
      </c>
      <c r="W142" s="137"/>
      <c r="X142" s="137"/>
      <c r="Y142" s="137" t="s">
        <v>5122</v>
      </c>
      <c r="Z142" s="118" t="s">
        <v>7530</v>
      </c>
    </row>
    <row r="143" customHeight="1" spans="1:26">
      <c r="A143" s="123" t="s">
        <v>8019</v>
      </c>
      <c r="B143" s="123">
        <v>1</v>
      </c>
      <c r="C143" s="123" t="s">
        <v>324</v>
      </c>
      <c r="D143" s="123"/>
      <c r="E143" s="123" t="s">
        <v>5122</v>
      </c>
      <c r="F143" s="124" t="s">
        <v>321</v>
      </c>
      <c r="G143" s="123" t="s">
        <v>337</v>
      </c>
      <c r="H143" s="123" t="s">
        <v>7526</v>
      </c>
      <c r="I143" s="123" t="s">
        <v>7527</v>
      </c>
      <c r="J143" s="123" t="s">
        <v>7539</v>
      </c>
      <c r="K143" s="141" t="s">
        <v>8020</v>
      </c>
      <c r="L143" s="139" t="s">
        <v>352</v>
      </c>
      <c r="M143" s="141" t="s">
        <v>8021</v>
      </c>
      <c r="N143" s="141" t="s">
        <v>8022</v>
      </c>
      <c r="O143" s="123"/>
      <c r="P143" s="123"/>
      <c r="Q143" s="123"/>
      <c r="R143" s="123"/>
      <c r="S143" s="123"/>
      <c r="T143" s="123" t="s">
        <v>5122</v>
      </c>
      <c r="U143" s="123" t="s">
        <v>5122</v>
      </c>
      <c r="V143" s="123" t="s">
        <v>5122</v>
      </c>
      <c r="W143" s="123"/>
      <c r="X143" s="123"/>
      <c r="Y143" s="123"/>
      <c r="Z143" s="118" t="s">
        <v>7530</v>
      </c>
    </row>
    <row r="144" customHeight="1" spans="1:26">
      <c r="A144" s="127" t="s">
        <v>8023</v>
      </c>
      <c r="B144" s="127">
        <v>1</v>
      </c>
      <c r="C144" s="127" t="s">
        <v>331</v>
      </c>
      <c r="D144" s="127"/>
      <c r="E144" s="127"/>
      <c r="F144" s="128" t="s">
        <v>7871</v>
      </c>
      <c r="G144" s="127" t="s">
        <v>326</v>
      </c>
      <c r="H144" s="127" t="s">
        <v>7526</v>
      </c>
      <c r="I144" s="127"/>
      <c r="J144" s="127"/>
      <c r="K144" s="144"/>
      <c r="L144" s="145" t="s">
        <v>329</v>
      </c>
      <c r="M144" s="144" t="s">
        <v>8024</v>
      </c>
      <c r="N144" s="144" t="s">
        <v>8025</v>
      </c>
      <c r="O144" s="127"/>
      <c r="P144" s="127"/>
      <c r="Q144" s="127"/>
      <c r="R144" s="127" t="s">
        <v>5122</v>
      </c>
      <c r="S144" s="127"/>
      <c r="T144" s="127"/>
      <c r="U144" s="127"/>
      <c r="V144" s="127"/>
      <c r="W144" s="127"/>
      <c r="X144" s="127"/>
      <c r="Y144" s="127"/>
      <c r="Z144" s="118" t="s">
        <v>7530</v>
      </c>
    </row>
    <row r="145" customHeight="1" spans="1:26">
      <c r="A145" s="123" t="s">
        <v>8026</v>
      </c>
      <c r="B145" s="123">
        <v>1</v>
      </c>
      <c r="C145" s="123" t="s">
        <v>324</v>
      </c>
      <c r="D145" s="123"/>
      <c r="E145" s="123" t="s">
        <v>5122</v>
      </c>
      <c r="F145" s="124" t="s">
        <v>321</v>
      </c>
      <c r="G145" s="123" t="s">
        <v>364</v>
      </c>
      <c r="H145" s="123" t="s">
        <v>7526</v>
      </c>
      <c r="I145" s="123" t="s">
        <v>7527</v>
      </c>
      <c r="J145" s="123" t="s">
        <v>7539</v>
      </c>
      <c r="K145" s="156" t="s">
        <v>8027</v>
      </c>
      <c r="L145" s="139" t="s">
        <v>7661</v>
      </c>
      <c r="M145" s="141" t="s">
        <v>8028</v>
      </c>
      <c r="N145" s="141" t="s">
        <v>8029</v>
      </c>
      <c r="O145" s="123"/>
      <c r="P145" s="123"/>
      <c r="Q145" s="123"/>
      <c r="R145" s="123"/>
      <c r="S145" s="123"/>
      <c r="T145" s="123" t="s">
        <v>5122</v>
      </c>
      <c r="U145" s="123"/>
      <c r="V145" s="123" t="s">
        <v>5122</v>
      </c>
      <c r="W145" s="123" t="s">
        <v>5122</v>
      </c>
      <c r="X145" s="123"/>
      <c r="Y145" s="123"/>
      <c r="Z145" s="118" t="s">
        <v>8030</v>
      </c>
    </row>
    <row r="146" ht="16.8" customHeight="1" spans="1:26">
      <c r="A146" s="125" t="s">
        <v>8031</v>
      </c>
      <c r="B146" s="125">
        <v>1</v>
      </c>
      <c r="C146" s="125" t="s">
        <v>328</v>
      </c>
      <c r="D146" s="125"/>
      <c r="E146" s="125"/>
      <c r="F146" s="126" t="s">
        <v>8032</v>
      </c>
      <c r="G146" s="125" t="s">
        <v>326</v>
      </c>
      <c r="H146" s="125"/>
      <c r="I146" s="125" t="s">
        <v>7527</v>
      </c>
      <c r="J146" s="125"/>
      <c r="K146" s="163"/>
      <c r="L146" s="143" t="s">
        <v>327</v>
      </c>
      <c r="M146" s="142" t="s">
        <v>8033</v>
      </c>
      <c r="N146" s="142" t="s">
        <v>8034</v>
      </c>
      <c r="O146" s="125"/>
      <c r="P146" s="125"/>
      <c r="Q146" s="125" t="s">
        <v>5122</v>
      </c>
      <c r="R146" s="125"/>
      <c r="S146" s="125" t="s">
        <v>5122</v>
      </c>
      <c r="T146" s="125" t="s">
        <v>5122</v>
      </c>
      <c r="U146" s="125"/>
      <c r="V146" s="125" t="s">
        <v>5122</v>
      </c>
      <c r="W146" s="125" t="s">
        <v>5122</v>
      </c>
      <c r="X146" s="125"/>
      <c r="Y146" s="125"/>
      <c r="Z146" s="162" t="s">
        <v>45</v>
      </c>
    </row>
    <row r="147" customHeight="1" spans="1:26">
      <c r="A147" s="135" t="s">
        <v>8035</v>
      </c>
      <c r="B147" s="135">
        <v>1</v>
      </c>
      <c r="C147" s="135" t="s">
        <v>335</v>
      </c>
      <c r="D147" s="135"/>
      <c r="E147" s="135" t="s">
        <v>5122</v>
      </c>
      <c r="F147" s="136" t="s">
        <v>321</v>
      </c>
      <c r="G147" s="135" t="s">
        <v>322</v>
      </c>
      <c r="H147" s="135" t="s">
        <v>7526</v>
      </c>
      <c r="I147" s="135" t="s">
        <v>7527</v>
      </c>
      <c r="J147" s="135" t="s">
        <v>7539</v>
      </c>
      <c r="K147" s="164" t="s">
        <v>8036</v>
      </c>
      <c r="L147" s="153" t="s">
        <v>8037</v>
      </c>
      <c r="M147" s="152" t="s">
        <v>8038</v>
      </c>
      <c r="N147" s="152" t="s">
        <v>8039</v>
      </c>
      <c r="O147" s="135"/>
      <c r="P147" s="135"/>
      <c r="Q147" s="135" t="s">
        <v>5122</v>
      </c>
      <c r="R147" s="135"/>
      <c r="S147" s="135" t="s">
        <v>5122</v>
      </c>
      <c r="T147" s="135"/>
      <c r="U147" s="135"/>
      <c r="V147" s="135"/>
      <c r="W147" s="135"/>
      <c r="X147" s="135"/>
      <c r="Y147" s="135"/>
      <c r="Z147" s="162" t="s">
        <v>45</v>
      </c>
    </row>
    <row r="148" ht="16.8" customHeight="1" spans="1:26">
      <c r="A148" s="131" t="s">
        <v>8040</v>
      </c>
      <c r="B148" s="131">
        <v>1</v>
      </c>
      <c r="C148" s="131" t="s">
        <v>320</v>
      </c>
      <c r="D148" s="131"/>
      <c r="E148" s="131"/>
      <c r="F148" s="132" t="s">
        <v>321</v>
      </c>
      <c r="G148" s="131" t="s">
        <v>337</v>
      </c>
      <c r="H148" s="131"/>
      <c r="I148" s="131" t="s">
        <v>7527</v>
      </c>
      <c r="J148" s="131"/>
      <c r="K148" s="159"/>
      <c r="L148" s="149" t="s">
        <v>323</v>
      </c>
      <c r="M148" s="148" t="s">
        <v>8041</v>
      </c>
      <c r="N148" s="148" t="s">
        <v>8042</v>
      </c>
      <c r="O148" s="131"/>
      <c r="P148" s="131"/>
      <c r="Q148" s="131"/>
      <c r="R148" s="131"/>
      <c r="S148" s="131"/>
      <c r="T148" s="131" t="s">
        <v>5122</v>
      </c>
      <c r="U148" s="131"/>
      <c r="V148" s="131" t="s">
        <v>5122</v>
      </c>
      <c r="W148" s="131" t="s">
        <v>5122</v>
      </c>
      <c r="X148" s="131"/>
      <c r="Y148" s="131"/>
      <c r="Z148" s="162" t="s">
        <v>45</v>
      </c>
    </row>
    <row r="149" customHeight="1" spans="1:26">
      <c r="A149" s="127" t="s">
        <v>8043</v>
      </c>
      <c r="B149" s="127">
        <v>1</v>
      </c>
      <c r="C149" s="127" t="s">
        <v>331</v>
      </c>
      <c r="D149" s="127"/>
      <c r="E149" s="127" t="s">
        <v>5122</v>
      </c>
      <c r="F149" s="128" t="s">
        <v>321</v>
      </c>
      <c r="G149" s="127" t="s">
        <v>337</v>
      </c>
      <c r="H149" s="127" t="s">
        <v>7526</v>
      </c>
      <c r="I149" s="127"/>
      <c r="J149" s="127"/>
      <c r="K149" s="165"/>
      <c r="L149" s="145" t="s">
        <v>7661</v>
      </c>
      <c r="M149" s="144" t="s">
        <v>8044</v>
      </c>
      <c r="N149" s="144" t="s">
        <v>8045</v>
      </c>
      <c r="O149" s="127"/>
      <c r="P149" s="127"/>
      <c r="Q149" s="127"/>
      <c r="R149" s="127"/>
      <c r="S149" s="127"/>
      <c r="T149" s="127"/>
      <c r="U149" s="127" t="s">
        <v>5122</v>
      </c>
      <c r="V149" s="127" t="s">
        <v>5122</v>
      </c>
      <c r="W149" s="127"/>
      <c r="X149" s="127"/>
      <c r="Y149" s="127"/>
      <c r="Z149" s="162" t="s">
        <v>45</v>
      </c>
    </row>
    <row r="150" customHeight="1" spans="1:26">
      <c r="A150" s="125" t="s">
        <v>8046</v>
      </c>
      <c r="B150" s="125">
        <v>1</v>
      </c>
      <c r="C150" s="125" t="s">
        <v>328</v>
      </c>
      <c r="D150" s="125" t="s">
        <v>5122</v>
      </c>
      <c r="E150" s="125"/>
      <c r="F150" s="126" t="s">
        <v>7897</v>
      </c>
      <c r="G150" s="125" t="s">
        <v>322</v>
      </c>
      <c r="H150" s="125" t="s">
        <v>7526</v>
      </c>
      <c r="I150" s="125" t="s">
        <v>7527</v>
      </c>
      <c r="J150" s="125" t="s">
        <v>7539</v>
      </c>
      <c r="K150" s="163" t="s">
        <v>8047</v>
      </c>
      <c r="L150" s="143" t="s">
        <v>323</v>
      </c>
      <c r="M150" s="142" t="s">
        <v>8048</v>
      </c>
      <c r="N150" s="142" t="s">
        <v>8049</v>
      </c>
      <c r="O150" s="125"/>
      <c r="P150" s="125" t="s">
        <v>5122</v>
      </c>
      <c r="Q150" s="125"/>
      <c r="R150" s="125" t="s">
        <v>5122</v>
      </c>
      <c r="S150" s="125"/>
      <c r="T150" s="125"/>
      <c r="U150" s="125"/>
      <c r="V150" s="125"/>
      <c r="W150" s="125"/>
      <c r="X150" s="125"/>
      <c r="Y150" s="125"/>
      <c r="Z150" s="162" t="s">
        <v>45</v>
      </c>
    </row>
    <row r="151" ht="16.8" customHeight="1" spans="1:26">
      <c r="A151" s="123" t="s">
        <v>8050</v>
      </c>
      <c r="B151" s="123">
        <v>1</v>
      </c>
      <c r="C151" s="123" t="s">
        <v>324</v>
      </c>
      <c r="D151" s="123"/>
      <c r="E151" s="123"/>
      <c r="F151" s="124" t="s">
        <v>321</v>
      </c>
      <c r="G151" s="123" t="s">
        <v>343</v>
      </c>
      <c r="H151" s="123" t="s">
        <v>7526</v>
      </c>
      <c r="I151" s="123" t="s">
        <v>7527</v>
      </c>
      <c r="J151" s="123"/>
      <c r="K151" s="156"/>
      <c r="L151" s="139" t="s">
        <v>323</v>
      </c>
      <c r="M151" s="141" t="s">
        <v>8051</v>
      </c>
      <c r="N151" s="141" t="s">
        <v>8052</v>
      </c>
      <c r="O151" s="123"/>
      <c r="P151" s="123"/>
      <c r="Q151" s="123"/>
      <c r="R151" s="123"/>
      <c r="S151" s="123"/>
      <c r="T151" s="123" t="s">
        <v>5122</v>
      </c>
      <c r="U151" s="123"/>
      <c r="V151" s="123"/>
      <c r="W151" s="123"/>
      <c r="X151" s="123"/>
      <c r="Y151" s="123"/>
      <c r="Z151" s="162" t="s">
        <v>45</v>
      </c>
    </row>
    <row r="152" customHeight="1" spans="1:26">
      <c r="A152" s="123" t="s">
        <v>8053</v>
      </c>
      <c r="B152" s="123">
        <v>1</v>
      </c>
      <c r="C152" s="123" t="s">
        <v>324</v>
      </c>
      <c r="D152" s="123"/>
      <c r="E152" s="123"/>
      <c r="F152" s="124" t="s">
        <v>321</v>
      </c>
      <c r="G152" s="123" t="s">
        <v>8054</v>
      </c>
      <c r="H152" s="123" t="s">
        <v>7526</v>
      </c>
      <c r="I152" s="123" t="s">
        <v>7527</v>
      </c>
      <c r="J152" s="123"/>
      <c r="K152" s="156"/>
      <c r="L152" s="139" t="s">
        <v>323</v>
      </c>
      <c r="M152" s="141" t="s">
        <v>8055</v>
      </c>
      <c r="N152" s="141" t="s">
        <v>8056</v>
      </c>
      <c r="O152" s="123" t="s">
        <v>5122</v>
      </c>
      <c r="P152" s="123"/>
      <c r="Q152" s="123" t="s">
        <v>5122</v>
      </c>
      <c r="R152" s="123"/>
      <c r="S152" s="123"/>
      <c r="T152" s="123" t="s">
        <v>5122</v>
      </c>
      <c r="U152" s="123"/>
      <c r="V152" s="123" t="s">
        <v>5122</v>
      </c>
      <c r="W152" s="123"/>
      <c r="X152" s="123"/>
      <c r="Y152" s="123"/>
      <c r="Z152" s="162" t="s">
        <v>45</v>
      </c>
    </row>
    <row r="153" customHeight="1" spans="1:26">
      <c r="A153" s="125" t="s">
        <v>8057</v>
      </c>
      <c r="B153" s="125">
        <v>1</v>
      </c>
      <c r="C153" s="125" t="s">
        <v>328</v>
      </c>
      <c r="D153" s="125"/>
      <c r="E153" s="125"/>
      <c r="F153" s="126" t="s">
        <v>329</v>
      </c>
      <c r="G153" s="125" t="s">
        <v>322</v>
      </c>
      <c r="H153" s="125"/>
      <c r="I153" s="125" t="s">
        <v>7527</v>
      </c>
      <c r="J153" s="125" t="s">
        <v>7539</v>
      </c>
      <c r="K153" s="163" t="s">
        <v>8058</v>
      </c>
      <c r="L153" s="143" t="s">
        <v>341</v>
      </c>
      <c r="M153" s="142" t="s">
        <v>8059</v>
      </c>
      <c r="N153" s="142" t="s">
        <v>8060</v>
      </c>
      <c r="O153" s="125"/>
      <c r="P153" s="125"/>
      <c r="Q153" s="125" t="s">
        <v>5122</v>
      </c>
      <c r="R153" s="125"/>
      <c r="S153" s="125" t="s">
        <v>5122</v>
      </c>
      <c r="T153" s="125"/>
      <c r="U153" s="125"/>
      <c r="V153" s="125" t="s">
        <v>5122</v>
      </c>
      <c r="W153" s="125" t="s">
        <v>5122</v>
      </c>
      <c r="X153" s="125"/>
      <c r="Y153" s="125"/>
      <c r="Z153" s="162" t="s">
        <v>45</v>
      </c>
    </row>
    <row r="154" customHeight="1" spans="1:26">
      <c r="A154" s="131" t="s">
        <v>8061</v>
      </c>
      <c r="B154" s="131">
        <v>1</v>
      </c>
      <c r="C154" s="131" t="s">
        <v>320</v>
      </c>
      <c r="D154" s="131"/>
      <c r="E154" s="131" t="s">
        <v>5122</v>
      </c>
      <c r="F154" s="132" t="s">
        <v>325</v>
      </c>
      <c r="G154" s="131" t="s">
        <v>326</v>
      </c>
      <c r="H154" s="131" t="s">
        <v>7526</v>
      </c>
      <c r="I154" s="131"/>
      <c r="J154" s="131"/>
      <c r="K154" s="159"/>
      <c r="L154" s="149" t="s">
        <v>7661</v>
      </c>
      <c r="M154" s="148" t="s">
        <v>8062</v>
      </c>
      <c r="N154" s="148" t="s">
        <v>8063</v>
      </c>
      <c r="O154" s="131"/>
      <c r="P154" s="131"/>
      <c r="Q154" s="131"/>
      <c r="R154" s="131"/>
      <c r="S154" s="131" t="s">
        <v>5122</v>
      </c>
      <c r="T154" s="131"/>
      <c r="U154" s="131"/>
      <c r="V154" s="131"/>
      <c r="W154" s="131"/>
      <c r="X154" s="131"/>
      <c r="Y154" s="131"/>
      <c r="Z154" s="162" t="s">
        <v>45</v>
      </c>
    </row>
    <row r="155" customHeight="1" spans="1:26">
      <c r="A155" s="129" t="s">
        <v>8064</v>
      </c>
      <c r="B155" s="129">
        <v>1</v>
      </c>
      <c r="C155" s="129" t="s">
        <v>347</v>
      </c>
      <c r="D155" s="129"/>
      <c r="E155" s="129"/>
      <c r="F155" s="130" t="s">
        <v>329</v>
      </c>
      <c r="G155" s="129" t="s">
        <v>322</v>
      </c>
      <c r="H155" s="129" t="s">
        <v>7526</v>
      </c>
      <c r="I155" s="129" t="s">
        <v>7527</v>
      </c>
      <c r="J155" s="129"/>
      <c r="K155" s="166"/>
      <c r="L155" s="147" t="s">
        <v>341</v>
      </c>
      <c r="M155" s="146" t="s">
        <v>8065</v>
      </c>
      <c r="N155" s="146" t="s">
        <v>8066</v>
      </c>
      <c r="O155" s="129" t="s">
        <v>5122</v>
      </c>
      <c r="P155" s="129"/>
      <c r="Q155" s="129"/>
      <c r="R155" s="129"/>
      <c r="S155" s="129"/>
      <c r="T155" s="129"/>
      <c r="U155" s="129" t="s">
        <v>5122</v>
      </c>
      <c r="V155" s="129" t="s">
        <v>5122</v>
      </c>
      <c r="W155" s="129"/>
      <c r="X155" s="129"/>
      <c r="Y155" s="129"/>
      <c r="Z155" s="162" t="s">
        <v>120</v>
      </c>
    </row>
    <row r="156" customHeight="1" spans="1:26">
      <c r="A156" s="123" t="s">
        <v>8067</v>
      </c>
      <c r="B156" s="123">
        <v>1</v>
      </c>
      <c r="C156" s="123" t="s">
        <v>324</v>
      </c>
      <c r="D156" s="123"/>
      <c r="E156" s="123"/>
      <c r="F156" s="124" t="s">
        <v>321</v>
      </c>
      <c r="G156" s="123" t="s">
        <v>343</v>
      </c>
      <c r="H156" s="123" t="s">
        <v>7526</v>
      </c>
      <c r="I156" s="123" t="s">
        <v>7527</v>
      </c>
      <c r="J156" s="123"/>
      <c r="K156" s="156" t="s">
        <v>8068</v>
      </c>
      <c r="L156" s="139" t="s">
        <v>323</v>
      </c>
      <c r="M156" s="141" t="s">
        <v>8069</v>
      </c>
      <c r="N156" s="141" t="s">
        <v>8070</v>
      </c>
      <c r="O156" s="123"/>
      <c r="P156" s="123"/>
      <c r="Q156" s="123"/>
      <c r="R156" s="123"/>
      <c r="S156" s="123"/>
      <c r="T156" s="123"/>
      <c r="U156" s="123"/>
      <c r="V156" s="123" t="s">
        <v>5122</v>
      </c>
      <c r="W156" s="123"/>
      <c r="X156" s="123"/>
      <c r="Y156" s="123"/>
      <c r="Z156" s="162" t="s">
        <v>120</v>
      </c>
    </row>
    <row r="157" customHeight="1" spans="1:26">
      <c r="A157" s="133" t="s">
        <v>8071</v>
      </c>
      <c r="B157" s="133">
        <v>1</v>
      </c>
      <c r="C157" s="133" t="s">
        <v>342</v>
      </c>
      <c r="D157" s="133"/>
      <c r="E157" s="133"/>
      <c r="F157" s="134" t="s">
        <v>8072</v>
      </c>
      <c r="G157" s="133" t="s">
        <v>337</v>
      </c>
      <c r="H157" s="133" t="s">
        <v>7526</v>
      </c>
      <c r="I157" s="133"/>
      <c r="J157" s="133"/>
      <c r="K157" s="160"/>
      <c r="L157" s="151" t="s">
        <v>323</v>
      </c>
      <c r="M157" s="150" t="s">
        <v>8073</v>
      </c>
      <c r="N157" s="150" t="s">
        <v>8074</v>
      </c>
      <c r="O157" s="133" t="s">
        <v>5122</v>
      </c>
      <c r="P157" s="133"/>
      <c r="Q157" s="133"/>
      <c r="R157" s="133"/>
      <c r="S157" s="133"/>
      <c r="T157" s="133" t="s">
        <v>5122</v>
      </c>
      <c r="U157" s="133"/>
      <c r="V157" s="133" t="s">
        <v>5122</v>
      </c>
      <c r="W157" s="133"/>
      <c r="X157" s="133"/>
      <c r="Y157" s="133"/>
      <c r="Z157" s="162" t="s">
        <v>8075</v>
      </c>
    </row>
    <row r="158" customHeight="1" spans="1:26">
      <c r="A158" s="135" t="s">
        <v>8076</v>
      </c>
      <c r="B158" s="135">
        <v>1</v>
      </c>
      <c r="C158" s="135" t="s">
        <v>335</v>
      </c>
      <c r="D158" s="135"/>
      <c r="E158" s="135"/>
      <c r="F158" s="136" t="s">
        <v>329</v>
      </c>
      <c r="G158" s="135" t="s">
        <v>322</v>
      </c>
      <c r="H158" s="135" t="s">
        <v>7526</v>
      </c>
      <c r="I158" s="135" t="s">
        <v>7527</v>
      </c>
      <c r="J158" s="135"/>
      <c r="K158" s="153"/>
      <c r="L158" s="153" t="s">
        <v>341</v>
      </c>
      <c r="M158" s="152" t="s">
        <v>8077</v>
      </c>
      <c r="N158" s="167" t="s">
        <v>8078</v>
      </c>
      <c r="O158" s="135"/>
      <c r="P158" s="135"/>
      <c r="Q158" s="135"/>
      <c r="R158" s="135"/>
      <c r="S158" s="135"/>
      <c r="T158" s="135"/>
      <c r="U158" s="135"/>
      <c r="V158" s="135" t="s">
        <v>5122</v>
      </c>
      <c r="W158" s="135"/>
      <c r="X158" s="135"/>
      <c r="Y158" s="135"/>
      <c r="Z158" s="162" t="s">
        <v>7693</v>
      </c>
    </row>
    <row r="159" customHeight="1" spans="1:26">
      <c r="A159" s="131" t="s">
        <v>8079</v>
      </c>
      <c r="B159" s="131">
        <v>1</v>
      </c>
      <c r="C159" s="131" t="s">
        <v>320</v>
      </c>
      <c r="D159" s="131"/>
      <c r="E159" s="131"/>
      <c r="F159" s="132" t="s">
        <v>321</v>
      </c>
      <c r="G159" s="131" t="s">
        <v>337</v>
      </c>
      <c r="H159" s="131" t="s">
        <v>7526</v>
      </c>
      <c r="I159" s="131" t="s">
        <v>7527</v>
      </c>
      <c r="J159" s="131"/>
      <c r="K159" s="149"/>
      <c r="L159" s="149" t="s">
        <v>327</v>
      </c>
      <c r="M159" s="148" t="s">
        <v>8080</v>
      </c>
      <c r="N159" s="168" t="s">
        <v>8081</v>
      </c>
      <c r="O159" s="131"/>
      <c r="P159" s="131"/>
      <c r="Q159" s="131"/>
      <c r="R159" s="131"/>
      <c r="S159" s="131"/>
      <c r="T159" s="131"/>
      <c r="U159" s="131"/>
      <c r="V159" s="131" t="s">
        <v>5122</v>
      </c>
      <c r="W159" s="131"/>
      <c r="X159" s="131"/>
      <c r="Y159" s="131"/>
      <c r="Z159" s="162" t="s">
        <v>7693</v>
      </c>
    </row>
    <row r="160" customHeight="1" spans="1:26">
      <c r="A160" s="131" t="s">
        <v>8082</v>
      </c>
      <c r="B160" s="131">
        <v>1</v>
      </c>
      <c r="C160" s="131" t="s">
        <v>320</v>
      </c>
      <c r="D160" s="131"/>
      <c r="E160" s="131" t="s">
        <v>5122</v>
      </c>
      <c r="F160" s="132" t="s">
        <v>321</v>
      </c>
      <c r="G160" s="131" t="s">
        <v>326</v>
      </c>
      <c r="H160" s="131"/>
      <c r="I160" s="131" t="s">
        <v>7527</v>
      </c>
      <c r="J160" s="131"/>
      <c r="K160" s="148"/>
      <c r="L160" s="149" t="s">
        <v>8037</v>
      </c>
      <c r="M160" s="148" t="s">
        <v>8083</v>
      </c>
      <c r="N160" s="148" t="s">
        <v>8084</v>
      </c>
      <c r="O160" s="131"/>
      <c r="P160" s="131"/>
      <c r="Q160" s="131"/>
      <c r="R160" s="131"/>
      <c r="S160" s="131"/>
      <c r="T160" s="131" t="s">
        <v>5122</v>
      </c>
      <c r="U160" s="131" t="s">
        <v>5122</v>
      </c>
      <c r="V160" s="131" t="s">
        <v>5122</v>
      </c>
      <c r="W160" s="131"/>
      <c r="X160" s="131"/>
      <c r="Y160" s="131"/>
      <c r="Z160" s="118" t="s">
        <v>111</v>
      </c>
    </row>
    <row r="161" customHeight="1" spans="1:26">
      <c r="A161" s="137" t="s">
        <v>8085</v>
      </c>
      <c r="B161" s="137">
        <v>1</v>
      </c>
      <c r="C161" s="137" t="s">
        <v>339</v>
      </c>
      <c r="D161" s="137"/>
      <c r="E161" s="137" t="s">
        <v>5122</v>
      </c>
      <c r="F161" s="138" t="s">
        <v>321</v>
      </c>
      <c r="G161" s="137" t="s">
        <v>343</v>
      </c>
      <c r="H161" s="137" t="s">
        <v>7526</v>
      </c>
      <c r="I161" s="137" t="s">
        <v>7527</v>
      </c>
      <c r="J161" s="137"/>
      <c r="K161" s="154"/>
      <c r="L161" s="155" t="s">
        <v>8037</v>
      </c>
      <c r="M161" s="154" t="s">
        <v>8086</v>
      </c>
      <c r="N161" s="154" t="s">
        <v>8087</v>
      </c>
      <c r="O161" s="137"/>
      <c r="P161" s="137"/>
      <c r="Q161" s="137"/>
      <c r="R161" s="137"/>
      <c r="S161" s="137"/>
      <c r="T161" s="137" t="s">
        <v>5122</v>
      </c>
      <c r="U161" s="137" t="s">
        <v>5122</v>
      </c>
      <c r="V161" s="137" t="s">
        <v>5122</v>
      </c>
      <c r="W161" s="137"/>
      <c r="X161" s="137"/>
      <c r="Y161" s="137"/>
      <c r="Z161" s="118" t="s">
        <v>111</v>
      </c>
    </row>
    <row r="162" ht="16.8" customHeight="1" spans="1:26">
      <c r="A162" s="137" t="s">
        <v>8088</v>
      </c>
      <c r="B162" s="137">
        <v>1</v>
      </c>
      <c r="C162" s="137" t="s">
        <v>339</v>
      </c>
      <c r="D162" s="137"/>
      <c r="E162" s="137"/>
      <c r="F162" s="138" t="s">
        <v>321</v>
      </c>
      <c r="G162" s="137" t="s">
        <v>326</v>
      </c>
      <c r="H162" s="137" t="s">
        <v>7526</v>
      </c>
      <c r="I162" s="137" t="s">
        <v>7527</v>
      </c>
      <c r="J162" s="137"/>
      <c r="K162" s="154"/>
      <c r="L162" s="155" t="s">
        <v>327</v>
      </c>
      <c r="M162" s="154" t="s">
        <v>8089</v>
      </c>
      <c r="N162" s="154" t="s">
        <v>8090</v>
      </c>
      <c r="O162" s="137"/>
      <c r="P162" s="137"/>
      <c r="Q162" s="137"/>
      <c r="R162" s="137"/>
      <c r="S162" s="137"/>
      <c r="T162" s="137" t="s">
        <v>5122</v>
      </c>
      <c r="U162" s="137" t="s">
        <v>5122</v>
      </c>
      <c r="V162" s="137" t="s">
        <v>5122</v>
      </c>
      <c r="W162" s="137"/>
      <c r="X162" s="137"/>
      <c r="Y162" s="137"/>
      <c r="Z162" s="118" t="s">
        <v>111</v>
      </c>
    </row>
    <row r="163" ht="16.8" customHeight="1" spans="1:26">
      <c r="A163" s="123" t="s">
        <v>8091</v>
      </c>
      <c r="B163" s="123">
        <v>1</v>
      </c>
      <c r="C163" s="123" t="s">
        <v>324</v>
      </c>
      <c r="D163" s="123"/>
      <c r="E163" s="123"/>
      <c r="F163" s="124" t="s">
        <v>321</v>
      </c>
      <c r="G163" s="123" t="s">
        <v>348</v>
      </c>
      <c r="H163" s="123" t="s">
        <v>7526</v>
      </c>
      <c r="I163" s="123" t="s">
        <v>7527</v>
      </c>
      <c r="J163" s="123"/>
      <c r="K163" s="141"/>
      <c r="L163" s="139" t="s">
        <v>323</v>
      </c>
      <c r="M163" s="141" t="s">
        <v>8092</v>
      </c>
      <c r="N163" s="141" t="s">
        <v>8093</v>
      </c>
      <c r="O163" s="123"/>
      <c r="P163" s="123"/>
      <c r="Q163" s="123"/>
      <c r="R163" s="123"/>
      <c r="S163" s="123"/>
      <c r="T163" s="123" t="s">
        <v>5122</v>
      </c>
      <c r="U163" s="123" t="s">
        <v>5122</v>
      </c>
      <c r="V163" s="123" t="s">
        <v>5122</v>
      </c>
      <c r="W163" s="123"/>
      <c r="X163" s="123"/>
      <c r="Y163" s="123"/>
      <c r="Z163" s="118" t="s">
        <v>111</v>
      </c>
    </row>
    <row r="164" customHeight="1" spans="1:26">
      <c r="A164" s="123" t="s">
        <v>8094</v>
      </c>
      <c r="B164" s="123">
        <v>1</v>
      </c>
      <c r="C164" s="123" t="s">
        <v>324</v>
      </c>
      <c r="D164" s="123"/>
      <c r="E164" s="123"/>
      <c r="F164" s="124" t="s">
        <v>321</v>
      </c>
      <c r="G164" s="123" t="s">
        <v>337</v>
      </c>
      <c r="H164" s="123" t="s">
        <v>7526</v>
      </c>
      <c r="I164" s="123" t="s">
        <v>7527</v>
      </c>
      <c r="J164" s="123" t="s">
        <v>7539</v>
      </c>
      <c r="K164" s="141" t="s">
        <v>8095</v>
      </c>
      <c r="L164" s="139" t="s">
        <v>323</v>
      </c>
      <c r="M164" s="141" t="s">
        <v>8096</v>
      </c>
      <c r="N164" s="141" t="s">
        <v>8097</v>
      </c>
      <c r="O164" s="123"/>
      <c r="P164" s="123"/>
      <c r="Q164" s="123"/>
      <c r="R164" s="123"/>
      <c r="S164" s="123" t="s">
        <v>5122</v>
      </c>
      <c r="T164" s="123" t="s">
        <v>5122</v>
      </c>
      <c r="U164" s="123" t="s">
        <v>5122</v>
      </c>
      <c r="V164" s="123" t="s">
        <v>5122</v>
      </c>
      <c r="W164" s="123"/>
      <c r="X164" s="123"/>
      <c r="Y164" s="123" t="s">
        <v>5122</v>
      </c>
      <c r="Z164" s="118" t="s">
        <v>72</v>
      </c>
    </row>
    <row r="165" customHeight="1" spans="1:26">
      <c r="A165" s="137" t="s">
        <v>8098</v>
      </c>
      <c r="B165" s="137">
        <v>1</v>
      </c>
      <c r="C165" s="137" t="s">
        <v>339</v>
      </c>
      <c r="D165" s="137"/>
      <c r="E165" s="137" t="s">
        <v>5122</v>
      </c>
      <c r="F165" s="138" t="s">
        <v>321</v>
      </c>
      <c r="G165" s="137" t="s">
        <v>337</v>
      </c>
      <c r="H165" s="137" t="s">
        <v>7526</v>
      </c>
      <c r="I165" s="137" t="s">
        <v>7527</v>
      </c>
      <c r="J165" s="137" t="s">
        <v>7539</v>
      </c>
      <c r="K165" s="154" t="s">
        <v>8099</v>
      </c>
      <c r="L165" s="155" t="s">
        <v>352</v>
      </c>
      <c r="M165" s="154" t="s">
        <v>8100</v>
      </c>
      <c r="N165" s="154" t="s">
        <v>8101</v>
      </c>
      <c r="O165" s="137"/>
      <c r="P165" s="137"/>
      <c r="Q165" s="137" t="s">
        <v>5122</v>
      </c>
      <c r="R165" s="137"/>
      <c r="S165" s="137"/>
      <c r="T165" s="137" t="s">
        <v>5122</v>
      </c>
      <c r="U165" s="137"/>
      <c r="V165" s="137" t="s">
        <v>5122</v>
      </c>
      <c r="W165" s="137"/>
      <c r="X165" s="137"/>
      <c r="Y165" s="137" t="s">
        <v>5122</v>
      </c>
      <c r="Z165" s="118" t="s">
        <v>72</v>
      </c>
    </row>
    <row r="166" customHeight="1" spans="1:26">
      <c r="A166" s="127" t="s">
        <v>8102</v>
      </c>
      <c r="B166" s="127">
        <v>1</v>
      </c>
      <c r="C166" s="127" t="s">
        <v>331</v>
      </c>
      <c r="D166" s="127"/>
      <c r="E166" s="127" t="s">
        <v>5122</v>
      </c>
      <c r="F166" s="128" t="s">
        <v>321</v>
      </c>
      <c r="G166" s="127" t="s">
        <v>337</v>
      </c>
      <c r="H166" s="127" t="s">
        <v>7526</v>
      </c>
      <c r="I166" s="127" t="s">
        <v>7527</v>
      </c>
      <c r="J166" s="127" t="s">
        <v>7539</v>
      </c>
      <c r="K166" s="144" t="s">
        <v>8103</v>
      </c>
      <c r="L166" s="145" t="s">
        <v>352</v>
      </c>
      <c r="M166" s="144" t="s">
        <v>8104</v>
      </c>
      <c r="N166" s="144" t="s">
        <v>8105</v>
      </c>
      <c r="O166" s="127"/>
      <c r="P166" s="127"/>
      <c r="Q166" s="127" t="s">
        <v>5122</v>
      </c>
      <c r="R166" s="127"/>
      <c r="S166" s="127"/>
      <c r="T166" s="127" t="s">
        <v>5122</v>
      </c>
      <c r="U166" s="127"/>
      <c r="V166" s="127" t="s">
        <v>5122</v>
      </c>
      <c r="W166" s="127"/>
      <c r="X166" s="127"/>
      <c r="Y166" s="127" t="s">
        <v>5122</v>
      </c>
      <c r="Z166" s="118" t="s">
        <v>72</v>
      </c>
    </row>
    <row r="167" customHeight="1" spans="1:26">
      <c r="A167" s="127" t="s">
        <v>8106</v>
      </c>
      <c r="B167" s="127">
        <v>1</v>
      </c>
      <c r="C167" s="127" t="s">
        <v>331</v>
      </c>
      <c r="D167" s="127"/>
      <c r="E167" s="127" t="s">
        <v>5122</v>
      </c>
      <c r="F167" s="128" t="s">
        <v>321</v>
      </c>
      <c r="G167" s="127" t="s">
        <v>326</v>
      </c>
      <c r="H167" s="127" t="s">
        <v>7526</v>
      </c>
      <c r="I167" s="127" t="s">
        <v>7527</v>
      </c>
      <c r="J167" s="127"/>
      <c r="K167" s="144"/>
      <c r="L167" s="145" t="s">
        <v>352</v>
      </c>
      <c r="M167" s="144" t="s">
        <v>8107</v>
      </c>
      <c r="N167" s="144" t="s">
        <v>8108</v>
      </c>
      <c r="O167" s="127"/>
      <c r="P167" s="127" t="s">
        <v>5122</v>
      </c>
      <c r="Q167" s="127"/>
      <c r="R167" s="127"/>
      <c r="S167" s="127"/>
      <c r="T167" s="127"/>
      <c r="U167" s="127"/>
      <c r="V167" s="127" t="s">
        <v>5122</v>
      </c>
      <c r="W167" s="127"/>
      <c r="X167" s="127"/>
      <c r="Y167" s="127" t="s">
        <v>5122</v>
      </c>
      <c r="Z167" s="118" t="s">
        <v>72</v>
      </c>
    </row>
    <row r="168" customHeight="1" spans="1:26">
      <c r="A168" s="137" t="s">
        <v>8109</v>
      </c>
      <c r="B168" s="137">
        <v>1</v>
      </c>
      <c r="C168" s="137" t="s">
        <v>339</v>
      </c>
      <c r="D168" s="137"/>
      <c r="E168" s="137" t="s">
        <v>5122</v>
      </c>
      <c r="F168" s="138" t="s">
        <v>321</v>
      </c>
      <c r="G168" s="137" t="s">
        <v>326</v>
      </c>
      <c r="H168" s="137"/>
      <c r="I168" s="137" t="s">
        <v>7527</v>
      </c>
      <c r="J168" s="137" t="s">
        <v>7539</v>
      </c>
      <c r="K168" s="154" t="s">
        <v>8110</v>
      </c>
      <c r="L168" s="155" t="s">
        <v>352</v>
      </c>
      <c r="M168" s="154" t="s">
        <v>8111</v>
      </c>
      <c r="N168" s="154" t="s">
        <v>8112</v>
      </c>
      <c r="O168" s="137" t="s">
        <v>5122</v>
      </c>
      <c r="P168" s="137"/>
      <c r="Q168" s="137"/>
      <c r="R168" s="137" t="s">
        <v>5122</v>
      </c>
      <c r="S168" s="137"/>
      <c r="T168" s="137"/>
      <c r="U168" s="137" t="s">
        <v>5122</v>
      </c>
      <c r="V168" s="137"/>
      <c r="W168" s="137"/>
      <c r="X168" s="137"/>
      <c r="Y168" s="137" t="s">
        <v>5122</v>
      </c>
      <c r="Z168" s="118" t="s">
        <v>72</v>
      </c>
    </row>
    <row r="169" customHeight="1" spans="1:26">
      <c r="A169" s="131" t="s">
        <v>8113</v>
      </c>
      <c r="B169" s="131">
        <v>1</v>
      </c>
      <c r="C169" s="131" t="s">
        <v>320</v>
      </c>
      <c r="D169" s="131"/>
      <c r="E169" s="131"/>
      <c r="F169" s="132" t="s">
        <v>8114</v>
      </c>
      <c r="G169" s="131" t="s">
        <v>337</v>
      </c>
      <c r="H169" s="131" t="s">
        <v>7526</v>
      </c>
      <c r="I169" s="131" t="s">
        <v>7527</v>
      </c>
      <c r="J169" s="131" t="s">
        <v>7539</v>
      </c>
      <c r="K169" s="148" t="s">
        <v>8115</v>
      </c>
      <c r="L169" s="149" t="s">
        <v>323</v>
      </c>
      <c r="M169" s="148" t="s">
        <v>8116</v>
      </c>
      <c r="N169" s="148" t="s">
        <v>8117</v>
      </c>
      <c r="O169" s="131" t="s">
        <v>5122</v>
      </c>
      <c r="P169" s="131" t="s">
        <v>5122</v>
      </c>
      <c r="Q169" s="131"/>
      <c r="R169" s="131"/>
      <c r="S169" s="131"/>
      <c r="T169" s="131" t="s">
        <v>5122</v>
      </c>
      <c r="U169" s="131"/>
      <c r="V169" s="131" t="s">
        <v>5122</v>
      </c>
      <c r="W169" s="131"/>
      <c r="X169" s="131"/>
      <c r="Y169" s="131"/>
      <c r="Z169" s="118" t="s">
        <v>103</v>
      </c>
    </row>
    <row r="170" customHeight="1" spans="1:26">
      <c r="A170" s="123" t="s">
        <v>8118</v>
      </c>
      <c r="B170" s="123">
        <v>1</v>
      </c>
      <c r="C170" s="123" t="s">
        <v>324</v>
      </c>
      <c r="D170" s="123"/>
      <c r="E170" s="123"/>
      <c r="F170" s="124" t="s">
        <v>8119</v>
      </c>
      <c r="G170" s="123" t="s">
        <v>326</v>
      </c>
      <c r="H170" s="123" t="s">
        <v>7526</v>
      </c>
      <c r="I170" s="123"/>
      <c r="J170" s="123"/>
      <c r="K170" s="141"/>
      <c r="L170" s="139" t="s">
        <v>323</v>
      </c>
      <c r="M170" s="141" t="s">
        <v>8120</v>
      </c>
      <c r="N170" s="141" t="s">
        <v>8121</v>
      </c>
      <c r="O170" s="123"/>
      <c r="P170" s="123"/>
      <c r="Q170" s="123"/>
      <c r="R170" s="123" t="s">
        <v>5122</v>
      </c>
      <c r="S170" s="123"/>
      <c r="T170" s="123"/>
      <c r="U170" s="123"/>
      <c r="V170" s="123"/>
      <c r="W170" s="123"/>
      <c r="X170" s="123"/>
      <c r="Y170" s="123"/>
      <c r="Z170" s="118" t="s">
        <v>103</v>
      </c>
    </row>
    <row r="171" customHeight="1" spans="1:26">
      <c r="A171" s="135" t="s">
        <v>8122</v>
      </c>
      <c r="B171" s="135">
        <v>1</v>
      </c>
      <c r="C171" s="135" t="s">
        <v>335</v>
      </c>
      <c r="D171" s="135" t="s">
        <v>5122</v>
      </c>
      <c r="E171" s="135"/>
      <c r="F171" s="136" t="s">
        <v>332</v>
      </c>
      <c r="G171" s="135" t="s">
        <v>7535</v>
      </c>
      <c r="H171" s="135" t="s">
        <v>7526</v>
      </c>
      <c r="I171" s="135" t="s">
        <v>7527</v>
      </c>
      <c r="J171" s="135" t="s">
        <v>7539</v>
      </c>
      <c r="K171" s="152" t="s">
        <v>8123</v>
      </c>
      <c r="L171" s="153" t="s">
        <v>334</v>
      </c>
      <c r="M171" s="152" t="s">
        <v>8124</v>
      </c>
      <c r="N171" s="152" t="s">
        <v>8125</v>
      </c>
      <c r="O171" s="135" t="s">
        <v>5122</v>
      </c>
      <c r="P171" s="135" t="s">
        <v>5122</v>
      </c>
      <c r="Q171" s="135" t="s">
        <v>5122</v>
      </c>
      <c r="R171" s="135" t="s">
        <v>5122</v>
      </c>
      <c r="S171" s="135" t="s">
        <v>5122</v>
      </c>
      <c r="T171" s="135"/>
      <c r="U171" s="135"/>
      <c r="V171" s="135" t="s">
        <v>5122</v>
      </c>
      <c r="W171" s="135"/>
      <c r="X171" s="135"/>
      <c r="Y171" s="135"/>
      <c r="Z171" s="118" t="s">
        <v>103</v>
      </c>
    </row>
    <row r="172" customHeight="1" spans="1:26">
      <c r="A172" s="137" t="s">
        <v>8126</v>
      </c>
      <c r="B172" s="137">
        <v>1</v>
      </c>
      <c r="C172" s="137" t="s">
        <v>339</v>
      </c>
      <c r="D172" s="137"/>
      <c r="E172" s="137" t="s">
        <v>5122</v>
      </c>
      <c r="F172" s="138" t="s">
        <v>325</v>
      </c>
      <c r="G172" s="137" t="s">
        <v>7556</v>
      </c>
      <c r="H172" s="137" t="s">
        <v>7526</v>
      </c>
      <c r="I172" s="137" t="s">
        <v>7527</v>
      </c>
      <c r="J172" s="137" t="s">
        <v>7539</v>
      </c>
      <c r="K172" s="154" t="s">
        <v>8127</v>
      </c>
      <c r="L172" s="155" t="s">
        <v>359</v>
      </c>
      <c r="M172" s="154" t="s">
        <v>8128</v>
      </c>
      <c r="N172" s="154" t="s">
        <v>8129</v>
      </c>
      <c r="O172" s="137"/>
      <c r="P172" s="137"/>
      <c r="Q172" s="137" t="s">
        <v>5122</v>
      </c>
      <c r="R172" s="137" t="s">
        <v>5122</v>
      </c>
      <c r="S172" s="137"/>
      <c r="T172" s="137" t="s">
        <v>5122</v>
      </c>
      <c r="U172" s="137"/>
      <c r="V172" s="137" t="s">
        <v>5122</v>
      </c>
      <c r="W172" s="137"/>
      <c r="X172" s="137"/>
      <c r="Y172" s="137"/>
      <c r="Z172" s="118" t="s">
        <v>103</v>
      </c>
    </row>
    <row r="173" customHeight="1" spans="1:26">
      <c r="A173" s="133" t="s">
        <v>8130</v>
      </c>
      <c r="B173" s="133">
        <v>1</v>
      </c>
      <c r="C173" s="133" t="s">
        <v>342</v>
      </c>
      <c r="D173" s="133" t="s">
        <v>5122</v>
      </c>
      <c r="E173" s="133"/>
      <c r="F173" s="134" t="s">
        <v>332</v>
      </c>
      <c r="G173" s="133" t="s">
        <v>7535</v>
      </c>
      <c r="H173" s="133" t="s">
        <v>7526</v>
      </c>
      <c r="I173" s="133" t="s">
        <v>7527</v>
      </c>
      <c r="J173" s="133" t="s">
        <v>7539</v>
      </c>
      <c r="K173" s="150" t="s">
        <v>8131</v>
      </c>
      <c r="L173" s="151" t="s">
        <v>323</v>
      </c>
      <c r="M173" s="150" t="s">
        <v>8132</v>
      </c>
      <c r="N173" s="150" t="s">
        <v>8133</v>
      </c>
      <c r="O173" s="133" t="s">
        <v>5122</v>
      </c>
      <c r="P173" s="133" t="s">
        <v>5122</v>
      </c>
      <c r="Q173" s="133"/>
      <c r="R173" s="133"/>
      <c r="S173" s="133"/>
      <c r="T173" s="133"/>
      <c r="U173" s="133"/>
      <c r="V173" s="133" t="s">
        <v>5122</v>
      </c>
      <c r="W173" s="133"/>
      <c r="X173" s="133"/>
      <c r="Y173" s="133"/>
      <c r="Z173" s="118" t="s">
        <v>103</v>
      </c>
    </row>
    <row r="174" customHeight="1" spans="1:26">
      <c r="A174" s="123" t="s">
        <v>8134</v>
      </c>
      <c r="B174" s="123">
        <v>1</v>
      </c>
      <c r="C174" s="123" t="s">
        <v>324</v>
      </c>
      <c r="D174" s="123"/>
      <c r="E174" s="123"/>
      <c r="F174" s="124" t="s">
        <v>8135</v>
      </c>
      <c r="G174" s="123" t="s">
        <v>326</v>
      </c>
      <c r="H174" s="123" t="s">
        <v>7526</v>
      </c>
      <c r="I174" s="123"/>
      <c r="J174" s="123"/>
      <c r="K174" s="141"/>
      <c r="L174" s="139" t="s">
        <v>323</v>
      </c>
      <c r="M174" s="141" t="s">
        <v>8136</v>
      </c>
      <c r="N174" s="141" t="s">
        <v>8137</v>
      </c>
      <c r="O174" s="123"/>
      <c r="P174" s="123"/>
      <c r="Q174" s="123"/>
      <c r="R174" s="123" t="s">
        <v>5122</v>
      </c>
      <c r="S174" s="123" t="s">
        <v>5122</v>
      </c>
      <c r="T174" s="123"/>
      <c r="U174" s="123"/>
      <c r="V174" s="123"/>
      <c r="W174" s="123"/>
      <c r="X174" s="123"/>
      <c r="Y174" s="123"/>
      <c r="Z174" s="118" t="s">
        <v>103</v>
      </c>
    </row>
    <row r="175" customHeight="1" spans="1:26">
      <c r="A175" s="133" t="s">
        <v>8138</v>
      </c>
      <c r="B175" s="133">
        <v>1</v>
      </c>
      <c r="C175" s="133" t="s">
        <v>342</v>
      </c>
      <c r="D175" s="133"/>
      <c r="E175" s="133"/>
      <c r="F175" s="134" t="s">
        <v>321</v>
      </c>
      <c r="G175" s="133" t="s">
        <v>326</v>
      </c>
      <c r="H175" s="133" t="s">
        <v>7526</v>
      </c>
      <c r="I175" s="133" t="s">
        <v>7527</v>
      </c>
      <c r="J175" s="133"/>
      <c r="K175" s="150"/>
      <c r="L175" s="151" t="s">
        <v>329</v>
      </c>
      <c r="M175" s="150" t="s">
        <v>8139</v>
      </c>
      <c r="N175" s="150" t="s">
        <v>8140</v>
      </c>
      <c r="O175" s="133" t="s">
        <v>5122</v>
      </c>
      <c r="P175" s="133"/>
      <c r="Q175" s="133"/>
      <c r="R175" s="133"/>
      <c r="S175" s="133"/>
      <c r="T175" s="133"/>
      <c r="U175" s="133"/>
      <c r="V175" s="133" t="s">
        <v>5122</v>
      </c>
      <c r="W175" s="133"/>
      <c r="X175" s="133"/>
      <c r="Y175" s="133"/>
      <c r="Z175" s="118" t="s">
        <v>103</v>
      </c>
    </row>
    <row r="176" customHeight="1" spans="1:26">
      <c r="A176" s="137" t="s">
        <v>8141</v>
      </c>
      <c r="B176" s="137">
        <v>1</v>
      </c>
      <c r="C176" s="137" t="s">
        <v>339</v>
      </c>
      <c r="D176" s="137"/>
      <c r="E176" s="137"/>
      <c r="F176" s="138" t="s">
        <v>321</v>
      </c>
      <c r="G176" s="137" t="s">
        <v>7556</v>
      </c>
      <c r="H176" s="137" t="s">
        <v>7526</v>
      </c>
      <c r="I176" s="137" t="s">
        <v>7527</v>
      </c>
      <c r="J176" s="137" t="s">
        <v>7539</v>
      </c>
      <c r="K176" s="154" t="s">
        <v>8142</v>
      </c>
      <c r="L176" s="155" t="s">
        <v>341</v>
      </c>
      <c r="M176" s="154" t="s">
        <v>8143</v>
      </c>
      <c r="N176" s="154" t="s">
        <v>8144</v>
      </c>
      <c r="O176" s="137" t="s">
        <v>5122</v>
      </c>
      <c r="P176" s="137" t="s">
        <v>5122</v>
      </c>
      <c r="Q176" s="137"/>
      <c r="R176" s="137" t="s">
        <v>5122</v>
      </c>
      <c r="S176" s="137" t="s">
        <v>5122</v>
      </c>
      <c r="T176" s="137"/>
      <c r="U176" s="137"/>
      <c r="V176" s="137" t="s">
        <v>5122</v>
      </c>
      <c r="W176" s="137"/>
      <c r="X176" s="137"/>
      <c r="Y176" s="137"/>
      <c r="Z176" s="118" t="s">
        <v>95</v>
      </c>
    </row>
    <row r="177" customHeight="1" spans="1:26">
      <c r="A177" s="137" t="s">
        <v>8145</v>
      </c>
      <c r="B177" s="137">
        <v>1</v>
      </c>
      <c r="C177" s="137" t="s">
        <v>339</v>
      </c>
      <c r="D177" s="137"/>
      <c r="E177" s="137"/>
      <c r="F177" s="138" t="s">
        <v>321</v>
      </c>
      <c r="G177" s="137" t="s">
        <v>337</v>
      </c>
      <c r="H177" s="137" t="s">
        <v>7526</v>
      </c>
      <c r="I177" s="137"/>
      <c r="J177" s="137"/>
      <c r="K177" s="154"/>
      <c r="L177" s="155" t="s">
        <v>338</v>
      </c>
      <c r="M177" s="154" t="s">
        <v>8146</v>
      </c>
      <c r="N177" s="154" t="s">
        <v>8147</v>
      </c>
      <c r="O177" s="137"/>
      <c r="P177" s="137"/>
      <c r="Q177" s="137" t="s">
        <v>5122</v>
      </c>
      <c r="R177" s="137"/>
      <c r="S177" s="137"/>
      <c r="T177" s="137" t="s">
        <v>5122</v>
      </c>
      <c r="U177" s="137"/>
      <c r="V177" s="137" t="s">
        <v>5122</v>
      </c>
      <c r="W177" s="137"/>
      <c r="X177" s="137"/>
      <c r="Y177" s="137"/>
      <c r="Z177" s="118" t="s">
        <v>95</v>
      </c>
    </row>
    <row r="178" customHeight="1" spans="1:26">
      <c r="A178" s="137" t="s">
        <v>8148</v>
      </c>
      <c r="B178" s="137">
        <v>1</v>
      </c>
      <c r="C178" s="137" t="s">
        <v>339</v>
      </c>
      <c r="D178" s="137"/>
      <c r="E178" s="137"/>
      <c r="F178" s="138" t="s">
        <v>321</v>
      </c>
      <c r="G178" s="137" t="s">
        <v>7731</v>
      </c>
      <c r="H178" s="137"/>
      <c r="I178" s="137" t="s">
        <v>7527</v>
      </c>
      <c r="J178" s="137" t="s">
        <v>7539</v>
      </c>
      <c r="K178" s="154" t="s">
        <v>8149</v>
      </c>
      <c r="L178" s="155" t="s">
        <v>338</v>
      </c>
      <c r="M178" s="154" t="s">
        <v>8150</v>
      </c>
      <c r="N178" s="154" t="s">
        <v>8151</v>
      </c>
      <c r="O178" s="137" t="s">
        <v>5122</v>
      </c>
      <c r="P178" s="137"/>
      <c r="Q178" s="137"/>
      <c r="R178" s="137"/>
      <c r="S178" s="137"/>
      <c r="T178" s="137" t="s">
        <v>5122</v>
      </c>
      <c r="U178" s="137" t="s">
        <v>5122</v>
      </c>
      <c r="V178" s="137" t="s">
        <v>5122</v>
      </c>
      <c r="W178" s="137"/>
      <c r="X178" s="137"/>
      <c r="Y178" s="137"/>
      <c r="Z178" s="118" t="s">
        <v>95</v>
      </c>
    </row>
    <row r="179" customHeight="1" spans="1:26">
      <c r="A179" s="137" t="s">
        <v>8152</v>
      </c>
      <c r="B179" s="137">
        <v>1</v>
      </c>
      <c r="C179" s="137" t="s">
        <v>339</v>
      </c>
      <c r="D179" s="137"/>
      <c r="E179" s="137"/>
      <c r="F179" s="138" t="s">
        <v>321</v>
      </c>
      <c r="G179" s="137" t="s">
        <v>337</v>
      </c>
      <c r="H179" s="137" t="s">
        <v>7526</v>
      </c>
      <c r="I179" s="137" t="s">
        <v>7527</v>
      </c>
      <c r="J179" s="137"/>
      <c r="K179" s="154"/>
      <c r="L179" s="155" t="s">
        <v>334</v>
      </c>
      <c r="M179" s="154" t="s">
        <v>8153</v>
      </c>
      <c r="N179" s="154" t="s">
        <v>8154</v>
      </c>
      <c r="O179" s="137"/>
      <c r="P179" s="137"/>
      <c r="Q179" s="137" t="s">
        <v>5122</v>
      </c>
      <c r="R179" s="137"/>
      <c r="S179" s="137" t="s">
        <v>5122</v>
      </c>
      <c r="T179" s="137" t="s">
        <v>5122</v>
      </c>
      <c r="U179" s="137"/>
      <c r="V179" s="137"/>
      <c r="W179" s="137"/>
      <c r="X179" s="137"/>
      <c r="Y179" s="137"/>
      <c r="Z179" s="118" t="s">
        <v>95</v>
      </c>
    </row>
    <row r="180" ht="16.8" customHeight="1" spans="1:26">
      <c r="A180" s="123" t="s">
        <v>8155</v>
      </c>
      <c r="B180" s="123">
        <v>1</v>
      </c>
      <c r="C180" s="123" t="s">
        <v>324</v>
      </c>
      <c r="D180" s="123"/>
      <c r="E180" s="123"/>
      <c r="F180" s="124" t="s">
        <v>321</v>
      </c>
      <c r="G180" s="123" t="s">
        <v>333</v>
      </c>
      <c r="H180" s="123" t="s">
        <v>7526</v>
      </c>
      <c r="I180" s="123" t="s">
        <v>7527</v>
      </c>
      <c r="J180" s="123"/>
      <c r="K180" s="141"/>
      <c r="L180" s="139" t="s">
        <v>323</v>
      </c>
      <c r="M180" s="141" t="s">
        <v>8156</v>
      </c>
      <c r="N180" s="141" t="s">
        <v>8157</v>
      </c>
      <c r="O180" s="123" t="s">
        <v>5122</v>
      </c>
      <c r="P180" s="123"/>
      <c r="Q180" s="123"/>
      <c r="R180" s="123" t="s">
        <v>5122</v>
      </c>
      <c r="S180" s="123" t="s">
        <v>5122</v>
      </c>
      <c r="T180" s="123" t="s">
        <v>5122</v>
      </c>
      <c r="U180" s="123" t="s">
        <v>5122</v>
      </c>
      <c r="V180" s="123" t="s">
        <v>5122</v>
      </c>
      <c r="W180" s="123"/>
      <c r="X180" s="123"/>
      <c r="Y180" s="123"/>
      <c r="Z180" s="118" t="s">
        <v>95</v>
      </c>
    </row>
    <row r="181" customHeight="1" spans="1:26">
      <c r="A181" s="133" t="s">
        <v>8158</v>
      </c>
      <c r="B181" s="133">
        <v>1</v>
      </c>
      <c r="C181" s="133" t="s">
        <v>342</v>
      </c>
      <c r="D181" s="133"/>
      <c r="E181" s="133" t="s">
        <v>5122</v>
      </c>
      <c r="F181" s="134" t="s">
        <v>321</v>
      </c>
      <c r="G181" s="133" t="s">
        <v>337</v>
      </c>
      <c r="H181" s="133" t="s">
        <v>7526</v>
      </c>
      <c r="I181" s="133" t="s">
        <v>7527</v>
      </c>
      <c r="J181" s="133" t="s">
        <v>7539</v>
      </c>
      <c r="K181" s="150" t="s">
        <v>8159</v>
      </c>
      <c r="L181" s="151" t="s">
        <v>352</v>
      </c>
      <c r="M181" s="150" t="s">
        <v>8160</v>
      </c>
      <c r="N181" s="150" t="s">
        <v>8161</v>
      </c>
      <c r="O181" s="133" t="s">
        <v>5122</v>
      </c>
      <c r="P181" s="133" t="s">
        <v>5122</v>
      </c>
      <c r="Q181" s="133" t="s">
        <v>5122</v>
      </c>
      <c r="R181" s="133"/>
      <c r="S181" s="133"/>
      <c r="T181" s="133" t="s">
        <v>5122</v>
      </c>
      <c r="U181" s="133" t="s">
        <v>5122</v>
      </c>
      <c r="V181" s="133" t="s">
        <v>5122</v>
      </c>
      <c r="W181" s="133"/>
      <c r="X181" s="133"/>
      <c r="Y181" s="133"/>
      <c r="Z181" s="118" t="s">
        <v>95</v>
      </c>
    </row>
    <row r="182" customHeight="1" spans="1:26">
      <c r="A182" s="123" t="s">
        <v>8162</v>
      </c>
      <c r="B182" s="123">
        <v>1</v>
      </c>
      <c r="C182" s="123" t="s">
        <v>324</v>
      </c>
      <c r="D182" s="123" t="s">
        <v>5122</v>
      </c>
      <c r="E182" s="123"/>
      <c r="F182" s="124" t="s">
        <v>332</v>
      </c>
      <c r="G182" s="123" t="s">
        <v>333</v>
      </c>
      <c r="H182" s="123" t="s">
        <v>7526</v>
      </c>
      <c r="I182" s="123" t="s">
        <v>7527</v>
      </c>
      <c r="J182" s="123" t="s">
        <v>7539</v>
      </c>
      <c r="K182" s="141" t="s">
        <v>8163</v>
      </c>
      <c r="L182" s="139" t="s">
        <v>329</v>
      </c>
      <c r="M182" s="141" t="s">
        <v>8164</v>
      </c>
      <c r="N182" s="141" t="s">
        <v>8165</v>
      </c>
      <c r="O182" s="123" t="s">
        <v>5122</v>
      </c>
      <c r="P182" s="123"/>
      <c r="Q182" s="123" t="s">
        <v>5122</v>
      </c>
      <c r="R182" s="123"/>
      <c r="S182" s="123" t="s">
        <v>5122</v>
      </c>
      <c r="T182" s="123" t="s">
        <v>5122</v>
      </c>
      <c r="U182" s="123" t="s">
        <v>5122</v>
      </c>
      <c r="V182" s="123" t="s">
        <v>5122</v>
      </c>
      <c r="W182" s="123"/>
      <c r="X182" s="123"/>
      <c r="Y182" s="123"/>
      <c r="Z182" s="118" t="s">
        <v>95</v>
      </c>
    </row>
    <row r="183" customHeight="1" spans="1:26">
      <c r="A183" s="137" t="s">
        <v>8166</v>
      </c>
      <c r="B183" s="137">
        <v>1</v>
      </c>
      <c r="C183" s="137" t="s">
        <v>339</v>
      </c>
      <c r="D183" s="137"/>
      <c r="E183" s="137"/>
      <c r="F183" s="138" t="s">
        <v>321</v>
      </c>
      <c r="G183" s="137" t="s">
        <v>326</v>
      </c>
      <c r="H183" s="137" t="s">
        <v>7526</v>
      </c>
      <c r="I183" s="137" t="s">
        <v>7527</v>
      </c>
      <c r="J183" s="137" t="s">
        <v>7539</v>
      </c>
      <c r="K183" s="154" t="s">
        <v>8167</v>
      </c>
      <c r="L183" s="155" t="s">
        <v>338</v>
      </c>
      <c r="M183" s="154" t="s">
        <v>8168</v>
      </c>
      <c r="N183" s="154" t="s">
        <v>8169</v>
      </c>
      <c r="O183" s="137"/>
      <c r="P183" s="137"/>
      <c r="Q183" s="137" t="s">
        <v>5122</v>
      </c>
      <c r="R183" s="137"/>
      <c r="S183" s="137" t="s">
        <v>5122</v>
      </c>
      <c r="T183" s="137"/>
      <c r="U183" s="137"/>
      <c r="V183" s="137" t="s">
        <v>5122</v>
      </c>
      <c r="W183" s="137"/>
      <c r="X183" s="137"/>
      <c r="Y183" s="137"/>
      <c r="Z183" s="118" t="s">
        <v>95</v>
      </c>
    </row>
    <row r="184" customHeight="1" spans="1:26">
      <c r="A184" s="137" t="s">
        <v>8170</v>
      </c>
      <c r="B184" s="137">
        <v>1</v>
      </c>
      <c r="C184" s="137" t="s">
        <v>339</v>
      </c>
      <c r="D184" s="137"/>
      <c r="E184" s="137"/>
      <c r="F184" s="138" t="s">
        <v>321</v>
      </c>
      <c r="G184" s="137" t="s">
        <v>333</v>
      </c>
      <c r="H184" s="137" t="s">
        <v>7526</v>
      </c>
      <c r="I184" s="137" t="s">
        <v>7527</v>
      </c>
      <c r="J184" s="137" t="s">
        <v>7539</v>
      </c>
      <c r="K184" s="154" t="s">
        <v>8171</v>
      </c>
      <c r="L184" s="155" t="s">
        <v>334</v>
      </c>
      <c r="M184" s="154" t="s">
        <v>8172</v>
      </c>
      <c r="N184" s="154" t="s">
        <v>8173</v>
      </c>
      <c r="O184" s="137" t="s">
        <v>5122</v>
      </c>
      <c r="P184" s="137"/>
      <c r="Q184" s="137"/>
      <c r="R184" s="137"/>
      <c r="S184" s="137" t="s">
        <v>5122</v>
      </c>
      <c r="T184" s="137"/>
      <c r="U184" s="137"/>
      <c r="V184" s="137" t="s">
        <v>5122</v>
      </c>
      <c r="W184" s="137"/>
      <c r="X184" s="137"/>
      <c r="Y184" s="137"/>
      <c r="Z184" s="118" t="s">
        <v>95</v>
      </c>
    </row>
    <row r="185" customHeight="1" spans="1:26">
      <c r="A185" s="131" t="s">
        <v>8174</v>
      </c>
      <c r="B185" s="131">
        <v>1</v>
      </c>
      <c r="C185" s="131" t="s">
        <v>320</v>
      </c>
      <c r="D185" s="131"/>
      <c r="E185" s="131"/>
      <c r="F185" s="132" t="s">
        <v>8175</v>
      </c>
      <c r="G185" s="131" t="s">
        <v>326</v>
      </c>
      <c r="H185" s="131"/>
      <c r="I185" s="131" t="s">
        <v>7527</v>
      </c>
      <c r="J185" s="131"/>
      <c r="K185" s="148"/>
      <c r="L185" s="149" t="s">
        <v>323</v>
      </c>
      <c r="M185" s="148" t="s">
        <v>8176</v>
      </c>
      <c r="N185" s="148" t="s">
        <v>8177</v>
      </c>
      <c r="O185" s="131" t="s">
        <v>5122</v>
      </c>
      <c r="P185" s="131"/>
      <c r="Q185" s="131"/>
      <c r="R185" s="131"/>
      <c r="S185" s="131"/>
      <c r="T185" s="131"/>
      <c r="U185" s="131"/>
      <c r="V185" s="131" t="s">
        <v>5122</v>
      </c>
      <c r="W185" s="131"/>
      <c r="X185" s="131"/>
      <c r="Y185" s="131"/>
      <c r="Z185" s="118" t="s">
        <v>95</v>
      </c>
    </row>
    <row r="186" customHeight="1" spans="1:26">
      <c r="A186" s="123" t="s">
        <v>8178</v>
      </c>
      <c r="B186" s="123">
        <v>1</v>
      </c>
      <c r="C186" s="123" t="s">
        <v>324</v>
      </c>
      <c r="D186" s="123"/>
      <c r="E186" s="123"/>
      <c r="F186" s="124" t="s">
        <v>321</v>
      </c>
      <c r="G186" s="123" t="s">
        <v>340</v>
      </c>
      <c r="H186" s="123" t="s">
        <v>7526</v>
      </c>
      <c r="I186" s="123" t="s">
        <v>7527</v>
      </c>
      <c r="J186" s="123"/>
      <c r="K186" s="141"/>
      <c r="L186" s="139" t="s">
        <v>323</v>
      </c>
      <c r="M186" s="141" t="s">
        <v>8179</v>
      </c>
      <c r="N186" s="141" t="s">
        <v>8180</v>
      </c>
      <c r="O186" s="123"/>
      <c r="P186" s="123"/>
      <c r="Q186" s="123" t="s">
        <v>5122</v>
      </c>
      <c r="R186" s="123"/>
      <c r="S186" s="123" t="s">
        <v>5122</v>
      </c>
      <c r="T186" s="123" t="s">
        <v>5122</v>
      </c>
      <c r="U186" s="123"/>
      <c r="V186" s="123" t="s">
        <v>5122</v>
      </c>
      <c r="W186" s="123"/>
      <c r="X186" s="123"/>
      <c r="Y186" s="123"/>
      <c r="Z186" s="118" t="s">
        <v>95</v>
      </c>
    </row>
    <row r="187" customHeight="1" spans="1:26">
      <c r="A187" s="131" t="s">
        <v>8181</v>
      </c>
      <c r="B187" s="131">
        <v>1</v>
      </c>
      <c r="C187" s="131" t="s">
        <v>320</v>
      </c>
      <c r="D187" s="131"/>
      <c r="E187" s="131" t="s">
        <v>5122</v>
      </c>
      <c r="F187" s="132" t="s">
        <v>321</v>
      </c>
      <c r="G187" s="131" t="s">
        <v>337</v>
      </c>
      <c r="H187" s="131" t="s">
        <v>7526</v>
      </c>
      <c r="I187" s="131" t="s">
        <v>7527</v>
      </c>
      <c r="J187" s="131" t="s">
        <v>7539</v>
      </c>
      <c r="K187" s="148" t="s">
        <v>8182</v>
      </c>
      <c r="L187" s="149" t="s">
        <v>352</v>
      </c>
      <c r="M187" s="148" t="s">
        <v>8183</v>
      </c>
      <c r="N187" s="148" t="s">
        <v>8184</v>
      </c>
      <c r="O187" s="131" t="s">
        <v>5122</v>
      </c>
      <c r="P187" s="131"/>
      <c r="Q187" s="131" t="s">
        <v>5122</v>
      </c>
      <c r="R187" s="131"/>
      <c r="S187" s="131" t="s">
        <v>5122</v>
      </c>
      <c r="T187" s="131" t="s">
        <v>5122</v>
      </c>
      <c r="U187" s="131"/>
      <c r="V187" s="131" t="s">
        <v>5122</v>
      </c>
      <c r="W187" s="131"/>
      <c r="X187" s="131"/>
      <c r="Y187" s="131"/>
      <c r="Z187" s="118" t="s">
        <v>95</v>
      </c>
    </row>
    <row r="188" customHeight="1" spans="1:26">
      <c r="A188" s="135" t="s">
        <v>8185</v>
      </c>
      <c r="B188" s="135">
        <v>1</v>
      </c>
      <c r="C188" s="135" t="s">
        <v>335</v>
      </c>
      <c r="D188" s="135"/>
      <c r="E188" s="135" t="s">
        <v>5122</v>
      </c>
      <c r="F188" s="136" t="s">
        <v>321</v>
      </c>
      <c r="G188" s="135" t="s">
        <v>326</v>
      </c>
      <c r="H188" s="135" t="s">
        <v>7526</v>
      </c>
      <c r="I188" s="135" t="s">
        <v>7527</v>
      </c>
      <c r="J188" s="135"/>
      <c r="K188" s="152"/>
      <c r="L188" s="153" t="s">
        <v>352</v>
      </c>
      <c r="M188" s="152" t="s">
        <v>8186</v>
      </c>
      <c r="N188" s="152" t="s">
        <v>8187</v>
      </c>
      <c r="O188" s="135"/>
      <c r="P188" s="135" t="s">
        <v>5122</v>
      </c>
      <c r="Q188" s="135" t="s">
        <v>5122</v>
      </c>
      <c r="R188" s="135"/>
      <c r="S188" s="135" t="s">
        <v>5122</v>
      </c>
      <c r="T188" s="135" t="s">
        <v>5122</v>
      </c>
      <c r="U188" s="135"/>
      <c r="V188" s="135"/>
      <c r="W188" s="135"/>
      <c r="X188" s="135"/>
      <c r="Y188" s="135"/>
      <c r="Z188" s="118" t="s">
        <v>108</v>
      </c>
    </row>
    <row r="189" customHeight="1" spans="1:26">
      <c r="A189" s="127" t="s">
        <v>8188</v>
      </c>
      <c r="B189" s="127">
        <v>1</v>
      </c>
      <c r="C189" s="127" t="s">
        <v>331</v>
      </c>
      <c r="D189" s="127"/>
      <c r="E189" s="127" t="s">
        <v>5122</v>
      </c>
      <c r="F189" s="128" t="s">
        <v>321</v>
      </c>
      <c r="G189" s="127" t="s">
        <v>337</v>
      </c>
      <c r="H189" s="127" t="s">
        <v>7526</v>
      </c>
      <c r="I189" s="127" t="s">
        <v>7527</v>
      </c>
      <c r="J189" s="127" t="s">
        <v>7539</v>
      </c>
      <c r="K189" s="144" t="s">
        <v>8189</v>
      </c>
      <c r="L189" s="145" t="s">
        <v>359</v>
      </c>
      <c r="M189" s="144" t="s">
        <v>8190</v>
      </c>
      <c r="N189" s="144" t="s">
        <v>8191</v>
      </c>
      <c r="O189" s="127" t="s">
        <v>5122</v>
      </c>
      <c r="P189" s="127" t="s">
        <v>5122</v>
      </c>
      <c r="Q189" s="127"/>
      <c r="R189" s="127"/>
      <c r="S189" s="127"/>
      <c r="T189" s="127" t="s">
        <v>5122</v>
      </c>
      <c r="U189" s="127" t="s">
        <v>5122</v>
      </c>
      <c r="V189" s="127" t="s">
        <v>5122</v>
      </c>
      <c r="W189" s="127"/>
      <c r="X189" s="127"/>
      <c r="Y189" s="127"/>
      <c r="Z189" s="118" t="s">
        <v>108</v>
      </c>
    </row>
    <row r="190" customHeight="1" spans="1:26">
      <c r="A190" s="127" t="s">
        <v>8192</v>
      </c>
      <c r="B190" s="127">
        <v>1</v>
      </c>
      <c r="C190" s="127" t="s">
        <v>331</v>
      </c>
      <c r="D190" s="127"/>
      <c r="E190" s="127"/>
      <c r="F190" s="128" t="s">
        <v>8193</v>
      </c>
      <c r="G190" s="127" t="s">
        <v>333</v>
      </c>
      <c r="H190" s="127"/>
      <c r="I190" s="127" t="s">
        <v>7527</v>
      </c>
      <c r="J190" s="127" t="s">
        <v>7539</v>
      </c>
      <c r="K190" s="144" t="s">
        <v>8194</v>
      </c>
      <c r="L190" s="145" t="s">
        <v>323</v>
      </c>
      <c r="M190" s="144" t="s">
        <v>8195</v>
      </c>
      <c r="N190" s="144" t="s">
        <v>8196</v>
      </c>
      <c r="O190" s="127"/>
      <c r="P190" s="127"/>
      <c r="Q190" s="127"/>
      <c r="R190" s="127"/>
      <c r="S190" s="127"/>
      <c r="T190" s="127" t="s">
        <v>5122</v>
      </c>
      <c r="U190" s="127" t="s">
        <v>5122</v>
      </c>
      <c r="V190" s="127" t="s">
        <v>5122</v>
      </c>
      <c r="W190" s="127"/>
      <c r="X190" s="127"/>
      <c r="Y190" s="127"/>
      <c r="Z190" s="118" t="s">
        <v>108</v>
      </c>
    </row>
    <row r="191" customHeight="1" spans="1:26">
      <c r="A191" s="127" t="s">
        <v>8197</v>
      </c>
      <c r="B191" s="127">
        <v>1</v>
      </c>
      <c r="C191" s="127" t="s">
        <v>331</v>
      </c>
      <c r="D191" s="127"/>
      <c r="E191" s="127"/>
      <c r="F191" s="128" t="s">
        <v>325</v>
      </c>
      <c r="G191" s="127" t="s">
        <v>326</v>
      </c>
      <c r="H191" s="127" t="s">
        <v>7526</v>
      </c>
      <c r="I191" s="127" t="s">
        <v>7527</v>
      </c>
      <c r="J191" s="127"/>
      <c r="K191" s="144"/>
      <c r="L191" s="145" t="s">
        <v>329</v>
      </c>
      <c r="M191" s="144" t="s">
        <v>8198</v>
      </c>
      <c r="N191" s="144" t="s">
        <v>8199</v>
      </c>
      <c r="O191" s="127"/>
      <c r="P191" s="127"/>
      <c r="Q191" s="127"/>
      <c r="R191" s="127" t="s">
        <v>5122</v>
      </c>
      <c r="S191" s="127"/>
      <c r="T191" s="127" t="s">
        <v>5122</v>
      </c>
      <c r="U191" s="127" t="s">
        <v>5122</v>
      </c>
      <c r="V191" s="127"/>
      <c r="W191" s="127"/>
      <c r="X191" s="127"/>
      <c r="Y191" s="127"/>
      <c r="Z191" s="118" t="s">
        <v>108</v>
      </c>
    </row>
    <row r="192" customHeight="1" spans="1:26">
      <c r="A192" s="123" t="s">
        <v>8200</v>
      </c>
      <c r="B192" s="123">
        <v>1</v>
      </c>
      <c r="C192" s="123" t="s">
        <v>324</v>
      </c>
      <c r="D192" s="123"/>
      <c r="E192" s="123" t="s">
        <v>5122</v>
      </c>
      <c r="F192" s="124" t="s">
        <v>321</v>
      </c>
      <c r="G192" s="123" t="s">
        <v>7710</v>
      </c>
      <c r="H192" s="123" t="s">
        <v>7526</v>
      </c>
      <c r="I192" s="123" t="s">
        <v>7527</v>
      </c>
      <c r="J192" s="123" t="s">
        <v>7539</v>
      </c>
      <c r="K192" s="141" t="s">
        <v>8201</v>
      </c>
      <c r="L192" s="139" t="s">
        <v>352</v>
      </c>
      <c r="M192" s="141" t="s">
        <v>8202</v>
      </c>
      <c r="N192" s="141" t="s">
        <v>8203</v>
      </c>
      <c r="O192" s="123"/>
      <c r="P192" s="123"/>
      <c r="Q192" s="123"/>
      <c r="R192" s="123"/>
      <c r="S192" s="123"/>
      <c r="T192" s="123" t="s">
        <v>5122</v>
      </c>
      <c r="U192" s="123" t="s">
        <v>5122</v>
      </c>
      <c r="V192" s="123" t="s">
        <v>5122</v>
      </c>
      <c r="W192" s="123"/>
      <c r="X192" s="123"/>
      <c r="Y192" s="123"/>
      <c r="Z192" s="118" t="s">
        <v>87</v>
      </c>
    </row>
    <row r="193" customHeight="1" spans="1:26">
      <c r="A193" s="131" t="s">
        <v>8204</v>
      </c>
      <c r="B193" s="131">
        <v>1</v>
      </c>
      <c r="C193" s="131" t="s">
        <v>320</v>
      </c>
      <c r="D193" s="131"/>
      <c r="E193" s="131" t="s">
        <v>5122</v>
      </c>
      <c r="F193" s="132" t="s">
        <v>321</v>
      </c>
      <c r="G193" s="131" t="s">
        <v>326</v>
      </c>
      <c r="H193" s="131" t="s">
        <v>7526</v>
      </c>
      <c r="I193" s="131" t="s">
        <v>7527</v>
      </c>
      <c r="J193" s="131"/>
      <c r="K193" s="148"/>
      <c r="L193" s="149" t="s">
        <v>356</v>
      </c>
      <c r="M193" s="148" t="s">
        <v>8205</v>
      </c>
      <c r="N193" s="148" t="s">
        <v>8206</v>
      </c>
      <c r="O193" s="131" t="s">
        <v>5122</v>
      </c>
      <c r="P193" s="131"/>
      <c r="Q193" s="131"/>
      <c r="R193" s="131"/>
      <c r="S193" s="131"/>
      <c r="T193" s="131" t="s">
        <v>5122</v>
      </c>
      <c r="U193" s="131" t="s">
        <v>5122</v>
      </c>
      <c r="V193" s="131" t="s">
        <v>5122</v>
      </c>
      <c r="W193" s="131"/>
      <c r="X193" s="131"/>
      <c r="Y193" s="131"/>
      <c r="Z193" s="118" t="s">
        <v>65</v>
      </c>
    </row>
    <row r="194" customHeight="1" spans="1:26">
      <c r="A194" s="135" t="s">
        <v>8207</v>
      </c>
      <c r="B194" s="135">
        <v>1</v>
      </c>
      <c r="C194" s="135" t="s">
        <v>335</v>
      </c>
      <c r="D194" s="135"/>
      <c r="E194" s="135" t="s">
        <v>5122</v>
      </c>
      <c r="F194" s="136" t="s">
        <v>321</v>
      </c>
      <c r="G194" s="135" t="s">
        <v>326</v>
      </c>
      <c r="H194" s="135" t="s">
        <v>7526</v>
      </c>
      <c r="I194" s="135" t="s">
        <v>7527</v>
      </c>
      <c r="J194" s="135"/>
      <c r="K194" s="152"/>
      <c r="L194" s="153" t="s">
        <v>352</v>
      </c>
      <c r="M194" s="152" t="s">
        <v>8208</v>
      </c>
      <c r="N194" s="152" t="s">
        <v>8209</v>
      </c>
      <c r="O194" s="135"/>
      <c r="P194" s="135" t="s">
        <v>5122</v>
      </c>
      <c r="Q194" s="135" t="s">
        <v>5122</v>
      </c>
      <c r="R194" s="135"/>
      <c r="S194" s="135" t="s">
        <v>5122</v>
      </c>
      <c r="T194" s="135"/>
      <c r="U194" s="135" t="s">
        <v>5122</v>
      </c>
      <c r="V194" s="135" t="s">
        <v>5122</v>
      </c>
      <c r="W194" s="135"/>
      <c r="X194" s="135"/>
      <c r="Y194" s="135"/>
      <c r="Z194" s="118" t="s">
        <v>7771</v>
      </c>
    </row>
    <row r="195" ht="16.8" customHeight="1" spans="1:26">
      <c r="A195" s="125" t="s">
        <v>8210</v>
      </c>
      <c r="B195" s="125">
        <v>1</v>
      </c>
      <c r="C195" s="125" t="s">
        <v>328</v>
      </c>
      <c r="D195" s="125"/>
      <c r="E195" s="125"/>
      <c r="F195" s="126" t="s">
        <v>8211</v>
      </c>
      <c r="G195" s="125" t="s">
        <v>326</v>
      </c>
      <c r="H195" s="125" t="s">
        <v>7526</v>
      </c>
      <c r="I195" s="125" t="s">
        <v>7527</v>
      </c>
      <c r="J195" s="125" t="s">
        <v>7539</v>
      </c>
      <c r="K195" s="142" t="s">
        <v>8212</v>
      </c>
      <c r="L195" s="143" t="s">
        <v>8213</v>
      </c>
      <c r="M195" s="142" t="s">
        <v>8214</v>
      </c>
      <c r="N195" s="142" t="s">
        <v>8215</v>
      </c>
      <c r="O195" s="125"/>
      <c r="P195" s="125"/>
      <c r="Q195" s="125" t="s">
        <v>5122</v>
      </c>
      <c r="R195" s="125"/>
      <c r="S195" s="125" t="s">
        <v>5122</v>
      </c>
      <c r="T195" s="125" t="s">
        <v>5122</v>
      </c>
      <c r="U195" s="125"/>
      <c r="V195" s="125" t="s">
        <v>5122</v>
      </c>
      <c r="W195" s="125"/>
      <c r="X195" s="125"/>
      <c r="Y195" s="125"/>
      <c r="Z195" s="118" t="s">
        <v>7771</v>
      </c>
    </row>
    <row r="196" customHeight="1" spans="1:26">
      <c r="A196" s="125" t="s">
        <v>8216</v>
      </c>
      <c r="B196" s="125">
        <v>1</v>
      </c>
      <c r="C196" s="125" t="s">
        <v>328</v>
      </c>
      <c r="D196" s="125"/>
      <c r="E196" s="125" t="s">
        <v>5122</v>
      </c>
      <c r="F196" s="126" t="s">
        <v>325</v>
      </c>
      <c r="G196" s="125" t="s">
        <v>337</v>
      </c>
      <c r="H196" s="125" t="s">
        <v>7526</v>
      </c>
      <c r="I196" s="125" t="s">
        <v>7527</v>
      </c>
      <c r="J196" s="125" t="s">
        <v>7539</v>
      </c>
      <c r="K196" s="142" t="s">
        <v>8217</v>
      </c>
      <c r="L196" s="143" t="s">
        <v>356</v>
      </c>
      <c r="M196" s="142" t="s">
        <v>8218</v>
      </c>
      <c r="N196" s="142" t="s">
        <v>8219</v>
      </c>
      <c r="O196" s="125"/>
      <c r="P196" s="125"/>
      <c r="Q196" s="125" t="s">
        <v>5122</v>
      </c>
      <c r="R196" s="125"/>
      <c r="S196" s="125"/>
      <c r="T196" s="125"/>
      <c r="U196" s="125" t="s">
        <v>5122</v>
      </c>
      <c r="V196" s="125"/>
      <c r="W196" s="125"/>
      <c r="X196" s="125"/>
      <c r="Y196" s="125"/>
      <c r="Z196" s="118" t="s">
        <v>7771</v>
      </c>
    </row>
    <row r="197" customHeight="1" spans="1:26">
      <c r="A197" s="127" t="s">
        <v>8220</v>
      </c>
      <c r="B197" s="127">
        <v>1</v>
      </c>
      <c r="C197" s="127" t="s">
        <v>331</v>
      </c>
      <c r="D197" s="127"/>
      <c r="E197" s="127"/>
      <c r="F197" s="128" t="s">
        <v>321</v>
      </c>
      <c r="G197" s="127" t="s">
        <v>326</v>
      </c>
      <c r="H197" s="127" t="s">
        <v>7526</v>
      </c>
      <c r="I197" s="127" t="s">
        <v>7527</v>
      </c>
      <c r="J197" s="127" t="s">
        <v>7539</v>
      </c>
      <c r="K197" s="144" t="s">
        <v>8221</v>
      </c>
      <c r="L197" s="145" t="s">
        <v>344</v>
      </c>
      <c r="M197" s="144" t="s">
        <v>8222</v>
      </c>
      <c r="N197" s="144" t="s">
        <v>8223</v>
      </c>
      <c r="O197" s="127"/>
      <c r="P197" s="127"/>
      <c r="Q197" s="127"/>
      <c r="R197" s="127" t="s">
        <v>5122</v>
      </c>
      <c r="S197" s="127" t="s">
        <v>5122</v>
      </c>
      <c r="T197" s="127"/>
      <c r="U197" s="127" t="s">
        <v>5122</v>
      </c>
      <c r="V197" s="127"/>
      <c r="W197" s="127"/>
      <c r="X197" s="127"/>
      <c r="Y197" s="127"/>
      <c r="Z197" s="118" t="s">
        <v>7781</v>
      </c>
    </row>
    <row r="198" customHeight="1" spans="1:26">
      <c r="A198" s="127" t="s">
        <v>8224</v>
      </c>
      <c r="B198" s="127">
        <v>1</v>
      </c>
      <c r="C198" s="127" t="s">
        <v>331</v>
      </c>
      <c r="D198" s="127"/>
      <c r="E198" s="127" t="s">
        <v>5122</v>
      </c>
      <c r="F198" s="128" t="s">
        <v>321</v>
      </c>
      <c r="G198" s="127" t="s">
        <v>333</v>
      </c>
      <c r="H198" s="127" t="s">
        <v>7526</v>
      </c>
      <c r="I198" s="127" t="s">
        <v>7527</v>
      </c>
      <c r="J198" s="127" t="s">
        <v>7539</v>
      </c>
      <c r="K198" s="144" t="s">
        <v>8225</v>
      </c>
      <c r="L198" s="145" t="s">
        <v>352</v>
      </c>
      <c r="M198" s="144" t="s">
        <v>8226</v>
      </c>
      <c r="N198" s="144" t="s">
        <v>8227</v>
      </c>
      <c r="O198" s="127" t="s">
        <v>5122</v>
      </c>
      <c r="P198" s="127"/>
      <c r="Q198" s="127"/>
      <c r="R198" s="127" t="s">
        <v>5122</v>
      </c>
      <c r="S198" s="127"/>
      <c r="T198" s="127" t="s">
        <v>5122</v>
      </c>
      <c r="U198" s="127"/>
      <c r="V198" s="127" t="s">
        <v>5122</v>
      </c>
      <c r="W198" s="127"/>
      <c r="X198" s="127"/>
      <c r="Y198" s="127"/>
      <c r="Z198" s="118" t="s">
        <v>7781</v>
      </c>
    </row>
    <row r="199" customHeight="1" spans="1:26">
      <c r="A199" s="133" t="s">
        <v>8228</v>
      </c>
      <c r="B199" s="133">
        <v>1</v>
      </c>
      <c r="C199" s="133" t="s">
        <v>342</v>
      </c>
      <c r="D199" s="133"/>
      <c r="E199" s="133" t="s">
        <v>5122</v>
      </c>
      <c r="F199" s="134" t="s">
        <v>321</v>
      </c>
      <c r="G199" s="133" t="s">
        <v>337</v>
      </c>
      <c r="H199" s="133" t="s">
        <v>7526</v>
      </c>
      <c r="I199" s="133" t="s">
        <v>7527</v>
      </c>
      <c r="J199" s="133" t="s">
        <v>7539</v>
      </c>
      <c r="K199" s="150" t="s">
        <v>8229</v>
      </c>
      <c r="L199" s="151" t="s">
        <v>8230</v>
      </c>
      <c r="M199" s="150" t="s">
        <v>8231</v>
      </c>
      <c r="N199" s="150" t="s">
        <v>8232</v>
      </c>
      <c r="O199" s="133" t="s">
        <v>5122</v>
      </c>
      <c r="P199" s="133"/>
      <c r="Q199" s="133"/>
      <c r="R199" s="133"/>
      <c r="S199" s="133"/>
      <c r="T199" s="133" t="s">
        <v>5122</v>
      </c>
      <c r="U199" s="133"/>
      <c r="V199" s="133" t="s">
        <v>5122</v>
      </c>
      <c r="W199" s="133"/>
      <c r="X199" s="133"/>
      <c r="Y199" s="133"/>
      <c r="Z199" s="118" t="s">
        <v>7781</v>
      </c>
    </row>
    <row r="200" customHeight="1" spans="1:26">
      <c r="A200" s="125" t="s">
        <v>8233</v>
      </c>
      <c r="B200" s="125">
        <v>1</v>
      </c>
      <c r="C200" s="125" t="s">
        <v>328</v>
      </c>
      <c r="D200" s="125"/>
      <c r="E200" s="125"/>
      <c r="F200" s="126" t="s">
        <v>321</v>
      </c>
      <c r="G200" s="125" t="s">
        <v>7535</v>
      </c>
      <c r="H200" s="125" t="s">
        <v>7526</v>
      </c>
      <c r="I200" s="125" t="s">
        <v>7527</v>
      </c>
      <c r="J200" s="125" t="s">
        <v>7539</v>
      </c>
      <c r="K200" s="142" t="s">
        <v>8234</v>
      </c>
      <c r="L200" s="143" t="s">
        <v>344</v>
      </c>
      <c r="M200" s="142" t="s">
        <v>8235</v>
      </c>
      <c r="N200" s="142" t="s">
        <v>8236</v>
      </c>
      <c r="O200" s="125"/>
      <c r="P200" s="125" t="s">
        <v>5122</v>
      </c>
      <c r="Q200" s="125"/>
      <c r="R200" s="125" t="s">
        <v>5122</v>
      </c>
      <c r="S200" s="125"/>
      <c r="T200" s="125"/>
      <c r="U200" s="125"/>
      <c r="V200" s="125" t="s">
        <v>5122</v>
      </c>
      <c r="W200" s="125"/>
      <c r="X200" s="125"/>
      <c r="Y200" s="125"/>
      <c r="Z200" s="118" t="s">
        <v>7781</v>
      </c>
    </row>
    <row r="201" customHeight="1" spans="1:26">
      <c r="A201" s="123" t="s">
        <v>8237</v>
      </c>
      <c r="B201" s="123">
        <v>1</v>
      </c>
      <c r="C201" s="123" t="s">
        <v>324</v>
      </c>
      <c r="D201" s="123"/>
      <c r="E201" s="123" t="s">
        <v>5122</v>
      </c>
      <c r="F201" s="124" t="s">
        <v>321</v>
      </c>
      <c r="G201" s="123" t="s">
        <v>337</v>
      </c>
      <c r="H201" s="123" t="s">
        <v>7526</v>
      </c>
      <c r="I201" s="123"/>
      <c r="J201" s="123" t="s">
        <v>7539</v>
      </c>
      <c r="K201" s="141" t="s">
        <v>8238</v>
      </c>
      <c r="L201" s="139" t="s">
        <v>352</v>
      </c>
      <c r="M201" s="141" t="s">
        <v>8239</v>
      </c>
      <c r="N201" s="141" t="s">
        <v>8240</v>
      </c>
      <c r="O201" s="123"/>
      <c r="P201" s="123"/>
      <c r="Q201" s="123"/>
      <c r="R201" s="123"/>
      <c r="S201" s="123"/>
      <c r="T201" s="123" t="s">
        <v>5122</v>
      </c>
      <c r="U201" s="123" t="s">
        <v>5122</v>
      </c>
      <c r="V201" s="123" t="s">
        <v>5122</v>
      </c>
      <c r="W201" s="123"/>
      <c r="X201" s="123"/>
      <c r="Y201" s="123"/>
      <c r="Z201" s="118" t="s">
        <v>7781</v>
      </c>
    </row>
    <row r="202" customHeight="1" spans="1:26">
      <c r="A202" s="123" t="s">
        <v>8241</v>
      </c>
      <c r="B202" s="123">
        <v>1</v>
      </c>
      <c r="C202" s="123" t="s">
        <v>324</v>
      </c>
      <c r="D202" s="123"/>
      <c r="E202" s="123"/>
      <c r="F202" s="124" t="s">
        <v>321</v>
      </c>
      <c r="G202" s="123" t="s">
        <v>337</v>
      </c>
      <c r="H202" s="123" t="s">
        <v>7526</v>
      </c>
      <c r="I202" s="123" t="s">
        <v>7527</v>
      </c>
      <c r="J202" s="123"/>
      <c r="K202" s="141"/>
      <c r="L202" s="139" t="s">
        <v>338</v>
      </c>
      <c r="M202" s="141" t="s">
        <v>8242</v>
      </c>
      <c r="N202" s="141" t="s">
        <v>8243</v>
      </c>
      <c r="O202" s="123"/>
      <c r="P202" s="123" t="s">
        <v>5122</v>
      </c>
      <c r="Q202" s="123" t="s">
        <v>5122</v>
      </c>
      <c r="R202" s="123"/>
      <c r="S202" s="123"/>
      <c r="T202" s="123"/>
      <c r="U202" s="123"/>
      <c r="V202" s="123"/>
      <c r="W202" s="123"/>
      <c r="X202" s="123"/>
      <c r="Y202" s="123"/>
      <c r="Z202" s="118" t="s">
        <v>7781</v>
      </c>
    </row>
    <row r="203" customHeight="1" spans="1:26">
      <c r="A203" s="137" t="s">
        <v>8244</v>
      </c>
      <c r="B203" s="137">
        <v>1</v>
      </c>
      <c r="C203" s="137" t="s">
        <v>339</v>
      </c>
      <c r="D203" s="137"/>
      <c r="E203" s="137"/>
      <c r="F203" s="138" t="s">
        <v>321</v>
      </c>
      <c r="G203" s="137" t="s">
        <v>337</v>
      </c>
      <c r="H203" s="137" t="s">
        <v>7526</v>
      </c>
      <c r="I203" s="137" t="s">
        <v>7527</v>
      </c>
      <c r="J203" s="137"/>
      <c r="K203" s="154"/>
      <c r="L203" s="155" t="s">
        <v>323</v>
      </c>
      <c r="M203" s="154" t="s">
        <v>8245</v>
      </c>
      <c r="N203" s="154" t="s">
        <v>8246</v>
      </c>
      <c r="O203" s="137" t="s">
        <v>5122</v>
      </c>
      <c r="P203" s="137"/>
      <c r="Q203" s="137"/>
      <c r="R203" s="137"/>
      <c r="S203" s="137"/>
      <c r="T203" s="137" t="s">
        <v>5122</v>
      </c>
      <c r="U203" s="137" t="s">
        <v>5122</v>
      </c>
      <c r="V203" s="137" t="s">
        <v>5122</v>
      </c>
      <c r="W203" s="137"/>
      <c r="X203" s="137"/>
      <c r="Y203" s="137"/>
      <c r="Z203" s="118" t="s">
        <v>7781</v>
      </c>
    </row>
    <row r="204" customHeight="1" spans="1:26">
      <c r="A204" s="123" t="s">
        <v>8247</v>
      </c>
      <c r="B204" s="123">
        <v>1</v>
      </c>
      <c r="C204" s="123" t="s">
        <v>324</v>
      </c>
      <c r="D204" s="123"/>
      <c r="E204" s="123"/>
      <c r="F204" s="124" t="s">
        <v>321</v>
      </c>
      <c r="G204" s="123" t="s">
        <v>337</v>
      </c>
      <c r="H204" s="123" t="s">
        <v>7526</v>
      </c>
      <c r="I204" s="123" t="s">
        <v>7527</v>
      </c>
      <c r="J204" s="123"/>
      <c r="K204" s="141"/>
      <c r="L204" s="139" t="s">
        <v>323</v>
      </c>
      <c r="M204" s="141" t="s">
        <v>8248</v>
      </c>
      <c r="N204" s="141" t="s">
        <v>8249</v>
      </c>
      <c r="O204" s="123"/>
      <c r="P204" s="123"/>
      <c r="Q204" s="123"/>
      <c r="R204" s="123"/>
      <c r="S204" s="123"/>
      <c r="T204" s="123" t="s">
        <v>5122</v>
      </c>
      <c r="U204" s="123"/>
      <c r="V204" s="123" t="s">
        <v>5122</v>
      </c>
      <c r="W204" s="123"/>
      <c r="X204" s="123"/>
      <c r="Y204" s="123"/>
      <c r="Z204" s="118" t="s">
        <v>90</v>
      </c>
    </row>
    <row r="205" customHeight="1" spans="1:26">
      <c r="A205" s="125" t="s">
        <v>8250</v>
      </c>
      <c r="B205" s="125">
        <v>1</v>
      </c>
      <c r="C205" s="125" t="s">
        <v>328</v>
      </c>
      <c r="D205" s="125"/>
      <c r="E205" s="125"/>
      <c r="F205" s="126" t="s">
        <v>321</v>
      </c>
      <c r="G205" s="125" t="s">
        <v>337</v>
      </c>
      <c r="H205" s="125" t="s">
        <v>7526</v>
      </c>
      <c r="I205" s="125" t="s">
        <v>7527</v>
      </c>
      <c r="J205" s="125" t="s">
        <v>7539</v>
      </c>
      <c r="K205" s="142" t="s">
        <v>8251</v>
      </c>
      <c r="L205" s="143" t="s">
        <v>323</v>
      </c>
      <c r="M205" s="142" t="s">
        <v>8252</v>
      </c>
      <c r="N205" s="142" t="s">
        <v>8253</v>
      </c>
      <c r="O205" s="125" t="s">
        <v>5122</v>
      </c>
      <c r="P205" s="125" t="s">
        <v>5122</v>
      </c>
      <c r="Q205" s="125"/>
      <c r="R205" s="125" t="s">
        <v>5122</v>
      </c>
      <c r="S205" s="125"/>
      <c r="T205" s="125"/>
      <c r="U205" s="125"/>
      <c r="V205" s="125" t="s">
        <v>5122</v>
      </c>
      <c r="W205" s="125"/>
      <c r="X205" s="125"/>
      <c r="Y205" s="125"/>
      <c r="Z205" s="118" t="s">
        <v>90</v>
      </c>
    </row>
    <row r="206" customHeight="1" spans="1:26">
      <c r="A206" s="125" t="s">
        <v>8254</v>
      </c>
      <c r="B206" s="125">
        <v>2</v>
      </c>
      <c r="C206" s="125" t="s">
        <v>328</v>
      </c>
      <c r="D206" s="125"/>
      <c r="E206" s="125"/>
      <c r="F206" s="126" t="s">
        <v>321</v>
      </c>
      <c r="G206" s="125" t="s">
        <v>333</v>
      </c>
      <c r="H206" s="125" t="s">
        <v>7526</v>
      </c>
      <c r="I206" s="125" t="s">
        <v>7527</v>
      </c>
      <c r="J206" s="125" t="s">
        <v>7539</v>
      </c>
      <c r="K206" s="142" t="s">
        <v>8255</v>
      </c>
      <c r="L206" s="143" t="s">
        <v>8256</v>
      </c>
      <c r="M206" s="142" t="s">
        <v>8257</v>
      </c>
      <c r="N206" s="142" t="s">
        <v>8258</v>
      </c>
      <c r="O206" s="125" t="s">
        <v>5122</v>
      </c>
      <c r="P206" s="125" t="s">
        <v>5122</v>
      </c>
      <c r="Q206" s="125" t="s">
        <v>5122</v>
      </c>
      <c r="R206" s="125" t="s">
        <v>5122</v>
      </c>
      <c r="S206" s="125" t="s">
        <v>5122</v>
      </c>
      <c r="T206" s="125"/>
      <c r="U206" s="125"/>
      <c r="V206" s="125"/>
      <c r="W206" s="125" t="s">
        <v>5122</v>
      </c>
      <c r="X206" s="125"/>
      <c r="Y206" s="125" t="s">
        <v>5122</v>
      </c>
      <c r="Z206" s="118" t="s">
        <v>7530</v>
      </c>
    </row>
    <row r="207" customHeight="1" spans="1:26">
      <c r="A207" s="131" t="s">
        <v>8259</v>
      </c>
      <c r="B207" s="131">
        <v>2</v>
      </c>
      <c r="C207" s="131" t="s">
        <v>320</v>
      </c>
      <c r="D207" s="131"/>
      <c r="E207" s="131" t="s">
        <v>5122</v>
      </c>
      <c r="F207" s="132" t="s">
        <v>321</v>
      </c>
      <c r="G207" s="131" t="s">
        <v>326</v>
      </c>
      <c r="H207" s="131" t="s">
        <v>7526</v>
      </c>
      <c r="I207" s="131" t="s">
        <v>7527</v>
      </c>
      <c r="J207" s="131"/>
      <c r="K207" s="148"/>
      <c r="L207" s="149" t="s">
        <v>359</v>
      </c>
      <c r="M207" s="148" t="s">
        <v>8260</v>
      </c>
      <c r="N207" s="148" t="s">
        <v>8261</v>
      </c>
      <c r="O207" s="131"/>
      <c r="P207" s="131"/>
      <c r="Q207" s="131"/>
      <c r="R207" s="131"/>
      <c r="S207" s="131"/>
      <c r="T207" s="131" t="s">
        <v>5122</v>
      </c>
      <c r="U207" s="131"/>
      <c r="V207" s="131" t="s">
        <v>5122</v>
      </c>
      <c r="W207" s="131" t="s">
        <v>5122</v>
      </c>
      <c r="X207" s="131"/>
      <c r="Y207" s="131"/>
      <c r="Z207" s="118" t="s">
        <v>7530</v>
      </c>
    </row>
    <row r="208" customHeight="1" spans="1:26">
      <c r="A208" s="133" t="s">
        <v>8262</v>
      </c>
      <c r="B208" s="133">
        <v>2</v>
      </c>
      <c r="C208" s="133" t="s">
        <v>342</v>
      </c>
      <c r="D208" s="133" t="s">
        <v>5122</v>
      </c>
      <c r="E208" s="133"/>
      <c r="F208" s="134" t="s">
        <v>332</v>
      </c>
      <c r="G208" s="133" t="s">
        <v>333</v>
      </c>
      <c r="H208" s="133" t="s">
        <v>7526</v>
      </c>
      <c r="I208" s="133" t="s">
        <v>7527</v>
      </c>
      <c r="J208" s="133" t="s">
        <v>7539</v>
      </c>
      <c r="K208" s="150" t="s">
        <v>7802</v>
      </c>
      <c r="L208" s="151" t="s">
        <v>344</v>
      </c>
      <c r="M208" s="150" t="s">
        <v>8263</v>
      </c>
      <c r="N208" s="150" t="s">
        <v>8264</v>
      </c>
      <c r="O208" s="133" t="s">
        <v>5122</v>
      </c>
      <c r="P208" s="133"/>
      <c r="Q208" s="133" t="s">
        <v>5122</v>
      </c>
      <c r="R208" s="133"/>
      <c r="S208" s="133" t="s">
        <v>5122</v>
      </c>
      <c r="T208" s="133"/>
      <c r="U208" s="133"/>
      <c r="V208" s="133"/>
      <c r="W208" s="133"/>
      <c r="X208" s="133"/>
      <c r="Y208" s="133"/>
      <c r="Z208" s="118" t="s">
        <v>7530</v>
      </c>
    </row>
    <row r="209" customHeight="1" spans="1:26">
      <c r="A209" s="125" t="s">
        <v>8265</v>
      </c>
      <c r="B209" s="125">
        <v>2</v>
      </c>
      <c r="C209" s="125" t="s">
        <v>328</v>
      </c>
      <c r="D209" s="125"/>
      <c r="E209" s="125"/>
      <c r="F209" s="126" t="s">
        <v>321</v>
      </c>
      <c r="G209" s="125" t="s">
        <v>7535</v>
      </c>
      <c r="H209" s="125" t="s">
        <v>7526</v>
      </c>
      <c r="I209" s="125" t="s">
        <v>7527</v>
      </c>
      <c r="J209" s="125" t="s">
        <v>7539</v>
      </c>
      <c r="K209" s="142" t="s">
        <v>8266</v>
      </c>
      <c r="L209" s="143" t="s">
        <v>370</v>
      </c>
      <c r="M209" s="142" t="s">
        <v>8267</v>
      </c>
      <c r="N209" s="142" t="s">
        <v>8268</v>
      </c>
      <c r="O209" s="125"/>
      <c r="P209" s="125"/>
      <c r="Q209" s="125"/>
      <c r="R209" s="125"/>
      <c r="S209" s="125"/>
      <c r="T209" s="125"/>
      <c r="U209" s="125"/>
      <c r="V209" s="125" t="s">
        <v>5122</v>
      </c>
      <c r="W209" s="125" t="s">
        <v>5122</v>
      </c>
      <c r="X209" s="125"/>
      <c r="Y209" s="125"/>
      <c r="Z209" s="118" t="s">
        <v>7530</v>
      </c>
    </row>
    <row r="210" customHeight="1" spans="1:26">
      <c r="A210" s="125" t="s">
        <v>8269</v>
      </c>
      <c r="B210" s="125">
        <v>2</v>
      </c>
      <c r="C210" s="125" t="s">
        <v>328</v>
      </c>
      <c r="D210" s="125"/>
      <c r="E210" s="125"/>
      <c r="F210" s="126" t="s">
        <v>325</v>
      </c>
      <c r="G210" s="125" t="s">
        <v>326</v>
      </c>
      <c r="H210" s="125" t="s">
        <v>7526</v>
      </c>
      <c r="I210" s="125" t="s">
        <v>7527</v>
      </c>
      <c r="J210" s="125"/>
      <c r="K210" s="142"/>
      <c r="L210" s="143" t="s">
        <v>323</v>
      </c>
      <c r="M210" s="142" t="s">
        <v>8270</v>
      </c>
      <c r="N210" s="142" t="s">
        <v>8271</v>
      </c>
      <c r="O210" s="125"/>
      <c r="P210" s="125"/>
      <c r="Q210" s="125"/>
      <c r="R210" s="125"/>
      <c r="S210" s="125"/>
      <c r="T210" s="125" t="s">
        <v>5122</v>
      </c>
      <c r="U210" s="125"/>
      <c r="V210" s="125" t="s">
        <v>5122</v>
      </c>
      <c r="W210" s="125" t="s">
        <v>5122</v>
      </c>
      <c r="X210" s="125"/>
      <c r="Y210" s="125"/>
      <c r="Z210" s="118" t="s">
        <v>7530</v>
      </c>
    </row>
    <row r="211" customHeight="1" spans="1:26">
      <c r="A211" s="135" t="s">
        <v>8272</v>
      </c>
      <c r="B211" s="135">
        <v>2</v>
      </c>
      <c r="C211" s="135" t="s">
        <v>335</v>
      </c>
      <c r="D211" s="135" t="s">
        <v>5122</v>
      </c>
      <c r="E211" s="135"/>
      <c r="F211" s="136" t="s">
        <v>336</v>
      </c>
      <c r="G211" s="135" t="s">
        <v>326</v>
      </c>
      <c r="H211" s="135" t="s">
        <v>7526</v>
      </c>
      <c r="I211" s="135" t="s">
        <v>7527</v>
      </c>
      <c r="J211" s="135" t="s">
        <v>7539</v>
      </c>
      <c r="K211" s="152" t="s">
        <v>8273</v>
      </c>
      <c r="L211" s="153" t="s">
        <v>323</v>
      </c>
      <c r="M211" s="152" t="s">
        <v>8274</v>
      </c>
      <c r="N211" s="152" t="s">
        <v>8275</v>
      </c>
      <c r="O211" s="135"/>
      <c r="P211" s="135" t="s">
        <v>5122</v>
      </c>
      <c r="Q211" s="135" t="s">
        <v>5122</v>
      </c>
      <c r="R211" s="135"/>
      <c r="S211" s="135"/>
      <c r="T211" s="135"/>
      <c r="U211" s="135"/>
      <c r="V211" s="135" t="s">
        <v>5122</v>
      </c>
      <c r="W211" s="135"/>
      <c r="X211" s="135"/>
      <c r="Y211" s="135"/>
      <c r="Z211" s="118" t="s">
        <v>7530</v>
      </c>
    </row>
    <row r="212" customHeight="1" spans="1:26">
      <c r="A212" s="131" t="s">
        <v>8276</v>
      </c>
      <c r="B212" s="131">
        <v>2</v>
      </c>
      <c r="C212" s="131" t="s">
        <v>320</v>
      </c>
      <c r="D212" s="131"/>
      <c r="E212" s="131"/>
      <c r="F212" s="132" t="s">
        <v>325</v>
      </c>
      <c r="G212" s="131" t="s">
        <v>7535</v>
      </c>
      <c r="H212" s="131" t="s">
        <v>7526</v>
      </c>
      <c r="I212" s="131" t="s">
        <v>7527</v>
      </c>
      <c r="J212" s="131" t="s">
        <v>7539</v>
      </c>
      <c r="K212" s="148" t="s">
        <v>8277</v>
      </c>
      <c r="L212" s="149" t="s">
        <v>338</v>
      </c>
      <c r="M212" s="148" t="s">
        <v>8278</v>
      </c>
      <c r="N212" s="148" t="s">
        <v>8279</v>
      </c>
      <c r="O212" s="131"/>
      <c r="P212" s="131"/>
      <c r="Q212" s="131" t="s">
        <v>5122</v>
      </c>
      <c r="R212" s="131"/>
      <c r="S212" s="131" t="s">
        <v>5122</v>
      </c>
      <c r="T212" s="131"/>
      <c r="U212" s="131"/>
      <c r="V212" s="131"/>
      <c r="W212" s="131"/>
      <c r="X212" s="131"/>
      <c r="Y212" s="131"/>
      <c r="Z212" s="118" t="s">
        <v>7530</v>
      </c>
    </row>
    <row r="213" customHeight="1" spans="1:26">
      <c r="A213" s="135" t="s">
        <v>8280</v>
      </c>
      <c r="B213" s="135">
        <v>2</v>
      </c>
      <c r="C213" s="135" t="s">
        <v>335</v>
      </c>
      <c r="D213" s="135" t="s">
        <v>5122</v>
      </c>
      <c r="E213" s="135" t="s">
        <v>5122</v>
      </c>
      <c r="F213" s="136" t="s">
        <v>332</v>
      </c>
      <c r="G213" s="135" t="s">
        <v>7535</v>
      </c>
      <c r="H213" s="135"/>
      <c r="I213" s="135" t="s">
        <v>7527</v>
      </c>
      <c r="J213" s="135"/>
      <c r="K213" s="152"/>
      <c r="L213" s="153" t="s">
        <v>359</v>
      </c>
      <c r="M213" s="152" t="s">
        <v>8281</v>
      </c>
      <c r="N213" s="152" t="s">
        <v>8282</v>
      </c>
      <c r="O213" s="135"/>
      <c r="P213" s="135"/>
      <c r="Q213" s="135" t="s">
        <v>5122</v>
      </c>
      <c r="R213" s="135"/>
      <c r="S213" s="135" t="s">
        <v>5122</v>
      </c>
      <c r="T213" s="135"/>
      <c r="U213" s="135"/>
      <c r="V213" s="135"/>
      <c r="W213" s="135"/>
      <c r="X213" s="135"/>
      <c r="Y213" s="135"/>
      <c r="Z213" s="118" t="s">
        <v>7530</v>
      </c>
    </row>
    <row r="214" customHeight="1" spans="1:26">
      <c r="A214" s="131" t="s">
        <v>8283</v>
      </c>
      <c r="B214" s="131">
        <v>2</v>
      </c>
      <c r="C214" s="131" t="s">
        <v>320</v>
      </c>
      <c r="D214" s="131"/>
      <c r="E214" s="131"/>
      <c r="F214" s="132" t="s">
        <v>321</v>
      </c>
      <c r="G214" s="131" t="s">
        <v>343</v>
      </c>
      <c r="H214" s="131" t="s">
        <v>7526</v>
      </c>
      <c r="I214" s="131"/>
      <c r="J214" s="131"/>
      <c r="K214" s="148"/>
      <c r="L214" s="149" t="s">
        <v>329</v>
      </c>
      <c r="M214" s="148" t="s">
        <v>8284</v>
      </c>
      <c r="N214" s="148" t="s">
        <v>8285</v>
      </c>
      <c r="O214" s="131" t="s">
        <v>5122</v>
      </c>
      <c r="P214" s="131" t="s">
        <v>5122</v>
      </c>
      <c r="Q214" s="131"/>
      <c r="R214" s="131"/>
      <c r="S214" s="131"/>
      <c r="T214" s="131" t="s">
        <v>5122</v>
      </c>
      <c r="U214" s="131"/>
      <c r="V214" s="131" t="s">
        <v>5122</v>
      </c>
      <c r="W214" s="131"/>
      <c r="X214" s="131"/>
      <c r="Y214" s="131" t="s">
        <v>5122</v>
      </c>
      <c r="Z214" s="118" t="s">
        <v>7530</v>
      </c>
    </row>
    <row r="215" customHeight="1" spans="1:26">
      <c r="A215" s="129" t="s">
        <v>8286</v>
      </c>
      <c r="B215" s="129">
        <v>2</v>
      </c>
      <c r="C215" s="129" t="s">
        <v>347</v>
      </c>
      <c r="D215" s="129"/>
      <c r="E215" s="129" t="s">
        <v>5122</v>
      </c>
      <c r="F215" s="130" t="s">
        <v>321</v>
      </c>
      <c r="G215" s="129" t="s">
        <v>326</v>
      </c>
      <c r="H215" s="129" t="s">
        <v>7526</v>
      </c>
      <c r="I215" s="129"/>
      <c r="J215" s="129"/>
      <c r="K215" s="146"/>
      <c r="L215" s="147" t="s">
        <v>352</v>
      </c>
      <c r="M215" s="146" t="s">
        <v>8287</v>
      </c>
      <c r="N215" s="146" t="s">
        <v>8288</v>
      </c>
      <c r="O215" s="129"/>
      <c r="P215" s="129"/>
      <c r="Q215" s="129"/>
      <c r="R215" s="129"/>
      <c r="S215" s="129"/>
      <c r="T215" s="129" t="s">
        <v>5122</v>
      </c>
      <c r="U215" s="129"/>
      <c r="V215" s="129" t="s">
        <v>5122</v>
      </c>
      <c r="W215" s="129" t="s">
        <v>5122</v>
      </c>
      <c r="X215" s="129"/>
      <c r="Y215" s="129"/>
      <c r="Z215" s="118" t="s">
        <v>7530</v>
      </c>
    </row>
    <row r="216" customHeight="1" spans="1:26">
      <c r="A216" s="133" t="s">
        <v>8289</v>
      </c>
      <c r="B216" s="133">
        <v>2</v>
      </c>
      <c r="C216" s="133" t="s">
        <v>342</v>
      </c>
      <c r="D216" s="133"/>
      <c r="E216" s="133" t="s">
        <v>5122</v>
      </c>
      <c r="F216" s="134" t="s">
        <v>321</v>
      </c>
      <c r="G216" s="133" t="s">
        <v>337</v>
      </c>
      <c r="H216" s="133" t="s">
        <v>7526</v>
      </c>
      <c r="I216" s="133" t="s">
        <v>7527</v>
      </c>
      <c r="J216" s="133"/>
      <c r="K216" s="150"/>
      <c r="L216" s="151" t="s">
        <v>352</v>
      </c>
      <c r="M216" s="150" t="s">
        <v>8290</v>
      </c>
      <c r="N216" s="150" t="s">
        <v>8291</v>
      </c>
      <c r="O216" s="133" t="s">
        <v>5122</v>
      </c>
      <c r="P216" s="133" t="s">
        <v>5122</v>
      </c>
      <c r="Q216" s="133"/>
      <c r="R216" s="133"/>
      <c r="S216" s="133"/>
      <c r="T216" s="133"/>
      <c r="U216" s="133"/>
      <c r="V216" s="133"/>
      <c r="W216" s="133"/>
      <c r="X216" s="133"/>
      <c r="Y216" s="133"/>
      <c r="Z216" s="118" t="s">
        <v>7530</v>
      </c>
    </row>
    <row r="217" customHeight="1" spans="1:26">
      <c r="A217" s="137" t="s">
        <v>8292</v>
      </c>
      <c r="B217" s="137">
        <v>2</v>
      </c>
      <c r="C217" s="137" t="s">
        <v>339</v>
      </c>
      <c r="D217" s="137"/>
      <c r="E217" s="137" t="s">
        <v>5122</v>
      </c>
      <c r="F217" s="138" t="s">
        <v>321</v>
      </c>
      <c r="G217" s="137" t="s">
        <v>337</v>
      </c>
      <c r="H217" s="137" t="s">
        <v>7526</v>
      </c>
      <c r="I217" s="137" t="s">
        <v>7527</v>
      </c>
      <c r="J217" s="137" t="s">
        <v>7539</v>
      </c>
      <c r="K217" s="154" t="s">
        <v>8293</v>
      </c>
      <c r="L217" s="155" t="s">
        <v>352</v>
      </c>
      <c r="M217" s="154" t="s">
        <v>8294</v>
      </c>
      <c r="N217" s="154" t="s">
        <v>8295</v>
      </c>
      <c r="O217" s="137" t="s">
        <v>5122</v>
      </c>
      <c r="P217" s="137"/>
      <c r="Q217" s="137"/>
      <c r="R217" s="137"/>
      <c r="S217" s="137"/>
      <c r="T217" s="137" t="s">
        <v>5122</v>
      </c>
      <c r="U217" s="137" t="s">
        <v>5122</v>
      </c>
      <c r="V217" s="137" t="s">
        <v>5122</v>
      </c>
      <c r="W217" s="137"/>
      <c r="X217" s="137"/>
      <c r="Y217" s="137"/>
      <c r="Z217" s="118" t="s">
        <v>7530</v>
      </c>
    </row>
    <row r="218" customHeight="1" spans="1:26">
      <c r="A218" s="123" t="s">
        <v>8296</v>
      </c>
      <c r="B218" s="123">
        <v>2</v>
      </c>
      <c r="C218" s="123" t="s">
        <v>324</v>
      </c>
      <c r="D218" s="123"/>
      <c r="E218" s="123"/>
      <c r="F218" s="124" t="s">
        <v>321</v>
      </c>
      <c r="G218" s="123" t="s">
        <v>7535</v>
      </c>
      <c r="H218" s="123" t="s">
        <v>7526</v>
      </c>
      <c r="I218" s="123" t="s">
        <v>7527</v>
      </c>
      <c r="J218" s="123" t="s">
        <v>7539</v>
      </c>
      <c r="K218" s="141" t="s">
        <v>8297</v>
      </c>
      <c r="L218" s="139" t="s">
        <v>8298</v>
      </c>
      <c r="M218" s="141" t="s">
        <v>8299</v>
      </c>
      <c r="N218" s="141" t="s">
        <v>8300</v>
      </c>
      <c r="O218" s="123"/>
      <c r="P218" s="123" t="s">
        <v>5122</v>
      </c>
      <c r="Q218" s="123" t="s">
        <v>5122</v>
      </c>
      <c r="R218" s="123"/>
      <c r="S218" s="123"/>
      <c r="T218" s="123"/>
      <c r="U218" s="123"/>
      <c r="V218" s="123" t="s">
        <v>5122</v>
      </c>
      <c r="W218" s="123" t="s">
        <v>5122</v>
      </c>
      <c r="X218" s="123"/>
      <c r="Y218" s="123"/>
      <c r="Z218" s="118" t="s">
        <v>7530</v>
      </c>
    </row>
    <row r="219" customHeight="1" spans="1:26">
      <c r="A219" s="131" t="s">
        <v>8301</v>
      </c>
      <c r="B219" s="131">
        <v>2</v>
      </c>
      <c r="C219" s="131" t="s">
        <v>320</v>
      </c>
      <c r="D219" s="131"/>
      <c r="E219" s="131"/>
      <c r="F219" s="132" t="s">
        <v>321</v>
      </c>
      <c r="G219" s="131" t="s">
        <v>7535</v>
      </c>
      <c r="H219" s="131" t="s">
        <v>7526</v>
      </c>
      <c r="I219" s="131" t="s">
        <v>7527</v>
      </c>
      <c r="J219" s="131" t="s">
        <v>7539</v>
      </c>
      <c r="K219" s="148" t="s">
        <v>8302</v>
      </c>
      <c r="L219" s="149" t="s">
        <v>341</v>
      </c>
      <c r="M219" s="148" t="s">
        <v>8303</v>
      </c>
      <c r="N219" s="148" t="s">
        <v>8304</v>
      </c>
      <c r="O219" s="131"/>
      <c r="P219" s="131"/>
      <c r="Q219" s="131"/>
      <c r="R219" s="131"/>
      <c r="S219" s="131" t="s">
        <v>5122</v>
      </c>
      <c r="T219" s="131"/>
      <c r="U219" s="131"/>
      <c r="V219" s="131"/>
      <c r="W219" s="131"/>
      <c r="X219" s="131"/>
      <c r="Y219" s="131"/>
      <c r="Z219" s="118" t="s">
        <v>7530</v>
      </c>
    </row>
    <row r="220" customHeight="1" spans="1:26">
      <c r="A220" s="133" t="s">
        <v>8305</v>
      </c>
      <c r="B220" s="133">
        <v>2</v>
      </c>
      <c r="C220" s="133" t="s">
        <v>342</v>
      </c>
      <c r="D220" s="133"/>
      <c r="E220" s="133" t="s">
        <v>5122</v>
      </c>
      <c r="F220" s="134" t="s">
        <v>321</v>
      </c>
      <c r="G220" s="133" t="s">
        <v>343</v>
      </c>
      <c r="H220" s="133" t="s">
        <v>7526</v>
      </c>
      <c r="I220" s="133" t="s">
        <v>7527</v>
      </c>
      <c r="J220" s="133"/>
      <c r="K220" s="150"/>
      <c r="L220" s="151" t="s">
        <v>352</v>
      </c>
      <c r="M220" s="150" t="s">
        <v>8306</v>
      </c>
      <c r="N220" s="150" t="s">
        <v>8307</v>
      </c>
      <c r="O220" s="133" t="s">
        <v>5122</v>
      </c>
      <c r="P220" s="133"/>
      <c r="Q220" s="133"/>
      <c r="R220" s="133"/>
      <c r="S220" s="133"/>
      <c r="T220" s="133" t="s">
        <v>5122</v>
      </c>
      <c r="U220" s="133" t="s">
        <v>5122</v>
      </c>
      <c r="V220" s="133" t="s">
        <v>5122</v>
      </c>
      <c r="W220" s="133"/>
      <c r="X220" s="133"/>
      <c r="Y220" s="133"/>
      <c r="Z220" s="118" t="s">
        <v>7530</v>
      </c>
    </row>
    <row r="221" customHeight="1" spans="1:26">
      <c r="A221" s="123" t="s">
        <v>8308</v>
      </c>
      <c r="B221" s="123">
        <v>2</v>
      </c>
      <c r="C221" s="123" t="s">
        <v>324</v>
      </c>
      <c r="D221" s="123"/>
      <c r="E221" s="123" t="s">
        <v>5122</v>
      </c>
      <c r="F221" s="124" t="s">
        <v>321</v>
      </c>
      <c r="G221" s="123" t="s">
        <v>337</v>
      </c>
      <c r="H221" s="123" t="s">
        <v>7526</v>
      </c>
      <c r="I221" s="123" t="s">
        <v>7527</v>
      </c>
      <c r="J221" s="123" t="s">
        <v>7539</v>
      </c>
      <c r="K221" s="141" t="s">
        <v>8309</v>
      </c>
      <c r="L221" s="139" t="s">
        <v>356</v>
      </c>
      <c r="M221" s="141" t="s">
        <v>8310</v>
      </c>
      <c r="N221" s="141" t="s">
        <v>8311</v>
      </c>
      <c r="O221" s="123"/>
      <c r="P221" s="123"/>
      <c r="Q221" s="123"/>
      <c r="R221" s="123"/>
      <c r="S221" s="123"/>
      <c r="T221" s="123" t="s">
        <v>5122</v>
      </c>
      <c r="U221" s="123" t="s">
        <v>5122</v>
      </c>
      <c r="V221" s="123" t="s">
        <v>5122</v>
      </c>
      <c r="W221" s="123"/>
      <c r="X221" s="123"/>
      <c r="Y221" s="123"/>
      <c r="Z221" s="118" t="s">
        <v>7530</v>
      </c>
    </row>
    <row r="222" customHeight="1" spans="1:26">
      <c r="A222" s="131" t="s">
        <v>5473</v>
      </c>
      <c r="B222" s="131">
        <v>2</v>
      </c>
      <c r="C222" s="131" t="s">
        <v>320</v>
      </c>
      <c r="D222" s="131"/>
      <c r="E222" s="131"/>
      <c r="F222" s="132" t="s">
        <v>321</v>
      </c>
      <c r="G222" s="131" t="s">
        <v>7535</v>
      </c>
      <c r="H222" s="131" t="s">
        <v>7526</v>
      </c>
      <c r="I222" s="131" t="s">
        <v>7527</v>
      </c>
      <c r="J222" s="131" t="s">
        <v>7539</v>
      </c>
      <c r="K222" s="148" t="s">
        <v>8312</v>
      </c>
      <c r="L222" s="149" t="s">
        <v>341</v>
      </c>
      <c r="M222" s="148" t="s">
        <v>8313</v>
      </c>
      <c r="N222" s="148" t="s">
        <v>8314</v>
      </c>
      <c r="O222" s="131"/>
      <c r="P222" s="131"/>
      <c r="Q222" s="131" t="s">
        <v>5122</v>
      </c>
      <c r="R222" s="131"/>
      <c r="S222" s="131" t="s">
        <v>5122</v>
      </c>
      <c r="T222" s="131" t="s">
        <v>5122</v>
      </c>
      <c r="U222" s="131"/>
      <c r="V222" s="131" t="s">
        <v>5122</v>
      </c>
      <c r="W222" s="131" t="s">
        <v>5122</v>
      </c>
      <c r="X222" s="131"/>
      <c r="Y222" s="131"/>
      <c r="Z222" s="118" t="s">
        <v>7530</v>
      </c>
    </row>
    <row r="223" customHeight="1" spans="1:26">
      <c r="A223" s="135" t="s">
        <v>8315</v>
      </c>
      <c r="B223" s="135">
        <v>2</v>
      </c>
      <c r="C223" s="135" t="s">
        <v>335</v>
      </c>
      <c r="D223" s="135"/>
      <c r="E223" s="135" t="s">
        <v>5122</v>
      </c>
      <c r="F223" s="136" t="s">
        <v>321</v>
      </c>
      <c r="G223" s="135" t="s">
        <v>326</v>
      </c>
      <c r="H223" s="135" t="s">
        <v>7526</v>
      </c>
      <c r="I223" s="135" t="s">
        <v>7527</v>
      </c>
      <c r="J223" s="135" t="s">
        <v>7539</v>
      </c>
      <c r="K223" s="152" t="s">
        <v>8316</v>
      </c>
      <c r="L223" s="153" t="s">
        <v>352</v>
      </c>
      <c r="M223" s="152" t="s">
        <v>8317</v>
      </c>
      <c r="N223" s="152" t="s">
        <v>8318</v>
      </c>
      <c r="O223" s="135" t="s">
        <v>5122</v>
      </c>
      <c r="P223" s="135"/>
      <c r="Q223" s="135"/>
      <c r="R223" s="135"/>
      <c r="S223" s="135"/>
      <c r="T223" s="135" t="s">
        <v>5122</v>
      </c>
      <c r="U223" s="135"/>
      <c r="V223" s="135" t="s">
        <v>5122</v>
      </c>
      <c r="W223" s="135"/>
      <c r="X223" s="135"/>
      <c r="Y223" s="135"/>
      <c r="Z223" s="118" t="s">
        <v>7530</v>
      </c>
    </row>
    <row r="224" customHeight="1" spans="1:26">
      <c r="A224" s="131" t="s">
        <v>8319</v>
      </c>
      <c r="B224" s="131">
        <v>2</v>
      </c>
      <c r="C224" s="131" t="s">
        <v>320</v>
      </c>
      <c r="D224" s="131"/>
      <c r="E224" s="131" t="s">
        <v>5122</v>
      </c>
      <c r="F224" s="132" t="s">
        <v>325</v>
      </c>
      <c r="G224" s="131" t="s">
        <v>7535</v>
      </c>
      <c r="H224" s="131" t="s">
        <v>7526</v>
      </c>
      <c r="I224" s="131" t="s">
        <v>7527</v>
      </c>
      <c r="J224" s="131" t="s">
        <v>7539</v>
      </c>
      <c r="K224" s="148" t="s">
        <v>8320</v>
      </c>
      <c r="L224" s="149" t="s">
        <v>352</v>
      </c>
      <c r="M224" s="148" t="s">
        <v>8321</v>
      </c>
      <c r="N224" s="148" t="s">
        <v>8322</v>
      </c>
      <c r="O224" s="131"/>
      <c r="P224" s="131"/>
      <c r="Q224" s="131"/>
      <c r="R224" s="131"/>
      <c r="S224" s="131"/>
      <c r="T224" s="131" t="s">
        <v>5122</v>
      </c>
      <c r="U224" s="131"/>
      <c r="V224" s="131" t="s">
        <v>5122</v>
      </c>
      <c r="W224" s="131" t="s">
        <v>5122</v>
      </c>
      <c r="X224" s="131"/>
      <c r="Y224" s="131"/>
      <c r="Z224" s="118" t="s">
        <v>7530</v>
      </c>
    </row>
    <row r="225" customHeight="1" spans="1:26">
      <c r="A225" s="131" t="s">
        <v>8323</v>
      </c>
      <c r="B225" s="131">
        <v>2</v>
      </c>
      <c r="C225" s="131" t="s">
        <v>320</v>
      </c>
      <c r="D225" s="131"/>
      <c r="E225" s="131" t="s">
        <v>5122</v>
      </c>
      <c r="F225" s="132" t="s">
        <v>321</v>
      </c>
      <c r="G225" s="131" t="s">
        <v>7535</v>
      </c>
      <c r="H225" s="131" t="s">
        <v>7526</v>
      </c>
      <c r="I225" s="131" t="s">
        <v>7527</v>
      </c>
      <c r="J225" s="131" t="s">
        <v>7539</v>
      </c>
      <c r="K225" s="148" t="s">
        <v>8324</v>
      </c>
      <c r="L225" s="149" t="s">
        <v>359</v>
      </c>
      <c r="M225" s="148" t="s">
        <v>8325</v>
      </c>
      <c r="N225" s="148" t="s">
        <v>8326</v>
      </c>
      <c r="O225" s="131" t="s">
        <v>5122</v>
      </c>
      <c r="P225" s="131" t="s">
        <v>5122</v>
      </c>
      <c r="Q225" s="131" t="s">
        <v>5122</v>
      </c>
      <c r="R225" s="131"/>
      <c r="S225" s="131" t="s">
        <v>5122</v>
      </c>
      <c r="T225" s="131" t="s">
        <v>5122</v>
      </c>
      <c r="U225" s="131"/>
      <c r="V225" s="131" t="s">
        <v>5122</v>
      </c>
      <c r="W225" s="131" t="s">
        <v>5122</v>
      </c>
      <c r="X225" s="131"/>
      <c r="Y225" s="131" t="s">
        <v>5122</v>
      </c>
      <c r="Z225" s="118" t="s">
        <v>7530</v>
      </c>
    </row>
    <row r="226" customHeight="1" spans="1:26">
      <c r="A226" s="131" t="s">
        <v>8327</v>
      </c>
      <c r="B226" s="131">
        <v>2</v>
      </c>
      <c r="C226" s="131" t="s">
        <v>320</v>
      </c>
      <c r="D226" s="131"/>
      <c r="E226" s="131" t="s">
        <v>5122</v>
      </c>
      <c r="F226" s="132" t="s">
        <v>321</v>
      </c>
      <c r="G226" s="131" t="s">
        <v>333</v>
      </c>
      <c r="H226" s="131" t="s">
        <v>7526</v>
      </c>
      <c r="I226" s="131" t="s">
        <v>7527</v>
      </c>
      <c r="J226" s="131" t="s">
        <v>7539</v>
      </c>
      <c r="K226" s="148" t="s">
        <v>8328</v>
      </c>
      <c r="L226" s="149" t="s">
        <v>352</v>
      </c>
      <c r="M226" s="148" t="s">
        <v>8329</v>
      </c>
      <c r="N226" s="148" t="s">
        <v>8330</v>
      </c>
      <c r="O226" s="131" t="s">
        <v>5122</v>
      </c>
      <c r="P226" s="131"/>
      <c r="Q226" s="131" t="s">
        <v>5122</v>
      </c>
      <c r="R226" s="131"/>
      <c r="S226" s="131"/>
      <c r="T226" s="131" t="s">
        <v>5122</v>
      </c>
      <c r="U226" s="131"/>
      <c r="V226" s="131" t="s">
        <v>5122</v>
      </c>
      <c r="W226" s="131" t="s">
        <v>5122</v>
      </c>
      <c r="X226" s="131"/>
      <c r="Y226" s="131" t="s">
        <v>5122</v>
      </c>
      <c r="Z226" s="118" t="s">
        <v>7530</v>
      </c>
    </row>
    <row r="227" customHeight="1" spans="1:26">
      <c r="A227" s="133" t="s">
        <v>8331</v>
      </c>
      <c r="B227" s="133">
        <v>2</v>
      </c>
      <c r="C227" s="133" t="s">
        <v>342</v>
      </c>
      <c r="D227" s="133"/>
      <c r="E227" s="133" t="s">
        <v>5122</v>
      </c>
      <c r="F227" s="134" t="s">
        <v>321</v>
      </c>
      <c r="G227" s="133" t="s">
        <v>337</v>
      </c>
      <c r="H227" s="133" t="s">
        <v>7526</v>
      </c>
      <c r="I227" s="133" t="s">
        <v>7527</v>
      </c>
      <c r="J227" s="133"/>
      <c r="K227" s="150"/>
      <c r="L227" s="151" t="s">
        <v>352</v>
      </c>
      <c r="M227" s="150" t="s">
        <v>8332</v>
      </c>
      <c r="N227" s="150" t="s">
        <v>8333</v>
      </c>
      <c r="O227" s="133" t="s">
        <v>5122</v>
      </c>
      <c r="P227" s="133"/>
      <c r="Q227" s="133"/>
      <c r="R227" s="133"/>
      <c r="S227" s="133"/>
      <c r="T227" s="133"/>
      <c r="U227" s="133" t="s">
        <v>5122</v>
      </c>
      <c r="V227" s="133"/>
      <c r="W227" s="133"/>
      <c r="X227" s="133"/>
      <c r="Y227" s="133"/>
      <c r="Z227" s="118" t="s">
        <v>7530</v>
      </c>
    </row>
    <row r="228" customHeight="1" spans="1:26">
      <c r="A228" s="137" t="s">
        <v>8334</v>
      </c>
      <c r="B228" s="137">
        <v>2</v>
      </c>
      <c r="C228" s="137" t="s">
        <v>339</v>
      </c>
      <c r="D228" s="137"/>
      <c r="E228" s="137"/>
      <c r="F228" s="138" t="s">
        <v>321</v>
      </c>
      <c r="G228" s="137" t="s">
        <v>333</v>
      </c>
      <c r="H228" s="137" t="s">
        <v>7526</v>
      </c>
      <c r="I228" s="137" t="s">
        <v>7527</v>
      </c>
      <c r="J228" s="137"/>
      <c r="K228" s="154"/>
      <c r="L228" s="155" t="s">
        <v>323</v>
      </c>
      <c r="M228" s="154" t="s">
        <v>8335</v>
      </c>
      <c r="N228" s="154" t="s">
        <v>8336</v>
      </c>
      <c r="O228" s="137"/>
      <c r="P228" s="137"/>
      <c r="Q228" s="137"/>
      <c r="R228" s="137" t="s">
        <v>5122</v>
      </c>
      <c r="S228" s="137"/>
      <c r="T228" s="137"/>
      <c r="U228" s="137"/>
      <c r="V228" s="137"/>
      <c r="W228" s="137"/>
      <c r="X228" s="137"/>
      <c r="Y228" s="137"/>
      <c r="Z228" s="118" t="s">
        <v>7530</v>
      </c>
    </row>
    <row r="229" customHeight="1" spans="1:26">
      <c r="A229" s="135" t="s">
        <v>8337</v>
      </c>
      <c r="B229" s="135">
        <v>2</v>
      </c>
      <c r="C229" s="135" t="s">
        <v>335</v>
      </c>
      <c r="D229" s="135"/>
      <c r="E229" s="135"/>
      <c r="F229" s="136" t="s">
        <v>321</v>
      </c>
      <c r="G229" s="135" t="s">
        <v>343</v>
      </c>
      <c r="H229" s="135" t="s">
        <v>7526</v>
      </c>
      <c r="I229" s="135" t="s">
        <v>7527</v>
      </c>
      <c r="J229" s="135"/>
      <c r="K229" s="152"/>
      <c r="L229" s="153" t="s">
        <v>323</v>
      </c>
      <c r="M229" s="152" t="s">
        <v>8338</v>
      </c>
      <c r="N229" s="152" t="s">
        <v>8339</v>
      </c>
      <c r="O229" s="135"/>
      <c r="P229" s="135" t="s">
        <v>5122</v>
      </c>
      <c r="Q229" s="135" t="s">
        <v>5122</v>
      </c>
      <c r="R229" s="135"/>
      <c r="S229" s="135" t="s">
        <v>5122</v>
      </c>
      <c r="T229" s="135"/>
      <c r="U229" s="135"/>
      <c r="V229" s="135"/>
      <c r="W229" s="135"/>
      <c r="X229" s="135"/>
      <c r="Y229" s="135"/>
      <c r="Z229" s="118" t="s">
        <v>7530</v>
      </c>
    </row>
    <row r="230" customHeight="1" spans="1:26">
      <c r="A230" s="123" t="s">
        <v>8340</v>
      </c>
      <c r="B230" s="123">
        <v>2</v>
      </c>
      <c r="C230" s="123" t="s">
        <v>324</v>
      </c>
      <c r="D230" s="123"/>
      <c r="E230" s="123" t="s">
        <v>5122</v>
      </c>
      <c r="F230" s="124" t="s">
        <v>325</v>
      </c>
      <c r="G230" s="123" t="s">
        <v>326</v>
      </c>
      <c r="H230" s="123" t="s">
        <v>7526</v>
      </c>
      <c r="I230" s="123" t="s">
        <v>7527</v>
      </c>
      <c r="J230" s="123" t="s">
        <v>7539</v>
      </c>
      <c r="K230" s="141" t="s">
        <v>8341</v>
      </c>
      <c r="L230" s="139" t="s">
        <v>356</v>
      </c>
      <c r="M230" s="141" t="s">
        <v>8342</v>
      </c>
      <c r="N230" s="141" t="s">
        <v>8343</v>
      </c>
      <c r="O230" s="123"/>
      <c r="P230" s="123"/>
      <c r="Q230" s="123" t="s">
        <v>5122</v>
      </c>
      <c r="R230" s="123"/>
      <c r="S230" s="123"/>
      <c r="T230" s="123" t="s">
        <v>5122</v>
      </c>
      <c r="U230" s="123"/>
      <c r="V230" s="123"/>
      <c r="W230" s="123"/>
      <c r="X230" s="123"/>
      <c r="Y230" s="123"/>
      <c r="Z230" s="118" t="s">
        <v>7530</v>
      </c>
    </row>
    <row r="231" customHeight="1" spans="1:26">
      <c r="A231" s="137" t="s">
        <v>8344</v>
      </c>
      <c r="B231" s="137">
        <v>2</v>
      </c>
      <c r="C231" s="137" t="s">
        <v>339</v>
      </c>
      <c r="D231" s="137"/>
      <c r="E231" s="137" t="s">
        <v>5122</v>
      </c>
      <c r="F231" s="138" t="s">
        <v>321</v>
      </c>
      <c r="G231" s="137" t="s">
        <v>337</v>
      </c>
      <c r="H231" s="137" t="s">
        <v>7526</v>
      </c>
      <c r="I231" s="137" t="s">
        <v>7527</v>
      </c>
      <c r="J231" s="137" t="s">
        <v>7539</v>
      </c>
      <c r="K231" s="154" t="s">
        <v>8345</v>
      </c>
      <c r="L231" s="155" t="s">
        <v>352</v>
      </c>
      <c r="M231" s="154" t="s">
        <v>8346</v>
      </c>
      <c r="N231" s="154" t="s">
        <v>8347</v>
      </c>
      <c r="O231" s="137"/>
      <c r="P231" s="137"/>
      <c r="Q231" s="137" t="s">
        <v>5122</v>
      </c>
      <c r="R231" s="137"/>
      <c r="S231" s="137"/>
      <c r="T231" s="137" t="s">
        <v>5122</v>
      </c>
      <c r="U231" s="137"/>
      <c r="V231" s="137" t="s">
        <v>5122</v>
      </c>
      <c r="W231" s="137"/>
      <c r="X231" s="137"/>
      <c r="Y231" s="137"/>
      <c r="Z231" s="118" t="s">
        <v>7530</v>
      </c>
    </row>
    <row r="232" customHeight="1" spans="1:26">
      <c r="A232" s="127" t="s">
        <v>8348</v>
      </c>
      <c r="B232" s="127">
        <v>2</v>
      </c>
      <c r="C232" s="127" t="s">
        <v>331</v>
      </c>
      <c r="D232" s="127" t="s">
        <v>5122</v>
      </c>
      <c r="E232" s="127"/>
      <c r="F232" s="128" t="s">
        <v>332</v>
      </c>
      <c r="G232" s="127" t="s">
        <v>7535</v>
      </c>
      <c r="H232" s="127" t="s">
        <v>7526</v>
      </c>
      <c r="I232" s="127" t="s">
        <v>7527</v>
      </c>
      <c r="J232" s="127" t="s">
        <v>7539</v>
      </c>
      <c r="K232" s="144" t="s">
        <v>8349</v>
      </c>
      <c r="L232" s="145" t="s">
        <v>361</v>
      </c>
      <c r="M232" s="144" t="s">
        <v>8350</v>
      </c>
      <c r="N232" s="144" t="s">
        <v>8351</v>
      </c>
      <c r="O232" s="127"/>
      <c r="P232" s="127" t="s">
        <v>5122</v>
      </c>
      <c r="Q232" s="127"/>
      <c r="R232" s="127" t="s">
        <v>5122</v>
      </c>
      <c r="S232" s="127"/>
      <c r="T232" s="127"/>
      <c r="U232" s="127"/>
      <c r="V232" s="127" t="s">
        <v>5122</v>
      </c>
      <c r="W232" s="127"/>
      <c r="X232" s="127"/>
      <c r="Y232" s="127" t="s">
        <v>5122</v>
      </c>
      <c r="Z232" s="118" t="s">
        <v>7530</v>
      </c>
    </row>
    <row r="233" customHeight="1" spans="1:26">
      <c r="A233" s="123" t="s">
        <v>8352</v>
      </c>
      <c r="B233" s="123">
        <v>2</v>
      </c>
      <c r="C233" s="123" t="s">
        <v>324</v>
      </c>
      <c r="D233" s="123"/>
      <c r="E233" s="123" t="s">
        <v>5122</v>
      </c>
      <c r="F233" s="124" t="s">
        <v>321</v>
      </c>
      <c r="G233" s="123" t="s">
        <v>326</v>
      </c>
      <c r="H233" s="123" t="s">
        <v>7526</v>
      </c>
      <c r="I233" s="123" t="s">
        <v>7527</v>
      </c>
      <c r="J233" s="123" t="s">
        <v>7539</v>
      </c>
      <c r="K233" s="141" t="s">
        <v>8353</v>
      </c>
      <c r="L233" s="139" t="s">
        <v>352</v>
      </c>
      <c r="M233" s="141" t="s">
        <v>8354</v>
      </c>
      <c r="N233" s="141" t="s">
        <v>8355</v>
      </c>
      <c r="O233" s="123"/>
      <c r="P233" s="123"/>
      <c r="Q233" s="123" t="s">
        <v>5122</v>
      </c>
      <c r="R233" s="123"/>
      <c r="S233" s="123" t="s">
        <v>5122</v>
      </c>
      <c r="T233" s="123" t="s">
        <v>5122</v>
      </c>
      <c r="U233" s="123"/>
      <c r="V233" s="123" t="s">
        <v>5122</v>
      </c>
      <c r="W233" s="123"/>
      <c r="X233" s="123"/>
      <c r="Y233" s="123"/>
      <c r="Z233" s="118" t="s">
        <v>7530</v>
      </c>
    </row>
    <row r="234" customHeight="1" spans="1:26">
      <c r="A234" s="131" t="s">
        <v>8356</v>
      </c>
      <c r="B234" s="131">
        <v>2</v>
      </c>
      <c r="C234" s="131" t="s">
        <v>320</v>
      </c>
      <c r="D234" s="131"/>
      <c r="E234" s="131" t="s">
        <v>5122</v>
      </c>
      <c r="F234" s="132" t="s">
        <v>321</v>
      </c>
      <c r="G234" s="131" t="s">
        <v>337</v>
      </c>
      <c r="H234" s="131" t="s">
        <v>7526</v>
      </c>
      <c r="I234" s="131" t="s">
        <v>7527</v>
      </c>
      <c r="J234" s="131" t="s">
        <v>7539</v>
      </c>
      <c r="K234" s="148" t="s">
        <v>8357</v>
      </c>
      <c r="L234" s="149" t="s">
        <v>352</v>
      </c>
      <c r="M234" s="148" t="s">
        <v>8358</v>
      </c>
      <c r="N234" s="148" t="s">
        <v>8359</v>
      </c>
      <c r="O234" s="131" t="s">
        <v>5122</v>
      </c>
      <c r="P234" s="131"/>
      <c r="Q234" s="131" t="s">
        <v>5122</v>
      </c>
      <c r="R234" s="131"/>
      <c r="S234" s="131"/>
      <c r="T234" s="131"/>
      <c r="U234" s="131"/>
      <c r="V234" s="131"/>
      <c r="W234" s="131" t="s">
        <v>5122</v>
      </c>
      <c r="X234" s="131"/>
      <c r="Y234" s="131"/>
      <c r="Z234" s="118" t="s">
        <v>7530</v>
      </c>
    </row>
    <row r="235" customHeight="1" spans="1:26">
      <c r="A235" s="133" t="s">
        <v>8360</v>
      </c>
      <c r="B235" s="133">
        <v>2</v>
      </c>
      <c r="C235" s="133" t="s">
        <v>342</v>
      </c>
      <c r="D235" s="133"/>
      <c r="E235" s="133" t="s">
        <v>5122</v>
      </c>
      <c r="F235" s="134" t="s">
        <v>321</v>
      </c>
      <c r="G235" s="133" t="s">
        <v>337</v>
      </c>
      <c r="H235" s="133" t="s">
        <v>7526</v>
      </c>
      <c r="I235" s="133" t="s">
        <v>7527</v>
      </c>
      <c r="J235" s="133" t="s">
        <v>7539</v>
      </c>
      <c r="K235" s="150" t="s">
        <v>8361</v>
      </c>
      <c r="L235" s="151" t="s">
        <v>352</v>
      </c>
      <c r="M235" s="150" t="s">
        <v>8362</v>
      </c>
      <c r="N235" s="150" t="s">
        <v>8363</v>
      </c>
      <c r="O235" s="133" t="s">
        <v>5122</v>
      </c>
      <c r="P235" s="133" t="s">
        <v>5122</v>
      </c>
      <c r="Q235" s="133" t="s">
        <v>5122</v>
      </c>
      <c r="R235" s="133"/>
      <c r="S235" s="133"/>
      <c r="T235" s="133" t="s">
        <v>5122</v>
      </c>
      <c r="U235" s="133" t="s">
        <v>5122</v>
      </c>
      <c r="V235" s="133" t="s">
        <v>5122</v>
      </c>
      <c r="W235" s="133"/>
      <c r="X235" s="133"/>
      <c r="Y235" s="133" t="s">
        <v>5122</v>
      </c>
      <c r="Z235" s="118" t="s">
        <v>7530</v>
      </c>
    </row>
    <row r="236" customHeight="1" spans="1:26">
      <c r="A236" s="129" t="s">
        <v>8364</v>
      </c>
      <c r="B236" s="129">
        <v>2</v>
      </c>
      <c r="C236" s="129" t="s">
        <v>347</v>
      </c>
      <c r="D236" s="129"/>
      <c r="E236" s="129" t="s">
        <v>5122</v>
      </c>
      <c r="F236" s="130" t="s">
        <v>321</v>
      </c>
      <c r="G236" s="129" t="s">
        <v>7535</v>
      </c>
      <c r="H236" s="129" t="s">
        <v>7526</v>
      </c>
      <c r="I236" s="129" t="s">
        <v>7527</v>
      </c>
      <c r="J236" s="129" t="s">
        <v>7539</v>
      </c>
      <c r="K236" s="146" t="s">
        <v>8365</v>
      </c>
      <c r="L236" s="147" t="s">
        <v>359</v>
      </c>
      <c r="M236" s="146" t="s">
        <v>8366</v>
      </c>
      <c r="N236" s="146" t="s">
        <v>8367</v>
      </c>
      <c r="O236" s="129" t="s">
        <v>5122</v>
      </c>
      <c r="P236" s="129"/>
      <c r="Q236" s="129"/>
      <c r="R236" s="129"/>
      <c r="S236" s="129"/>
      <c r="T236" s="129" t="s">
        <v>5122</v>
      </c>
      <c r="U236" s="129" t="s">
        <v>5122</v>
      </c>
      <c r="V236" s="129" t="s">
        <v>5122</v>
      </c>
      <c r="W236" s="129" t="s">
        <v>5122</v>
      </c>
      <c r="X236" s="129"/>
      <c r="Y236" s="129"/>
      <c r="Z236" s="118" t="s">
        <v>7530</v>
      </c>
    </row>
    <row r="237" customHeight="1" spans="1:26">
      <c r="A237" s="131" t="s">
        <v>8368</v>
      </c>
      <c r="B237" s="131">
        <v>2</v>
      </c>
      <c r="C237" s="131" t="s">
        <v>320</v>
      </c>
      <c r="D237" s="131"/>
      <c r="E237" s="131"/>
      <c r="F237" s="132" t="s">
        <v>321</v>
      </c>
      <c r="G237" s="131" t="s">
        <v>337</v>
      </c>
      <c r="H237" s="131" t="s">
        <v>7526</v>
      </c>
      <c r="I237" s="131"/>
      <c r="J237" s="131"/>
      <c r="K237" s="148"/>
      <c r="L237" s="149" t="s">
        <v>323</v>
      </c>
      <c r="M237" s="148" t="s">
        <v>8369</v>
      </c>
      <c r="N237" s="148" t="s">
        <v>8370</v>
      </c>
      <c r="O237" s="131" t="s">
        <v>5122</v>
      </c>
      <c r="P237" s="131"/>
      <c r="Q237" s="131"/>
      <c r="R237" s="131"/>
      <c r="S237" s="131"/>
      <c r="T237" s="131" t="s">
        <v>5122</v>
      </c>
      <c r="U237" s="131"/>
      <c r="V237" s="131" t="s">
        <v>5122</v>
      </c>
      <c r="W237" s="131"/>
      <c r="X237" s="131"/>
      <c r="Y237" s="131"/>
      <c r="Z237" s="118" t="s">
        <v>7530</v>
      </c>
    </row>
    <row r="238" customHeight="1" spans="1:26">
      <c r="A238" s="125" t="s">
        <v>8371</v>
      </c>
      <c r="B238" s="125">
        <v>2</v>
      </c>
      <c r="C238" s="125" t="s">
        <v>328</v>
      </c>
      <c r="D238" s="125"/>
      <c r="E238" s="125"/>
      <c r="F238" s="126" t="s">
        <v>325</v>
      </c>
      <c r="G238" s="125" t="s">
        <v>7535</v>
      </c>
      <c r="H238" s="125" t="s">
        <v>7526</v>
      </c>
      <c r="I238" s="125" t="s">
        <v>7527</v>
      </c>
      <c r="J238" s="125"/>
      <c r="K238" s="142"/>
      <c r="L238" s="143" t="s">
        <v>323</v>
      </c>
      <c r="M238" s="142" t="s">
        <v>8372</v>
      </c>
      <c r="N238" s="142" t="s">
        <v>8373</v>
      </c>
      <c r="O238" s="125" t="s">
        <v>5122</v>
      </c>
      <c r="P238" s="125" t="s">
        <v>5122</v>
      </c>
      <c r="Q238" s="125" t="s">
        <v>5122</v>
      </c>
      <c r="R238" s="125" t="s">
        <v>5122</v>
      </c>
      <c r="S238" s="125" t="s">
        <v>5122</v>
      </c>
      <c r="T238" s="125"/>
      <c r="U238" s="125"/>
      <c r="V238" s="125"/>
      <c r="W238" s="125"/>
      <c r="X238" s="125"/>
      <c r="Y238" s="125" t="s">
        <v>5122</v>
      </c>
      <c r="Z238" s="118" t="s">
        <v>7530</v>
      </c>
    </row>
    <row r="239" customHeight="1" spans="1:26">
      <c r="A239" s="131" t="s">
        <v>8374</v>
      </c>
      <c r="B239" s="131">
        <v>2</v>
      </c>
      <c r="C239" s="131" t="s">
        <v>320</v>
      </c>
      <c r="D239" s="131"/>
      <c r="E239" s="131" t="s">
        <v>5122</v>
      </c>
      <c r="F239" s="132" t="s">
        <v>321</v>
      </c>
      <c r="G239" s="131" t="s">
        <v>337</v>
      </c>
      <c r="H239" s="131" t="s">
        <v>7526</v>
      </c>
      <c r="I239" s="131" t="s">
        <v>7527</v>
      </c>
      <c r="J239" s="131" t="s">
        <v>7539</v>
      </c>
      <c r="K239" s="148" t="s">
        <v>8375</v>
      </c>
      <c r="L239" s="149" t="s">
        <v>356</v>
      </c>
      <c r="M239" s="148" t="s">
        <v>8376</v>
      </c>
      <c r="N239" s="148" t="s">
        <v>8377</v>
      </c>
      <c r="O239" s="131"/>
      <c r="P239" s="131"/>
      <c r="Q239" s="131"/>
      <c r="R239" s="131"/>
      <c r="S239" s="131"/>
      <c r="T239" s="131" t="s">
        <v>5122</v>
      </c>
      <c r="U239" s="131"/>
      <c r="V239" s="131" t="s">
        <v>5122</v>
      </c>
      <c r="W239" s="131" t="s">
        <v>5122</v>
      </c>
      <c r="X239" s="131"/>
      <c r="Y239" s="131"/>
      <c r="Z239" s="118" t="s">
        <v>7530</v>
      </c>
    </row>
    <row r="240" customHeight="1" spans="1:26">
      <c r="A240" s="135" t="s">
        <v>8378</v>
      </c>
      <c r="B240" s="135">
        <v>2</v>
      </c>
      <c r="C240" s="135" t="s">
        <v>335</v>
      </c>
      <c r="D240" s="135" t="s">
        <v>5122</v>
      </c>
      <c r="E240" s="135"/>
      <c r="F240" s="136" t="s">
        <v>332</v>
      </c>
      <c r="G240" s="135" t="s">
        <v>326</v>
      </c>
      <c r="H240" s="135" t="s">
        <v>7526</v>
      </c>
      <c r="I240" s="135" t="s">
        <v>7527</v>
      </c>
      <c r="J240" s="135" t="s">
        <v>7539</v>
      </c>
      <c r="K240" s="152" t="s">
        <v>8379</v>
      </c>
      <c r="L240" s="153" t="s">
        <v>323</v>
      </c>
      <c r="M240" s="152" t="s">
        <v>8380</v>
      </c>
      <c r="N240" s="152" t="s">
        <v>8381</v>
      </c>
      <c r="O240" s="135" t="s">
        <v>5122</v>
      </c>
      <c r="P240" s="135"/>
      <c r="Q240" s="135" t="s">
        <v>5122</v>
      </c>
      <c r="R240" s="135"/>
      <c r="S240" s="135" t="s">
        <v>5122</v>
      </c>
      <c r="T240" s="135"/>
      <c r="U240" s="135"/>
      <c r="V240" s="135"/>
      <c r="W240" s="135"/>
      <c r="X240" s="135"/>
      <c r="Y240" s="135"/>
      <c r="Z240" s="118" t="s">
        <v>7530</v>
      </c>
    </row>
    <row r="241" customHeight="1" spans="1:26">
      <c r="A241" s="135" t="s">
        <v>8382</v>
      </c>
      <c r="B241" s="135">
        <v>2</v>
      </c>
      <c r="C241" s="135" t="s">
        <v>335</v>
      </c>
      <c r="D241" s="135"/>
      <c r="E241" s="135" t="s">
        <v>5122</v>
      </c>
      <c r="F241" s="136" t="s">
        <v>321</v>
      </c>
      <c r="G241" s="135" t="s">
        <v>326</v>
      </c>
      <c r="H241" s="135" t="s">
        <v>7526</v>
      </c>
      <c r="I241" s="135" t="s">
        <v>7527</v>
      </c>
      <c r="J241" s="135" t="s">
        <v>7539</v>
      </c>
      <c r="K241" s="152" t="s">
        <v>8383</v>
      </c>
      <c r="L241" s="153" t="s">
        <v>356</v>
      </c>
      <c r="M241" s="152" t="s">
        <v>8384</v>
      </c>
      <c r="N241" s="152" t="s">
        <v>8385</v>
      </c>
      <c r="O241" s="135" t="s">
        <v>5122</v>
      </c>
      <c r="P241" s="135" t="s">
        <v>5122</v>
      </c>
      <c r="Q241" s="135" t="s">
        <v>5122</v>
      </c>
      <c r="R241" s="135" t="s">
        <v>5122</v>
      </c>
      <c r="S241" s="135" t="s">
        <v>5122</v>
      </c>
      <c r="T241" s="135"/>
      <c r="U241" s="135"/>
      <c r="V241" s="135" t="s">
        <v>5122</v>
      </c>
      <c r="W241" s="135"/>
      <c r="X241" s="135"/>
      <c r="Y241" s="135"/>
      <c r="Z241" s="118" t="s">
        <v>7530</v>
      </c>
    </row>
    <row r="242" customHeight="1" spans="1:26">
      <c r="A242" s="129" t="s">
        <v>8386</v>
      </c>
      <c r="B242" s="129">
        <v>2</v>
      </c>
      <c r="C242" s="129" t="s">
        <v>347</v>
      </c>
      <c r="D242" s="129" t="s">
        <v>5122</v>
      </c>
      <c r="E242" s="129"/>
      <c r="F242" s="130" t="s">
        <v>336</v>
      </c>
      <c r="G242" s="129" t="s">
        <v>333</v>
      </c>
      <c r="H242" s="129" t="s">
        <v>7526</v>
      </c>
      <c r="I242" s="129" t="s">
        <v>7527</v>
      </c>
      <c r="J242" s="129" t="s">
        <v>7539</v>
      </c>
      <c r="K242" s="146" t="s">
        <v>8387</v>
      </c>
      <c r="L242" s="147" t="s">
        <v>370</v>
      </c>
      <c r="M242" s="146" t="s">
        <v>8388</v>
      </c>
      <c r="N242" s="146" t="s">
        <v>8389</v>
      </c>
      <c r="O242" s="129" t="s">
        <v>5122</v>
      </c>
      <c r="P242" s="129"/>
      <c r="Q242" s="129"/>
      <c r="R242" s="129"/>
      <c r="S242" s="129"/>
      <c r="T242" s="129"/>
      <c r="U242" s="129"/>
      <c r="V242" s="129" t="s">
        <v>5122</v>
      </c>
      <c r="W242" s="129" t="s">
        <v>5122</v>
      </c>
      <c r="X242" s="129"/>
      <c r="Y242" s="129"/>
      <c r="Z242" s="118" t="s">
        <v>7530</v>
      </c>
    </row>
    <row r="243" customHeight="1" spans="1:26">
      <c r="A243" s="131" t="s">
        <v>8390</v>
      </c>
      <c r="B243" s="131">
        <v>2</v>
      </c>
      <c r="C243" s="131" t="s">
        <v>320</v>
      </c>
      <c r="D243" s="131"/>
      <c r="E243" s="131"/>
      <c r="F243" s="132" t="s">
        <v>325</v>
      </c>
      <c r="G243" s="131" t="s">
        <v>7535</v>
      </c>
      <c r="H243" s="131" t="s">
        <v>7526</v>
      </c>
      <c r="I243" s="131" t="s">
        <v>7527</v>
      </c>
      <c r="J243" s="131"/>
      <c r="K243" s="148"/>
      <c r="L243" s="149" t="s">
        <v>338</v>
      </c>
      <c r="M243" s="148" t="s">
        <v>8391</v>
      </c>
      <c r="N243" s="148" t="s">
        <v>8392</v>
      </c>
      <c r="O243" s="131"/>
      <c r="P243" s="131"/>
      <c r="Q243" s="131"/>
      <c r="R243" s="131" t="s">
        <v>5122</v>
      </c>
      <c r="S243" s="131" t="s">
        <v>5122</v>
      </c>
      <c r="T243" s="131" t="s">
        <v>5122</v>
      </c>
      <c r="U243" s="131"/>
      <c r="V243" s="131" t="s">
        <v>5122</v>
      </c>
      <c r="W243" s="131" t="s">
        <v>5122</v>
      </c>
      <c r="X243" s="131"/>
      <c r="Y243" s="131"/>
      <c r="Z243" s="118" t="s">
        <v>7530</v>
      </c>
    </row>
    <row r="244" customHeight="1" spans="1:26">
      <c r="A244" s="123" t="s">
        <v>8393</v>
      </c>
      <c r="B244" s="123">
        <v>2</v>
      </c>
      <c r="C244" s="123" t="s">
        <v>324</v>
      </c>
      <c r="D244" s="123"/>
      <c r="E244" s="123"/>
      <c r="F244" s="124" t="s">
        <v>321</v>
      </c>
      <c r="G244" s="123" t="s">
        <v>340</v>
      </c>
      <c r="H244" s="123" t="s">
        <v>7526</v>
      </c>
      <c r="I244" s="123" t="s">
        <v>7527</v>
      </c>
      <c r="J244" s="123" t="s">
        <v>7539</v>
      </c>
      <c r="K244" s="141" t="s">
        <v>8394</v>
      </c>
      <c r="L244" s="139" t="s">
        <v>323</v>
      </c>
      <c r="M244" s="141" t="s">
        <v>8395</v>
      </c>
      <c r="N244" s="141" t="s">
        <v>8396</v>
      </c>
      <c r="O244" s="123"/>
      <c r="P244" s="123"/>
      <c r="Q244" s="123"/>
      <c r="R244" s="123"/>
      <c r="S244" s="123"/>
      <c r="T244" s="123"/>
      <c r="U244" s="123"/>
      <c r="V244" s="123" t="s">
        <v>5122</v>
      </c>
      <c r="W244" s="123"/>
      <c r="X244" s="123"/>
      <c r="Y244" s="123" t="s">
        <v>5122</v>
      </c>
      <c r="Z244" s="118" t="s">
        <v>7530</v>
      </c>
    </row>
    <row r="245" customHeight="1" spans="1:26">
      <c r="A245" s="135" t="s">
        <v>8397</v>
      </c>
      <c r="B245" s="135">
        <v>2</v>
      </c>
      <c r="C245" s="135" t="s">
        <v>335</v>
      </c>
      <c r="D245" s="135"/>
      <c r="E245" s="135" t="s">
        <v>5122</v>
      </c>
      <c r="F245" s="136" t="s">
        <v>321</v>
      </c>
      <c r="G245" s="135" t="s">
        <v>343</v>
      </c>
      <c r="H245" s="135"/>
      <c r="I245" s="135" t="s">
        <v>7527</v>
      </c>
      <c r="J245" s="135"/>
      <c r="K245" s="152"/>
      <c r="L245" s="153" t="s">
        <v>359</v>
      </c>
      <c r="M245" s="152" t="s">
        <v>8398</v>
      </c>
      <c r="N245" s="152" t="s">
        <v>8399</v>
      </c>
      <c r="O245" s="135"/>
      <c r="P245" s="135"/>
      <c r="Q245" s="135"/>
      <c r="R245" s="135"/>
      <c r="S245" s="135"/>
      <c r="T245" s="135" t="s">
        <v>5122</v>
      </c>
      <c r="U245" s="135" t="s">
        <v>5122</v>
      </c>
      <c r="V245" s="135" t="s">
        <v>5122</v>
      </c>
      <c r="W245" s="135"/>
      <c r="X245" s="135"/>
      <c r="Y245" s="135"/>
      <c r="Z245" s="118" t="s">
        <v>7530</v>
      </c>
    </row>
    <row r="246" customHeight="1" spans="1:26">
      <c r="A246" s="129" t="s">
        <v>8400</v>
      </c>
      <c r="B246" s="129">
        <v>2</v>
      </c>
      <c r="C246" s="129" t="s">
        <v>347</v>
      </c>
      <c r="D246" s="129"/>
      <c r="E246" s="129"/>
      <c r="F246" s="130" t="s">
        <v>321</v>
      </c>
      <c r="G246" s="129" t="s">
        <v>326</v>
      </c>
      <c r="H246" s="129" t="s">
        <v>7526</v>
      </c>
      <c r="I246" s="129" t="s">
        <v>7527</v>
      </c>
      <c r="J246" s="129"/>
      <c r="K246" s="146"/>
      <c r="L246" s="147" t="s">
        <v>329</v>
      </c>
      <c r="M246" s="146" t="s">
        <v>8401</v>
      </c>
      <c r="N246" s="146" t="s">
        <v>8402</v>
      </c>
      <c r="O246" s="129" t="s">
        <v>5122</v>
      </c>
      <c r="P246" s="129"/>
      <c r="Q246" s="129"/>
      <c r="R246" s="129"/>
      <c r="S246" s="129"/>
      <c r="T246" s="129" t="s">
        <v>5122</v>
      </c>
      <c r="U246" s="129" t="s">
        <v>5122</v>
      </c>
      <c r="V246" s="129" t="s">
        <v>5122</v>
      </c>
      <c r="W246" s="129"/>
      <c r="X246" s="129"/>
      <c r="Y246" s="129"/>
      <c r="Z246" s="118" t="s">
        <v>7530</v>
      </c>
    </row>
    <row r="247" customHeight="1" spans="1:26">
      <c r="A247" s="137" t="s">
        <v>8403</v>
      </c>
      <c r="B247" s="137">
        <v>2</v>
      </c>
      <c r="C247" s="137" t="s">
        <v>339</v>
      </c>
      <c r="D247" s="137"/>
      <c r="E247" s="137"/>
      <c r="F247" s="138" t="s">
        <v>325</v>
      </c>
      <c r="G247" s="137" t="s">
        <v>326</v>
      </c>
      <c r="H247" s="137" t="s">
        <v>7526</v>
      </c>
      <c r="I247" s="137"/>
      <c r="J247" s="137"/>
      <c r="K247" s="154"/>
      <c r="L247" s="155" t="s">
        <v>323</v>
      </c>
      <c r="M247" s="154" t="s">
        <v>8404</v>
      </c>
      <c r="N247" s="154" t="s">
        <v>8405</v>
      </c>
      <c r="O247" s="137"/>
      <c r="P247" s="137"/>
      <c r="Q247" s="137"/>
      <c r="R247" s="137"/>
      <c r="S247" s="137"/>
      <c r="T247" s="137" t="s">
        <v>5122</v>
      </c>
      <c r="U247" s="137" t="s">
        <v>5122</v>
      </c>
      <c r="V247" s="137" t="s">
        <v>5122</v>
      </c>
      <c r="W247" s="137"/>
      <c r="X247" s="137"/>
      <c r="Y247" s="137"/>
      <c r="Z247" s="118" t="s">
        <v>7530</v>
      </c>
    </row>
    <row r="248" customHeight="1" spans="1:26">
      <c r="A248" s="123" t="s">
        <v>8406</v>
      </c>
      <c r="B248" s="123">
        <v>2</v>
      </c>
      <c r="C248" s="123" t="s">
        <v>324</v>
      </c>
      <c r="D248" s="123"/>
      <c r="E248" s="123" t="s">
        <v>5122</v>
      </c>
      <c r="F248" s="124" t="s">
        <v>321</v>
      </c>
      <c r="G248" s="123" t="s">
        <v>343</v>
      </c>
      <c r="H248" s="123" t="s">
        <v>7526</v>
      </c>
      <c r="I248" s="123" t="s">
        <v>7527</v>
      </c>
      <c r="J248" s="123" t="s">
        <v>7539</v>
      </c>
      <c r="K248" s="141" t="s">
        <v>8407</v>
      </c>
      <c r="L248" s="139" t="s">
        <v>352</v>
      </c>
      <c r="M248" s="141" t="s">
        <v>8408</v>
      </c>
      <c r="N248" s="141" t="s">
        <v>8409</v>
      </c>
      <c r="O248" s="123"/>
      <c r="P248" s="123"/>
      <c r="Q248" s="123" t="s">
        <v>5122</v>
      </c>
      <c r="R248" s="123"/>
      <c r="S248" s="123"/>
      <c r="T248" s="123"/>
      <c r="U248" s="123"/>
      <c r="V248" s="123"/>
      <c r="W248" s="123"/>
      <c r="X248" s="123"/>
      <c r="Y248" s="123"/>
      <c r="Z248" s="118" t="s">
        <v>7530</v>
      </c>
    </row>
    <row r="249" customHeight="1" spans="1:26">
      <c r="A249" s="129" t="s">
        <v>8410</v>
      </c>
      <c r="B249" s="129">
        <v>2</v>
      </c>
      <c r="C249" s="129" t="s">
        <v>347</v>
      </c>
      <c r="D249" s="129"/>
      <c r="E249" s="129"/>
      <c r="F249" s="130" t="s">
        <v>321</v>
      </c>
      <c r="G249" s="129" t="s">
        <v>7535</v>
      </c>
      <c r="H249" s="129" t="s">
        <v>7526</v>
      </c>
      <c r="I249" s="129" t="s">
        <v>7527</v>
      </c>
      <c r="J249" s="129" t="s">
        <v>7539</v>
      </c>
      <c r="K249" s="146" t="s">
        <v>8411</v>
      </c>
      <c r="L249" s="147" t="s">
        <v>344</v>
      </c>
      <c r="M249" s="146" t="s">
        <v>8412</v>
      </c>
      <c r="N249" s="146" t="s">
        <v>8413</v>
      </c>
      <c r="O249" s="129"/>
      <c r="P249" s="129"/>
      <c r="Q249" s="129"/>
      <c r="R249" s="129"/>
      <c r="S249" s="129"/>
      <c r="T249" s="129"/>
      <c r="U249" s="129"/>
      <c r="V249" s="129" t="s">
        <v>5122</v>
      </c>
      <c r="W249" s="129"/>
      <c r="X249" s="129"/>
      <c r="Y249" s="129"/>
      <c r="Z249" s="118" t="s">
        <v>7530</v>
      </c>
    </row>
    <row r="250" customHeight="1" spans="1:26">
      <c r="A250" s="125" t="s">
        <v>8414</v>
      </c>
      <c r="B250" s="125">
        <v>2</v>
      </c>
      <c r="C250" s="125" t="s">
        <v>328</v>
      </c>
      <c r="D250" s="125"/>
      <c r="E250" s="125" t="s">
        <v>5122</v>
      </c>
      <c r="F250" s="126" t="s">
        <v>321</v>
      </c>
      <c r="G250" s="125" t="s">
        <v>326</v>
      </c>
      <c r="H250" s="125" t="s">
        <v>7526</v>
      </c>
      <c r="I250" s="125" t="s">
        <v>7527</v>
      </c>
      <c r="J250" s="125" t="s">
        <v>7539</v>
      </c>
      <c r="K250" s="142" t="s">
        <v>8415</v>
      </c>
      <c r="L250" s="143" t="s">
        <v>359</v>
      </c>
      <c r="M250" s="142" t="s">
        <v>8416</v>
      </c>
      <c r="N250" s="142" t="s">
        <v>8417</v>
      </c>
      <c r="O250" s="125"/>
      <c r="P250" s="125"/>
      <c r="Q250" s="125" t="s">
        <v>5122</v>
      </c>
      <c r="R250" s="125"/>
      <c r="S250" s="125" t="s">
        <v>5122</v>
      </c>
      <c r="T250" s="125"/>
      <c r="U250" s="125"/>
      <c r="V250" s="125"/>
      <c r="W250" s="125"/>
      <c r="X250" s="125"/>
      <c r="Y250" s="125"/>
      <c r="Z250" s="118" t="s">
        <v>7530</v>
      </c>
    </row>
    <row r="251" customHeight="1" spans="1:26">
      <c r="A251" s="129" t="s">
        <v>8418</v>
      </c>
      <c r="B251" s="129">
        <v>2</v>
      </c>
      <c r="C251" s="129" t="s">
        <v>347</v>
      </c>
      <c r="D251" s="129"/>
      <c r="E251" s="129" t="s">
        <v>5122</v>
      </c>
      <c r="F251" s="130" t="s">
        <v>321</v>
      </c>
      <c r="G251" s="129" t="s">
        <v>337</v>
      </c>
      <c r="H251" s="129" t="s">
        <v>7526</v>
      </c>
      <c r="I251" s="129" t="s">
        <v>7527</v>
      </c>
      <c r="J251" s="129" t="s">
        <v>7539</v>
      </c>
      <c r="K251" s="146" t="s">
        <v>8419</v>
      </c>
      <c r="L251" s="147" t="s">
        <v>352</v>
      </c>
      <c r="M251" s="146" t="s">
        <v>8420</v>
      </c>
      <c r="N251" s="146" t="s">
        <v>8421</v>
      </c>
      <c r="O251" s="129" t="s">
        <v>5122</v>
      </c>
      <c r="P251" s="129"/>
      <c r="Q251" s="129"/>
      <c r="R251" s="129"/>
      <c r="S251" s="129"/>
      <c r="T251" s="129" t="s">
        <v>5122</v>
      </c>
      <c r="U251" s="129"/>
      <c r="V251" s="129" t="s">
        <v>5122</v>
      </c>
      <c r="W251" s="129"/>
      <c r="X251" s="129"/>
      <c r="Y251" s="129"/>
      <c r="Z251" s="118" t="s">
        <v>7530</v>
      </c>
    </row>
    <row r="252" customHeight="1" spans="1:26">
      <c r="A252" s="125" t="s">
        <v>8422</v>
      </c>
      <c r="B252" s="125">
        <v>2</v>
      </c>
      <c r="C252" s="125" t="s">
        <v>328</v>
      </c>
      <c r="D252" s="125"/>
      <c r="E252" s="125"/>
      <c r="F252" s="126" t="s">
        <v>334</v>
      </c>
      <c r="G252" s="125" t="s">
        <v>333</v>
      </c>
      <c r="H252" s="125" t="s">
        <v>7526</v>
      </c>
      <c r="I252" s="125"/>
      <c r="J252" s="125"/>
      <c r="K252" s="142"/>
      <c r="L252" s="143" t="s">
        <v>323</v>
      </c>
      <c r="M252" s="142" t="s">
        <v>8423</v>
      </c>
      <c r="N252" s="142" t="s">
        <v>8424</v>
      </c>
      <c r="O252" s="125"/>
      <c r="P252" s="125" t="s">
        <v>5122</v>
      </c>
      <c r="Q252" s="125"/>
      <c r="R252" s="125" t="s">
        <v>5122</v>
      </c>
      <c r="S252" s="125"/>
      <c r="T252" s="125"/>
      <c r="U252" s="125"/>
      <c r="V252" s="125"/>
      <c r="W252" s="125"/>
      <c r="X252" s="125"/>
      <c r="Y252" s="125"/>
      <c r="Z252" s="118" t="s">
        <v>7530</v>
      </c>
    </row>
    <row r="253" customHeight="1" spans="1:26">
      <c r="A253" s="125" t="s">
        <v>8425</v>
      </c>
      <c r="B253" s="125">
        <v>2</v>
      </c>
      <c r="C253" s="125" t="s">
        <v>328</v>
      </c>
      <c r="D253" s="125"/>
      <c r="E253" s="125"/>
      <c r="F253" s="126" t="s">
        <v>321</v>
      </c>
      <c r="G253" s="125" t="s">
        <v>7535</v>
      </c>
      <c r="H253" s="125" t="s">
        <v>7526</v>
      </c>
      <c r="I253" s="125" t="s">
        <v>7527</v>
      </c>
      <c r="J253" s="125"/>
      <c r="K253" s="142"/>
      <c r="L253" s="143" t="s">
        <v>338</v>
      </c>
      <c r="M253" s="142" t="s">
        <v>8426</v>
      </c>
      <c r="N253" s="142" t="s">
        <v>8427</v>
      </c>
      <c r="O253" s="125"/>
      <c r="P253" s="125" t="s">
        <v>5122</v>
      </c>
      <c r="Q253" s="125" t="s">
        <v>5122</v>
      </c>
      <c r="R253" s="125" t="s">
        <v>5122</v>
      </c>
      <c r="S253" s="125" t="s">
        <v>5122</v>
      </c>
      <c r="T253" s="125"/>
      <c r="U253" s="125"/>
      <c r="V253" s="125"/>
      <c r="W253" s="125" t="s">
        <v>5122</v>
      </c>
      <c r="X253" s="125"/>
      <c r="Y253" s="125" t="s">
        <v>5122</v>
      </c>
      <c r="Z253" s="118" t="s">
        <v>7530</v>
      </c>
    </row>
    <row r="254" customHeight="1" spans="1:26">
      <c r="A254" s="127" t="s">
        <v>8428</v>
      </c>
      <c r="B254" s="127">
        <v>2</v>
      </c>
      <c r="C254" s="127" t="s">
        <v>331</v>
      </c>
      <c r="D254" s="127"/>
      <c r="E254" s="127" t="s">
        <v>5122</v>
      </c>
      <c r="F254" s="128" t="s">
        <v>321</v>
      </c>
      <c r="G254" s="127" t="s">
        <v>337</v>
      </c>
      <c r="H254" s="127" t="s">
        <v>7526</v>
      </c>
      <c r="I254" s="127" t="s">
        <v>7527</v>
      </c>
      <c r="J254" s="127"/>
      <c r="K254" s="144"/>
      <c r="L254" s="145" t="s">
        <v>352</v>
      </c>
      <c r="M254" s="144" t="s">
        <v>8429</v>
      </c>
      <c r="N254" s="144" t="s">
        <v>8430</v>
      </c>
      <c r="O254" s="127"/>
      <c r="P254" s="127"/>
      <c r="Q254" s="127"/>
      <c r="R254" s="127"/>
      <c r="S254" s="127"/>
      <c r="T254" s="127"/>
      <c r="U254" s="127" t="s">
        <v>5122</v>
      </c>
      <c r="V254" s="127" t="s">
        <v>5122</v>
      </c>
      <c r="W254" s="127"/>
      <c r="X254" s="127"/>
      <c r="Y254" s="127" t="s">
        <v>5122</v>
      </c>
      <c r="Z254" s="118" t="s">
        <v>7530</v>
      </c>
    </row>
    <row r="255" customHeight="1" spans="1:26">
      <c r="A255" s="131" t="s">
        <v>8431</v>
      </c>
      <c r="B255" s="131">
        <v>2</v>
      </c>
      <c r="C255" s="131" t="s">
        <v>320</v>
      </c>
      <c r="D255" s="131"/>
      <c r="E255" s="131"/>
      <c r="F255" s="132" t="s">
        <v>321</v>
      </c>
      <c r="G255" s="131" t="s">
        <v>7535</v>
      </c>
      <c r="H255" s="131" t="s">
        <v>7526</v>
      </c>
      <c r="I255" s="131" t="s">
        <v>7527</v>
      </c>
      <c r="J255" s="131" t="s">
        <v>7539</v>
      </c>
      <c r="K255" s="148" t="s">
        <v>8432</v>
      </c>
      <c r="L255" s="149" t="s">
        <v>338</v>
      </c>
      <c r="M255" s="148" t="s">
        <v>8433</v>
      </c>
      <c r="N255" s="148" t="s">
        <v>8434</v>
      </c>
      <c r="O255" s="131"/>
      <c r="P255" s="131"/>
      <c r="Q255" s="131"/>
      <c r="R255" s="131"/>
      <c r="S255" s="131"/>
      <c r="T255" s="131"/>
      <c r="U255" s="131"/>
      <c r="V255" s="131" t="s">
        <v>5122</v>
      </c>
      <c r="W255" s="131" t="s">
        <v>5122</v>
      </c>
      <c r="X255" s="131"/>
      <c r="Y255" s="131"/>
      <c r="Z255" s="118" t="s">
        <v>7530</v>
      </c>
    </row>
    <row r="256" customHeight="1" spans="1:26">
      <c r="A256" s="123" t="s">
        <v>8435</v>
      </c>
      <c r="B256" s="123">
        <v>2</v>
      </c>
      <c r="C256" s="123" t="s">
        <v>324</v>
      </c>
      <c r="D256" s="123"/>
      <c r="E256" s="123"/>
      <c r="F256" s="124" t="s">
        <v>321</v>
      </c>
      <c r="G256" s="123" t="s">
        <v>343</v>
      </c>
      <c r="H256" s="123" t="s">
        <v>7526</v>
      </c>
      <c r="I256" s="123" t="s">
        <v>7527</v>
      </c>
      <c r="J256" s="123"/>
      <c r="K256" s="141"/>
      <c r="L256" s="139" t="s">
        <v>323</v>
      </c>
      <c r="M256" s="141" t="s">
        <v>8436</v>
      </c>
      <c r="N256" s="141" t="s">
        <v>8437</v>
      </c>
      <c r="O256" s="123"/>
      <c r="P256" s="123"/>
      <c r="Q256" s="123"/>
      <c r="R256" s="123"/>
      <c r="S256" s="123"/>
      <c r="T256" s="123" t="s">
        <v>5122</v>
      </c>
      <c r="U256" s="123"/>
      <c r="V256" s="123" t="s">
        <v>5122</v>
      </c>
      <c r="W256" s="123"/>
      <c r="X256" s="123"/>
      <c r="Y256" s="123"/>
      <c r="Z256" s="118" t="s">
        <v>7530</v>
      </c>
    </row>
    <row r="257" customHeight="1" spans="1:26">
      <c r="A257" s="135" t="s">
        <v>8438</v>
      </c>
      <c r="B257" s="135">
        <v>2</v>
      </c>
      <c r="C257" s="135" t="s">
        <v>335</v>
      </c>
      <c r="D257" s="135"/>
      <c r="E257" s="135"/>
      <c r="F257" s="136" t="s">
        <v>321</v>
      </c>
      <c r="G257" s="135" t="s">
        <v>326</v>
      </c>
      <c r="H257" s="135" t="s">
        <v>7526</v>
      </c>
      <c r="I257" s="135" t="s">
        <v>7527</v>
      </c>
      <c r="J257" s="135" t="s">
        <v>7539</v>
      </c>
      <c r="K257" s="152" t="s">
        <v>8439</v>
      </c>
      <c r="L257" s="153" t="s">
        <v>8440</v>
      </c>
      <c r="M257" s="152" t="s">
        <v>8441</v>
      </c>
      <c r="N257" s="152" t="s">
        <v>8442</v>
      </c>
      <c r="O257" s="135" t="s">
        <v>5122</v>
      </c>
      <c r="P257" s="135"/>
      <c r="Q257" s="135"/>
      <c r="R257" s="135"/>
      <c r="S257" s="135"/>
      <c r="T257" s="135" t="s">
        <v>5122</v>
      </c>
      <c r="U257" s="135"/>
      <c r="V257" s="135" t="s">
        <v>5122</v>
      </c>
      <c r="W257" s="135" t="s">
        <v>5122</v>
      </c>
      <c r="X257" s="135"/>
      <c r="Y257" s="135" t="s">
        <v>5122</v>
      </c>
      <c r="Z257" s="118" t="s">
        <v>7530</v>
      </c>
    </row>
    <row r="258" customHeight="1" spans="1:26">
      <c r="A258" s="123" t="s">
        <v>8443</v>
      </c>
      <c r="B258" s="123">
        <v>2</v>
      </c>
      <c r="C258" s="123" t="s">
        <v>324</v>
      </c>
      <c r="D258" s="123"/>
      <c r="E258" s="123"/>
      <c r="F258" s="124" t="s">
        <v>321</v>
      </c>
      <c r="G258" s="123" t="s">
        <v>337</v>
      </c>
      <c r="H258" s="123" t="s">
        <v>7526</v>
      </c>
      <c r="I258" s="123" t="s">
        <v>7527</v>
      </c>
      <c r="J258" s="123" t="s">
        <v>7539</v>
      </c>
      <c r="K258" s="141" t="s">
        <v>8444</v>
      </c>
      <c r="L258" s="139" t="s">
        <v>323</v>
      </c>
      <c r="M258" s="141" t="s">
        <v>8445</v>
      </c>
      <c r="N258" s="141" t="s">
        <v>8446</v>
      </c>
      <c r="O258" s="123" t="s">
        <v>5122</v>
      </c>
      <c r="P258" s="123"/>
      <c r="Q258" s="123"/>
      <c r="R258" s="123"/>
      <c r="S258" s="123"/>
      <c r="T258" s="123" t="s">
        <v>5122</v>
      </c>
      <c r="U258" s="123"/>
      <c r="V258" s="123" t="s">
        <v>5122</v>
      </c>
      <c r="W258" s="123"/>
      <c r="X258" s="123"/>
      <c r="Y258" s="123"/>
      <c r="Z258" s="118" t="s">
        <v>7530</v>
      </c>
    </row>
    <row r="259" customHeight="1" spans="1:26">
      <c r="A259" s="131" t="s">
        <v>8447</v>
      </c>
      <c r="B259" s="131">
        <v>2</v>
      </c>
      <c r="C259" s="131" t="s">
        <v>320</v>
      </c>
      <c r="D259" s="131"/>
      <c r="E259" s="131" t="s">
        <v>5122</v>
      </c>
      <c r="F259" s="132" t="s">
        <v>7871</v>
      </c>
      <c r="G259" s="131" t="s">
        <v>326</v>
      </c>
      <c r="H259" s="131" t="s">
        <v>7526</v>
      </c>
      <c r="I259" s="131"/>
      <c r="J259" s="131"/>
      <c r="K259" s="148"/>
      <c r="L259" s="149" t="s">
        <v>352</v>
      </c>
      <c r="M259" s="148" t="s">
        <v>8448</v>
      </c>
      <c r="N259" s="148" t="s">
        <v>8449</v>
      </c>
      <c r="O259" s="131"/>
      <c r="P259" s="131"/>
      <c r="Q259" s="131"/>
      <c r="R259" s="131" t="s">
        <v>5122</v>
      </c>
      <c r="S259" s="131"/>
      <c r="T259" s="131"/>
      <c r="U259" s="131"/>
      <c r="V259" s="131"/>
      <c r="W259" s="131"/>
      <c r="X259" s="131"/>
      <c r="Y259" s="131"/>
      <c r="Z259" s="118" t="s">
        <v>7530</v>
      </c>
    </row>
    <row r="260" customHeight="1" spans="1:26">
      <c r="A260" s="129" t="s">
        <v>8450</v>
      </c>
      <c r="B260" s="129">
        <v>2</v>
      </c>
      <c r="C260" s="129" t="s">
        <v>347</v>
      </c>
      <c r="D260" s="129" t="s">
        <v>5122</v>
      </c>
      <c r="E260" s="129" t="s">
        <v>5122</v>
      </c>
      <c r="F260" s="130" t="s">
        <v>332</v>
      </c>
      <c r="G260" s="129" t="s">
        <v>343</v>
      </c>
      <c r="H260" s="129" t="s">
        <v>7526</v>
      </c>
      <c r="I260" s="129" t="s">
        <v>7527</v>
      </c>
      <c r="J260" s="129"/>
      <c r="K260" s="146"/>
      <c r="L260" s="147" t="s">
        <v>356</v>
      </c>
      <c r="M260" s="146" t="s">
        <v>8451</v>
      </c>
      <c r="N260" s="146" t="s">
        <v>8452</v>
      </c>
      <c r="O260" s="129" t="s">
        <v>5122</v>
      </c>
      <c r="P260" s="129" t="s">
        <v>5122</v>
      </c>
      <c r="Q260" s="129"/>
      <c r="R260" s="129"/>
      <c r="S260" s="129" t="s">
        <v>5122</v>
      </c>
      <c r="T260" s="129"/>
      <c r="U260" s="129"/>
      <c r="V260" s="129"/>
      <c r="W260" s="129"/>
      <c r="X260" s="129"/>
      <c r="Y260" s="129" t="s">
        <v>5122</v>
      </c>
      <c r="Z260" s="118" t="s">
        <v>7530</v>
      </c>
    </row>
    <row r="261" customHeight="1" spans="1:26">
      <c r="A261" s="131" t="s">
        <v>8453</v>
      </c>
      <c r="B261" s="131">
        <v>2</v>
      </c>
      <c r="C261" s="131" t="s">
        <v>320</v>
      </c>
      <c r="D261" s="131"/>
      <c r="E261" s="131" t="s">
        <v>5122</v>
      </c>
      <c r="F261" s="132" t="s">
        <v>321</v>
      </c>
      <c r="G261" s="131" t="s">
        <v>7535</v>
      </c>
      <c r="H261" s="131" t="s">
        <v>7526</v>
      </c>
      <c r="I261" s="131" t="s">
        <v>7527</v>
      </c>
      <c r="J261" s="131" t="s">
        <v>7539</v>
      </c>
      <c r="K261" s="148" t="s">
        <v>8454</v>
      </c>
      <c r="L261" s="149" t="s">
        <v>359</v>
      </c>
      <c r="M261" s="148" t="s">
        <v>8455</v>
      </c>
      <c r="N261" s="148" t="s">
        <v>8456</v>
      </c>
      <c r="O261" s="131"/>
      <c r="P261" s="131"/>
      <c r="Q261" s="131"/>
      <c r="R261" s="131"/>
      <c r="S261" s="131"/>
      <c r="T261" s="131" t="s">
        <v>5122</v>
      </c>
      <c r="U261" s="131" t="s">
        <v>5122</v>
      </c>
      <c r="V261" s="131" t="s">
        <v>5122</v>
      </c>
      <c r="W261" s="131" t="s">
        <v>5122</v>
      </c>
      <c r="X261" s="131"/>
      <c r="Y261" s="131" t="s">
        <v>5122</v>
      </c>
      <c r="Z261" s="118" t="s">
        <v>7530</v>
      </c>
    </row>
    <row r="262" customHeight="1" spans="1:26">
      <c r="A262" s="131" t="s">
        <v>8457</v>
      </c>
      <c r="B262" s="131">
        <v>2</v>
      </c>
      <c r="C262" s="131" t="s">
        <v>320</v>
      </c>
      <c r="D262" s="131"/>
      <c r="E262" s="131" t="s">
        <v>5122</v>
      </c>
      <c r="F262" s="132" t="s">
        <v>321</v>
      </c>
      <c r="G262" s="131" t="s">
        <v>348</v>
      </c>
      <c r="H262" s="131" t="s">
        <v>7526</v>
      </c>
      <c r="I262" s="131" t="s">
        <v>7527</v>
      </c>
      <c r="J262" s="131" t="s">
        <v>7539</v>
      </c>
      <c r="K262" s="148" t="s">
        <v>8458</v>
      </c>
      <c r="L262" s="149" t="s">
        <v>356</v>
      </c>
      <c r="M262" s="148" t="s">
        <v>8459</v>
      </c>
      <c r="N262" s="148" t="s">
        <v>8460</v>
      </c>
      <c r="O262" s="131"/>
      <c r="P262" s="131"/>
      <c r="Q262" s="131" t="s">
        <v>5122</v>
      </c>
      <c r="R262" s="131"/>
      <c r="S262" s="131" t="s">
        <v>5122</v>
      </c>
      <c r="T262" s="131"/>
      <c r="U262" s="131"/>
      <c r="V262" s="131"/>
      <c r="W262" s="131"/>
      <c r="X262" s="131"/>
      <c r="Y262" s="131"/>
      <c r="Z262" s="118" t="s">
        <v>7530</v>
      </c>
    </row>
    <row r="263" customHeight="1" spans="1:26">
      <c r="A263" s="123" t="s">
        <v>8461</v>
      </c>
      <c r="B263" s="123">
        <v>2</v>
      </c>
      <c r="C263" s="123" t="s">
        <v>324</v>
      </c>
      <c r="D263" s="123"/>
      <c r="E263" s="123" t="s">
        <v>5122</v>
      </c>
      <c r="F263" s="124" t="s">
        <v>325</v>
      </c>
      <c r="G263" s="123" t="s">
        <v>337</v>
      </c>
      <c r="H263" s="123" t="s">
        <v>7526</v>
      </c>
      <c r="I263" s="123" t="s">
        <v>7527</v>
      </c>
      <c r="J263" s="123"/>
      <c r="K263" s="141"/>
      <c r="L263" s="139" t="s">
        <v>352</v>
      </c>
      <c r="M263" s="141" t="s">
        <v>8462</v>
      </c>
      <c r="N263" s="141" t="s">
        <v>8463</v>
      </c>
      <c r="O263" s="123"/>
      <c r="P263" s="123" t="s">
        <v>5122</v>
      </c>
      <c r="Q263" s="123"/>
      <c r="R263" s="123"/>
      <c r="S263" s="123"/>
      <c r="T263" s="123"/>
      <c r="U263" s="123"/>
      <c r="V263" s="123"/>
      <c r="W263" s="123"/>
      <c r="X263" s="123"/>
      <c r="Y263" s="123"/>
      <c r="Z263" s="118" t="s">
        <v>7530</v>
      </c>
    </row>
    <row r="264" customHeight="1" spans="1:26">
      <c r="A264" s="133" t="s">
        <v>8464</v>
      </c>
      <c r="B264" s="133">
        <v>2</v>
      </c>
      <c r="C264" s="133" t="s">
        <v>342</v>
      </c>
      <c r="D264" s="133"/>
      <c r="E264" s="133" t="s">
        <v>5122</v>
      </c>
      <c r="F264" s="134" t="s">
        <v>321</v>
      </c>
      <c r="G264" s="133" t="s">
        <v>333</v>
      </c>
      <c r="H264" s="133" t="s">
        <v>7526</v>
      </c>
      <c r="I264" s="133"/>
      <c r="J264" s="133" t="s">
        <v>7539</v>
      </c>
      <c r="K264" s="150" t="s">
        <v>8465</v>
      </c>
      <c r="L264" s="151" t="s">
        <v>8466</v>
      </c>
      <c r="M264" s="150" t="s">
        <v>8467</v>
      </c>
      <c r="N264" s="150" t="s">
        <v>8468</v>
      </c>
      <c r="O264" s="133" t="s">
        <v>5122</v>
      </c>
      <c r="P264" s="133"/>
      <c r="Q264" s="133"/>
      <c r="R264" s="133"/>
      <c r="S264" s="133"/>
      <c r="T264" s="133" t="s">
        <v>5122</v>
      </c>
      <c r="U264" s="133" t="s">
        <v>5122</v>
      </c>
      <c r="V264" s="133" t="s">
        <v>5122</v>
      </c>
      <c r="W264" s="133"/>
      <c r="X264" s="133"/>
      <c r="Y264" s="133"/>
      <c r="Z264" s="118" t="s">
        <v>7530</v>
      </c>
    </row>
    <row r="265" customHeight="1" spans="1:26">
      <c r="A265" s="137" t="s">
        <v>8469</v>
      </c>
      <c r="B265" s="137">
        <v>2</v>
      </c>
      <c r="C265" s="137" t="s">
        <v>339</v>
      </c>
      <c r="D265" s="137"/>
      <c r="E265" s="137" t="s">
        <v>5122</v>
      </c>
      <c r="F265" s="138" t="s">
        <v>321</v>
      </c>
      <c r="G265" s="137" t="s">
        <v>340</v>
      </c>
      <c r="H265" s="137" t="s">
        <v>7526</v>
      </c>
      <c r="I265" s="137" t="s">
        <v>7527</v>
      </c>
      <c r="J265" s="137" t="s">
        <v>7539</v>
      </c>
      <c r="K265" s="154" t="s">
        <v>8470</v>
      </c>
      <c r="L265" s="155" t="s">
        <v>359</v>
      </c>
      <c r="M265" s="154" t="s">
        <v>8471</v>
      </c>
      <c r="N265" s="154" t="s">
        <v>8472</v>
      </c>
      <c r="O265" s="137"/>
      <c r="P265" s="137"/>
      <c r="Q265" s="137" t="s">
        <v>5122</v>
      </c>
      <c r="R265" s="137"/>
      <c r="S265" s="137" t="s">
        <v>5122</v>
      </c>
      <c r="T265" s="137"/>
      <c r="U265" s="137"/>
      <c r="V265" s="137"/>
      <c r="W265" s="137"/>
      <c r="X265" s="137"/>
      <c r="Y265" s="137"/>
      <c r="Z265" s="118" t="s">
        <v>7530</v>
      </c>
    </row>
    <row r="266" customHeight="1" spans="1:26">
      <c r="A266" s="125" t="s">
        <v>8473</v>
      </c>
      <c r="B266" s="125">
        <v>2</v>
      </c>
      <c r="C266" s="125" t="s">
        <v>328</v>
      </c>
      <c r="D266" s="125"/>
      <c r="E266" s="125"/>
      <c r="F266" s="126" t="s">
        <v>321</v>
      </c>
      <c r="G266" s="125" t="s">
        <v>7535</v>
      </c>
      <c r="H266" s="125" t="s">
        <v>7526</v>
      </c>
      <c r="I266" s="125" t="s">
        <v>7527</v>
      </c>
      <c r="J266" s="125" t="s">
        <v>7539</v>
      </c>
      <c r="K266" s="142" t="s">
        <v>8474</v>
      </c>
      <c r="L266" s="143" t="s">
        <v>338</v>
      </c>
      <c r="M266" s="142" t="s">
        <v>8475</v>
      </c>
      <c r="N266" s="142" t="s">
        <v>8476</v>
      </c>
      <c r="O266" s="125"/>
      <c r="P266" s="125" t="s">
        <v>5122</v>
      </c>
      <c r="Q266" s="125"/>
      <c r="R266" s="125" t="s">
        <v>5122</v>
      </c>
      <c r="S266" s="125"/>
      <c r="T266" s="125"/>
      <c r="U266" s="125"/>
      <c r="V266" s="125"/>
      <c r="W266" s="125"/>
      <c r="X266" s="125"/>
      <c r="Y266" s="125"/>
      <c r="Z266" s="118" t="s">
        <v>7530</v>
      </c>
    </row>
    <row r="267" customHeight="1" spans="1:26">
      <c r="A267" s="137" t="s">
        <v>8477</v>
      </c>
      <c r="B267" s="137">
        <v>2</v>
      </c>
      <c r="C267" s="137" t="s">
        <v>339</v>
      </c>
      <c r="D267" s="137"/>
      <c r="E267" s="137" t="s">
        <v>5122</v>
      </c>
      <c r="F267" s="138" t="s">
        <v>321</v>
      </c>
      <c r="G267" s="137" t="s">
        <v>337</v>
      </c>
      <c r="H267" s="137" t="s">
        <v>7526</v>
      </c>
      <c r="I267" s="137" t="s">
        <v>7527</v>
      </c>
      <c r="J267" s="137" t="s">
        <v>7539</v>
      </c>
      <c r="K267" s="154" t="s">
        <v>8478</v>
      </c>
      <c r="L267" s="155" t="s">
        <v>359</v>
      </c>
      <c r="M267" s="154" t="s">
        <v>8479</v>
      </c>
      <c r="N267" s="154" t="s">
        <v>8480</v>
      </c>
      <c r="O267" s="137"/>
      <c r="P267" s="137"/>
      <c r="Q267" s="137"/>
      <c r="R267" s="137"/>
      <c r="S267" s="137"/>
      <c r="T267" s="137" t="s">
        <v>5122</v>
      </c>
      <c r="U267" s="137"/>
      <c r="V267" s="137" t="s">
        <v>5122</v>
      </c>
      <c r="W267" s="137" t="s">
        <v>5122</v>
      </c>
      <c r="X267" s="137"/>
      <c r="Y267" s="137" t="s">
        <v>5122</v>
      </c>
      <c r="Z267" s="118" t="s">
        <v>7530</v>
      </c>
    </row>
    <row r="268" customHeight="1" spans="1:26">
      <c r="A268" s="133" t="s">
        <v>8481</v>
      </c>
      <c r="B268" s="133">
        <v>2</v>
      </c>
      <c r="C268" s="133" t="s">
        <v>342</v>
      </c>
      <c r="D268" s="133"/>
      <c r="E268" s="133"/>
      <c r="F268" s="134" t="s">
        <v>321</v>
      </c>
      <c r="G268" s="133" t="s">
        <v>337</v>
      </c>
      <c r="H268" s="133" t="s">
        <v>7526</v>
      </c>
      <c r="I268" s="133" t="s">
        <v>7527</v>
      </c>
      <c r="J268" s="133"/>
      <c r="K268" s="169"/>
      <c r="L268" s="151" t="s">
        <v>334</v>
      </c>
      <c r="M268" s="150" t="s">
        <v>8482</v>
      </c>
      <c r="N268" s="150" t="s">
        <v>8483</v>
      </c>
      <c r="O268" s="133" t="s">
        <v>5122</v>
      </c>
      <c r="P268" s="133" t="s">
        <v>5122</v>
      </c>
      <c r="Q268" s="133"/>
      <c r="R268" s="133" t="s">
        <v>5122</v>
      </c>
      <c r="S268" s="133"/>
      <c r="T268" s="133"/>
      <c r="U268" s="133"/>
      <c r="V268" s="133"/>
      <c r="W268" s="133"/>
      <c r="X268" s="133"/>
      <c r="Y268" s="133"/>
      <c r="Z268" s="118" t="s">
        <v>7530</v>
      </c>
    </row>
    <row r="269" customHeight="1" spans="1:26">
      <c r="A269" s="133" t="s">
        <v>8484</v>
      </c>
      <c r="B269" s="133">
        <v>2</v>
      </c>
      <c r="C269" s="133" t="s">
        <v>342</v>
      </c>
      <c r="D269" s="133"/>
      <c r="E269" s="133"/>
      <c r="F269" s="134" t="s">
        <v>321</v>
      </c>
      <c r="G269" s="133" t="s">
        <v>340</v>
      </c>
      <c r="H269" s="133" t="s">
        <v>7526</v>
      </c>
      <c r="I269" s="133"/>
      <c r="J269" s="133"/>
      <c r="K269" s="160"/>
      <c r="L269" s="151" t="s">
        <v>327</v>
      </c>
      <c r="M269" s="150" t="s">
        <v>8485</v>
      </c>
      <c r="N269" s="150" t="s">
        <v>8486</v>
      </c>
      <c r="O269" s="133"/>
      <c r="P269" s="133"/>
      <c r="Q269" s="133"/>
      <c r="R269" s="133"/>
      <c r="S269" s="133"/>
      <c r="T269" s="133" t="s">
        <v>5122</v>
      </c>
      <c r="U269" s="133"/>
      <c r="V269" s="133" t="s">
        <v>5122</v>
      </c>
      <c r="W269" s="133"/>
      <c r="X269" s="133"/>
      <c r="Y269" s="133"/>
      <c r="Z269" s="118" t="s">
        <v>8030</v>
      </c>
    </row>
    <row r="270" customHeight="1" spans="1:26">
      <c r="A270" s="123" t="s">
        <v>8487</v>
      </c>
      <c r="B270" s="123">
        <v>2</v>
      </c>
      <c r="C270" s="123" t="s">
        <v>324</v>
      </c>
      <c r="D270" s="123"/>
      <c r="E270" s="123"/>
      <c r="F270" s="124" t="s">
        <v>321</v>
      </c>
      <c r="G270" s="123" t="s">
        <v>333</v>
      </c>
      <c r="H270" s="123" t="s">
        <v>7526</v>
      </c>
      <c r="I270" s="123" t="s">
        <v>7527</v>
      </c>
      <c r="J270" s="123" t="s">
        <v>7539</v>
      </c>
      <c r="K270" s="156" t="s">
        <v>8488</v>
      </c>
      <c r="L270" s="139" t="s">
        <v>323</v>
      </c>
      <c r="M270" s="141" t="s">
        <v>8489</v>
      </c>
      <c r="N270" s="141" t="s">
        <v>8490</v>
      </c>
      <c r="O270" s="123"/>
      <c r="P270" s="123"/>
      <c r="Q270" s="123"/>
      <c r="R270" s="123"/>
      <c r="S270" s="123"/>
      <c r="T270" s="123" t="s">
        <v>5122</v>
      </c>
      <c r="U270" s="123"/>
      <c r="V270" s="123" t="s">
        <v>5122</v>
      </c>
      <c r="W270" s="123"/>
      <c r="X270" s="123"/>
      <c r="Y270" s="123"/>
      <c r="Z270" s="162" t="s">
        <v>45</v>
      </c>
    </row>
    <row r="271" customHeight="1" spans="1:26">
      <c r="A271" s="137" t="s">
        <v>8491</v>
      </c>
      <c r="B271" s="137">
        <v>2</v>
      </c>
      <c r="C271" s="137" t="s">
        <v>339</v>
      </c>
      <c r="D271" s="137"/>
      <c r="E271" s="137" t="s">
        <v>5122</v>
      </c>
      <c r="F271" s="138" t="s">
        <v>321</v>
      </c>
      <c r="G271" s="137" t="s">
        <v>337</v>
      </c>
      <c r="H271" s="137" t="s">
        <v>7526</v>
      </c>
      <c r="I271" s="137" t="s">
        <v>7527</v>
      </c>
      <c r="J271" s="137" t="s">
        <v>7539</v>
      </c>
      <c r="K271" s="157" t="s">
        <v>8492</v>
      </c>
      <c r="L271" s="155" t="s">
        <v>7661</v>
      </c>
      <c r="M271" s="154" t="s">
        <v>8493</v>
      </c>
      <c r="N271" s="154" t="s">
        <v>8494</v>
      </c>
      <c r="O271" s="137"/>
      <c r="P271" s="137"/>
      <c r="Q271" s="137" t="s">
        <v>5122</v>
      </c>
      <c r="R271" s="137"/>
      <c r="S271" s="137"/>
      <c r="T271" s="137" t="s">
        <v>5122</v>
      </c>
      <c r="U271" s="137"/>
      <c r="V271" s="137" t="s">
        <v>5122</v>
      </c>
      <c r="W271" s="137"/>
      <c r="X271" s="137"/>
      <c r="Y271" s="137"/>
      <c r="Z271" s="162" t="s">
        <v>45</v>
      </c>
    </row>
    <row r="272" customHeight="1" spans="1:26">
      <c r="A272" s="131" t="s">
        <v>8495</v>
      </c>
      <c r="B272" s="131">
        <v>2</v>
      </c>
      <c r="C272" s="131" t="s">
        <v>320</v>
      </c>
      <c r="D272" s="131"/>
      <c r="E272" s="131" t="s">
        <v>5122</v>
      </c>
      <c r="F272" s="132" t="s">
        <v>321</v>
      </c>
      <c r="G272" s="131" t="s">
        <v>351</v>
      </c>
      <c r="H272" s="131" t="s">
        <v>7526</v>
      </c>
      <c r="I272" s="131"/>
      <c r="J272" s="131"/>
      <c r="K272" s="159"/>
      <c r="L272" s="149" t="s">
        <v>7661</v>
      </c>
      <c r="M272" s="148" t="s">
        <v>8496</v>
      </c>
      <c r="N272" s="148" t="s">
        <v>8497</v>
      </c>
      <c r="O272" s="131"/>
      <c r="P272" s="131"/>
      <c r="Q272" s="131" t="s">
        <v>5122</v>
      </c>
      <c r="R272" s="131"/>
      <c r="S272" s="131"/>
      <c r="T272" s="131" t="s">
        <v>5122</v>
      </c>
      <c r="U272" s="131" t="s">
        <v>5122</v>
      </c>
      <c r="V272" s="131" t="s">
        <v>5122</v>
      </c>
      <c r="W272" s="131"/>
      <c r="X272" s="131"/>
      <c r="Y272" s="131"/>
      <c r="Z272" s="162" t="s">
        <v>45</v>
      </c>
    </row>
    <row r="273" customHeight="1" spans="1:26">
      <c r="A273" s="137" t="s">
        <v>8498</v>
      </c>
      <c r="B273" s="137">
        <v>2</v>
      </c>
      <c r="C273" s="137" t="s">
        <v>339</v>
      </c>
      <c r="D273" s="137"/>
      <c r="E273" s="137" t="s">
        <v>5122</v>
      </c>
      <c r="F273" s="138" t="s">
        <v>325</v>
      </c>
      <c r="G273" s="137" t="s">
        <v>337</v>
      </c>
      <c r="H273" s="137" t="s">
        <v>7526</v>
      </c>
      <c r="I273" s="137" t="s">
        <v>7527</v>
      </c>
      <c r="J273" s="137"/>
      <c r="K273" s="157"/>
      <c r="L273" s="155" t="s">
        <v>7661</v>
      </c>
      <c r="M273" s="154" t="s">
        <v>8499</v>
      </c>
      <c r="N273" s="154" t="s">
        <v>8500</v>
      </c>
      <c r="O273" s="137"/>
      <c r="P273" s="137"/>
      <c r="Q273" s="137" t="s">
        <v>5122</v>
      </c>
      <c r="R273" s="137"/>
      <c r="S273" s="137" t="s">
        <v>5122</v>
      </c>
      <c r="T273" s="137"/>
      <c r="U273" s="137"/>
      <c r="V273" s="137"/>
      <c r="W273" s="137"/>
      <c r="X273" s="137"/>
      <c r="Y273" s="137"/>
      <c r="Z273" s="162" t="s">
        <v>45</v>
      </c>
    </row>
    <row r="274" customHeight="1" spans="1:26">
      <c r="A274" s="131" t="s">
        <v>8501</v>
      </c>
      <c r="B274" s="131">
        <v>2</v>
      </c>
      <c r="C274" s="131" t="s">
        <v>320</v>
      </c>
      <c r="D274" s="131"/>
      <c r="E274" s="131" t="s">
        <v>5122</v>
      </c>
      <c r="F274" s="132" t="s">
        <v>321</v>
      </c>
      <c r="G274" s="131" t="s">
        <v>333</v>
      </c>
      <c r="H274" s="131" t="s">
        <v>7526</v>
      </c>
      <c r="I274" s="131" t="s">
        <v>7527</v>
      </c>
      <c r="J274" s="131" t="s">
        <v>7539</v>
      </c>
      <c r="K274" s="159" t="s">
        <v>8502</v>
      </c>
      <c r="L274" s="149" t="s">
        <v>7661</v>
      </c>
      <c r="M274" s="148" t="s">
        <v>8503</v>
      </c>
      <c r="N274" s="148" t="s">
        <v>8504</v>
      </c>
      <c r="O274" s="131"/>
      <c r="P274" s="131"/>
      <c r="Q274" s="131"/>
      <c r="R274" s="131"/>
      <c r="S274" s="131"/>
      <c r="T274" s="131" t="s">
        <v>5122</v>
      </c>
      <c r="U274" s="131"/>
      <c r="V274" s="131" t="s">
        <v>5122</v>
      </c>
      <c r="W274" s="131"/>
      <c r="X274" s="131"/>
      <c r="Y274" s="131"/>
      <c r="Z274" s="162" t="s">
        <v>45</v>
      </c>
    </row>
    <row r="275" customHeight="1" spans="1:26">
      <c r="A275" s="131" t="s">
        <v>8505</v>
      </c>
      <c r="B275" s="131">
        <v>2</v>
      </c>
      <c r="C275" s="131" t="s">
        <v>320</v>
      </c>
      <c r="D275" s="131"/>
      <c r="E275" s="131"/>
      <c r="F275" s="132" t="s">
        <v>321</v>
      </c>
      <c r="G275" s="131" t="s">
        <v>337</v>
      </c>
      <c r="H275" s="131" t="s">
        <v>7526</v>
      </c>
      <c r="I275" s="131" t="s">
        <v>7527</v>
      </c>
      <c r="J275" s="131"/>
      <c r="K275" s="159"/>
      <c r="L275" s="149" t="s">
        <v>323</v>
      </c>
      <c r="M275" s="148" t="s">
        <v>8506</v>
      </c>
      <c r="N275" s="148" t="s">
        <v>8507</v>
      </c>
      <c r="O275" s="131" t="s">
        <v>5122</v>
      </c>
      <c r="P275" s="131"/>
      <c r="Q275" s="131"/>
      <c r="R275" s="131"/>
      <c r="S275" s="131"/>
      <c r="T275" s="131" t="s">
        <v>5122</v>
      </c>
      <c r="U275" s="131"/>
      <c r="V275" s="131" t="s">
        <v>5122</v>
      </c>
      <c r="W275" s="131" t="s">
        <v>5122</v>
      </c>
      <c r="X275" s="131"/>
      <c r="Y275" s="131"/>
      <c r="Z275" s="162" t="s">
        <v>45</v>
      </c>
    </row>
    <row r="276" customHeight="1" spans="1:26">
      <c r="A276" s="129" t="s">
        <v>8508</v>
      </c>
      <c r="B276" s="129">
        <v>2</v>
      </c>
      <c r="C276" s="129" t="s">
        <v>347</v>
      </c>
      <c r="D276" s="129"/>
      <c r="E276" s="129" t="s">
        <v>5122</v>
      </c>
      <c r="F276" s="130" t="s">
        <v>325</v>
      </c>
      <c r="G276" s="129" t="s">
        <v>326</v>
      </c>
      <c r="H276" s="129" t="s">
        <v>7526</v>
      </c>
      <c r="I276" s="129" t="s">
        <v>7527</v>
      </c>
      <c r="J276" s="129"/>
      <c r="K276" s="166"/>
      <c r="L276" s="147" t="s">
        <v>7661</v>
      </c>
      <c r="M276" s="146" t="s">
        <v>8509</v>
      </c>
      <c r="N276" s="146" t="s">
        <v>8510</v>
      </c>
      <c r="O276" s="129"/>
      <c r="P276" s="129"/>
      <c r="Q276" s="129"/>
      <c r="R276" s="129"/>
      <c r="S276" s="129"/>
      <c r="T276" s="129" t="s">
        <v>5122</v>
      </c>
      <c r="U276" s="129" t="s">
        <v>5122</v>
      </c>
      <c r="V276" s="129" t="s">
        <v>5122</v>
      </c>
      <c r="W276" s="129"/>
      <c r="X276" s="129"/>
      <c r="Y276" s="129"/>
      <c r="Z276" s="162" t="s">
        <v>45</v>
      </c>
    </row>
    <row r="277" customHeight="1" spans="1:26">
      <c r="A277" s="131" t="s">
        <v>8511</v>
      </c>
      <c r="B277" s="131">
        <v>2</v>
      </c>
      <c r="C277" s="131" t="s">
        <v>320</v>
      </c>
      <c r="D277" s="131" t="s">
        <v>5122</v>
      </c>
      <c r="E277" s="131" t="s">
        <v>5122</v>
      </c>
      <c r="F277" s="132" t="s">
        <v>332</v>
      </c>
      <c r="G277" s="131" t="s">
        <v>369</v>
      </c>
      <c r="H277" s="131" t="s">
        <v>7526</v>
      </c>
      <c r="I277" s="131" t="s">
        <v>7527</v>
      </c>
      <c r="J277" s="131"/>
      <c r="K277" s="159"/>
      <c r="L277" s="149" t="s">
        <v>8512</v>
      </c>
      <c r="M277" s="148" t="s">
        <v>8513</v>
      </c>
      <c r="N277" s="148" t="s">
        <v>8514</v>
      </c>
      <c r="O277" s="131" t="s">
        <v>5122</v>
      </c>
      <c r="P277" s="131"/>
      <c r="Q277" s="131" t="s">
        <v>5122</v>
      </c>
      <c r="R277" s="131"/>
      <c r="S277" s="131"/>
      <c r="T277" s="131"/>
      <c r="U277" s="131"/>
      <c r="V277" s="131" t="s">
        <v>5122</v>
      </c>
      <c r="W277" s="131" t="s">
        <v>5122</v>
      </c>
      <c r="X277" s="131"/>
      <c r="Y277" s="131"/>
      <c r="Z277" s="162" t="s">
        <v>45</v>
      </c>
    </row>
    <row r="278" customHeight="1" spans="1:26">
      <c r="A278" s="123" t="s">
        <v>8515</v>
      </c>
      <c r="B278" s="123">
        <v>2</v>
      </c>
      <c r="C278" s="123" t="s">
        <v>324</v>
      </c>
      <c r="D278" s="123"/>
      <c r="E278" s="123"/>
      <c r="F278" s="124" t="s">
        <v>321</v>
      </c>
      <c r="G278" s="123" t="s">
        <v>340</v>
      </c>
      <c r="H278" s="123" t="s">
        <v>7526</v>
      </c>
      <c r="I278" s="123" t="s">
        <v>7527</v>
      </c>
      <c r="J278" s="123" t="s">
        <v>7539</v>
      </c>
      <c r="K278" s="156" t="s">
        <v>8516</v>
      </c>
      <c r="L278" s="139" t="s">
        <v>323</v>
      </c>
      <c r="M278" s="141" t="s">
        <v>8517</v>
      </c>
      <c r="N278" s="141" t="s">
        <v>8518</v>
      </c>
      <c r="O278" s="123"/>
      <c r="P278" s="123"/>
      <c r="Q278" s="123"/>
      <c r="R278" s="123"/>
      <c r="S278" s="123"/>
      <c r="T278" s="123" t="s">
        <v>5122</v>
      </c>
      <c r="U278" s="123"/>
      <c r="V278" s="123" t="s">
        <v>5122</v>
      </c>
      <c r="W278" s="123"/>
      <c r="X278" s="123"/>
      <c r="Y278" s="123"/>
      <c r="Z278" s="162" t="s">
        <v>45</v>
      </c>
    </row>
    <row r="279" customHeight="1" spans="1:26">
      <c r="A279" s="123" t="s">
        <v>8519</v>
      </c>
      <c r="B279" s="123">
        <v>2</v>
      </c>
      <c r="C279" s="123" t="s">
        <v>324</v>
      </c>
      <c r="D279" s="123"/>
      <c r="E279" s="123" t="s">
        <v>5122</v>
      </c>
      <c r="F279" s="124" t="s">
        <v>321</v>
      </c>
      <c r="G279" s="123" t="s">
        <v>326</v>
      </c>
      <c r="H279" s="123" t="s">
        <v>7526</v>
      </c>
      <c r="I279" s="123"/>
      <c r="J279" s="123"/>
      <c r="K279" s="156"/>
      <c r="L279" s="139" t="s">
        <v>8037</v>
      </c>
      <c r="M279" s="141" t="s">
        <v>8520</v>
      </c>
      <c r="N279" s="141" t="s">
        <v>8521</v>
      </c>
      <c r="O279" s="123" t="s">
        <v>5122</v>
      </c>
      <c r="P279" s="123"/>
      <c r="Q279" s="123" t="s">
        <v>5122</v>
      </c>
      <c r="R279" s="123"/>
      <c r="S279" s="123"/>
      <c r="T279" s="123" t="s">
        <v>5122</v>
      </c>
      <c r="U279" s="123"/>
      <c r="V279" s="123" t="s">
        <v>5122</v>
      </c>
      <c r="W279" s="123"/>
      <c r="X279" s="123"/>
      <c r="Y279" s="123"/>
      <c r="Z279" s="162" t="s">
        <v>45</v>
      </c>
    </row>
    <row r="280" customHeight="1" spans="1:26">
      <c r="A280" s="133" t="s">
        <v>8522</v>
      </c>
      <c r="B280" s="133">
        <v>2</v>
      </c>
      <c r="C280" s="133" t="s">
        <v>342</v>
      </c>
      <c r="D280" s="133"/>
      <c r="E280" s="133"/>
      <c r="F280" s="134" t="s">
        <v>8523</v>
      </c>
      <c r="G280" s="133" t="s">
        <v>326</v>
      </c>
      <c r="H280" s="133" t="s">
        <v>7526</v>
      </c>
      <c r="I280" s="133" t="s">
        <v>7527</v>
      </c>
      <c r="J280" s="133"/>
      <c r="K280" s="160"/>
      <c r="L280" s="151" t="s">
        <v>323</v>
      </c>
      <c r="M280" s="150" t="s">
        <v>8524</v>
      </c>
      <c r="N280" s="150" t="s">
        <v>8525</v>
      </c>
      <c r="O280" s="133" t="s">
        <v>5122</v>
      </c>
      <c r="P280" s="133"/>
      <c r="Q280" s="133"/>
      <c r="R280" s="133"/>
      <c r="S280" s="133"/>
      <c r="T280" s="133"/>
      <c r="U280" s="133"/>
      <c r="V280" s="133" t="s">
        <v>5122</v>
      </c>
      <c r="W280" s="133"/>
      <c r="X280" s="133"/>
      <c r="Y280" s="133"/>
      <c r="Z280" s="162" t="s">
        <v>120</v>
      </c>
    </row>
    <row r="281" customHeight="1" spans="1:26">
      <c r="A281" s="133" t="s">
        <v>8526</v>
      </c>
      <c r="B281" s="133">
        <v>2</v>
      </c>
      <c r="C281" s="133" t="s">
        <v>342</v>
      </c>
      <c r="D281" s="133"/>
      <c r="E281" s="133"/>
      <c r="F281" s="134" t="s">
        <v>321</v>
      </c>
      <c r="G281" s="133" t="s">
        <v>337</v>
      </c>
      <c r="H281" s="133"/>
      <c r="I281" s="133" t="s">
        <v>7527</v>
      </c>
      <c r="J281" s="133" t="s">
        <v>7539</v>
      </c>
      <c r="K281" s="160" t="s">
        <v>8527</v>
      </c>
      <c r="L281" s="151" t="s">
        <v>329</v>
      </c>
      <c r="M281" s="150" t="s">
        <v>8528</v>
      </c>
      <c r="N281" s="150" t="s">
        <v>8529</v>
      </c>
      <c r="O281" s="133"/>
      <c r="P281" s="133"/>
      <c r="Q281" s="133"/>
      <c r="R281" s="133"/>
      <c r="S281" s="133"/>
      <c r="T281" s="133"/>
      <c r="U281" s="133"/>
      <c r="V281" s="133" t="s">
        <v>5122</v>
      </c>
      <c r="W281" s="133"/>
      <c r="X281" s="133"/>
      <c r="Y281" s="133"/>
      <c r="Z281" s="162" t="s">
        <v>120</v>
      </c>
    </row>
    <row r="282" customHeight="1" spans="1:26">
      <c r="A282" s="129" t="s">
        <v>8530</v>
      </c>
      <c r="B282" s="129">
        <v>2</v>
      </c>
      <c r="C282" s="129" t="s">
        <v>347</v>
      </c>
      <c r="D282" s="129"/>
      <c r="E282" s="129" t="s">
        <v>5122</v>
      </c>
      <c r="F282" s="130" t="s">
        <v>321</v>
      </c>
      <c r="G282" s="129" t="s">
        <v>337</v>
      </c>
      <c r="H282" s="129" t="s">
        <v>7526</v>
      </c>
      <c r="I282" s="129" t="s">
        <v>7527</v>
      </c>
      <c r="J282" s="129" t="s">
        <v>7539</v>
      </c>
      <c r="K282" s="166" t="s">
        <v>8531</v>
      </c>
      <c r="L282" s="147" t="s">
        <v>7661</v>
      </c>
      <c r="M282" s="146" t="s">
        <v>8532</v>
      </c>
      <c r="N282" s="146" t="s">
        <v>8533</v>
      </c>
      <c r="O282" s="129" t="s">
        <v>5122</v>
      </c>
      <c r="P282" s="129"/>
      <c r="Q282" s="129"/>
      <c r="R282" s="129"/>
      <c r="S282" s="129"/>
      <c r="T282" s="129" t="s">
        <v>5122</v>
      </c>
      <c r="U282" s="129"/>
      <c r="V282" s="129" t="s">
        <v>5122</v>
      </c>
      <c r="W282" s="129"/>
      <c r="X282" s="129"/>
      <c r="Y282" s="129"/>
      <c r="Z282" s="162" t="s">
        <v>8534</v>
      </c>
    </row>
    <row r="283" customHeight="1" spans="1:26">
      <c r="A283" s="123" t="s">
        <v>8535</v>
      </c>
      <c r="B283" s="123">
        <v>2</v>
      </c>
      <c r="C283" s="123" t="s">
        <v>324</v>
      </c>
      <c r="D283" s="123"/>
      <c r="E283" s="123"/>
      <c r="F283" s="124" t="s">
        <v>321</v>
      </c>
      <c r="G283" s="123" t="s">
        <v>362</v>
      </c>
      <c r="H283" s="123"/>
      <c r="I283" s="123" t="s">
        <v>7527</v>
      </c>
      <c r="J283" s="123" t="s">
        <v>7539</v>
      </c>
      <c r="K283" s="156" t="s">
        <v>8536</v>
      </c>
      <c r="L283" s="139" t="s">
        <v>323</v>
      </c>
      <c r="M283" s="141" t="s">
        <v>8537</v>
      </c>
      <c r="N283" s="141" t="s">
        <v>8538</v>
      </c>
      <c r="O283" s="123"/>
      <c r="P283" s="123"/>
      <c r="Q283" s="123"/>
      <c r="R283" s="123"/>
      <c r="S283" s="123"/>
      <c r="T283" s="123" t="s">
        <v>5122</v>
      </c>
      <c r="U283" s="123"/>
      <c r="V283" s="123" t="s">
        <v>5122</v>
      </c>
      <c r="W283" s="123"/>
      <c r="X283" s="123"/>
      <c r="Y283" s="123"/>
      <c r="Z283" s="162" t="s">
        <v>8534</v>
      </c>
    </row>
    <row r="284" customHeight="1" spans="1:26">
      <c r="A284" s="137" t="s">
        <v>8539</v>
      </c>
      <c r="B284" s="137">
        <v>2</v>
      </c>
      <c r="C284" s="137" t="s">
        <v>339</v>
      </c>
      <c r="D284" s="137"/>
      <c r="E284" s="137" t="s">
        <v>5122</v>
      </c>
      <c r="F284" s="138" t="s">
        <v>329</v>
      </c>
      <c r="G284" s="137" t="s">
        <v>322</v>
      </c>
      <c r="H284" s="137" t="s">
        <v>7526</v>
      </c>
      <c r="I284" s="137" t="s">
        <v>7527</v>
      </c>
      <c r="J284" s="137"/>
      <c r="K284" s="157"/>
      <c r="L284" s="155" t="s">
        <v>8512</v>
      </c>
      <c r="M284" s="154" t="s">
        <v>8540</v>
      </c>
      <c r="N284" s="154" t="s">
        <v>8541</v>
      </c>
      <c r="O284" s="137"/>
      <c r="P284" s="137"/>
      <c r="Q284" s="137"/>
      <c r="R284" s="137"/>
      <c r="S284" s="137"/>
      <c r="T284" s="137"/>
      <c r="U284" s="137" t="s">
        <v>5122</v>
      </c>
      <c r="V284" s="137" t="s">
        <v>5122</v>
      </c>
      <c r="W284" s="137"/>
      <c r="X284" s="137"/>
      <c r="Y284" s="137"/>
      <c r="Z284" s="162" t="s">
        <v>8542</v>
      </c>
    </row>
    <row r="285" customHeight="1" spans="1:26">
      <c r="A285" s="135" t="s">
        <v>8543</v>
      </c>
      <c r="B285" s="135">
        <v>2</v>
      </c>
      <c r="C285" s="135" t="s">
        <v>335</v>
      </c>
      <c r="D285" s="135"/>
      <c r="E285" s="135"/>
      <c r="F285" s="136" t="s">
        <v>321</v>
      </c>
      <c r="G285" s="135" t="s">
        <v>326</v>
      </c>
      <c r="H285" s="135" t="s">
        <v>7526</v>
      </c>
      <c r="I285" s="135" t="s">
        <v>7527</v>
      </c>
      <c r="J285" s="135" t="s">
        <v>7539</v>
      </c>
      <c r="K285" s="164" t="s">
        <v>8544</v>
      </c>
      <c r="L285" s="153" t="s">
        <v>338</v>
      </c>
      <c r="M285" s="152" t="s">
        <v>8545</v>
      </c>
      <c r="N285" s="152" t="s">
        <v>8546</v>
      </c>
      <c r="O285" s="135" t="s">
        <v>5122</v>
      </c>
      <c r="P285" s="135" t="s">
        <v>5122</v>
      </c>
      <c r="Q285" s="135"/>
      <c r="R285" s="135"/>
      <c r="S285" s="135"/>
      <c r="T285" s="135"/>
      <c r="U285" s="135" t="s">
        <v>5122</v>
      </c>
      <c r="V285" s="135" t="s">
        <v>5122</v>
      </c>
      <c r="W285" s="135"/>
      <c r="X285" s="135"/>
      <c r="Y285" s="135"/>
      <c r="Z285" s="162" t="s">
        <v>8075</v>
      </c>
    </row>
    <row r="286" customHeight="1" spans="1:26">
      <c r="A286" s="131" t="s">
        <v>8547</v>
      </c>
      <c r="B286" s="131">
        <v>2</v>
      </c>
      <c r="C286" s="131" t="s">
        <v>320</v>
      </c>
      <c r="D286" s="131"/>
      <c r="E286" s="131" t="s">
        <v>5122</v>
      </c>
      <c r="F286" s="132" t="s">
        <v>325</v>
      </c>
      <c r="G286" s="131" t="s">
        <v>326</v>
      </c>
      <c r="H286" s="131"/>
      <c r="I286" s="131" t="s">
        <v>7527</v>
      </c>
      <c r="J286" s="131"/>
      <c r="K286" s="159"/>
      <c r="L286" s="149" t="s">
        <v>7661</v>
      </c>
      <c r="M286" s="148" t="s">
        <v>8548</v>
      </c>
      <c r="N286" s="148" t="s">
        <v>8549</v>
      </c>
      <c r="O286" s="131" t="s">
        <v>5122</v>
      </c>
      <c r="P286" s="131"/>
      <c r="Q286" s="131"/>
      <c r="R286" s="131"/>
      <c r="S286" s="131"/>
      <c r="T286" s="131" t="s">
        <v>5122</v>
      </c>
      <c r="U286" s="131"/>
      <c r="V286" s="131" t="s">
        <v>5122</v>
      </c>
      <c r="W286" s="131" t="s">
        <v>5122</v>
      </c>
      <c r="X286" s="131"/>
      <c r="Y286" s="131"/>
      <c r="Z286" s="162" t="s">
        <v>8075</v>
      </c>
    </row>
    <row r="287" customHeight="1" spans="1:26">
      <c r="A287" s="137" t="s">
        <v>8550</v>
      </c>
      <c r="B287" s="137">
        <v>2</v>
      </c>
      <c r="C287" s="137" t="s">
        <v>339</v>
      </c>
      <c r="D287" s="137"/>
      <c r="E287" s="137"/>
      <c r="F287" s="138" t="s">
        <v>321</v>
      </c>
      <c r="G287" s="137" t="s">
        <v>340</v>
      </c>
      <c r="H287" s="137" t="s">
        <v>7526</v>
      </c>
      <c r="I287" s="137" t="s">
        <v>7527</v>
      </c>
      <c r="J287" s="137"/>
      <c r="K287" s="157"/>
      <c r="L287" s="155" t="s">
        <v>323</v>
      </c>
      <c r="M287" s="154" t="s">
        <v>8551</v>
      </c>
      <c r="N287" s="154" t="s">
        <v>8552</v>
      </c>
      <c r="O287" s="137"/>
      <c r="P287" s="137"/>
      <c r="Q287" s="137"/>
      <c r="R287" s="137"/>
      <c r="S287" s="137"/>
      <c r="T287" s="137" t="s">
        <v>5122</v>
      </c>
      <c r="U287" s="137"/>
      <c r="V287" s="137" t="s">
        <v>5122</v>
      </c>
      <c r="W287" s="137" t="s">
        <v>5122</v>
      </c>
      <c r="X287" s="137"/>
      <c r="Y287" s="137"/>
      <c r="Z287" s="162" t="s">
        <v>8075</v>
      </c>
    </row>
    <row r="288" customHeight="1" spans="1:26">
      <c r="A288" s="127" t="s">
        <v>8553</v>
      </c>
      <c r="B288" s="127">
        <v>2</v>
      </c>
      <c r="C288" s="127" t="s">
        <v>331</v>
      </c>
      <c r="D288" s="127"/>
      <c r="E288" s="127"/>
      <c r="F288" s="128" t="s">
        <v>321</v>
      </c>
      <c r="G288" s="127" t="s">
        <v>337</v>
      </c>
      <c r="H288" s="127" t="s">
        <v>7526</v>
      </c>
      <c r="I288" s="127" t="s">
        <v>7527</v>
      </c>
      <c r="J288" s="127" t="s">
        <v>7539</v>
      </c>
      <c r="K288" s="165" t="s">
        <v>8554</v>
      </c>
      <c r="L288" s="145" t="s">
        <v>323</v>
      </c>
      <c r="M288" s="144" t="s">
        <v>8555</v>
      </c>
      <c r="N288" s="144" t="s">
        <v>8556</v>
      </c>
      <c r="O288" s="127"/>
      <c r="P288" s="127"/>
      <c r="Q288" s="127" t="s">
        <v>5122</v>
      </c>
      <c r="R288" s="127"/>
      <c r="S288" s="127"/>
      <c r="T288" s="127" t="s">
        <v>5122</v>
      </c>
      <c r="U288" s="127"/>
      <c r="V288" s="127" t="s">
        <v>5122</v>
      </c>
      <c r="W288" s="127"/>
      <c r="X288" s="127"/>
      <c r="Y288" s="127"/>
      <c r="Z288" s="162" t="s">
        <v>8075</v>
      </c>
    </row>
    <row r="289" customHeight="1" spans="1:26">
      <c r="A289" s="137" t="s">
        <v>8557</v>
      </c>
      <c r="B289" s="137">
        <v>2</v>
      </c>
      <c r="C289" s="137" t="s">
        <v>339</v>
      </c>
      <c r="D289" s="137"/>
      <c r="E289" s="137"/>
      <c r="F289" s="138" t="s">
        <v>321</v>
      </c>
      <c r="G289" s="137" t="s">
        <v>8558</v>
      </c>
      <c r="H289" s="137" t="s">
        <v>7526</v>
      </c>
      <c r="I289" s="137" t="s">
        <v>7527</v>
      </c>
      <c r="J289" s="137" t="s">
        <v>7539</v>
      </c>
      <c r="K289" s="157" t="s">
        <v>8559</v>
      </c>
      <c r="L289" s="155" t="s">
        <v>323</v>
      </c>
      <c r="M289" s="154" t="s">
        <v>8560</v>
      </c>
      <c r="N289" s="154" t="s">
        <v>8561</v>
      </c>
      <c r="O289" s="137" t="s">
        <v>5122</v>
      </c>
      <c r="P289" s="137"/>
      <c r="Q289" s="137"/>
      <c r="R289" s="137"/>
      <c r="S289" s="137"/>
      <c r="T289" s="137" t="s">
        <v>5122</v>
      </c>
      <c r="U289" s="137" t="s">
        <v>5122</v>
      </c>
      <c r="V289" s="137" t="s">
        <v>5122</v>
      </c>
      <c r="W289" s="137"/>
      <c r="X289" s="137"/>
      <c r="Y289" s="137"/>
      <c r="Z289" s="162" t="s">
        <v>79</v>
      </c>
    </row>
    <row r="290" customHeight="1" spans="1:26">
      <c r="A290" s="137" t="s">
        <v>8562</v>
      </c>
      <c r="B290" s="137">
        <v>2</v>
      </c>
      <c r="C290" s="137" t="s">
        <v>339</v>
      </c>
      <c r="D290" s="137"/>
      <c r="E290" s="137"/>
      <c r="F290" s="138" t="s">
        <v>321</v>
      </c>
      <c r="G290" s="137" t="s">
        <v>337</v>
      </c>
      <c r="H290" s="137"/>
      <c r="I290" s="137" t="s">
        <v>7527</v>
      </c>
      <c r="J290" s="137"/>
      <c r="K290" s="157"/>
      <c r="L290" s="155" t="s">
        <v>344</v>
      </c>
      <c r="M290" s="154" t="s">
        <v>8563</v>
      </c>
      <c r="N290" s="154" t="s">
        <v>8564</v>
      </c>
      <c r="O290" s="137"/>
      <c r="P290" s="137"/>
      <c r="Q290" s="137" t="s">
        <v>5122</v>
      </c>
      <c r="R290" s="137"/>
      <c r="S290" s="137" t="s">
        <v>5122</v>
      </c>
      <c r="T290" s="137" t="s">
        <v>5122</v>
      </c>
      <c r="U290" s="137"/>
      <c r="V290" s="137" t="s">
        <v>5122</v>
      </c>
      <c r="W290" s="137" t="s">
        <v>5122</v>
      </c>
      <c r="X290" s="137"/>
      <c r="Y290" s="137"/>
      <c r="Z290" s="162" t="s">
        <v>8565</v>
      </c>
    </row>
    <row r="291" customHeight="1" spans="1:26">
      <c r="A291" s="135" t="s">
        <v>8566</v>
      </c>
      <c r="B291" s="135">
        <v>2</v>
      </c>
      <c r="C291" s="135" t="s">
        <v>335</v>
      </c>
      <c r="D291" s="135"/>
      <c r="E291" s="135" t="s">
        <v>5122</v>
      </c>
      <c r="F291" s="136" t="s">
        <v>321</v>
      </c>
      <c r="G291" s="135" t="s">
        <v>326</v>
      </c>
      <c r="H291" s="135" t="s">
        <v>7526</v>
      </c>
      <c r="I291" s="135" t="s">
        <v>7527</v>
      </c>
      <c r="J291" s="135" t="s">
        <v>7539</v>
      </c>
      <c r="K291" s="164" t="s">
        <v>8567</v>
      </c>
      <c r="L291" s="153" t="s">
        <v>352</v>
      </c>
      <c r="M291" s="152" t="s">
        <v>8568</v>
      </c>
      <c r="N291" s="152" t="s">
        <v>8569</v>
      </c>
      <c r="O291" s="135"/>
      <c r="P291" s="135"/>
      <c r="Q291" s="135"/>
      <c r="R291" s="135"/>
      <c r="S291" s="135"/>
      <c r="T291" s="135" t="s">
        <v>5122</v>
      </c>
      <c r="U291" s="135" t="s">
        <v>5122</v>
      </c>
      <c r="V291" s="135" t="s">
        <v>5122</v>
      </c>
      <c r="W291" s="135"/>
      <c r="X291" s="135"/>
      <c r="Y291" s="135"/>
      <c r="Z291" s="162" t="s">
        <v>136</v>
      </c>
    </row>
    <row r="292" customHeight="1" spans="1:26">
      <c r="A292" s="135" t="s">
        <v>8570</v>
      </c>
      <c r="B292" s="135">
        <v>2</v>
      </c>
      <c r="C292" s="135" t="s">
        <v>335</v>
      </c>
      <c r="D292" s="135"/>
      <c r="E292" s="135"/>
      <c r="F292" s="136" t="s">
        <v>329</v>
      </c>
      <c r="G292" s="135" t="s">
        <v>337</v>
      </c>
      <c r="H292" s="135" t="s">
        <v>7526</v>
      </c>
      <c r="I292" s="135" t="s">
        <v>7527</v>
      </c>
      <c r="J292" s="135" t="s">
        <v>7539</v>
      </c>
      <c r="K292" s="153" t="s">
        <v>8571</v>
      </c>
      <c r="L292" s="153" t="s">
        <v>338</v>
      </c>
      <c r="M292" s="152" t="s">
        <v>8572</v>
      </c>
      <c r="N292" s="167" t="s">
        <v>8573</v>
      </c>
      <c r="O292" s="135"/>
      <c r="P292" s="135"/>
      <c r="Q292" s="135"/>
      <c r="R292" s="135"/>
      <c r="S292" s="135"/>
      <c r="T292" s="135"/>
      <c r="U292" s="135"/>
      <c r="V292" s="135" t="s">
        <v>5122</v>
      </c>
      <c r="W292" s="135"/>
      <c r="X292" s="135"/>
      <c r="Y292" s="135"/>
      <c r="Z292" s="162" t="s">
        <v>7693</v>
      </c>
    </row>
    <row r="293" customHeight="1" spans="1:26">
      <c r="A293" s="131" t="s">
        <v>8574</v>
      </c>
      <c r="B293" s="131">
        <v>2</v>
      </c>
      <c r="C293" s="131" t="s">
        <v>320</v>
      </c>
      <c r="D293" s="131"/>
      <c r="E293" s="131"/>
      <c r="F293" s="132" t="s">
        <v>321</v>
      </c>
      <c r="G293" s="131" t="s">
        <v>322</v>
      </c>
      <c r="H293" s="131" t="s">
        <v>7526</v>
      </c>
      <c r="I293" s="131" t="s">
        <v>7527</v>
      </c>
      <c r="J293" s="131" t="s">
        <v>7539</v>
      </c>
      <c r="K293" s="149" t="s">
        <v>8575</v>
      </c>
      <c r="L293" s="149" t="s">
        <v>338</v>
      </c>
      <c r="M293" s="148" t="s">
        <v>8576</v>
      </c>
      <c r="N293" s="168" t="s">
        <v>8577</v>
      </c>
      <c r="O293" s="131"/>
      <c r="P293" s="131"/>
      <c r="Q293" s="131"/>
      <c r="R293" s="131"/>
      <c r="S293" s="131"/>
      <c r="T293" s="131"/>
      <c r="U293" s="131"/>
      <c r="V293" s="131" t="s">
        <v>5122</v>
      </c>
      <c r="W293" s="131"/>
      <c r="X293" s="131"/>
      <c r="Y293" s="131"/>
      <c r="Z293" s="162" t="s">
        <v>7693</v>
      </c>
    </row>
    <row r="294" customHeight="1" spans="1:26">
      <c r="A294" s="137" t="s">
        <v>8578</v>
      </c>
      <c r="B294" s="137">
        <v>2</v>
      </c>
      <c r="C294" s="137" t="s">
        <v>339</v>
      </c>
      <c r="D294" s="137" t="s">
        <v>5122</v>
      </c>
      <c r="E294" s="137" t="s">
        <v>5122</v>
      </c>
      <c r="F294" s="138" t="s">
        <v>332</v>
      </c>
      <c r="G294" s="137" t="s">
        <v>326</v>
      </c>
      <c r="H294" s="137"/>
      <c r="I294" s="137" t="s">
        <v>7527</v>
      </c>
      <c r="J294" s="137"/>
      <c r="K294" s="155"/>
      <c r="L294" s="155" t="s">
        <v>8512</v>
      </c>
      <c r="M294" s="154" t="s">
        <v>8579</v>
      </c>
      <c r="N294" s="170" t="s">
        <v>8580</v>
      </c>
      <c r="O294" s="137"/>
      <c r="P294" s="137"/>
      <c r="Q294" s="137"/>
      <c r="R294" s="137"/>
      <c r="S294" s="137"/>
      <c r="T294" s="137"/>
      <c r="U294" s="137"/>
      <c r="V294" s="137" t="s">
        <v>5122</v>
      </c>
      <c r="W294" s="137"/>
      <c r="X294" s="137"/>
      <c r="Y294" s="137"/>
      <c r="Z294" s="162" t="s">
        <v>7693</v>
      </c>
    </row>
    <row r="295" customHeight="1" spans="1:26">
      <c r="A295" s="137" t="s">
        <v>8581</v>
      </c>
      <c r="B295" s="137">
        <v>2</v>
      </c>
      <c r="C295" s="137" t="s">
        <v>339</v>
      </c>
      <c r="D295" s="137"/>
      <c r="E295" s="137" t="s">
        <v>5122</v>
      </c>
      <c r="F295" s="138" t="s">
        <v>321</v>
      </c>
      <c r="G295" s="137" t="s">
        <v>343</v>
      </c>
      <c r="H295" s="137" t="s">
        <v>7526</v>
      </c>
      <c r="I295" s="137" t="s">
        <v>7527</v>
      </c>
      <c r="J295" s="137"/>
      <c r="K295" s="154"/>
      <c r="L295" s="155" t="s">
        <v>8037</v>
      </c>
      <c r="M295" s="154" t="s">
        <v>8582</v>
      </c>
      <c r="N295" s="154" t="s">
        <v>8583</v>
      </c>
      <c r="O295" s="137"/>
      <c r="P295" s="137"/>
      <c r="Q295" s="137"/>
      <c r="R295" s="137"/>
      <c r="S295" s="137"/>
      <c r="T295" s="137" t="s">
        <v>5122</v>
      </c>
      <c r="U295" s="137" t="s">
        <v>5122</v>
      </c>
      <c r="V295" s="137" t="s">
        <v>5122</v>
      </c>
      <c r="W295" s="137"/>
      <c r="X295" s="137"/>
      <c r="Y295" s="137"/>
      <c r="Z295" s="118" t="s">
        <v>111</v>
      </c>
    </row>
    <row r="296" customHeight="1" spans="1:26">
      <c r="A296" s="137" t="s">
        <v>8584</v>
      </c>
      <c r="B296" s="137">
        <v>2</v>
      </c>
      <c r="C296" s="137" t="s">
        <v>339</v>
      </c>
      <c r="D296" s="137"/>
      <c r="E296" s="137" t="s">
        <v>5122</v>
      </c>
      <c r="F296" s="138" t="s">
        <v>325</v>
      </c>
      <c r="G296" s="137" t="s">
        <v>343</v>
      </c>
      <c r="H296" s="137" t="s">
        <v>7526</v>
      </c>
      <c r="I296" s="137" t="s">
        <v>7527</v>
      </c>
      <c r="J296" s="137"/>
      <c r="K296" s="154"/>
      <c r="L296" s="155" t="s">
        <v>7661</v>
      </c>
      <c r="M296" s="154" t="s">
        <v>8585</v>
      </c>
      <c r="N296" s="154" t="s">
        <v>8586</v>
      </c>
      <c r="O296" s="137"/>
      <c r="P296" s="137"/>
      <c r="Q296" s="137"/>
      <c r="R296" s="137"/>
      <c r="S296" s="137"/>
      <c r="T296" s="137" t="s">
        <v>5122</v>
      </c>
      <c r="U296" s="137" t="s">
        <v>5122</v>
      </c>
      <c r="V296" s="137" t="s">
        <v>5122</v>
      </c>
      <c r="W296" s="137"/>
      <c r="X296" s="137"/>
      <c r="Y296" s="137"/>
      <c r="Z296" s="118" t="s">
        <v>111</v>
      </c>
    </row>
    <row r="297" customHeight="1" spans="1:26">
      <c r="A297" s="137" t="s">
        <v>8587</v>
      </c>
      <c r="B297" s="137">
        <v>2</v>
      </c>
      <c r="C297" s="137" t="s">
        <v>339</v>
      </c>
      <c r="D297" s="137"/>
      <c r="E297" s="137"/>
      <c r="F297" s="138" t="s">
        <v>325</v>
      </c>
      <c r="G297" s="137" t="s">
        <v>326</v>
      </c>
      <c r="H297" s="137" t="s">
        <v>7526</v>
      </c>
      <c r="I297" s="137"/>
      <c r="J297" s="137"/>
      <c r="K297" s="154"/>
      <c r="L297" s="155" t="s">
        <v>338</v>
      </c>
      <c r="M297" s="154" t="s">
        <v>8588</v>
      </c>
      <c r="N297" s="154" t="s">
        <v>8589</v>
      </c>
      <c r="O297" s="137" t="s">
        <v>5122</v>
      </c>
      <c r="P297" s="137"/>
      <c r="Q297" s="137" t="s">
        <v>5122</v>
      </c>
      <c r="R297" s="137"/>
      <c r="S297" s="137" t="s">
        <v>5122</v>
      </c>
      <c r="T297" s="137" t="s">
        <v>5122</v>
      </c>
      <c r="U297" s="137" t="s">
        <v>5122</v>
      </c>
      <c r="V297" s="137" t="s">
        <v>5122</v>
      </c>
      <c r="W297" s="137"/>
      <c r="X297" s="137"/>
      <c r="Y297" s="137"/>
      <c r="Z297" s="118" t="s">
        <v>111</v>
      </c>
    </row>
    <row r="298" customHeight="1" spans="1:26">
      <c r="A298" s="137" t="s">
        <v>8590</v>
      </c>
      <c r="B298" s="137">
        <v>2</v>
      </c>
      <c r="C298" s="137" t="s">
        <v>339</v>
      </c>
      <c r="D298" s="137"/>
      <c r="E298" s="137"/>
      <c r="F298" s="138" t="s">
        <v>321</v>
      </c>
      <c r="G298" s="137" t="s">
        <v>343</v>
      </c>
      <c r="H298" s="137" t="s">
        <v>7526</v>
      </c>
      <c r="I298" s="137" t="s">
        <v>7527</v>
      </c>
      <c r="J298" s="137" t="s">
        <v>7539</v>
      </c>
      <c r="K298" s="154" t="s">
        <v>8591</v>
      </c>
      <c r="L298" s="155" t="s">
        <v>329</v>
      </c>
      <c r="M298" s="154" t="s">
        <v>8592</v>
      </c>
      <c r="N298" s="154" t="s">
        <v>8593</v>
      </c>
      <c r="O298" s="137"/>
      <c r="P298" s="137"/>
      <c r="Q298" s="137" t="s">
        <v>5122</v>
      </c>
      <c r="R298" s="137"/>
      <c r="S298" s="137" t="s">
        <v>5122</v>
      </c>
      <c r="T298" s="137" t="s">
        <v>5122</v>
      </c>
      <c r="U298" s="137"/>
      <c r="V298" s="137" t="s">
        <v>5122</v>
      </c>
      <c r="W298" s="137"/>
      <c r="X298" s="137"/>
      <c r="Y298" s="137" t="s">
        <v>5122</v>
      </c>
      <c r="Z298" s="118" t="s">
        <v>72</v>
      </c>
    </row>
    <row r="299" customHeight="1" spans="1:26">
      <c r="A299" s="123" t="s">
        <v>8594</v>
      </c>
      <c r="B299" s="123">
        <v>2</v>
      </c>
      <c r="C299" s="123" t="s">
        <v>324</v>
      </c>
      <c r="D299" s="123"/>
      <c r="E299" s="123" t="s">
        <v>5122</v>
      </c>
      <c r="F299" s="124" t="s">
        <v>321</v>
      </c>
      <c r="G299" s="123" t="s">
        <v>326</v>
      </c>
      <c r="H299" s="123"/>
      <c r="I299" s="123" t="s">
        <v>7527</v>
      </c>
      <c r="J299" s="123"/>
      <c r="K299" s="141"/>
      <c r="L299" s="139" t="s">
        <v>352</v>
      </c>
      <c r="M299" s="141" t="s">
        <v>8595</v>
      </c>
      <c r="N299" s="141" t="s">
        <v>8596</v>
      </c>
      <c r="O299" s="123"/>
      <c r="P299" s="123"/>
      <c r="Q299" s="123"/>
      <c r="R299" s="123"/>
      <c r="S299" s="123"/>
      <c r="T299" s="123" t="s">
        <v>5122</v>
      </c>
      <c r="U299" s="123" t="s">
        <v>5122</v>
      </c>
      <c r="V299" s="123" t="s">
        <v>5122</v>
      </c>
      <c r="W299" s="123"/>
      <c r="X299" s="123"/>
      <c r="Y299" s="123" t="s">
        <v>5122</v>
      </c>
      <c r="Z299" s="118" t="s">
        <v>72</v>
      </c>
    </row>
    <row r="300" customHeight="1" spans="1:26">
      <c r="A300" s="127" t="s">
        <v>8597</v>
      </c>
      <c r="B300" s="127">
        <v>2</v>
      </c>
      <c r="C300" s="127" t="s">
        <v>331</v>
      </c>
      <c r="D300" s="127"/>
      <c r="E300" s="127"/>
      <c r="F300" s="128" t="s">
        <v>321</v>
      </c>
      <c r="G300" s="127" t="s">
        <v>337</v>
      </c>
      <c r="H300" s="127"/>
      <c r="I300" s="127" t="s">
        <v>7527</v>
      </c>
      <c r="J300" s="127" t="s">
        <v>7539</v>
      </c>
      <c r="K300" s="144" t="s">
        <v>8598</v>
      </c>
      <c r="L300" s="145" t="s">
        <v>323</v>
      </c>
      <c r="M300" s="144" t="s">
        <v>8599</v>
      </c>
      <c r="N300" s="144" t="s">
        <v>8600</v>
      </c>
      <c r="O300" s="127" t="s">
        <v>5122</v>
      </c>
      <c r="P300" s="127" t="s">
        <v>5122</v>
      </c>
      <c r="Q300" s="127"/>
      <c r="R300" s="127"/>
      <c r="S300" s="127"/>
      <c r="T300" s="127"/>
      <c r="U300" s="127" t="s">
        <v>5122</v>
      </c>
      <c r="V300" s="127"/>
      <c r="W300" s="127"/>
      <c r="X300" s="127"/>
      <c r="Y300" s="127" t="s">
        <v>5122</v>
      </c>
      <c r="Z300" s="118" t="s">
        <v>72</v>
      </c>
    </row>
    <row r="301" customHeight="1" spans="1:26">
      <c r="A301" s="125" t="s">
        <v>8601</v>
      </c>
      <c r="B301" s="125">
        <v>2</v>
      </c>
      <c r="C301" s="125" t="s">
        <v>328</v>
      </c>
      <c r="D301" s="125"/>
      <c r="E301" s="125"/>
      <c r="F301" s="126" t="s">
        <v>321</v>
      </c>
      <c r="G301" s="125" t="s">
        <v>333</v>
      </c>
      <c r="H301" s="125"/>
      <c r="I301" s="125" t="s">
        <v>7527</v>
      </c>
      <c r="J301" s="125" t="s">
        <v>7539</v>
      </c>
      <c r="K301" s="142" t="s">
        <v>8602</v>
      </c>
      <c r="L301" s="143" t="s">
        <v>8603</v>
      </c>
      <c r="M301" s="142" t="s">
        <v>8604</v>
      </c>
      <c r="N301" s="142" t="s">
        <v>8605</v>
      </c>
      <c r="O301" s="125"/>
      <c r="P301" s="125" t="s">
        <v>5122</v>
      </c>
      <c r="Q301" s="125" t="s">
        <v>5122</v>
      </c>
      <c r="R301" s="125" t="s">
        <v>5122</v>
      </c>
      <c r="S301" s="125"/>
      <c r="T301" s="125"/>
      <c r="U301" s="125"/>
      <c r="V301" s="125" t="s">
        <v>5122</v>
      </c>
      <c r="W301" s="125"/>
      <c r="X301" s="125"/>
      <c r="Y301" s="125" t="s">
        <v>5122</v>
      </c>
      <c r="Z301" s="118" t="s">
        <v>72</v>
      </c>
    </row>
    <row r="302" customHeight="1" spans="1:26">
      <c r="A302" s="127" t="s">
        <v>8606</v>
      </c>
      <c r="B302" s="127">
        <v>2</v>
      </c>
      <c r="C302" s="127" t="s">
        <v>331</v>
      </c>
      <c r="D302" s="127"/>
      <c r="E302" s="127"/>
      <c r="F302" s="128" t="s">
        <v>321</v>
      </c>
      <c r="G302" s="127" t="s">
        <v>333</v>
      </c>
      <c r="H302" s="127" t="s">
        <v>7526</v>
      </c>
      <c r="I302" s="127" t="s">
        <v>7527</v>
      </c>
      <c r="J302" s="127"/>
      <c r="K302" s="144"/>
      <c r="L302" s="145" t="s">
        <v>323</v>
      </c>
      <c r="M302" s="144" t="s">
        <v>8607</v>
      </c>
      <c r="N302" s="144" t="s">
        <v>8608</v>
      </c>
      <c r="O302" s="127"/>
      <c r="P302" s="127"/>
      <c r="Q302" s="127"/>
      <c r="R302" s="127"/>
      <c r="S302" s="127"/>
      <c r="T302" s="127" t="s">
        <v>5122</v>
      </c>
      <c r="U302" s="127"/>
      <c r="V302" s="127" t="s">
        <v>5122</v>
      </c>
      <c r="W302" s="127"/>
      <c r="X302" s="127"/>
      <c r="Y302" s="127" t="s">
        <v>5122</v>
      </c>
      <c r="Z302" s="118" t="s">
        <v>72</v>
      </c>
    </row>
    <row r="303" customHeight="1" spans="1:26">
      <c r="A303" s="123" t="s">
        <v>8609</v>
      </c>
      <c r="B303" s="123">
        <v>2</v>
      </c>
      <c r="C303" s="123" t="s">
        <v>324</v>
      </c>
      <c r="D303" s="123"/>
      <c r="E303" s="123"/>
      <c r="F303" s="124" t="s">
        <v>321</v>
      </c>
      <c r="G303" s="123" t="s">
        <v>333</v>
      </c>
      <c r="H303" s="123" t="s">
        <v>7526</v>
      </c>
      <c r="I303" s="123" t="s">
        <v>7527</v>
      </c>
      <c r="J303" s="123"/>
      <c r="K303" s="141"/>
      <c r="L303" s="139" t="s">
        <v>323</v>
      </c>
      <c r="M303" s="141" t="s">
        <v>8610</v>
      </c>
      <c r="N303" s="141" t="s">
        <v>8611</v>
      </c>
      <c r="O303" s="123" t="s">
        <v>5122</v>
      </c>
      <c r="P303" s="123"/>
      <c r="Q303" s="123"/>
      <c r="R303" s="123"/>
      <c r="S303" s="123"/>
      <c r="T303" s="123" t="s">
        <v>5122</v>
      </c>
      <c r="U303" s="123"/>
      <c r="V303" s="123" t="s">
        <v>5122</v>
      </c>
      <c r="W303" s="123"/>
      <c r="X303" s="123"/>
      <c r="Y303" s="123"/>
      <c r="Z303" s="118" t="s">
        <v>103</v>
      </c>
    </row>
    <row r="304" customHeight="1" spans="1:26">
      <c r="A304" s="131" t="s">
        <v>8612</v>
      </c>
      <c r="B304" s="131">
        <v>2</v>
      </c>
      <c r="C304" s="131" t="s">
        <v>320</v>
      </c>
      <c r="D304" s="131"/>
      <c r="E304" s="131"/>
      <c r="F304" s="132" t="s">
        <v>321</v>
      </c>
      <c r="G304" s="131" t="s">
        <v>337</v>
      </c>
      <c r="H304" s="131" t="s">
        <v>7526</v>
      </c>
      <c r="I304" s="131" t="s">
        <v>7527</v>
      </c>
      <c r="J304" s="131" t="s">
        <v>7539</v>
      </c>
      <c r="K304" s="148" t="s">
        <v>8613</v>
      </c>
      <c r="L304" s="149" t="s">
        <v>323</v>
      </c>
      <c r="M304" s="148" t="s">
        <v>8614</v>
      </c>
      <c r="N304" s="148" t="s">
        <v>8615</v>
      </c>
      <c r="O304" s="131" t="s">
        <v>5122</v>
      </c>
      <c r="P304" s="131"/>
      <c r="Q304" s="131"/>
      <c r="R304" s="131"/>
      <c r="S304" s="131"/>
      <c r="T304" s="131" t="s">
        <v>5122</v>
      </c>
      <c r="U304" s="131"/>
      <c r="V304" s="131" t="s">
        <v>5122</v>
      </c>
      <c r="W304" s="131"/>
      <c r="X304" s="131"/>
      <c r="Y304" s="131"/>
      <c r="Z304" s="118" t="s">
        <v>103</v>
      </c>
    </row>
    <row r="305" customHeight="1" spans="1:26">
      <c r="A305" s="133" t="s">
        <v>8616</v>
      </c>
      <c r="B305" s="133">
        <v>2</v>
      </c>
      <c r="C305" s="133" t="s">
        <v>342</v>
      </c>
      <c r="D305" s="133"/>
      <c r="E305" s="133"/>
      <c r="F305" s="134" t="s">
        <v>321</v>
      </c>
      <c r="G305" s="133" t="s">
        <v>333</v>
      </c>
      <c r="H305" s="133" t="s">
        <v>7526</v>
      </c>
      <c r="I305" s="133" t="s">
        <v>7527</v>
      </c>
      <c r="J305" s="133" t="s">
        <v>7539</v>
      </c>
      <c r="K305" s="150" t="s">
        <v>8617</v>
      </c>
      <c r="L305" s="151" t="s">
        <v>323</v>
      </c>
      <c r="M305" s="150" t="s">
        <v>8618</v>
      </c>
      <c r="N305" s="150" t="s">
        <v>8619</v>
      </c>
      <c r="O305" s="133" t="s">
        <v>5122</v>
      </c>
      <c r="P305" s="133"/>
      <c r="Q305" s="133"/>
      <c r="R305" s="133"/>
      <c r="S305" s="133"/>
      <c r="T305" s="133"/>
      <c r="U305" s="133"/>
      <c r="V305" s="133" t="s">
        <v>5122</v>
      </c>
      <c r="W305" s="133"/>
      <c r="X305" s="133"/>
      <c r="Y305" s="133"/>
      <c r="Z305" s="118" t="s">
        <v>103</v>
      </c>
    </row>
    <row r="306" customHeight="1" spans="1:26">
      <c r="A306" s="131" t="s">
        <v>8620</v>
      </c>
      <c r="B306" s="131">
        <v>2</v>
      </c>
      <c r="C306" s="131" t="s">
        <v>320</v>
      </c>
      <c r="D306" s="131"/>
      <c r="E306" s="131"/>
      <c r="F306" s="132" t="s">
        <v>8621</v>
      </c>
      <c r="G306" s="131" t="s">
        <v>337</v>
      </c>
      <c r="H306" s="131" t="s">
        <v>7526</v>
      </c>
      <c r="I306" s="131" t="s">
        <v>7527</v>
      </c>
      <c r="J306" s="131" t="s">
        <v>7539</v>
      </c>
      <c r="K306" s="148" t="s">
        <v>8622</v>
      </c>
      <c r="L306" s="149" t="s">
        <v>323</v>
      </c>
      <c r="M306" s="148" t="s">
        <v>8623</v>
      </c>
      <c r="N306" s="148" t="s">
        <v>8624</v>
      </c>
      <c r="O306" s="131" t="s">
        <v>5122</v>
      </c>
      <c r="P306" s="131"/>
      <c r="Q306" s="131"/>
      <c r="R306" s="131"/>
      <c r="S306" s="131"/>
      <c r="T306" s="131"/>
      <c r="U306" s="131"/>
      <c r="V306" s="131" t="s">
        <v>5122</v>
      </c>
      <c r="W306" s="131"/>
      <c r="X306" s="131"/>
      <c r="Y306" s="131"/>
      <c r="Z306" s="118" t="s">
        <v>103</v>
      </c>
    </row>
    <row r="307" customHeight="1" spans="1:26">
      <c r="A307" s="137" t="s">
        <v>8625</v>
      </c>
      <c r="B307" s="137">
        <v>2</v>
      </c>
      <c r="C307" s="137" t="s">
        <v>339</v>
      </c>
      <c r="D307" s="137"/>
      <c r="E307" s="137"/>
      <c r="F307" s="138" t="s">
        <v>321</v>
      </c>
      <c r="G307" s="137" t="s">
        <v>7535</v>
      </c>
      <c r="H307" s="137" t="s">
        <v>7526</v>
      </c>
      <c r="I307" s="137" t="s">
        <v>7527</v>
      </c>
      <c r="J307" s="137" t="s">
        <v>7539</v>
      </c>
      <c r="K307" s="154" t="s">
        <v>8626</v>
      </c>
      <c r="L307" s="155" t="s">
        <v>341</v>
      </c>
      <c r="M307" s="154" t="s">
        <v>8627</v>
      </c>
      <c r="N307" s="154" t="s">
        <v>8628</v>
      </c>
      <c r="O307" s="137" t="s">
        <v>5122</v>
      </c>
      <c r="P307" s="137"/>
      <c r="Q307" s="137"/>
      <c r="R307" s="137"/>
      <c r="S307" s="137" t="s">
        <v>5122</v>
      </c>
      <c r="T307" s="137"/>
      <c r="U307" s="137"/>
      <c r="V307" s="137" t="s">
        <v>5122</v>
      </c>
      <c r="W307" s="137"/>
      <c r="X307" s="137"/>
      <c r="Y307" s="137"/>
      <c r="Z307" s="118" t="s">
        <v>103</v>
      </c>
    </row>
    <row r="308" customHeight="1" spans="1:26">
      <c r="A308" s="137" t="s">
        <v>8629</v>
      </c>
      <c r="B308" s="137">
        <v>2</v>
      </c>
      <c r="C308" s="137" t="s">
        <v>339</v>
      </c>
      <c r="D308" s="137"/>
      <c r="E308" s="137"/>
      <c r="F308" s="138" t="s">
        <v>325</v>
      </c>
      <c r="G308" s="137" t="s">
        <v>326</v>
      </c>
      <c r="H308" s="137" t="s">
        <v>7526</v>
      </c>
      <c r="I308" s="137" t="s">
        <v>7527</v>
      </c>
      <c r="J308" s="137"/>
      <c r="K308" s="154"/>
      <c r="L308" s="155" t="s">
        <v>327</v>
      </c>
      <c r="M308" s="154" t="s">
        <v>8630</v>
      </c>
      <c r="N308" s="154" t="s">
        <v>8631</v>
      </c>
      <c r="O308" s="137"/>
      <c r="P308" s="137"/>
      <c r="Q308" s="137"/>
      <c r="R308" s="137"/>
      <c r="S308" s="137"/>
      <c r="T308" s="137" t="s">
        <v>5122</v>
      </c>
      <c r="U308" s="137"/>
      <c r="V308" s="137" t="s">
        <v>5122</v>
      </c>
      <c r="W308" s="137"/>
      <c r="X308" s="137"/>
      <c r="Y308" s="137"/>
      <c r="Z308" s="118" t="s">
        <v>103</v>
      </c>
    </row>
    <row r="309" customHeight="1" spans="1:26">
      <c r="A309" s="131" t="s">
        <v>8632</v>
      </c>
      <c r="B309" s="131">
        <v>2</v>
      </c>
      <c r="C309" s="131" t="s">
        <v>320</v>
      </c>
      <c r="D309" s="131"/>
      <c r="E309" s="131"/>
      <c r="F309" s="132" t="s">
        <v>321</v>
      </c>
      <c r="G309" s="131" t="s">
        <v>333</v>
      </c>
      <c r="H309" s="131" t="s">
        <v>7526</v>
      </c>
      <c r="I309" s="131" t="s">
        <v>7527</v>
      </c>
      <c r="J309" s="131"/>
      <c r="K309" s="148"/>
      <c r="L309" s="149" t="s">
        <v>338</v>
      </c>
      <c r="M309" s="148" t="s">
        <v>8633</v>
      </c>
      <c r="N309" s="148" t="s">
        <v>8634</v>
      </c>
      <c r="O309" s="131" t="s">
        <v>5122</v>
      </c>
      <c r="P309" s="131" t="s">
        <v>5122</v>
      </c>
      <c r="Q309" s="131" t="s">
        <v>5122</v>
      </c>
      <c r="R309" s="131"/>
      <c r="S309" s="131" t="s">
        <v>5122</v>
      </c>
      <c r="T309" s="131"/>
      <c r="U309" s="131"/>
      <c r="V309" s="131" t="s">
        <v>5122</v>
      </c>
      <c r="W309" s="131"/>
      <c r="X309" s="131"/>
      <c r="Y309" s="131"/>
      <c r="Z309" s="118" t="s">
        <v>95</v>
      </c>
    </row>
    <row r="310" customHeight="1" spans="1:26">
      <c r="A310" s="131" t="s">
        <v>8635</v>
      </c>
      <c r="B310" s="131">
        <v>2</v>
      </c>
      <c r="C310" s="131" t="s">
        <v>320</v>
      </c>
      <c r="D310" s="131"/>
      <c r="E310" s="131" t="s">
        <v>5122</v>
      </c>
      <c r="F310" s="132" t="s">
        <v>321</v>
      </c>
      <c r="G310" s="131" t="s">
        <v>333</v>
      </c>
      <c r="H310" s="131"/>
      <c r="I310" s="131" t="s">
        <v>7527</v>
      </c>
      <c r="J310" s="131"/>
      <c r="K310" s="148"/>
      <c r="L310" s="149" t="s">
        <v>359</v>
      </c>
      <c r="M310" s="148" t="s">
        <v>8636</v>
      </c>
      <c r="N310" s="148" t="s">
        <v>8637</v>
      </c>
      <c r="O310" s="131" t="s">
        <v>5122</v>
      </c>
      <c r="P310" s="131"/>
      <c r="Q310" s="131" t="s">
        <v>5122</v>
      </c>
      <c r="R310" s="131"/>
      <c r="S310" s="131" t="s">
        <v>5122</v>
      </c>
      <c r="T310" s="131"/>
      <c r="U310" s="131"/>
      <c r="V310" s="131" t="s">
        <v>5122</v>
      </c>
      <c r="W310" s="131"/>
      <c r="X310" s="131"/>
      <c r="Y310" s="131"/>
      <c r="Z310" s="118" t="s">
        <v>95</v>
      </c>
    </row>
    <row r="311" customHeight="1" spans="1:26">
      <c r="A311" s="133" t="s">
        <v>8638</v>
      </c>
      <c r="B311" s="133">
        <v>2</v>
      </c>
      <c r="C311" s="133" t="s">
        <v>342</v>
      </c>
      <c r="D311" s="133"/>
      <c r="E311" s="133" t="s">
        <v>5122</v>
      </c>
      <c r="F311" s="134" t="s">
        <v>321</v>
      </c>
      <c r="G311" s="133" t="s">
        <v>337</v>
      </c>
      <c r="H311" s="133" t="s">
        <v>7526</v>
      </c>
      <c r="I311" s="133" t="s">
        <v>7527</v>
      </c>
      <c r="J311" s="133" t="s">
        <v>7539</v>
      </c>
      <c r="K311" s="150" t="s">
        <v>8639</v>
      </c>
      <c r="L311" s="151" t="s">
        <v>359</v>
      </c>
      <c r="M311" s="150" t="s">
        <v>8640</v>
      </c>
      <c r="N311" s="150" t="s">
        <v>8641</v>
      </c>
      <c r="O311" s="133"/>
      <c r="P311" s="133"/>
      <c r="Q311" s="133" t="s">
        <v>5122</v>
      </c>
      <c r="R311" s="133"/>
      <c r="S311" s="133" t="s">
        <v>5122</v>
      </c>
      <c r="T311" s="133" t="s">
        <v>5122</v>
      </c>
      <c r="U311" s="133"/>
      <c r="V311" s="133"/>
      <c r="W311" s="133"/>
      <c r="X311" s="133"/>
      <c r="Y311" s="133"/>
      <c r="Z311" s="118" t="s">
        <v>95</v>
      </c>
    </row>
    <row r="312" customHeight="1" spans="1:26">
      <c r="A312" s="125" t="s">
        <v>8642</v>
      </c>
      <c r="B312" s="125">
        <v>2</v>
      </c>
      <c r="C312" s="125" t="s">
        <v>328</v>
      </c>
      <c r="D312" s="125"/>
      <c r="E312" s="125"/>
      <c r="F312" s="126" t="s">
        <v>334</v>
      </c>
      <c r="G312" s="125" t="s">
        <v>7731</v>
      </c>
      <c r="H312" s="125" t="s">
        <v>7526</v>
      </c>
      <c r="I312" s="125" t="s">
        <v>7527</v>
      </c>
      <c r="J312" s="125" t="s">
        <v>7539</v>
      </c>
      <c r="K312" s="142" t="s">
        <v>8643</v>
      </c>
      <c r="L312" s="143" t="s">
        <v>338</v>
      </c>
      <c r="M312" s="142" t="s">
        <v>8644</v>
      </c>
      <c r="N312" s="142" t="s">
        <v>8645</v>
      </c>
      <c r="O312" s="125" t="s">
        <v>5122</v>
      </c>
      <c r="P312" s="125" t="s">
        <v>5122</v>
      </c>
      <c r="Q312" s="125" t="s">
        <v>5122</v>
      </c>
      <c r="R312" s="125"/>
      <c r="S312" s="125"/>
      <c r="T312" s="125"/>
      <c r="U312" s="125" t="s">
        <v>5122</v>
      </c>
      <c r="V312" s="125" t="s">
        <v>5122</v>
      </c>
      <c r="W312" s="125"/>
      <c r="X312" s="125"/>
      <c r="Y312" s="125"/>
      <c r="Z312" s="118" t="s">
        <v>95</v>
      </c>
    </row>
    <row r="313" customHeight="1" spans="1:26">
      <c r="A313" s="123" t="s">
        <v>8646</v>
      </c>
      <c r="B313" s="123">
        <v>2</v>
      </c>
      <c r="C313" s="123" t="s">
        <v>324</v>
      </c>
      <c r="D313" s="123"/>
      <c r="E313" s="123"/>
      <c r="F313" s="124" t="s">
        <v>321</v>
      </c>
      <c r="G313" s="123" t="s">
        <v>326</v>
      </c>
      <c r="H313" s="123"/>
      <c r="I313" s="123" t="s">
        <v>7527</v>
      </c>
      <c r="J313" s="123" t="s">
        <v>7539</v>
      </c>
      <c r="K313" s="141" t="s">
        <v>8647</v>
      </c>
      <c r="L313" s="139" t="s">
        <v>341</v>
      </c>
      <c r="M313" s="141" t="s">
        <v>8648</v>
      </c>
      <c r="N313" s="141" t="s">
        <v>8649</v>
      </c>
      <c r="O313" s="123" t="s">
        <v>5122</v>
      </c>
      <c r="P313" s="123"/>
      <c r="Q313" s="123"/>
      <c r="R313" s="123"/>
      <c r="S313" s="123" t="s">
        <v>5122</v>
      </c>
      <c r="T313" s="123" t="s">
        <v>5122</v>
      </c>
      <c r="U313" s="123"/>
      <c r="V313" s="123" t="s">
        <v>5122</v>
      </c>
      <c r="W313" s="123"/>
      <c r="X313" s="123"/>
      <c r="Y313" s="123"/>
      <c r="Z313" s="118" t="s">
        <v>95</v>
      </c>
    </row>
    <row r="314" customHeight="1" spans="1:26">
      <c r="A314" s="123" t="s">
        <v>8650</v>
      </c>
      <c r="B314" s="123">
        <v>2</v>
      </c>
      <c r="C314" s="123" t="s">
        <v>324</v>
      </c>
      <c r="D314" s="123"/>
      <c r="E314" s="123" t="s">
        <v>5122</v>
      </c>
      <c r="F314" s="124" t="s">
        <v>321</v>
      </c>
      <c r="G314" s="123" t="s">
        <v>343</v>
      </c>
      <c r="H314" s="123" t="s">
        <v>7526</v>
      </c>
      <c r="I314" s="123" t="s">
        <v>7527</v>
      </c>
      <c r="J314" s="123"/>
      <c r="K314" s="141"/>
      <c r="L314" s="139" t="s">
        <v>352</v>
      </c>
      <c r="M314" s="141" t="s">
        <v>8651</v>
      </c>
      <c r="N314" s="141" t="s">
        <v>8652</v>
      </c>
      <c r="O314" s="123"/>
      <c r="P314" s="123"/>
      <c r="Q314" s="123" t="s">
        <v>5122</v>
      </c>
      <c r="R314" s="123"/>
      <c r="S314" s="123" t="s">
        <v>5122</v>
      </c>
      <c r="T314" s="123" t="s">
        <v>5122</v>
      </c>
      <c r="U314" s="123"/>
      <c r="V314" s="123"/>
      <c r="W314" s="123"/>
      <c r="X314" s="123"/>
      <c r="Y314" s="123"/>
      <c r="Z314" s="118" t="s">
        <v>95</v>
      </c>
    </row>
    <row r="315" customHeight="1" spans="1:26">
      <c r="A315" s="131" t="s">
        <v>8653</v>
      </c>
      <c r="B315" s="131">
        <v>2</v>
      </c>
      <c r="C315" s="131" t="s">
        <v>320</v>
      </c>
      <c r="D315" s="131"/>
      <c r="E315" s="131"/>
      <c r="F315" s="132" t="s">
        <v>325</v>
      </c>
      <c r="G315" s="131" t="s">
        <v>7535</v>
      </c>
      <c r="H315" s="131" t="s">
        <v>7526</v>
      </c>
      <c r="I315" s="131"/>
      <c r="J315" s="131"/>
      <c r="K315" s="148"/>
      <c r="L315" s="149" t="s">
        <v>338</v>
      </c>
      <c r="M315" s="148" t="s">
        <v>8654</v>
      </c>
      <c r="N315" s="148" t="s">
        <v>8655</v>
      </c>
      <c r="O315" s="131"/>
      <c r="P315" s="131"/>
      <c r="Q315" s="131" t="s">
        <v>5122</v>
      </c>
      <c r="R315" s="131"/>
      <c r="S315" s="131" t="s">
        <v>5122</v>
      </c>
      <c r="T315" s="131"/>
      <c r="U315" s="131"/>
      <c r="V315" s="131"/>
      <c r="W315" s="131"/>
      <c r="X315" s="131"/>
      <c r="Y315" s="131"/>
      <c r="Z315" s="118" t="s">
        <v>95</v>
      </c>
    </row>
    <row r="316" customHeight="1" spans="1:26">
      <c r="A316" s="129" t="s">
        <v>8656</v>
      </c>
      <c r="B316" s="129">
        <v>2</v>
      </c>
      <c r="C316" s="129" t="s">
        <v>347</v>
      </c>
      <c r="D316" s="129"/>
      <c r="E316" s="129" t="s">
        <v>5122</v>
      </c>
      <c r="F316" s="130" t="s">
        <v>321</v>
      </c>
      <c r="G316" s="129" t="s">
        <v>333</v>
      </c>
      <c r="H316" s="129" t="s">
        <v>7526</v>
      </c>
      <c r="I316" s="129" t="s">
        <v>7527</v>
      </c>
      <c r="J316" s="129"/>
      <c r="K316" s="146"/>
      <c r="L316" s="147" t="s">
        <v>359</v>
      </c>
      <c r="M316" s="146" t="s">
        <v>8657</v>
      </c>
      <c r="N316" s="146" t="s">
        <v>8658</v>
      </c>
      <c r="O316" s="129" t="s">
        <v>5122</v>
      </c>
      <c r="P316" s="129"/>
      <c r="Q316" s="129"/>
      <c r="R316" s="129"/>
      <c r="S316" s="129"/>
      <c r="T316" s="129" t="s">
        <v>5122</v>
      </c>
      <c r="U316" s="129" t="s">
        <v>5122</v>
      </c>
      <c r="V316" s="129" t="s">
        <v>5122</v>
      </c>
      <c r="W316" s="129"/>
      <c r="X316" s="129"/>
      <c r="Y316" s="129"/>
      <c r="Z316" s="118" t="s">
        <v>95</v>
      </c>
    </row>
    <row r="317" customHeight="1" spans="1:26">
      <c r="A317" s="123" t="s">
        <v>8659</v>
      </c>
      <c r="B317" s="123">
        <v>2</v>
      </c>
      <c r="C317" s="123" t="s">
        <v>324</v>
      </c>
      <c r="D317" s="123"/>
      <c r="E317" s="123"/>
      <c r="F317" s="124" t="s">
        <v>321</v>
      </c>
      <c r="G317" s="123" t="s">
        <v>333</v>
      </c>
      <c r="H317" s="123"/>
      <c r="I317" s="123" t="s">
        <v>7527</v>
      </c>
      <c r="J317" s="123"/>
      <c r="K317" s="141"/>
      <c r="L317" s="139" t="s">
        <v>323</v>
      </c>
      <c r="M317" s="141" t="s">
        <v>8660</v>
      </c>
      <c r="N317" s="141" t="s">
        <v>8661</v>
      </c>
      <c r="O317" s="123" t="s">
        <v>5122</v>
      </c>
      <c r="P317" s="123"/>
      <c r="Q317" s="123" t="s">
        <v>5122</v>
      </c>
      <c r="R317" s="123"/>
      <c r="S317" s="123" t="s">
        <v>5122</v>
      </c>
      <c r="T317" s="123" t="s">
        <v>5122</v>
      </c>
      <c r="U317" s="123"/>
      <c r="V317" s="123"/>
      <c r="W317" s="123"/>
      <c r="X317" s="123"/>
      <c r="Y317" s="123"/>
      <c r="Z317" s="118" t="s">
        <v>95</v>
      </c>
    </row>
    <row r="318" customHeight="1" spans="1:26">
      <c r="A318" s="123" t="s">
        <v>8662</v>
      </c>
      <c r="B318" s="123">
        <v>2</v>
      </c>
      <c r="C318" s="123" t="s">
        <v>324</v>
      </c>
      <c r="D318" s="123"/>
      <c r="E318" s="123"/>
      <c r="F318" s="124" t="s">
        <v>325</v>
      </c>
      <c r="G318" s="123" t="s">
        <v>337</v>
      </c>
      <c r="H318" s="123" t="s">
        <v>7526</v>
      </c>
      <c r="I318" s="123" t="s">
        <v>7527</v>
      </c>
      <c r="J318" s="123" t="s">
        <v>7539</v>
      </c>
      <c r="K318" s="141" t="s">
        <v>8663</v>
      </c>
      <c r="L318" s="139" t="s">
        <v>329</v>
      </c>
      <c r="M318" s="141" t="s">
        <v>8664</v>
      </c>
      <c r="N318" s="141" t="s">
        <v>8665</v>
      </c>
      <c r="O318" s="123"/>
      <c r="P318" s="123"/>
      <c r="Q318" s="123" t="s">
        <v>5122</v>
      </c>
      <c r="R318" s="123"/>
      <c r="S318" s="123" t="s">
        <v>5122</v>
      </c>
      <c r="T318" s="123" t="s">
        <v>5122</v>
      </c>
      <c r="U318" s="123"/>
      <c r="V318" s="123" t="s">
        <v>5122</v>
      </c>
      <c r="W318" s="123"/>
      <c r="X318" s="123"/>
      <c r="Y318" s="123"/>
      <c r="Z318" s="118" t="s">
        <v>95</v>
      </c>
    </row>
    <row r="319" customHeight="1" spans="1:26">
      <c r="A319" s="135" t="s">
        <v>8666</v>
      </c>
      <c r="B319" s="135">
        <v>2</v>
      </c>
      <c r="C319" s="135" t="s">
        <v>335</v>
      </c>
      <c r="D319" s="135"/>
      <c r="E319" s="135"/>
      <c r="F319" s="136" t="s">
        <v>334</v>
      </c>
      <c r="G319" s="135" t="s">
        <v>333</v>
      </c>
      <c r="H319" s="135" t="s">
        <v>7526</v>
      </c>
      <c r="I319" s="135" t="s">
        <v>7527</v>
      </c>
      <c r="J319" s="135" t="s">
        <v>7539</v>
      </c>
      <c r="K319" s="152" t="s">
        <v>8667</v>
      </c>
      <c r="L319" s="153" t="s">
        <v>323</v>
      </c>
      <c r="M319" s="152" t="s">
        <v>8668</v>
      </c>
      <c r="N319" s="152" t="s">
        <v>8669</v>
      </c>
      <c r="O319" s="135" t="s">
        <v>5122</v>
      </c>
      <c r="P319" s="135" t="s">
        <v>5122</v>
      </c>
      <c r="Q319" s="135" t="s">
        <v>5122</v>
      </c>
      <c r="R319" s="135" t="s">
        <v>5122</v>
      </c>
      <c r="S319" s="135" t="s">
        <v>5122</v>
      </c>
      <c r="T319" s="135" t="s">
        <v>5122</v>
      </c>
      <c r="U319" s="135" t="s">
        <v>5122</v>
      </c>
      <c r="V319" s="135" t="s">
        <v>5122</v>
      </c>
      <c r="W319" s="135"/>
      <c r="X319" s="135"/>
      <c r="Y319" s="135"/>
      <c r="Z319" s="118" t="s">
        <v>95</v>
      </c>
    </row>
    <row r="320" customHeight="1" spans="1:26">
      <c r="A320" s="135" t="s">
        <v>8670</v>
      </c>
      <c r="B320" s="135">
        <v>2</v>
      </c>
      <c r="C320" s="135" t="s">
        <v>335</v>
      </c>
      <c r="D320" s="135"/>
      <c r="E320" s="135" t="s">
        <v>5122</v>
      </c>
      <c r="F320" s="136" t="s">
        <v>321</v>
      </c>
      <c r="G320" s="135" t="s">
        <v>8671</v>
      </c>
      <c r="H320" s="135"/>
      <c r="I320" s="135" t="s">
        <v>7527</v>
      </c>
      <c r="J320" s="135" t="s">
        <v>7539</v>
      </c>
      <c r="K320" s="152" t="s">
        <v>8672</v>
      </c>
      <c r="L320" s="153" t="s">
        <v>356</v>
      </c>
      <c r="M320" s="152" t="s">
        <v>8673</v>
      </c>
      <c r="N320" s="152" t="s">
        <v>8674</v>
      </c>
      <c r="O320" s="135" t="s">
        <v>5122</v>
      </c>
      <c r="P320" s="135" t="s">
        <v>5122</v>
      </c>
      <c r="Q320" s="135"/>
      <c r="R320" s="135"/>
      <c r="S320" s="135"/>
      <c r="T320" s="135" t="s">
        <v>5122</v>
      </c>
      <c r="U320" s="135"/>
      <c r="V320" s="135" t="s">
        <v>5122</v>
      </c>
      <c r="W320" s="135"/>
      <c r="X320" s="135"/>
      <c r="Y320" s="135"/>
      <c r="Z320" s="118" t="s">
        <v>95</v>
      </c>
    </row>
    <row r="321" customHeight="1" spans="1:26">
      <c r="A321" s="129" t="s">
        <v>8675</v>
      </c>
      <c r="B321" s="129">
        <v>2</v>
      </c>
      <c r="C321" s="129" t="s">
        <v>347</v>
      </c>
      <c r="D321" s="129"/>
      <c r="E321" s="129"/>
      <c r="F321" s="130" t="s">
        <v>321</v>
      </c>
      <c r="G321" s="129" t="s">
        <v>333</v>
      </c>
      <c r="H321" s="129" t="s">
        <v>7526</v>
      </c>
      <c r="I321" s="129" t="s">
        <v>7527</v>
      </c>
      <c r="J321" s="129"/>
      <c r="K321" s="146"/>
      <c r="L321" s="147" t="s">
        <v>338</v>
      </c>
      <c r="M321" s="146" t="s">
        <v>8676</v>
      </c>
      <c r="N321" s="146" t="s">
        <v>8677</v>
      </c>
      <c r="O321" s="129" t="s">
        <v>5122</v>
      </c>
      <c r="P321" s="129"/>
      <c r="Q321" s="129"/>
      <c r="R321" s="129"/>
      <c r="S321" s="129"/>
      <c r="T321" s="129" t="s">
        <v>5122</v>
      </c>
      <c r="U321" s="129" t="s">
        <v>5122</v>
      </c>
      <c r="V321" s="129" t="s">
        <v>5122</v>
      </c>
      <c r="W321" s="129"/>
      <c r="X321" s="129"/>
      <c r="Y321" s="129"/>
      <c r="Z321" s="118" t="s">
        <v>95</v>
      </c>
    </row>
    <row r="322" customHeight="1" spans="1:26">
      <c r="A322" s="129" t="s">
        <v>8678</v>
      </c>
      <c r="B322" s="129">
        <v>2</v>
      </c>
      <c r="C322" s="129" t="s">
        <v>347</v>
      </c>
      <c r="D322" s="129"/>
      <c r="E322" s="129"/>
      <c r="F322" s="130" t="s">
        <v>8679</v>
      </c>
      <c r="G322" s="129" t="s">
        <v>326</v>
      </c>
      <c r="H322" s="129"/>
      <c r="I322" s="129" t="s">
        <v>7527</v>
      </c>
      <c r="J322" s="129"/>
      <c r="K322" s="146"/>
      <c r="L322" s="147" t="s">
        <v>327</v>
      </c>
      <c r="M322" s="146" t="s">
        <v>8680</v>
      </c>
      <c r="N322" s="146" t="s">
        <v>8681</v>
      </c>
      <c r="O322" s="129" t="s">
        <v>5122</v>
      </c>
      <c r="P322" s="129"/>
      <c r="Q322" s="129"/>
      <c r="R322" s="129"/>
      <c r="S322" s="129"/>
      <c r="T322" s="129" t="s">
        <v>5122</v>
      </c>
      <c r="U322" s="129" t="s">
        <v>5122</v>
      </c>
      <c r="V322" s="129" t="s">
        <v>5122</v>
      </c>
      <c r="W322" s="129"/>
      <c r="X322" s="129"/>
      <c r="Y322" s="129"/>
      <c r="Z322" s="118" t="s">
        <v>95</v>
      </c>
    </row>
    <row r="323" customHeight="1" spans="1:26">
      <c r="A323" s="123" t="s">
        <v>8682</v>
      </c>
      <c r="B323" s="123">
        <v>2</v>
      </c>
      <c r="C323" s="123" t="s">
        <v>324</v>
      </c>
      <c r="D323" s="123"/>
      <c r="E323" s="123"/>
      <c r="F323" s="124" t="s">
        <v>325</v>
      </c>
      <c r="G323" s="123" t="s">
        <v>337</v>
      </c>
      <c r="H323" s="123" t="s">
        <v>7526</v>
      </c>
      <c r="I323" s="123"/>
      <c r="J323" s="123"/>
      <c r="K323" s="141"/>
      <c r="L323" s="139" t="s">
        <v>323</v>
      </c>
      <c r="M323" s="141" t="s">
        <v>8683</v>
      </c>
      <c r="N323" s="141" t="s">
        <v>8684</v>
      </c>
      <c r="O323" s="123"/>
      <c r="P323" s="123"/>
      <c r="Q323" s="123"/>
      <c r="R323" s="123" t="s">
        <v>5122</v>
      </c>
      <c r="S323" s="123" t="s">
        <v>5122</v>
      </c>
      <c r="T323" s="123"/>
      <c r="U323" s="123"/>
      <c r="V323" s="123" t="s">
        <v>5122</v>
      </c>
      <c r="W323" s="123"/>
      <c r="X323" s="123"/>
      <c r="Y323" s="123"/>
      <c r="Z323" s="118" t="s">
        <v>95</v>
      </c>
    </row>
    <row r="324" customHeight="1" spans="1:26">
      <c r="A324" s="127" t="s">
        <v>8685</v>
      </c>
      <c r="B324" s="127">
        <v>2</v>
      </c>
      <c r="C324" s="127" t="s">
        <v>331</v>
      </c>
      <c r="D324" s="127"/>
      <c r="E324" s="127"/>
      <c r="F324" s="128" t="s">
        <v>325</v>
      </c>
      <c r="G324" s="127" t="s">
        <v>326</v>
      </c>
      <c r="H324" s="127" t="s">
        <v>7526</v>
      </c>
      <c r="I324" s="127" t="s">
        <v>7527</v>
      </c>
      <c r="J324" s="127" t="s">
        <v>7539</v>
      </c>
      <c r="K324" s="144" t="s">
        <v>8686</v>
      </c>
      <c r="L324" s="145" t="s">
        <v>329</v>
      </c>
      <c r="M324" s="144" t="s">
        <v>8687</v>
      </c>
      <c r="N324" s="144" t="s">
        <v>8688</v>
      </c>
      <c r="O324" s="127"/>
      <c r="P324" s="127"/>
      <c r="Q324" s="127"/>
      <c r="R324" s="127"/>
      <c r="S324" s="127"/>
      <c r="T324" s="127" t="s">
        <v>5122</v>
      </c>
      <c r="U324" s="127" t="s">
        <v>5122</v>
      </c>
      <c r="V324" s="127" t="s">
        <v>5122</v>
      </c>
      <c r="W324" s="127"/>
      <c r="X324" s="127"/>
      <c r="Y324" s="127"/>
      <c r="Z324" s="118" t="s">
        <v>108</v>
      </c>
    </row>
    <row r="325" customHeight="1" spans="1:26">
      <c r="A325" s="137" t="s">
        <v>8689</v>
      </c>
      <c r="B325" s="137">
        <v>2</v>
      </c>
      <c r="C325" s="137" t="s">
        <v>339</v>
      </c>
      <c r="D325" s="137"/>
      <c r="E325" s="137"/>
      <c r="F325" s="138" t="s">
        <v>325</v>
      </c>
      <c r="G325" s="137" t="s">
        <v>333</v>
      </c>
      <c r="H325" s="137"/>
      <c r="I325" s="137" t="s">
        <v>7527</v>
      </c>
      <c r="J325" s="137"/>
      <c r="K325" s="154"/>
      <c r="L325" s="155" t="s">
        <v>329</v>
      </c>
      <c r="M325" s="154" t="s">
        <v>8690</v>
      </c>
      <c r="N325" s="154" t="s">
        <v>8691</v>
      </c>
      <c r="O325" s="137"/>
      <c r="P325" s="137"/>
      <c r="Q325" s="137"/>
      <c r="R325" s="137" t="s">
        <v>5122</v>
      </c>
      <c r="S325" s="137"/>
      <c r="T325" s="137"/>
      <c r="U325" s="137" t="s">
        <v>5122</v>
      </c>
      <c r="V325" s="137"/>
      <c r="W325" s="137"/>
      <c r="X325" s="137"/>
      <c r="Y325" s="137"/>
      <c r="Z325" s="118" t="s">
        <v>108</v>
      </c>
    </row>
    <row r="326" customHeight="1" spans="1:26">
      <c r="A326" s="127" t="s">
        <v>8692</v>
      </c>
      <c r="B326" s="127">
        <v>2</v>
      </c>
      <c r="C326" s="127" t="s">
        <v>331</v>
      </c>
      <c r="D326" s="127"/>
      <c r="E326" s="127" t="s">
        <v>5122</v>
      </c>
      <c r="F326" s="128" t="s">
        <v>321</v>
      </c>
      <c r="G326" s="127" t="s">
        <v>337</v>
      </c>
      <c r="H326" s="127" t="s">
        <v>7526</v>
      </c>
      <c r="I326" s="127" t="s">
        <v>7527</v>
      </c>
      <c r="J326" s="127" t="s">
        <v>7539</v>
      </c>
      <c r="K326" s="144" t="s">
        <v>8693</v>
      </c>
      <c r="L326" s="145" t="s">
        <v>352</v>
      </c>
      <c r="M326" s="144" t="s">
        <v>8694</v>
      </c>
      <c r="N326" s="144" t="s">
        <v>8695</v>
      </c>
      <c r="O326" s="127" t="s">
        <v>5122</v>
      </c>
      <c r="P326" s="127" t="s">
        <v>5122</v>
      </c>
      <c r="Q326" s="127"/>
      <c r="R326" s="127"/>
      <c r="S326" s="127"/>
      <c r="T326" s="127" t="s">
        <v>5122</v>
      </c>
      <c r="U326" s="127" t="s">
        <v>5122</v>
      </c>
      <c r="V326" s="127" t="s">
        <v>5122</v>
      </c>
      <c r="W326" s="127"/>
      <c r="X326" s="127"/>
      <c r="Y326" s="127"/>
      <c r="Z326" s="118" t="s">
        <v>108</v>
      </c>
    </row>
    <row r="327" customHeight="1" spans="1:26">
      <c r="A327" s="133" t="s">
        <v>8696</v>
      </c>
      <c r="B327" s="133">
        <v>2</v>
      </c>
      <c r="C327" s="133" t="s">
        <v>342</v>
      </c>
      <c r="D327" s="133"/>
      <c r="E327" s="133" t="s">
        <v>5122</v>
      </c>
      <c r="F327" s="134" t="s">
        <v>325</v>
      </c>
      <c r="G327" s="133" t="s">
        <v>343</v>
      </c>
      <c r="H327" s="133" t="s">
        <v>7526</v>
      </c>
      <c r="I327" s="133" t="s">
        <v>7527</v>
      </c>
      <c r="J327" s="133"/>
      <c r="K327" s="150"/>
      <c r="L327" s="151" t="s">
        <v>352</v>
      </c>
      <c r="M327" s="150" t="s">
        <v>8697</v>
      </c>
      <c r="N327" s="150" t="s">
        <v>8698</v>
      </c>
      <c r="O327" s="133" t="s">
        <v>5122</v>
      </c>
      <c r="P327" s="133"/>
      <c r="Q327" s="133"/>
      <c r="R327" s="133"/>
      <c r="S327" s="133"/>
      <c r="T327" s="133" t="s">
        <v>5122</v>
      </c>
      <c r="U327" s="133"/>
      <c r="V327" s="133" t="s">
        <v>5122</v>
      </c>
      <c r="W327" s="133"/>
      <c r="X327" s="133"/>
      <c r="Y327" s="133"/>
      <c r="Z327" s="118" t="s">
        <v>108</v>
      </c>
    </row>
    <row r="328" customHeight="1" spans="1:26">
      <c r="A328" s="135" t="s">
        <v>8699</v>
      </c>
      <c r="B328" s="135">
        <v>2</v>
      </c>
      <c r="C328" s="135" t="s">
        <v>335</v>
      </c>
      <c r="D328" s="135"/>
      <c r="E328" s="135"/>
      <c r="F328" s="136" t="s">
        <v>325</v>
      </c>
      <c r="G328" s="135" t="s">
        <v>333</v>
      </c>
      <c r="H328" s="135" t="s">
        <v>7526</v>
      </c>
      <c r="I328" s="135" t="s">
        <v>7527</v>
      </c>
      <c r="J328" s="135" t="s">
        <v>7539</v>
      </c>
      <c r="K328" s="152" t="s">
        <v>8700</v>
      </c>
      <c r="L328" s="153" t="s">
        <v>327</v>
      </c>
      <c r="M328" s="152" t="s">
        <v>8701</v>
      </c>
      <c r="N328" s="152" t="s">
        <v>8702</v>
      </c>
      <c r="O328" s="135"/>
      <c r="P328" s="135"/>
      <c r="Q328" s="135"/>
      <c r="R328" s="135"/>
      <c r="S328" s="135" t="s">
        <v>5122</v>
      </c>
      <c r="T328" s="135" t="s">
        <v>5122</v>
      </c>
      <c r="U328" s="135" t="s">
        <v>5122</v>
      </c>
      <c r="V328" s="135" t="s">
        <v>5122</v>
      </c>
      <c r="W328" s="135"/>
      <c r="X328" s="135"/>
      <c r="Y328" s="135"/>
      <c r="Z328" s="118" t="s">
        <v>108</v>
      </c>
    </row>
    <row r="329" customHeight="1" spans="1:26">
      <c r="A329" s="123" t="s">
        <v>8703</v>
      </c>
      <c r="B329" s="123">
        <v>2</v>
      </c>
      <c r="C329" s="123" t="s">
        <v>324</v>
      </c>
      <c r="D329" s="123"/>
      <c r="E329" s="123"/>
      <c r="F329" s="124" t="s">
        <v>321</v>
      </c>
      <c r="G329" s="123" t="s">
        <v>326</v>
      </c>
      <c r="H329" s="123" t="s">
        <v>7526</v>
      </c>
      <c r="I329" s="123" t="s">
        <v>7527</v>
      </c>
      <c r="J329" s="123"/>
      <c r="K329" s="141"/>
      <c r="L329" s="139" t="s">
        <v>323</v>
      </c>
      <c r="M329" s="141" t="s">
        <v>8704</v>
      </c>
      <c r="N329" s="141" t="s">
        <v>8705</v>
      </c>
      <c r="O329" s="123"/>
      <c r="P329" s="123" t="s">
        <v>5122</v>
      </c>
      <c r="Q329" s="123" t="s">
        <v>5122</v>
      </c>
      <c r="R329" s="123" t="s">
        <v>5122</v>
      </c>
      <c r="S329" s="123" t="s">
        <v>5122</v>
      </c>
      <c r="T329" s="123"/>
      <c r="U329" s="123"/>
      <c r="V329" s="123"/>
      <c r="W329" s="123"/>
      <c r="X329" s="123"/>
      <c r="Y329" s="123"/>
      <c r="Z329" s="118" t="s">
        <v>108</v>
      </c>
    </row>
    <row r="330" customHeight="1" spans="1:26">
      <c r="A330" s="133" t="s">
        <v>8706</v>
      </c>
      <c r="B330" s="133">
        <v>2</v>
      </c>
      <c r="C330" s="133" t="s">
        <v>342</v>
      </c>
      <c r="D330" s="133"/>
      <c r="E330" s="133"/>
      <c r="F330" s="134" t="s">
        <v>321</v>
      </c>
      <c r="G330" s="133" t="s">
        <v>333</v>
      </c>
      <c r="H330" s="133" t="s">
        <v>7526</v>
      </c>
      <c r="I330" s="133" t="s">
        <v>7527</v>
      </c>
      <c r="J330" s="133"/>
      <c r="K330" s="150"/>
      <c r="L330" s="151" t="s">
        <v>327</v>
      </c>
      <c r="M330" s="150" t="s">
        <v>8707</v>
      </c>
      <c r="N330" s="150" t="s">
        <v>8708</v>
      </c>
      <c r="O330" s="133" t="s">
        <v>5122</v>
      </c>
      <c r="P330" s="133"/>
      <c r="Q330" s="133"/>
      <c r="R330" s="133"/>
      <c r="S330" s="133"/>
      <c r="T330" s="133" t="s">
        <v>5122</v>
      </c>
      <c r="U330" s="133" t="s">
        <v>5122</v>
      </c>
      <c r="V330" s="133" t="s">
        <v>5122</v>
      </c>
      <c r="W330" s="133"/>
      <c r="X330" s="133"/>
      <c r="Y330" s="133"/>
      <c r="Z330" s="118" t="s">
        <v>108</v>
      </c>
    </row>
    <row r="331" customHeight="1" spans="1:26">
      <c r="A331" s="129" t="s">
        <v>8709</v>
      </c>
      <c r="B331" s="129">
        <v>2</v>
      </c>
      <c r="C331" s="129" t="s">
        <v>347</v>
      </c>
      <c r="D331" s="129"/>
      <c r="E331" s="129" t="s">
        <v>5122</v>
      </c>
      <c r="F331" s="130" t="s">
        <v>325</v>
      </c>
      <c r="G331" s="129" t="s">
        <v>326</v>
      </c>
      <c r="H331" s="129" t="s">
        <v>7526</v>
      </c>
      <c r="I331" s="129" t="s">
        <v>7527</v>
      </c>
      <c r="J331" s="129" t="s">
        <v>7539</v>
      </c>
      <c r="K331" s="146" t="s">
        <v>8710</v>
      </c>
      <c r="L331" s="147" t="s">
        <v>352</v>
      </c>
      <c r="M331" s="146" t="s">
        <v>8711</v>
      </c>
      <c r="N331" s="146" t="s">
        <v>8712</v>
      </c>
      <c r="O331" s="129"/>
      <c r="P331" s="129"/>
      <c r="Q331" s="129"/>
      <c r="R331" s="129"/>
      <c r="S331" s="129" t="s">
        <v>5122</v>
      </c>
      <c r="T331" s="129" t="s">
        <v>5122</v>
      </c>
      <c r="U331" s="129" t="s">
        <v>5122</v>
      </c>
      <c r="V331" s="129" t="s">
        <v>5122</v>
      </c>
      <c r="W331" s="129"/>
      <c r="X331" s="129"/>
      <c r="Y331" s="129"/>
      <c r="Z331" s="118" t="s">
        <v>108</v>
      </c>
    </row>
    <row r="332" customHeight="1" spans="1:26">
      <c r="A332" s="133" t="s">
        <v>8713</v>
      </c>
      <c r="B332" s="133">
        <v>2</v>
      </c>
      <c r="C332" s="133" t="s">
        <v>342</v>
      </c>
      <c r="D332" s="133"/>
      <c r="E332" s="133" t="s">
        <v>5122</v>
      </c>
      <c r="F332" s="134" t="s">
        <v>321</v>
      </c>
      <c r="G332" s="133" t="s">
        <v>7710</v>
      </c>
      <c r="H332" s="133" t="s">
        <v>7526</v>
      </c>
      <c r="I332" s="133"/>
      <c r="J332" s="133"/>
      <c r="K332" s="150"/>
      <c r="L332" s="151" t="s">
        <v>352</v>
      </c>
      <c r="M332" s="150" t="s">
        <v>8714</v>
      </c>
      <c r="N332" s="150" t="s">
        <v>8715</v>
      </c>
      <c r="O332" s="133"/>
      <c r="P332" s="133"/>
      <c r="Q332" s="133"/>
      <c r="R332" s="133" t="s">
        <v>5122</v>
      </c>
      <c r="S332" s="133"/>
      <c r="T332" s="133"/>
      <c r="U332" s="133"/>
      <c r="V332" s="133"/>
      <c r="W332" s="133"/>
      <c r="X332" s="133"/>
      <c r="Y332" s="133"/>
      <c r="Z332" s="118" t="s">
        <v>87</v>
      </c>
    </row>
    <row r="333" customHeight="1" spans="1:26">
      <c r="A333" s="127" t="s">
        <v>8716</v>
      </c>
      <c r="B333" s="127">
        <v>2</v>
      </c>
      <c r="C333" s="127" t="s">
        <v>331</v>
      </c>
      <c r="D333" s="127"/>
      <c r="E333" s="127" t="s">
        <v>5122</v>
      </c>
      <c r="F333" s="128" t="s">
        <v>325</v>
      </c>
      <c r="G333" s="127" t="s">
        <v>7535</v>
      </c>
      <c r="H333" s="127" t="s">
        <v>7526</v>
      </c>
      <c r="I333" s="127" t="s">
        <v>7527</v>
      </c>
      <c r="J333" s="127"/>
      <c r="K333" s="144"/>
      <c r="L333" s="145" t="s">
        <v>352</v>
      </c>
      <c r="M333" s="144" t="s">
        <v>8717</v>
      </c>
      <c r="N333" s="144" t="s">
        <v>8718</v>
      </c>
      <c r="O333" s="127"/>
      <c r="P333" s="127" t="s">
        <v>5122</v>
      </c>
      <c r="Q333" s="127"/>
      <c r="R333" s="127" t="s">
        <v>5122</v>
      </c>
      <c r="S333" s="127" t="s">
        <v>5122</v>
      </c>
      <c r="T333" s="127"/>
      <c r="U333" s="127"/>
      <c r="V333" s="127"/>
      <c r="W333" s="127"/>
      <c r="X333" s="127"/>
      <c r="Y333" s="127"/>
      <c r="Z333" s="118" t="s">
        <v>65</v>
      </c>
    </row>
    <row r="334" customHeight="1" spans="1:26">
      <c r="A334" s="127" t="s">
        <v>8719</v>
      </c>
      <c r="B334" s="127">
        <v>2</v>
      </c>
      <c r="C334" s="127" t="s">
        <v>331</v>
      </c>
      <c r="D334" s="127"/>
      <c r="E334" s="127" t="s">
        <v>5122</v>
      </c>
      <c r="F334" s="128" t="s">
        <v>8720</v>
      </c>
      <c r="G334" s="127" t="s">
        <v>343</v>
      </c>
      <c r="H334" s="127" t="s">
        <v>7526</v>
      </c>
      <c r="I334" s="127" t="s">
        <v>7527</v>
      </c>
      <c r="J334" s="127"/>
      <c r="K334" s="144"/>
      <c r="L334" s="145" t="s">
        <v>352</v>
      </c>
      <c r="M334" s="144" t="s">
        <v>8721</v>
      </c>
      <c r="N334" s="144" t="s">
        <v>8722</v>
      </c>
      <c r="O334" s="127"/>
      <c r="P334" s="127" t="s">
        <v>5122</v>
      </c>
      <c r="Q334" s="127"/>
      <c r="R334" s="127"/>
      <c r="S334" s="127"/>
      <c r="T334" s="127" t="s">
        <v>5122</v>
      </c>
      <c r="U334" s="127" t="s">
        <v>5122</v>
      </c>
      <c r="V334" s="127" t="s">
        <v>5122</v>
      </c>
      <c r="W334" s="127"/>
      <c r="X334" s="127"/>
      <c r="Y334" s="127"/>
      <c r="Z334" s="118" t="s">
        <v>65</v>
      </c>
    </row>
    <row r="335" customHeight="1" spans="1:26">
      <c r="A335" s="129" t="s">
        <v>8723</v>
      </c>
      <c r="B335" s="129">
        <v>2</v>
      </c>
      <c r="C335" s="129" t="s">
        <v>347</v>
      </c>
      <c r="D335" s="129"/>
      <c r="E335" s="129"/>
      <c r="F335" s="130" t="s">
        <v>321</v>
      </c>
      <c r="G335" s="129" t="s">
        <v>326</v>
      </c>
      <c r="H335" s="129"/>
      <c r="I335" s="129" t="s">
        <v>7527</v>
      </c>
      <c r="J335" s="129" t="s">
        <v>7539</v>
      </c>
      <c r="K335" s="146" t="s">
        <v>8724</v>
      </c>
      <c r="L335" s="147" t="s">
        <v>338</v>
      </c>
      <c r="M335" s="146" t="s">
        <v>8725</v>
      </c>
      <c r="N335" s="146" t="s">
        <v>8726</v>
      </c>
      <c r="O335" s="129"/>
      <c r="P335" s="129"/>
      <c r="Q335" s="129"/>
      <c r="R335" s="129"/>
      <c r="S335" s="129" t="s">
        <v>5122</v>
      </c>
      <c r="T335" s="129"/>
      <c r="U335" s="129"/>
      <c r="V335" s="129"/>
      <c r="W335" s="129"/>
      <c r="X335" s="129"/>
      <c r="Y335" s="129"/>
      <c r="Z335" s="118" t="s">
        <v>7771</v>
      </c>
    </row>
    <row r="336" customHeight="1" spans="1:26">
      <c r="A336" s="137" t="s">
        <v>8727</v>
      </c>
      <c r="B336" s="137">
        <v>2</v>
      </c>
      <c r="C336" s="137" t="s">
        <v>339</v>
      </c>
      <c r="D336" s="137"/>
      <c r="E336" s="137" t="s">
        <v>5122</v>
      </c>
      <c r="F336" s="138" t="s">
        <v>321</v>
      </c>
      <c r="G336" s="137" t="s">
        <v>340</v>
      </c>
      <c r="H336" s="137" t="s">
        <v>7526</v>
      </c>
      <c r="I336" s="137" t="s">
        <v>7527</v>
      </c>
      <c r="J336" s="137" t="s">
        <v>7539</v>
      </c>
      <c r="K336" s="154" t="s">
        <v>8728</v>
      </c>
      <c r="L336" s="155" t="s">
        <v>359</v>
      </c>
      <c r="M336" s="154" t="s">
        <v>8729</v>
      </c>
      <c r="N336" s="154" t="s">
        <v>8730</v>
      </c>
      <c r="O336" s="137"/>
      <c r="P336" s="137" t="s">
        <v>5122</v>
      </c>
      <c r="Q336" s="137"/>
      <c r="R336" s="137"/>
      <c r="S336" s="137"/>
      <c r="T336" s="137"/>
      <c r="U336" s="137"/>
      <c r="V336" s="137" t="s">
        <v>5122</v>
      </c>
      <c r="W336" s="137"/>
      <c r="X336" s="137"/>
      <c r="Y336" s="137"/>
      <c r="Z336" s="118" t="s">
        <v>7781</v>
      </c>
    </row>
    <row r="337" customHeight="1" spans="1:26">
      <c r="A337" s="131" t="s">
        <v>8731</v>
      </c>
      <c r="B337" s="131">
        <v>2</v>
      </c>
      <c r="C337" s="131" t="s">
        <v>320</v>
      </c>
      <c r="D337" s="131"/>
      <c r="E337" s="131" t="s">
        <v>5122</v>
      </c>
      <c r="F337" s="132" t="s">
        <v>321</v>
      </c>
      <c r="G337" s="131" t="s">
        <v>333</v>
      </c>
      <c r="H337" s="131" t="s">
        <v>7526</v>
      </c>
      <c r="I337" s="131" t="s">
        <v>7527</v>
      </c>
      <c r="J337" s="131" t="s">
        <v>7539</v>
      </c>
      <c r="K337" s="148" t="s">
        <v>8732</v>
      </c>
      <c r="L337" s="149" t="s">
        <v>352</v>
      </c>
      <c r="M337" s="148" t="s">
        <v>8733</v>
      </c>
      <c r="N337" s="148" t="s">
        <v>8734</v>
      </c>
      <c r="O337" s="131" t="s">
        <v>5122</v>
      </c>
      <c r="P337" s="131" t="s">
        <v>5122</v>
      </c>
      <c r="Q337" s="131"/>
      <c r="R337" s="131" t="s">
        <v>5122</v>
      </c>
      <c r="S337" s="131" t="s">
        <v>5122</v>
      </c>
      <c r="T337" s="131" t="s">
        <v>5122</v>
      </c>
      <c r="U337" s="131" t="s">
        <v>5122</v>
      </c>
      <c r="V337" s="131" t="s">
        <v>5122</v>
      </c>
      <c r="W337" s="131"/>
      <c r="X337" s="131"/>
      <c r="Y337" s="131"/>
      <c r="Z337" s="118" t="s">
        <v>7781</v>
      </c>
    </row>
    <row r="338" customHeight="1" spans="1:26">
      <c r="A338" s="127" t="s">
        <v>8735</v>
      </c>
      <c r="B338" s="127">
        <v>2</v>
      </c>
      <c r="C338" s="127" t="s">
        <v>331</v>
      </c>
      <c r="D338" s="127"/>
      <c r="E338" s="127"/>
      <c r="F338" s="128" t="s">
        <v>321</v>
      </c>
      <c r="G338" s="127" t="s">
        <v>7535</v>
      </c>
      <c r="H338" s="127" t="s">
        <v>7526</v>
      </c>
      <c r="I338" s="127"/>
      <c r="J338" s="127" t="s">
        <v>7539</v>
      </c>
      <c r="K338" s="144" t="s">
        <v>8736</v>
      </c>
      <c r="L338" s="145" t="s">
        <v>8737</v>
      </c>
      <c r="M338" s="144" t="s">
        <v>8738</v>
      </c>
      <c r="N338" s="144" t="s">
        <v>8739</v>
      </c>
      <c r="O338" s="127"/>
      <c r="P338" s="127"/>
      <c r="Q338" s="127" t="s">
        <v>5122</v>
      </c>
      <c r="R338" s="127"/>
      <c r="S338" s="127" t="s">
        <v>5122</v>
      </c>
      <c r="T338" s="127"/>
      <c r="U338" s="127"/>
      <c r="V338" s="127"/>
      <c r="W338" s="127"/>
      <c r="X338" s="127"/>
      <c r="Y338" s="127"/>
      <c r="Z338" s="118" t="s">
        <v>7781</v>
      </c>
    </row>
    <row r="339" customHeight="1" spans="1:26">
      <c r="A339" s="127" t="s">
        <v>8740</v>
      </c>
      <c r="B339" s="127">
        <v>2</v>
      </c>
      <c r="C339" s="127" t="s">
        <v>331</v>
      </c>
      <c r="D339" s="127"/>
      <c r="E339" s="127" t="s">
        <v>5122</v>
      </c>
      <c r="F339" s="128" t="s">
        <v>321</v>
      </c>
      <c r="G339" s="127" t="s">
        <v>337</v>
      </c>
      <c r="H339" s="127"/>
      <c r="I339" s="127" t="s">
        <v>7527</v>
      </c>
      <c r="J339" s="127" t="s">
        <v>7539</v>
      </c>
      <c r="K339" s="144" t="s">
        <v>8741</v>
      </c>
      <c r="L339" s="145" t="s">
        <v>352</v>
      </c>
      <c r="M339" s="144" t="s">
        <v>8742</v>
      </c>
      <c r="N339" s="144" t="s">
        <v>8743</v>
      </c>
      <c r="O339" s="127"/>
      <c r="P339" s="127"/>
      <c r="Q339" s="127" t="s">
        <v>5122</v>
      </c>
      <c r="R339" s="127"/>
      <c r="S339" s="127" t="s">
        <v>5122</v>
      </c>
      <c r="T339" s="127"/>
      <c r="U339" s="127" t="s">
        <v>5122</v>
      </c>
      <c r="V339" s="127"/>
      <c r="W339" s="127"/>
      <c r="X339" s="127"/>
      <c r="Y339" s="127"/>
      <c r="Z339" s="118" t="s">
        <v>7781</v>
      </c>
    </row>
    <row r="340" customHeight="1" spans="1:26">
      <c r="A340" s="127" t="s">
        <v>8744</v>
      </c>
      <c r="B340" s="127">
        <v>2</v>
      </c>
      <c r="C340" s="127" t="s">
        <v>331</v>
      </c>
      <c r="D340" s="127"/>
      <c r="E340" s="127"/>
      <c r="F340" s="128" t="s">
        <v>8745</v>
      </c>
      <c r="G340" s="127" t="s">
        <v>7535</v>
      </c>
      <c r="H340" s="127"/>
      <c r="I340" s="127" t="s">
        <v>7527</v>
      </c>
      <c r="J340" s="127"/>
      <c r="K340" s="144"/>
      <c r="L340" s="145" t="s">
        <v>323</v>
      </c>
      <c r="M340" s="144" t="s">
        <v>8746</v>
      </c>
      <c r="N340" s="144" t="s">
        <v>8747</v>
      </c>
      <c r="O340" s="127"/>
      <c r="P340" s="127"/>
      <c r="Q340" s="127" t="s">
        <v>5122</v>
      </c>
      <c r="R340" s="127" t="s">
        <v>5122</v>
      </c>
      <c r="S340" s="127" t="s">
        <v>5122</v>
      </c>
      <c r="T340" s="127" t="s">
        <v>5122</v>
      </c>
      <c r="U340" s="127" t="s">
        <v>5122</v>
      </c>
      <c r="V340" s="127" t="s">
        <v>5122</v>
      </c>
      <c r="W340" s="127"/>
      <c r="X340" s="127"/>
      <c r="Y340" s="127"/>
      <c r="Z340" s="118" t="s">
        <v>7781</v>
      </c>
    </row>
    <row r="341" customHeight="1" spans="1:26">
      <c r="A341" s="133" t="s">
        <v>8748</v>
      </c>
      <c r="B341" s="133">
        <v>2</v>
      </c>
      <c r="C341" s="133" t="s">
        <v>342</v>
      </c>
      <c r="D341" s="133"/>
      <c r="E341" s="133" t="s">
        <v>5122</v>
      </c>
      <c r="F341" s="134" t="s">
        <v>321</v>
      </c>
      <c r="G341" s="133" t="s">
        <v>326</v>
      </c>
      <c r="H341" s="133" t="s">
        <v>7526</v>
      </c>
      <c r="I341" s="133"/>
      <c r="J341" s="133" t="s">
        <v>7539</v>
      </c>
      <c r="K341" s="150" t="s">
        <v>8749</v>
      </c>
      <c r="L341" s="151" t="s">
        <v>352</v>
      </c>
      <c r="M341" s="150" t="s">
        <v>8750</v>
      </c>
      <c r="N341" s="150" t="s">
        <v>8751</v>
      </c>
      <c r="O341" s="133" t="s">
        <v>5122</v>
      </c>
      <c r="P341" s="133"/>
      <c r="Q341" s="133"/>
      <c r="R341" s="133"/>
      <c r="S341" s="133"/>
      <c r="T341" s="133"/>
      <c r="U341" s="133" t="s">
        <v>5122</v>
      </c>
      <c r="V341" s="133"/>
      <c r="W341" s="133"/>
      <c r="X341" s="133"/>
      <c r="Y341" s="133"/>
      <c r="Z341" s="118" t="s">
        <v>7781</v>
      </c>
    </row>
    <row r="342" customHeight="1" spans="1:26">
      <c r="A342" s="133" t="s">
        <v>8752</v>
      </c>
      <c r="B342" s="133">
        <v>2</v>
      </c>
      <c r="C342" s="133" t="s">
        <v>342</v>
      </c>
      <c r="D342" s="133"/>
      <c r="E342" s="133" t="s">
        <v>5122</v>
      </c>
      <c r="F342" s="134" t="s">
        <v>321</v>
      </c>
      <c r="G342" s="133" t="s">
        <v>337</v>
      </c>
      <c r="H342" s="133" t="s">
        <v>7526</v>
      </c>
      <c r="I342" s="133" t="s">
        <v>7527</v>
      </c>
      <c r="J342" s="133" t="s">
        <v>7539</v>
      </c>
      <c r="K342" s="150" t="s">
        <v>8753</v>
      </c>
      <c r="L342" s="151" t="s">
        <v>352</v>
      </c>
      <c r="M342" s="150" t="s">
        <v>8754</v>
      </c>
      <c r="N342" s="150" t="s">
        <v>8755</v>
      </c>
      <c r="O342" s="133" t="s">
        <v>5122</v>
      </c>
      <c r="P342" s="133" t="s">
        <v>5122</v>
      </c>
      <c r="Q342" s="133" t="s">
        <v>5122</v>
      </c>
      <c r="R342" s="133"/>
      <c r="S342" s="133"/>
      <c r="T342" s="133" t="s">
        <v>5122</v>
      </c>
      <c r="U342" s="133"/>
      <c r="V342" s="133" t="s">
        <v>5122</v>
      </c>
      <c r="W342" s="133"/>
      <c r="X342" s="133"/>
      <c r="Y342" s="133"/>
      <c r="Z342" s="118" t="s">
        <v>7781</v>
      </c>
    </row>
    <row r="343" customHeight="1" spans="1:26">
      <c r="A343" s="125" t="s">
        <v>8756</v>
      </c>
      <c r="B343" s="125">
        <v>2</v>
      </c>
      <c r="C343" s="125" t="s">
        <v>328</v>
      </c>
      <c r="D343" s="125"/>
      <c r="E343" s="125"/>
      <c r="F343" s="126" t="s">
        <v>321</v>
      </c>
      <c r="G343" s="125" t="s">
        <v>326</v>
      </c>
      <c r="H343" s="125" t="s">
        <v>7526</v>
      </c>
      <c r="I343" s="125" t="s">
        <v>7527</v>
      </c>
      <c r="J343" s="125" t="s">
        <v>7539</v>
      </c>
      <c r="K343" s="142" t="s">
        <v>8757</v>
      </c>
      <c r="L343" s="143" t="s">
        <v>341</v>
      </c>
      <c r="M343" s="142" t="s">
        <v>8758</v>
      </c>
      <c r="N343" s="142" t="s">
        <v>8759</v>
      </c>
      <c r="O343" s="125"/>
      <c r="P343" s="125"/>
      <c r="Q343" s="125"/>
      <c r="R343" s="125"/>
      <c r="S343" s="125"/>
      <c r="T343" s="125" t="s">
        <v>5122</v>
      </c>
      <c r="U343" s="125" t="s">
        <v>5122</v>
      </c>
      <c r="V343" s="125" t="s">
        <v>5122</v>
      </c>
      <c r="W343" s="125"/>
      <c r="X343" s="125"/>
      <c r="Y343" s="125"/>
      <c r="Z343" s="118" t="s">
        <v>7781</v>
      </c>
    </row>
    <row r="344" customHeight="1" spans="1:26">
      <c r="A344" s="133" t="s">
        <v>8760</v>
      </c>
      <c r="B344" s="133">
        <v>2</v>
      </c>
      <c r="C344" s="133" t="s">
        <v>342</v>
      </c>
      <c r="D344" s="133"/>
      <c r="E344" s="133" t="s">
        <v>5122</v>
      </c>
      <c r="F344" s="134" t="s">
        <v>321</v>
      </c>
      <c r="G344" s="133" t="s">
        <v>333</v>
      </c>
      <c r="H344" s="133" t="s">
        <v>7526</v>
      </c>
      <c r="I344" s="133" t="s">
        <v>7527</v>
      </c>
      <c r="J344" s="133" t="s">
        <v>7539</v>
      </c>
      <c r="K344" s="150" t="s">
        <v>8761</v>
      </c>
      <c r="L344" s="151" t="s">
        <v>359</v>
      </c>
      <c r="M344" s="150" t="s">
        <v>8762</v>
      </c>
      <c r="N344" s="150" t="s">
        <v>8763</v>
      </c>
      <c r="O344" s="133" t="s">
        <v>5122</v>
      </c>
      <c r="P344" s="133"/>
      <c r="Q344" s="133"/>
      <c r="R344" s="133"/>
      <c r="S344" s="133"/>
      <c r="T344" s="133" t="s">
        <v>5122</v>
      </c>
      <c r="U344" s="133"/>
      <c r="V344" s="133" t="s">
        <v>5122</v>
      </c>
      <c r="W344" s="133"/>
      <c r="X344" s="133"/>
      <c r="Y344" s="133"/>
      <c r="Z344" s="118" t="s">
        <v>7781</v>
      </c>
    </row>
    <row r="345" customHeight="1" spans="1:26">
      <c r="A345" s="127" t="s">
        <v>8764</v>
      </c>
      <c r="B345" s="127">
        <v>2</v>
      </c>
      <c r="C345" s="127" t="s">
        <v>331</v>
      </c>
      <c r="D345" s="127"/>
      <c r="E345" s="127"/>
      <c r="F345" s="128" t="s">
        <v>321</v>
      </c>
      <c r="G345" s="127" t="s">
        <v>7535</v>
      </c>
      <c r="H345" s="127" t="s">
        <v>7526</v>
      </c>
      <c r="I345" s="127" t="s">
        <v>7527</v>
      </c>
      <c r="J345" s="127" t="s">
        <v>7539</v>
      </c>
      <c r="K345" s="144" t="s">
        <v>8765</v>
      </c>
      <c r="L345" s="145" t="s">
        <v>338</v>
      </c>
      <c r="M345" s="144" t="s">
        <v>8766</v>
      </c>
      <c r="N345" s="144" t="s">
        <v>8767</v>
      </c>
      <c r="O345" s="127"/>
      <c r="P345" s="127"/>
      <c r="Q345" s="127"/>
      <c r="R345" s="127"/>
      <c r="S345" s="127"/>
      <c r="T345" s="127" t="s">
        <v>5122</v>
      </c>
      <c r="U345" s="127"/>
      <c r="V345" s="127" t="s">
        <v>5122</v>
      </c>
      <c r="W345" s="127"/>
      <c r="X345" s="127"/>
      <c r="Y345" s="127"/>
      <c r="Z345" s="118" t="s">
        <v>90</v>
      </c>
    </row>
    <row r="346" customHeight="1" spans="1:26">
      <c r="A346" s="137" t="s">
        <v>8768</v>
      </c>
      <c r="B346" s="137">
        <v>2</v>
      </c>
      <c r="C346" s="137" t="s">
        <v>339</v>
      </c>
      <c r="D346" s="137" t="s">
        <v>5122</v>
      </c>
      <c r="E346" s="137"/>
      <c r="F346" s="138" t="s">
        <v>332</v>
      </c>
      <c r="G346" s="137" t="s">
        <v>326</v>
      </c>
      <c r="H346" s="137" t="s">
        <v>7526</v>
      </c>
      <c r="I346" s="137" t="s">
        <v>7527</v>
      </c>
      <c r="J346" s="137" t="s">
        <v>7539</v>
      </c>
      <c r="K346" s="154" t="s">
        <v>8769</v>
      </c>
      <c r="L346" s="155" t="s">
        <v>341</v>
      </c>
      <c r="M346" s="154" t="s">
        <v>8770</v>
      </c>
      <c r="N346" s="154" t="s">
        <v>8771</v>
      </c>
      <c r="O346" s="137"/>
      <c r="P346" s="137" t="s">
        <v>5122</v>
      </c>
      <c r="Q346" s="137"/>
      <c r="R346" s="137"/>
      <c r="S346" s="137"/>
      <c r="T346" s="137"/>
      <c r="U346" s="137"/>
      <c r="V346" s="137" t="s">
        <v>5122</v>
      </c>
      <c r="W346" s="137"/>
      <c r="X346" s="137"/>
      <c r="Y346" s="137"/>
      <c r="Z346" s="118" t="s">
        <v>90</v>
      </c>
    </row>
    <row r="347" customHeight="1" spans="1:26">
      <c r="A347" s="125" t="s">
        <v>8772</v>
      </c>
      <c r="B347" s="125">
        <v>2</v>
      </c>
      <c r="C347" s="125" t="s">
        <v>328</v>
      </c>
      <c r="D347" s="125"/>
      <c r="E347" s="125" t="s">
        <v>5122</v>
      </c>
      <c r="F347" s="126" t="s">
        <v>325</v>
      </c>
      <c r="G347" s="125" t="s">
        <v>326</v>
      </c>
      <c r="H347" s="125" t="s">
        <v>7526</v>
      </c>
      <c r="I347" s="125" t="s">
        <v>7527</v>
      </c>
      <c r="J347" s="125"/>
      <c r="K347" s="142"/>
      <c r="L347" s="143" t="s">
        <v>356</v>
      </c>
      <c r="M347" s="142" t="s">
        <v>8773</v>
      </c>
      <c r="N347" s="142" t="s">
        <v>8774</v>
      </c>
      <c r="O347" s="125"/>
      <c r="P347" s="125"/>
      <c r="Q347" s="125"/>
      <c r="R347" s="125"/>
      <c r="S347" s="125"/>
      <c r="T347" s="125"/>
      <c r="U347" s="125"/>
      <c r="V347" s="125" t="s">
        <v>5122</v>
      </c>
      <c r="W347" s="125"/>
      <c r="X347" s="125"/>
      <c r="Y347" s="125"/>
      <c r="Z347" s="118" t="s">
        <v>90</v>
      </c>
    </row>
    <row r="348" customHeight="1" spans="1:26">
      <c r="A348" s="137" t="s">
        <v>8775</v>
      </c>
      <c r="B348" s="137">
        <v>2</v>
      </c>
      <c r="C348" s="137" t="s">
        <v>339</v>
      </c>
      <c r="D348" s="137" t="s">
        <v>5122</v>
      </c>
      <c r="E348" s="137"/>
      <c r="F348" s="138" t="s">
        <v>7897</v>
      </c>
      <c r="G348" s="137" t="s">
        <v>7556</v>
      </c>
      <c r="H348" s="137" t="s">
        <v>7526</v>
      </c>
      <c r="I348" s="137" t="s">
        <v>7527</v>
      </c>
      <c r="J348" s="137" t="s">
        <v>7539</v>
      </c>
      <c r="K348" s="154" t="s">
        <v>8776</v>
      </c>
      <c r="L348" s="155" t="s">
        <v>323</v>
      </c>
      <c r="M348" s="154" t="s">
        <v>8777</v>
      </c>
      <c r="N348" s="154" t="s">
        <v>8778</v>
      </c>
      <c r="O348" s="137"/>
      <c r="P348" s="137"/>
      <c r="Q348" s="137"/>
      <c r="R348" s="137"/>
      <c r="S348" s="137"/>
      <c r="T348" s="137"/>
      <c r="U348" s="137"/>
      <c r="V348" s="137"/>
      <c r="W348" s="137" t="s">
        <v>5122</v>
      </c>
      <c r="X348" s="137"/>
      <c r="Y348" s="137"/>
      <c r="Z348" s="118" t="s">
        <v>107</v>
      </c>
    </row>
    <row r="349" customHeight="1" spans="1:26">
      <c r="A349" s="127" t="s">
        <v>8779</v>
      </c>
      <c r="B349" s="127">
        <v>3</v>
      </c>
      <c r="C349" s="127" t="s">
        <v>331</v>
      </c>
      <c r="D349" s="127"/>
      <c r="E349" s="127"/>
      <c r="F349" s="128" t="s">
        <v>329</v>
      </c>
      <c r="G349" s="127" t="s">
        <v>7556</v>
      </c>
      <c r="H349" s="127" t="s">
        <v>7526</v>
      </c>
      <c r="I349" s="127" t="s">
        <v>7527</v>
      </c>
      <c r="J349" s="127" t="s">
        <v>7539</v>
      </c>
      <c r="K349" s="144" t="s">
        <v>8780</v>
      </c>
      <c r="L349" s="145" t="s">
        <v>323</v>
      </c>
      <c r="M349" s="144" t="s">
        <v>8781</v>
      </c>
      <c r="N349" s="144" t="s">
        <v>8782</v>
      </c>
      <c r="O349" s="127"/>
      <c r="P349" s="127" t="s">
        <v>5122</v>
      </c>
      <c r="Q349" s="127"/>
      <c r="R349" s="127"/>
      <c r="S349" s="127"/>
      <c r="T349" s="127"/>
      <c r="U349" s="127"/>
      <c r="V349" s="127" t="s">
        <v>5122</v>
      </c>
      <c r="W349" s="127"/>
      <c r="X349" s="127"/>
      <c r="Y349" s="127"/>
      <c r="Z349" s="118" t="s">
        <v>7530</v>
      </c>
    </row>
    <row r="350" customHeight="1" spans="1:26">
      <c r="A350" s="123" t="s">
        <v>8783</v>
      </c>
      <c r="B350" s="123">
        <v>3</v>
      </c>
      <c r="C350" s="123" t="s">
        <v>324</v>
      </c>
      <c r="D350" s="123"/>
      <c r="E350" s="123" t="s">
        <v>5122</v>
      </c>
      <c r="F350" s="124" t="s">
        <v>321</v>
      </c>
      <c r="G350" s="123" t="s">
        <v>326</v>
      </c>
      <c r="H350" s="123" t="s">
        <v>7526</v>
      </c>
      <c r="I350" s="123"/>
      <c r="J350" s="123"/>
      <c r="K350" s="141"/>
      <c r="L350" s="139" t="s">
        <v>352</v>
      </c>
      <c r="M350" s="141" t="s">
        <v>8784</v>
      </c>
      <c r="N350" s="141" t="s">
        <v>8785</v>
      </c>
      <c r="O350" s="123"/>
      <c r="P350" s="123" t="s">
        <v>5122</v>
      </c>
      <c r="Q350" s="123" t="s">
        <v>5122</v>
      </c>
      <c r="R350" s="123" t="s">
        <v>5122</v>
      </c>
      <c r="S350" s="123"/>
      <c r="T350" s="123"/>
      <c r="U350" s="123"/>
      <c r="V350" s="123"/>
      <c r="W350" s="123"/>
      <c r="X350" s="123"/>
      <c r="Y350" s="123"/>
      <c r="Z350" s="118" t="s">
        <v>7530</v>
      </c>
    </row>
    <row r="351" customHeight="1" spans="1:26">
      <c r="A351" s="125" t="s">
        <v>8786</v>
      </c>
      <c r="B351" s="125">
        <v>3</v>
      </c>
      <c r="C351" s="125" t="s">
        <v>328</v>
      </c>
      <c r="D351" s="125"/>
      <c r="E351" s="125" t="s">
        <v>5122</v>
      </c>
      <c r="F351" s="126" t="s">
        <v>321</v>
      </c>
      <c r="G351" s="125" t="s">
        <v>333</v>
      </c>
      <c r="H351" s="125" t="s">
        <v>7526</v>
      </c>
      <c r="I351" s="125" t="s">
        <v>7527</v>
      </c>
      <c r="J351" s="125"/>
      <c r="K351" s="142"/>
      <c r="L351" s="143" t="s">
        <v>352</v>
      </c>
      <c r="M351" s="142" t="s">
        <v>8787</v>
      </c>
      <c r="N351" s="142" t="s">
        <v>8788</v>
      </c>
      <c r="O351" s="125"/>
      <c r="P351" s="125" t="s">
        <v>5122</v>
      </c>
      <c r="Q351" s="125"/>
      <c r="R351" s="125"/>
      <c r="S351" s="125"/>
      <c r="T351" s="125"/>
      <c r="U351" s="125"/>
      <c r="V351" s="125"/>
      <c r="W351" s="125"/>
      <c r="X351" s="125"/>
      <c r="Y351" s="125"/>
      <c r="Z351" s="118" t="s">
        <v>7530</v>
      </c>
    </row>
    <row r="352" customHeight="1" spans="1:26">
      <c r="A352" s="127" t="s">
        <v>8789</v>
      </c>
      <c r="B352" s="127">
        <v>3</v>
      </c>
      <c r="C352" s="127" t="s">
        <v>331</v>
      </c>
      <c r="D352" s="127"/>
      <c r="E352" s="127" t="s">
        <v>5122</v>
      </c>
      <c r="F352" s="128" t="s">
        <v>321</v>
      </c>
      <c r="G352" s="127" t="s">
        <v>7535</v>
      </c>
      <c r="H352" s="127" t="s">
        <v>7526</v>
      </c>
      <c r="I352" s="127" t="s">
        <v>7527</v>
      </c>
      <c r="J352" s="127"/>
      <c r="K352" s="144"/>
      <c r="L352" s="145" t="s">
        <v>352</v>
      </c>
      <c r="M352" s="144" t="s">
        <v>8790</v>
      </c>
      <c r="N352" s="144" t="s">
        <v>8791</v>
      </c>
      <c r="O352" s="127" t="s">
        <v>5122</v>
      </c>
      <c r="P352" s="127" t="s">
        <v>5122</v>
      </c>
      <c r="Q352" s="127"/>
      <c r="R352" s="127"/>
      <c r="S352" s="127"/>
      <c r="T352" s="127"/>
      <c r="U352" s="127"/>
      <c r="V352" s="127" t="s">
        <v>5122</v>
      </c>
      <c r="W352" s="127"/>
      <c r="X352" s="127"/>
      <c r="Y352" s="127" t="s">
        <v>5122</v>
      </c>
      <c r="Z352" s="118" t="s">
        <v>7530</v>
      </c>
    </row>
    <row r="353" customHeight="1" spans="1:26">
      <c r="A353" s="123" t="s">
        <v>8792</v>
      </c>
      <c r="B353" s="123">
        <v>3</v>
      </c>
      <c r="C353" s="123" t="s">
        <v>324</v>
      </c>
      <c r="D353" s="123"/>
      <c r="E353" s="123"/>
      <c r="F353" s="124" t="s">
        <v>7871</v>
      </c>
      <c r="G353" s="123" t="s">
        <v>326</v>
      </c>
      <c r="H353" s="123" t="s">
        <v>7526</v>
      </c>
      <c r="I353" s="123"/>
      <c r="J353" s="123"/>
      <c r="K353" s="141"/>
      <c r="L353" s="139" t="s">
        <v>329</v>
      </c>
      <c r="M353" s="141" t="s">
        <v>8793</v>
      </c>
      <c r="N353" s="141" t="s">
        <v>8794</v>
      </c>
      <c r="O353" s="123"/>
      <c r="P353" s="123"/>
      <c r="Q353" s="123"/>
      <c r="R353" s="123" t="s">
        <v>5122</v>
      </c>
      <c r="S353" s="123"/>
      <c r="T353" s="123"/>
      <c r="U353" s="123"/>
      <c r="V353" s="123"/>
      <c r="W353" s="123"/>
      <c r="X353" s="123"/>
      <c r="Y353" s="123"/>
      <c r="Z353" s="118" t="s">
        <v>7530</v>
      </c>
    </row>
    <row r="354" customHeight="1" spans="1:26">
      <c r="A354" s="131" t="s">
        <v>8795</v>
      </c>
      <c r="B354" s="131">
        <v>3</v>
      </c>
      <c r="C354" s="131" t="s">
        <v>320</v>
      </c>
      <c r="D354" s="131"/>
      <c r="E354" s="131"/>
      <c r="F354" s="132" t="s">
        <v>321</v>
      </c>
      <c r="G354" s="131" t="s">
        <v>326</v>
      </c>
      <c r="H354" s="131" t="s">
        <v>7526</v>
      </c>
      <c r="I354" s="131" t="s">
        <v>7527</v>
      </c>
      <c r="J354" s="131"/>
      <c r="K354" s="148"/>
      <c r="L354" s="149" t="s">
        <v>329</v>
      </c>
      <c r="M354" s="148" t="s">
        <v>8796</v>
      </c>
      <c r="N354" s="148" t="s">
        <v>8797</v>
      </c>
      <c r="O354" s="131"/>
      <c r="P354" s="131"/>
      <c r="Q354" s="131"/>
      <c r="R354" s="131"/>
      <c r="S354" s="131"/>
      <c r="T354" s="131" t="s">
        <v>5122</v>
      </c>
      <c r="U354" s="131"/>
      <c r="V354" s="131" t="s">
        <v>5122</v>
      </c>
      <c r="W354" s="131" t="s">
        <v>5122</v>
      </c>
      <c r="X354" s="131"/>
      <c r="Y354" s="131"/>
      <c r="Z354" s="118" t="s">
        <v>7530</v>
      </c>
    </row>
    <row r="355" customHeight="1" spans="1:26">
      <c r="A355" s="137" t="s">
        <v>8798</v>
      </c>
      <c r="B355" s="137">
        <v>3</v>
      </c>
      <c r="C355" s="137" t="s">
        <v>339</v>
      </c>
      <c r="D355" s="137"/>
      <c r="E355" s="137" t="s">
        <v>5122</v>
      </c>
      <c r="F355" s="138" t="s">
        <v>321</v>
      </c>
      <c r="G355" s="137" t="s">
        <v>343</v>
      </c>
      <c r="H355" s="137" t="s">
        <v>7526</v>
      </c>
      <c r="I355" s="137" t="s">
        <v>7527</v>
      </c>
      <c r="J355" s="137"/>
      <c r="K355" s="171"/>
      <c r="L355" s="155" t="s">
        <v>356</v>
      </c>
      <c r="M355" s="154" t="s">
        <v>8799</v>
      </c>
      <c r="N355" s="154" t="s">
        <v>8800</v>
      </c>
      <c r="O355" s="137"/>
      <c r="P355" s="137"/>
      <c r="Q355" s="137" t="s">
        <v>5122</v>
      </c>
      <c r="R355" s="137"/>
      <c r="S355" s="137"/>
      <c r="T355" s="137"/>
      <c r="U355" s="137"/>
      <c r="V355" s="137"/>
      <c r="W355" s="137"/>
      <c r="X355" s="137"/>
      <c r="Y355" s="137"/>
      <c r="Z355" s="118" t="s">
        <v>7530</v>
      </c>
    </row>
    <row r="356" customHeight="1" spans="1:26">
      <c r="A356" s="135" t="s">
        <v>8801</v>
      </c>
      <c r="B356" s="135">
        <v>3</v>
      </c>
      <c r="C356" s="135" t="s">
        <v>335</v>
      </c>
      <c r="D356" s="135"/>
      <c r="E356" s="135" t="s">
        <v>5122</v>
      </c>
      <c r="F356" s="136" t="s">
        <v>334</v>
      </c>
      <c r="G356" s="135" t="s">
        <v>367</v>
      </c>
      <c r="H356" s="135" t="s">
        <v>7526</v>
      </c>
      <c r="I356" s="135" t="s">
        <v>7527</v>
      </c>
      <c r="J356" s="135" t="s">
        <v>7539</v>
      </c>
      <c r="K356" s="152" t="s">
        <v>8802</v>
      </c>
      <c r="L356" s="153" t="s">
        <v>356</v>
      </c>
      <c r="M356" s="152" t="s">
        <v>8803</v>
      </c>
      <c r="N356" s="152" t="s">
        <v>8804</v>
      </c>
      <c r="O356" s="135" t="s">
        <v>5122</v>
      </c>
      <c r="P356" s="135" t="s">
        <v>5122</v>
      </c>
      <c r="Q356" s="135"/>
      <c r="R356" s="135"/>
      <c r="S356" s="135"/>
      <c r="T356" s="135" t="s">
        <v>5122</v>
      </c>
      <c r="U356" s="135"/>
      <c r="V356" s="135" t="s">
        <v>5122</v>
      </c>
      <c r="W356" s="135"/>
      <c r="X356" s="135"/>
      <c r="Y356" s="135"/>
      <c r="Z356" s="118" t="s">
        <v>7530</v>
      </c>
    </row>
    <row r="357" customHeight="1" spans="1:26">
      <c r="A357" s="137" t="s">
        <v>8805</v>
      </c>
      <c r="B357" s="137">
        <v>3</v>
      </c>
      <c r="C357" s="137" t="s">
        <v>339</v>
      </c>
      <c r="D357" s="137"/>
      <c r="E357" s="137" t="s">
        <v>5122</v>
      </c>
      <c r="F357" s="138" t="s">
        <v>321</v>
      </c>
      <c r="G357" s="137" t="s">
        <v>337</v>
      </c>
      <c r="H357" s="137" t="s">
        <v>7526</v>
      </c>
      <c r="I357" s="137" t="s">
        <v>7527</v>
      </c>
      <c r="J357" s="137"/>
      <c r="K357" s="171"/>
      <c r="L357" s="155" t="s">
        <v>356</v>
      </c>
      <c r="M357" s="154" t="s">
        <v>8806</v>
      </c>
      <c r="N357" s="154" t="s">
        <v>8807</v>
      </c>
      <c r="O357" s="137"/>
      <c r="P357" s="137"/>
      <c r="Q357" s="137" t="s">
        <v>5122</v>
      </c>
      <c r="R357" s="137"/>
      <c r="S357" s="137" t="s">
        <v>5122</v>
      </c>
      <c r="T357" s="137"/>
      <c r="U357" s="137"/>
      <c r="V357" s="137"/>
      <c r="W357" s="137"/>
      <c r="X357" s="137"/>
      <c r="Y357" s="137"/>
      <c r="Z357" s="118" t="s">
        <v>7530</v>
      </c>
    </row>
    <row r="358" customHeight="1" spans="1:26">
      <c r="A358" s="137" t="s">
        <v>8808</v>
      </c>
      <c r="B358" s="137">
        <v>3</v>
      </c>
      <c r="C358" s="137" t="s">
        <v>339</v>
      </c>
      <c r="D358" s="137"/>
      <c r="E358" s="137"/>
      <c r="F358" s="138" t="s">
        <v>321</v>
      </c>
      <c r="G358" s="137" t="s">
        <v>326</v>
      </c>
      <c r="H358" s="137" t="s">
        <v>7526</v>
      </c>
      <c r="I358" s="137" t="s">
        <v>7527</v>
      </c>
      <c r="J358" s="137" t="s">
        <v>7539</v>
      </c>
      <c r="K358" s="154" t="s">
        <v>8809</v>
      </c>
      <c r="L358" s="155" t="s">
        <v>323</v>
      </c>
      <c r="M358" s="154" t="s">
        <v>8810</v>
      </c>
      <c r="N358" s="154" t="s">
        <v>8811</v>
      </c>
      <c r="O358" s="137"/>
      <c r="P358" s="137"/>
      <c r="Q358" s="137"/>
      <c r="R358" s="137"/>
      <c r="S358" s="137" t="s">
        <v>5122</v>
      </c>
      <c r="T358" s="137"/>
      <c r="U358" s="137"/>
      <c r="V358" s="137"/>
      <c r="W358" s="137"/>
      <c r="X358" s="137"/>
      <c r="Y358" s="137"/>
      <c r="Z358" s="118" t="s">
        <v>7530</v>
      </c>
    </row>
    <row r="359" customHeight="1" spans="1:26">
      <c r="A359" s="125" t="s">
        <v>8812</v>
      </c>
      <c r="B359" s="125">
        <v>3</v>
      </c>
      <c r="C359" s="125" t="s">
        <v>328</v>
      </c>
      <c r="D359" s="125"/>
      <c r="E359" s="125"/>
      <c r="F359" s="126" t="s">
        <v>8813</v>
      </c>
      <c r="G359" s="125" t="s">
        <v>337</v>
      </c>
      <c r="H359" s="125"/>
      <c r="I359" s="125" t="s">
        <v>7527</v>
      </c>
      <c r="J359" s="125"/>
      <c r="K359" s="142"/>
      <c r="L359" s="143" t="s">
        <v>323</v>
      </c>
      <c r="M359" s="142" t="s">
        <v>8814</v>
      </c>
      <c r="N359" s="142" t="s">
        <v>8815</v>
      </c>
      <c r="O359" s="125"/>
      <c r="P359" s="125"/>
      <c r="Q359" s="125"/>
      <c r="R359" s="125"/>
      <c r="S359" s="125"/>
      <c r="T359" s="125" t="s">
        <v>5122</v>
      </c>
      <c r="U359" s="125" t="s">
        <v>5122</v>
      </c>
      <c r="V359" s="125" t="s">
        <v>5122</v>
      </c>
      <c r="W359" s="125"/>
      <c r="X359" s="125"/>
      <c r="Y359" s="125"/>
      <c r="Z359" s="118" t="s">
        <v>7530</v>
      </c>
    </row>
    <row r="360" customHeight="1" spans="1:26">
      <c r="A360" s="137" t="s">
        <v>8816</v>
      </c>
      <c r="B360" s="137">
        <v>3</v>
      </c>
      <c r="C360" s="137" t="s">
        <v>339</v>
      </c>
      <c r="D360" s="137"/>
      <c r="E360" s="137"/>
      <c r="F360" s="138" t="s">
        <v>321</v>
      </c>
      <c r="G360" s="137" t="s">
        <v>333</v>
      </c>
      <c r="H360" s="137" t="s">
        <v>7526</v>
      </c>
      <c r="I360" s="137" t="s">
        <v>7527</v>
      </c>
      <c r="J360" s="137"/>
      <c r="K360" s="154"/>
      <c r="L360" s="155" t="s">
        <v>323</v>
      </c>
      <c r="M360" s="154" t="s">
        <v>8817</v>
      </c>
      <c r="N360" s="154" t="s">
        <v>8818</v>
      </c>
      <c r="O360" s="137"/>
      <c r="P360" s="137" t="s">
        <v>5122</v>
      </c>
      <c r="Q360" s="137"/>
      <c r="R360" s="137" t="s">
        <v>5122</v>
      </c>
      <c r="S360" s="137"/>
      <c r="T360" s="137"/>
      <c r="U360" s="137"/>
      <c r="V360" s="137"/>
      <c r="W360" s="137" t="s">
        <v>5122</v>
      </c>
      <c r="X360" s="137"/>
      <c r="Y360" s="137"/>
      <c r="Z360" s="118" t="s">
        <v>7530</v>
      </c>
    </row>
    <row r="361" customHeight="1" spans="1:26">
      <c r="A361" s="123" t="s">
        <v>8819</v>
      </c>
      <c r="B361" s="123">
        <v>3</v>
      </c>
      <c r="C361" s="123" t="s">
        <v>324</v>
      </c>
      <c r="D361" s="123"/>
      <c r="E361" s="123" t="s">
        <v>5122</v>
      </c>
      <c r="F361" s="124" t="s">
        <v>321</v>
      </c>
      <c r="G361" s="123" t="s">
        <v>326</v>
      </c>
      <c r="H361" s="123" t="s">
        <v>7526</v>
      </c>
      <c r="I361" s="123"/>
      <c r="J361" s="123"/>
      <c r="K361" s="141"/>
      <c r="L361" s="139" t="s">
        <v>352</v>
      </c>
      <c r="M361" s="141" t="s">
        <v>8820</v>
      </c>
      <c r="N361" s="141" t="s">
        <v>8821</v>
      </c>
      <c r="O361" s="123"/>
      <c r="P361" s="123"/>
      <c r="Q361" s="123"/>
      <c r="R361" s="123" t="s">
        <v>5122</v>
      </c>
      <c r="S361" s="123"/>
      <c r="T361" s="123"/>
      <c r="U361" s="123"/>
      <c r="V361" s="123"/>
      <c r="W361" s="123"/>
      <c r="X361" s="123"/>
      <c r="Y361" s="123"/>
      <c r="Z361" s="118" t="s">
        <v>7530</v>
      </c>
    </row>
    <row r="362" customHeight="1" spans="1:26">
      <c r="A362" s="123" t="s">
        <v>8822</v>
      </c>
      <c r="B362" s="123">
        <v>3</v>
      </c>
      <c r="C362" s="123" t="s">
        <v>324</v>
      </c>
      <c r="D362" s="123"/>
      <c r="E362" s="123"/>
      <c r="F362" s="124" t="s">
        <v>321</v>
      </c>
      <c r="G362" s="123" t="s">
        <v>337</v>
      </c>
      <c r="H362" s="123" t="s">
        <v>7526</v>
      </c>
      <c r="I362" s="123" t="s">
        <v>7527</v>
      </c>
      <c r="J362" s="123"/>
      <c r="K362" s="141"/>
      <c r="L362" s="139" t="s">
        <v>338</v>
      </c>
      <c r="M362" s="141" t="s">
        <v>8823</v>
      </c>
      <c r="N362" s="141" t="s">
        <v>8824</v>
      </c>
      <c r="O362" s="123"/>
      <c r="P362" s="123" t="s">
        <v>5122</v>
      </c>
      <c r="Q362" s="123" t="s">
        <v>5122</v>
      </c>
      <c r="R362" s="123" t="s">
        <v>5122</v>
      </c>
      <c r="S362" s="123" t="s">
        <v>5122</v>
      </c>
      <c r="T362" s="123" t="s">
        <v>5122</v>
      </c>
      <c r="U362" s="123"/>
      <c r="V362" s="123"/>
      <c r="W362" s="123"/>
      <c r="X362" s="123"/>
      <c r="Y362" s="123"/>
      <c r="Z362" s="118" t="s">
        <v>7530</v>
      </c>
    </row>
    <row r="363" customHeight="1" spans="1:26">
      <c r="A363" s="125" t="s">
        <v>8825</v>
      </c>
      <c r="B363" s="125">
        <v>3</v>
      </c>
      <c r="C363" s="125" t="s">
        <v>328</v>
      </c>
      <c r="D363" s="125"/>
      <c r="E363" s="125"/>
      <c r="F363" s="126" t="s">
        <v>321</v>
      </c>
      <c r="G363" s="125" t="s">
        <v>343</v>
      </c>
      <c r="H363" s="125" t="s">
        <v>7526</v>
      </c>
      <c r="I363" s="125" t="s">
        <v>7527</v>
      </c>
      <c r="J363" s="125"/>
      <c r="K363" s="142"/>
      <c r="L363" s="143" t="s">
        <v>323</v>
      </c>
      <c r="M363" s="142" t="s">
        <v>8826</v>
      </c>
      <c r="N363" s="142" t="s">
        <v>8827</v>
      </c>
      <c r="O363" s="125" t="s">
        <v>5122</v>
      </c>
      <c r="P363" s="125" t="s">
        <v>5122</v>
      </c>
      <c r="Q363" s="125" t="s">
        <v>5122</v>
      </c>
      <c r="R363" s="125" t="s">
        <v>5122</v>
      </c>
      <c r="S363" s="125" t="s">
        <v>5122</v>
      </c>
      <c r="T363" s="125" t="s">
        <v>5122</v>
      </c>
      <c r="U363" s="125" t="s">
        <v>5122</v>
      </c>
      <c r="V363" s="125" t="s">
        <v>5122</v>
      </c>
      <c r="W363" s="125" t="s">
        <v>5122</v>
      </c>
      <c r="X363" s="125"/>
      <c r="Y363" s="125" t="s">
        <v>5122</v>
      </c>
      <c r="Z363" s="118" t="s">
        <v>7530</v>
      </c>
    </row>
    <row r="364" customHeight="1" spans="1:26">
      <c r="A364" s="131" t="s">
        <v>8828</v>
      </c>
      <c r="B364" s="131">
        <v>3</v>
      </c>
      <c r="C364" s="131" t="s">
        <v>320</v>
      </c>
      <c r="D364" s="131"/>
      <c r="E364" s="131" t="s">
        <v>5122</v>
      </c>
      <c r="F364" s="132" t="s">
        <v>321</v>
      </c>
      <c r="G364" s="131" t="s">
        <v>7535</v>
      </c>
      <c r="H364" s="131" t="s">
        <v>7526</v>
      </c>
      <c r="I364" s="131" t="s">
        <v>7527</v>
      </c>
      <c r="J364" s="131"/>
      <c r="K364" s="172"/>
      <c r="L364" s="149" t="s">
        <v>359</v>
      </c>
      <c r="M364" s="148" t="s">
        <v>8829</v>
      </c>
      <c r="N364" s="148" t="s">
        <v>8830</v>
      </c>
      <c r="O364" s="131"/>
      <c r="P364" s="131"/>
      <c r="Q364" s="131" t="s">
        <v>5122</v>
      </c>
      <c r="R364" s="131" t="s">
        <v>5122</v>
      </c>
      <c r="S364" s="131" t="s">
        <v>5122</v>
      </c>
      <c r="T364" s="131"/>
      <c r="U364" s="131"/>
      <c r="V364" s="131"/>
      <c r="W364" s="131" t="s">
        <v>5122</v>
      </c>
      <c r="X364" s="131"/>
      <c r="Y364" s="131"/>
      <c r="Z364" s="118" t="s">
        <v>7530</v>
      </c>
    </row>
    <row r="365" customHeight="1" spans="1:26">
      <c r="A365" s="129" t="s">
        <v>8831</v>
      </c>
      <c r="B365" s="129">
        <v>3</v>
      </c>
      <c r="C365" s="129" t="s">
        <v>347</v>
      </c>
      <c r="D365" s="129"/>
      <c r="E365" s="129" t="s">
        <v>5122</v>
      </c>
      <c r="F365" s="130" t="s">
        <v>321</v>
      </c>
      <c r="G365" s="129" t="s">
        <v>326</v>
      </c>
      <c r="H365" s="129" t="s">
        <v>7526</v>
      </c>
      <c r="I365" s="129" t="s">
        <v>7527</v>
      </c>
      <c r="J365" s="129" t="s">
        <v>7539</v>
      </c>
      <c r="K365" s="146" t="s">
        <v>8832</v>
      </c>
      <c r="L365" s="147" t="s">
        <v>352</v>
      </c>
      <c r="M365" s="146" t="s">
        <v>8833</v>
      </c>
      <c r="N365" s="146" t="s">
        <v>8834</v>
      </c>
      <c r="O365" s="129" t="s">
        <v>5122</v>
      </c>
      <c r="P365" s="129"/>
      <c r="Q365" s="129"/>
      <c r="R365" s="129"/>
      <c r="S365" s="129"/>
      <c r="T365" s="129" t="s">
        <v>5122</v>
      </c>
      <c r="U365" s="129" t="s">
        <v>5122</v>
      </c>
      <c r="V365" s="129" t="s">
        <v>5122</v>
      </c>
      <c r="W365" s="129"/>
      <c r="X365" s="129"/>
      <c r="Y365" s="129" t="s">
        <v>5122</v>
      </c>
      <c r="Z365" s="118" t="s">
        <v>7530</v>
      </c>
    </row>
    <row r="366" customHeight="1" spans="1:26">
      <c r="A366" s="127" t="s">
        <v>8835</v>
      </c>
      <c r="B366" s="127">
        <v>3</v>
      </c>
      <c r="C366" s="127" t="s">
        <v>331</v>
      </c>
      <c r="D366" s="127" t="s">
        <v>5122</v>
      </c>
      <c r="E366" s="127"/>
      <c r="F366" s="128" t="s">
        <v>332</v>
      </c>
      <c r="G366" s="127" t="s">
        <v>7535</v>
      </c>
      <c r="H366" s="127" t="s">
        <v>7526</v>
      </c>
      <c r="I366" s="127" t="s">
        <v>7527</v>
      </c>
      <c r="J366" s="127" t="s">
        <v>7539</v>
      </c>
      <c r="K366" s="144" t="s">
        <v>8836</v>
      </c>
      <c r="L366" s="145" t="s">
        <v>338</v>
      </c>
      <c r="M366" s="144" t="s">
        <v>8837</v>
      </c>
      <c r="N366" s="144" t="s">
        <v>8838</v>
      </c>
      <c r="O366" s="127" t="s">
        <v>5122</v>
      </c>
      <c r="P366" s="127" t="s">
        <v>5122</v>
      </c>
      <c r="Q366" s="127" t="s">
        <v>5122</v>
      </c>
      <c r="R366" s="127"/>
      <c r="S366" s="127"/>
      <c r="T366" s="127"/>
      <c r="U366" s="127"/>
      <c r="V366" s="127" t="s">
        <v>5122</v>
      </c>
      <c r="W366" s="127"/>
      <c r="X366" s="127"/>
      <c r="Y366" s="127"/>
      <c r="Z366" s="118" t="s">
        <v>7530</v>
      </c>
    </row>
    <row r="367" customHeight="1" spans="1:26">
      <c r="A367" s="123" t="s">
        <v>8839</v>
      </c>
      <c r="B367" s="123">
        <v>3</v>
      </c>
      <c r="C367" s="123" t="s">
        <v>324</v>
      </c>
      <c r="D367" s="123"/>
      <c r="E367" s="123"/>
      <c r="F367" s="124" t="s">
        <v>321</v>
      </c>
      <c r="G367" s="123" t="s">
        <v>348</v>
      </c>
      <c r="H367" s="123" t="s">
        <v>7526</v>
      </c>
      <c r="I367" s="123" t="s">
        <v>7527</v>
      </c>
      <c r="J367" s="123" t="s">
        <v>7539</v>
      </c>
      <c r="K367" s="141" t="s">
        <v>8840</v>
      </c>
      <c r="L367" s="139" t="s">
        <v>323</v>
      </c>
      <c r="M367" s="141" t="s">
        <v>8841</v>
      </c>
      <c r="N367" s="141" t="s">
        <v>8842</v>
      </c>
      <c r="O367" s="123"/>
      <c r="P367" s="123"/>
      <c r="Q367" s="123"/>
      <c r="R367" s="123"/>
      <c r="S367" s="123"/>
      <c r="T367" s="123" t="s">
        <v>5122</v>
      </c>
      <c r="U367" s="123"/>
      <c r="V367" s="123" t="s">
        <v>5122</v>
      </c>
      <c r="W367" s="123"/>
      <c r="X367" s="123"/>
      <c r="Y367" s="123"/>
      <c r="Z367" s="118" t="s">
        <v>7530</v>
      </c>
    </row>
    <row r="368" customHeight="1" spans="1:26">
      <c r="A368" s="131" t="s">
        <v>8843</v>
      </c>
      <c r="B368" s="131">
        <v>3</v>
      </c>
      <c r="C368" s="131" t="s">
        <v>320</v>
      </c>
      <c r="D368" s="131"/>
      <c r="E368" s="131" t="s">
        <v>5122</v>
      </c>
      <c r="F368" s="132" t="s">
        <v>321</v>
      </c>
      <c r="G368" s="131" t="s">
        <v>7535</v>
      </c>
      <c r="H368" s="131" t="s">
        <v>7526</v>
      </c>
      <c r="I368" s="131" t="s">
        <v>7527</v>
      </c>
      <c r="J368" s="131" t="s">
        <v>7539</v>
      </c>
      <c r="K368" s="148" t="s">
        <v>8844</v>
      </c>
      <c r="L368" s="149" t="s">
        <v>356</v>
      </c>
      <c r="M368" s="148" t="s">
        <v>8845</v>
      </c>
      <c r="N368" s="148" t="s">
        <v>8846</v>
      </c>
      <c r="O368" s="131"/>
      <c r="P368" s="131"/>
      <c r="Q368" s="131"/>
      <c r="R368" s="131"/>
      <c r="S368" s="131"/>
      <c r="T368" s="131" t="s">
        <v>5122</v>
      </c>
      <c r="U368" s="131" t="s">
        <v>5122</v>
      </c>
      <c r="V368" s="131" t="s">
        <v>5122</v>
      </c>
      <c r="W368" s="131" t="s">
        <v>5122</v>
      </c>
      <c r="X368" s="131"/>
      <c r="Y368" s="131"/>
      <c r="Z368" s="118" t="s">
        <v>7530</v>
      </c>
    </row>
    <row r="369" customHeight="1" spans="1:26">
      <c r="A369" s="131" t="s">
        <v>8847</v>
      </c>
      <c r="B369" s="131">
        <v>3</v>
      </c>
      <c r="C369" s="131" t="s">
        <v>320</v>
      </c>
      <c r="D369" s="131"/>
      <c r="E369" s="131" t="s">
        <v>5122</v>
      </c>
      <c r="F369" s="132" t="s">
        <v>321</v>
      </c>
      <c r="G369" s="131" t="s">
        <v>7535</v>
      </c>
      <c r="H369" s="131" t="s">
        <v>7526</v>
      </c>
      <c r="I369" s="131" t="s">
        <v>7527</v>
      </c>
      <c r="J369" s="131" t="s">
        <v>7539</v>
      </c>
      <c r="K369" s="148" t="s">
        <v>8848</v>
      </c>
      <c r="L369" s="149" t="s">
        <v>359</v>
      </c>
      <c r="M369" s="148" t="s">
        <v>8849</v>
      </c>
      <c r="N369" s="148" t="s">
        <v>8850</v>
      </c>
      <c r="O369" s="131"/>
      <c r="P369" s="131"/>
      <c r="Q369" s="131"/>
      <c r="R369" s="131"/>
      <c r="S369" s="131"/>
      <c r="T369" s="131" t="s">
        <v>5122</v>
      </c>
      <c r="U369" s="131" t="s">
        <v>5122</v>
      </c>
      <c r="V369" s="131" t="s">
        <v>5122</v>
      </c>
      <c r="W369" s="131"/>
      <c r="X369" s="131"/>
      <c r="Y369" s="131" t="s">
        <v>5122</v>
      </c>
      <c r="Z369" s="118" t="s">
        <v>7530</v>
      </c>
    </row>
    <row r="370" customHeight="1" spans="1:26">
      <c r="A370" s="125" t="s">
        <v>8851</v>
      </c>
      <c r="B370" s="125">
        <v>3</v>
      </c>
      <c r="C370" s="125" t="s">
        <v>328</v>
      </c>
      <c r="D370" s="125"/>
      <c r="E370" s="125"/>
      <c r="F370" s="126" t="s">
        <v>338</v>
      </c>
      <c r="G370" s="125" t="s">
        <v>7535</v>
      </c>
      <c r="H370" s="125" t="s">
        <v>7526</v>
      </c>
      <c r="I370" s="125" t="s">
        <v>7527</v>
      </c>
      <c r="J370" s="125" t="s">
        <v>7539</v>
      </c>
      <c r="K370" s="142" t="s">
        <v>8852</v>
      </c>
      <c r="L370" s="143" t="s">
        <v>8853</v>
      </c>
      <c r="M370" s="142" t="s">
        <v>8854</v>
      </c>
      <c r="N370" s="142" t="s">
        <v>8855</v>
      </c>
      <c r="O370" s="125" t="s">
        <v>5122</v>
      </c>
      <c r="P370" s="125" t="s">
        <v>5122</v>
      </c>
      <c r="Q370" s="125"/>
      <c r="R370" s="125"/>
      <c r="S370" s="125"/>
      <c r="T370" s="125"/>
      <c r="U370" s="125"/>
      <c r="V370" s="125" t="s">
        <v>5122</v>
      </c>
      <c r="W370" s="125" t="s">
        <v>5122</v>
      </c>
      <c r="X370" s="125"/>
      <c r="Y370" s="125" t="s">
        <v>5122</v>
      </c>
      <c r="Z370" s="118" t="s">
        <v>7530</v>
      </c>
    </row>
    <row r="371" customHeight="1" spans="1:26">
      <c r="A371" s="131" t="s">
        <v>8856</v>
      </c>
      <c r="B371" s="131">
        <v>3</v>
      </c>
      <c r="C371" s="131" t="s">
        <v>320</v>
      </c>
      <c r="D371" s="131"/>
      <c r="E371" s="131" t="s">
        <v>5122</v>
      </c>
      <c r="F371" s="132" t="s">
        <v>321</v>
      </c>
      <c r="G371" s="131" t="s">
        <v>333</v>
      </c>
      <c r="H371" s="131" t="s">
        <v>7526</v>
      </c>
      <c r="I371" s="131" t="s">
        <v>7527</v>
      </c>
      <c r="J371" s="131" t="s">
        <v>7539</v>
      </c>
      <c r="K371" s="148" t="s">
        <v>8857</v>
      </c>
      <c r="L371" s="149" t="s">
        <v>352</v>
      </c>
      <c r="M371" s="148" t="s">
        <v>8858</v>
      </c>
      <c r="N371" s="148" t="s">
        <v>8859</v>
      </c>
      <c r="O371" s="131"/>
      <c r="P371" s="131"/>
      <c r="Q371" s="131"/>
      <c r="R371" s="131"/>
      <c r="S371" s="131"/>
      <c r="T371" s="131" t="s">
        <v>5122</v>
      </c>
      <c r="U371" s="131"/>
      <c r="V371" s="131" t="s">
        <v>5122</v>
      </c>
      <c r="W371" s="131" t="s">
        <v>5122</v>
      </c>
      <c r="X371" s="131"/>
      <c r="Y371" s="131" t="s">
        <v>5122</v>
      </c>
      <c r="Z371" s="118" t="s">
        <v>7530</v>
      </c>
    </row>
    <row r="372" customHeight="1" spans="1:26">
      <c r="A372" s="137" t="s">
        <v>8860</v>
      </c>
      <c r="B372" s="137">
        <v>3</v>
      </c>
      <c r="C372" s="137" t="s">
        <v>339</v>
      </c>
      <c r="D372" s="137"/>
      <c r="E372" s="137" t="s">
        <v>5122</v>
      </c>
      <c r="F372" s="138" t="s">
        <v>321</v>
      </c>
      <c r="G372" s="137" t="s">
        <v>348</v>
      </c>
      <c r="H372" s="137" t="s">
        <v>7526</v>
      </c>
      <c r="I372" s="137" t="s">
        <v>7527</v>
      </c>
      <c r="J372" s="137" t="s">
        <v>7539</v>
      </c>
      <c r="K372" s="154" t="s">
        <v>8861</v>
      </c>
      <c r="L372" s="155" t="s">
        <v>352</v>
      </c>
      <c r="M372" s="154" t="s">
        <v>8862</v>
      </c>
      <c r="N372" s="154" t="s">
        <v>8863</v>
      </c>
      <c r="O372" s="137"/>
      <c r="P372" s="137"/>
      <c r="Q372" s="137"/>
      <c r="R372" s="137"/>
      <c r="S372" s="137"/>
      <c r="T372" s="137"/>
      <c r="U372" s="137" t="s">
        <v>5122</v>
      </c>
      <c r="V372" s="137"/>
      <c r="W372" s="137"/>
      <c r="X372" s="137"/>
      <c r="Y372" s="137"/>
      <c r="Z372" s="118" t="s">
        <v>7530</v>
      </c>
    </row>
    <row r="373" customHeight="1" spans="1:26">
      <c r="A373" s="129" t="s">
        <v>8864</v>
      </c>
      <c r="B373" s="129">
        <v>3</v>
      </c>
      <c r="C373" s="129" t="s">
        <v>347</v>
      </c>
      <c r="D373" s="129"/>
      <c r="E373" s="129" t="s">
        <v>5122</v>
      </c>
      <c r="F373" s="130" t="s">
        <v>321</v>
      </c>
      <c r="G373" s="129" t="s">
        <v>343</v>
      </c>
      <c r="H373" s="129"/>
      <c r="I373" s="129" t="s">
        <v>7527</v>
      </c>
      <c r="J373" s="129" t="s">
        <v>7539</v>
      </c>
      <c r="K373" s="146" t="s">
        <v>8865</v>
      </c>
      <c r="L373" s="147" t="s">
        <v>352</v>
      </c>
      <c r="M373" s="146" t="s">
        <v>8866</v>
      </c>
      <c r="N373" s="146" t="s">
        <v>8867</v>
      </c>
      <c r="O373" s="129" t="s">
        <v>5122</v>
      </c>
      <c r="P373" s="129"/>
      <c r="Q373" s="129"/>
      <c r="R373" s="129"/>
      <c r="S373" s="129"/>
      <c r="T373" s="129" t="s">
        <v>5122</v>
      </c>
      <c r="U373" s="129" t="s">
        <v>5122</v>
      </c>
      <c r="V373" s="129" t="s">
        <v>5122</v>
      </c>
      <c r="W373" s="129"/>
      <c r="X373" s="129"/>
      <c r="Y373" s="129" t="s">
        <v>5122</v>
      </c>
      <c r="Z373" s="118" t="s">
        <v>7530</v>
      </c>
    </row>
    <row r="374" customHeight="1" spans="1:26">
      <c r="A374" s="123" t="s">
        <v>8868</v>
      </c>
      <c r="B374" s="123">
        <v>3</v>
      </c>
      <c r="C374" s="123" t="s">
        <v>324</v>
      </c>
      <c r="D374" s="123" t="s">
        <v>5122</v>
      </c>
      <c r="E374" s="123"/>
      <c r="F374" s="124" t="s">
        <v>336</v>
      </c>
      <c r="G374" s="123" t="s">
        <v>326</v>
      </c>
      <c r="H374" s="123" t="s">
        <v>7526</v>
      </c>
      <c r="I374" s="123" t="s">
        <v>7527</v>
      </c>
      <c r="J374" s="123" t="s">
        <v>7539</v>
      </c>
      <c r="K374" s="141" t="s">
        <v>8869</v>
      </c>
      <c r="L374" s="139" t="s">
        <v>8256</v>
      </c>
      <c r="M374" s="141" t="s">
        <v>8870</v>
      </c>
      <c r="N374" s="141" t="s">
        <v>8871</v>
      </c>
      <c r="O374" s="123" t="s">
        <v>5122</v>
      </c>
      <c r="P374" s="123"/>
      <c r="Q374" s="123"/>
      <c r="R374" s="123"/>
      <c r="S374" s="123"/>
      <c r="T374" s="123"/>
      <c r="U374" s="123"/>
      <c r="V374" s="123" t="s">
        <v>5122</v>
      </c>
      <c r="W374" s="123"/>
      <c r="X374" s="123"/>
      <c r="Y374" s="123"/>
      <c r="Z374" s="118" t="s">
        <v>7530</v>
      </c>
    </row>
    <row r="375" customHeight="1" spans="1:26">
      <c r="A375" s="131" t="s">
        <v>8872</v>
      </c>
      <c r="B375" s="131">
        <v>3</v>
      </c>
      <c r="C375" s="131" t="s">
        <v>320</v>
      </c>
      <c r="D375" s="131"/>
      <c r="E375" s="131"/>
      <c r="F375" s="132" t="s">
        <v>8873</v>
      </c>
      <c r="G375" s="131" t="s">
        <v>326</v>
      </c>
      <c r="H375" s="131" t="s">
        <v>7526</v>
      </c>
      <c r="I375" s="131" t="s">
        <v>7527</v>
      </c>
      <c r="J375" s="131"/>
      <c r="K375" s="172"/>
      <c r="L375" s="149" t="s">
        <v>323</v>
      </c>
      <c r="M375" s="148" t="s">
        <v>8874</v>
      </c>
      <c r="N375" s="148" t="s">
        <v>8875</v>
      </c>
      <c r="O375" s="131"/>
      <c r="P375" s="131"/>
      <c r="Q375" s="131"/>
      <c r="R375" s="131"/>
      <c r="S375" s="131" t="s">
        <v>5122</v>
      </c>
      <c r="T375" s="131"/>
      <c r="U375" s="131"/>
      <c r="V375" s="131"/>
      <c r="W375" s="131"/>
      <c r="X375" s="131"/>
      <c r="Y375" s="131"/>
      <c r="Z375" s="118" t="s">
        <v>7530</v>
      </c>
    </row>
    <row r="376" customHeight="1" spans="1:26">
      <c r="A376" s="123" t="s">
        <v>8876</v>
      </c>
      <c r="B376" s="123">
        <v>3</v>
      </c>
      <c r="C376" s="123" t="s">
        <v>324</v>
      </c>
      <c r="D376" s="123"/>
      <c r="E376" s="123"/>
      <c r="F376" s="124" t="s">
        <v>321</v>
      </c>
      <c r="G376" s="123" t="s">
        <v>326</v>
      </c>
      <c r="H376" s="123" t="s">
        <v>7526</v>
      </c>
      <c r="I376" s="123" t="s">
        <v>7527</v>
      </c>
      <c r="J376" s="123" t="s">
        <v>7539</v>
      </c>
      <c r="K376" s="141" t="s">
        <v>8877</v>
      </c>
      <c r="L376" s="139" t="s">
        <v>323</v>
      </c>
      <c r="M376" s="141" t="s">
        <v>8878</v>
      </c>
      <c r="N376" s="141" t="s">
        <v>8879</v>
      </c>
      <c r="O376" s="123"/>
      <c r="P376" s="123"/>
      <c r="Q376" s="123"/>
      <c r="R376" s="123"/>
      <c r="S376" s="123"/>
      <c r="T376" s="123" t="s">
        <v>5122</v>
      </c>
      <c r="U376" s="123"/>
      <c r="V376" s="123" t="s">
        <v>5122</v>
      </c>
      <c r="W376" s="123"/>
      <c r="X376" s="123"/>
      <c r="Y376" s="123"/>
      <c r="Z376" s="118" t="s">
        <v>7530</v>
      </c>
    </row>
    <row r="377" customHeight="1" spans="1:26">
      <c r="A377" s="125" t="s">
        <v>8880</v>
      </c>
      <c r="B377" s="125">
        <v>3</v>
      </c>
      <c r="C377" s="125" t="s">
        <v>328</v>
      </c>
      <c r="D377" s="125"/>
      <c r="E377" s="125"/>
      <c r="F377" s="126" t="s">
        <v>329</v>
      </c>
      <c r="G377" s="125" t="s">
        <v>7556</v>
      </c>
      <c r="H377" s="125" t="s">
        <v>7526</v>
      </c>
      <c r="I377" s="125" t="s">
        <v>7527</v>
      </c>
      <c r="J377" s="125" t="s">
        <v>7539</v>
      </c>
      <c r="K377" s="142" t="s">
        <v>8881</v>
      </c>
      <c r="L377" s="143" t="s">
        <v>338</v>
      </c>
      <c r="M377" s="142" t="s">
        <v>8882</v>
      </c>
      <c r="N377" s="142" t="s">
        <v>8883</v>
      </c>
      <c r="O377" s="125"/>
      <c r="P377" s="125" t="s">
        <v>5122</v>
      </c>
      <c r="Q377" s="125"/>
      <c r="R377" s="125" t="s">
        <v>5122</v>
      </c>
      <c r="S377" s="125"/>
      <c r="T377" s="125"/>
      <c r="U377" s="125" t="s">
        <v>5122</v>
      </c>
      <c r="V377" s="125" t="s">
        <v>5122</v>
      </c>
      <c r="W377" s="125"/>
      <c r="X377" s="125"/>
      <c r="Y377" s="125" t="s">
        <v>5122</v>
      </c>
      <c r="Z377" s="118" t="s">
        <v>7530</v>
      </c>
    </row>
    <row r="378" customHeight="1" spans="1:26">
      <c r="A378" s="129" t="s">
        <v>8884</v>
      </c>
      <c r="B378" s="129">
        <v>3</v>
      </c>
      <c r="C378" s="129" t="s">
        <v>347</v>
      </c>
      <c r="D378" s="129"/>
      <c r="E378" s="129" t="s">
        <v>5122</v>
      </c>
      <c r="F378" s="130" t="s">
        <v>321</v>
      </c>
      <c r="G378" s="129" t="s">
        <v>343</v>
      </c>
      <c r="H378" s="129" t="s">
        <v>7526</v>
      </c>
      <c r="I378" s="129" t="s">
        <v>7527</v>
      </c>
      <c r="J378" s="129" t="s">
        <v>7539</v>
      </c>
      <c r="K378" s="146" t="s">
        <v>7581</v>
      </c>
      <c r="L378" s="147" t="s">
        <v>356</v>
      </c>
      <c r="M378" s="146" t="s">
        <v>8885</v>
      </c>
      <c r="N378" s="146" t="s">
        <v>8886</v>
      </c>
      <c r="O378" s="129" t="s">
        <v>5122</v>
      </c>
      <c r="P378" s="129"/>
      <c r="Q378" s="129"/>
      <c r="R378" s="129"/>
      <c r="S378" s="129"/>
      <c r="T378" s="129" t="s">
        <v>5122</v>
      </c>
      <c r="U378" s="129" t="s">
        <v>5122</v>
      </c>
      <c r="V378" s="129" t="s">
        <v>5122</v>
      </c>
      <c r="W378" s="129"/>
      <c r="X378" s="129"/>
      <c r="Y378" s="129"/>
      <c r="Z378" s="118" t="s">
        <v>7530</v>
      </c>
    </row>
    <row r="379" customHeight="1" spans="1:26">
      <c r="A379" s="123" t="s">
        <v>8887</v>
      </c>
      <c r="B379" s="123">
        <v>3</v>
      </c>
      <c r="C379" s="123" t="s">
        <v>324</v>
      </c>
      <c r="D379" s="123"/>
      <c r="E379" s="123"/>
      <c r="F379" s="124" t="s">
        <v>325</v>
      </c>
      <c r="G379" s="123" t="s">
        <v>337</v>
      </c>
      <c r="H379" s="123" t="s">
        <v>7526</v>
      </c>
      <c r="I379" s="123"/>
      <c r="J379" s="123"/>
      <c r="K379" s="141"/>
      <c r="L379" s="139" t="s">
        <v>323</v>
      </c>
      <c r="M379" s="141" t="s">
        <v>8888</v>
      </c>
      <c r="N379" s="141" t="s">
        <v>8889</v>
      </c>
      <c r="O379" s="123" t="s">
        <v>5122</v>
      </c>
      <c r="P379" s="123" t="s">
        <v>5122</v>
      </c>
      <c r="Q379" s="123"/>
      <c r="R379" s="123"/>
      <c r="S379" s="123"/>
      <c r="T379" s="123"/>
      <c r="U379" s="123"/>
      <c r="V379" s="123"/>
      <c r="W379" s="123"/>
      <c r="X379" s="123"/>
      <c r="Y379" s="123" t="s">
        <v>5122</v>
      </c>
      <c r="Z379" s="118" t="s">
        <v>7530</v>
      </c>
    </row>
    <row r="380" customHeight="1" spans="1:26">
      <c r="A380" s="131" t="s">
        <v>8890</v>
      </c>
      <c r="B380" s="131">
        <v>3</v>
      </c>
      <c r="C380" s="131" t="s">
        <v>320</v>
      </c>
      <c r="D380" s="131" t="s">
        <v>5122</v>
      </c>
      <c r="E380" s="131"/>
      <c r="F380" s="132" t="s">
        <v>332</v>
      </c>
      <c r="G380" s="131" t="s">
        <v>7535</v>
      </c>
      <c r="H380" s="131" t="s">
        <v>7526</v>
      </c>
      <c r="I380" s="131" t="s">
        <v>7527</v>
      </c>
      <c r="J380" s="131"/>
      <c r="K380" s="172"/>
      <c r="L380" s="149" t="s">
        <v>341</v>
      </c>
      <c r="M380" s="148" t="s">
        <v>8891</v>
      </c>
      <c r="N380" s="148" t="s">
        <v>8892</v>
      </c>
      <c r="O380" s="131"/>
      <c r="P380" s="131" t="s">
        <v>5122</v>
      </c>
      <c r="Q380" s="131" t="s">
        <v>5122</v>
      </c>
      <c r="R380" s="131"/>
      <c r="S380" s="131" t="s">
        <v>5122</v>
      </c>
      <c r="T380" s="131"/>
      <c r="U380" s="131"/>
      <c r="V380" s="131"/>
      <c r="W380" s="131"/>
      <c r="X380" s="131"/>
      <c r="Y380" s="131"/>
      <c r="Z380" s="118" t="s">
        <v>7530</v>
      </c>
    </row>
    <row r="381" customHeight="1" spans="1:26">
      <c r="A381" s="125" t="s">
        <v>8893</v>
      </c>
      <c r="B381" s="125">
        <v>3</v>
      </c>
      <c r="C381" s="125" t="s">
        <v>328</v>
      </c>
      <c r="D381" s="125"/>
      <c r="E381" s="125"/>
      <c r="F381" s="126" t="s">
        <v>321</v>
      </c>
      <c r="G381" s="125" t="s">
        <v>7535</v>
      </c>
      <c r="H381" s="125" t="s">
        <v>7526</v>
      </c>
      <c r="I381" s="125" t="s">
        <v>7527</v>
      </c>
      <c r="J381" s="125" t="s">
        <v>7539</v>
      </c>
      <c r="K381" s="142" t="s">
        <v>8894</v>
      </c>
      <c r="L381" s="143" t="s">
        <v>341</v>
      </c>
      <c r="M381" s="142" t="s">
        <v>8895</v>
      </c>
      <c r="N381" s="142" t="s">
        <v>8896</v>
      </c>
      <c r="O381" s="125" t="s">
        <v>5122</v>
      </c>
      <c r="P381" s="125"/>
      <c r="Q381" s="125"/>
      <c r="R381" s="125"/>
      <c r="S381" s="125" t="s">
        <v>5122</v>
      </c>
      <c r="T381" s="125"/>
      <c r="U381" s="125"/>
      <c r="V381" s="125" t="s">
        <v>5122</v>
      </c>
      <c r="W381" s="125"/>
      <c r="X381" s="125"/>
      <c r="Y381" s="125"/>
      <c r="Z381" s="118" t="s">
        <v>7530</v>
      </c>
    </row>
    <row r="382" customHeight="1" spans="1:26">
      <c r="A382" s="129" t="s">
        <v>8897</v>
      </c>
      <c r="B382" s="129">
        <v>3</v>
      </c>
      <c r="C382" s="129" t="s">
        <v>347</v>
      </c>
      <c r="D382" s="129" t="s">
        <v>5122</v>
      </c>
      <c r="E382" s="129"/>
      <c r="F382" s="130" t="s">
        <v>336</v>
      </c>
      <c r="G382" s="129" t="s">
        <v>333</v>
      </c>
      <c r="H382" s="129" t="s">
        <v>7526</v>
      </c>
      <c r="I382" s="129" t="s">
        <v>7527</v>
      </c>
      <c r="J382" s="129"/>
      <c r="K382" s="146"/>
      <c r="L382" s="147" t="s">
        <v>338</v>
      </c>
      <c r="M382" s="146" t="s">
        <v>8898</v>
      </c>
      <c r="N382" s="146" t="s">
        <v>8899</v>
      </c>
      <c r="O382" s="129"/>
      <c r="P382" s="129"/>
      <c r="Q382" s="129"/>
      <c r="R382" s="129"/>
      <c r="S382" s="129"/>
      <c r="T382" s="129"/>
      <c r="U382" s="129"/>
      <c r="V382" s="129" t="s">
        <v>5122</v>
      </c>
      <c r="W382" s="129"/>
      <c r="X382" s="129"/>
      <c r="Y382" s="129"/>
      <c r="Z382" s="118" t="s">
        <v>7530</v>
      </c>
    </row>
    <row r="383" customHeight="1" spans="1:26">
      <c r="A383" s="131" t="s">
        <v>8900</v>
      </c>
      <c r="B383" s="131">
        <v>3</v>
      </c>
      <c r="C383" s="131" t="s">
        <v>320</v>
      </c>
      <c r="D383" s="131"/>
      <c r="E383" s="131"/>
      <c r="F383" s="132" t="s">
        <v>8901</v>
      </c>
      <c r="G383" s="131" t="s">
        <v>348</v>
      </c>
      <c r="H383" s="131" t="s">
        <v>7526</v>
      </c>
      <c r="I383" s="131" t="s">
        <v>7527</v>
      </c>
      <c r="J383" s="131"/>
      <c r="K383" s="148"/>
      <c r="L383" s="149" t="s">
        <v>323</v>
      </c>
      <c r="M383" s="148" t="s">
        <v>8902</v>
      </c>
      <c r="N383" s="148" t="s">
        <v>8903</v>
      </c>
      <c r="O383" s="131" t="s">
        <v>5122</v>
      </c>
      <c r="P383" s="131"/>
      <c r="Q383" s="131" t="s">
        <v>5122</v>
      </c>
      <c r="R383" s="131"/>
      <c r="S383" s="131" t="s">
        <v>5122</v>
      </c>
      <c r="T383" s="131"/>
      <c r="U383" s="131"/>
      <c r="V383" s="131"/>
      <c r="W383" s="131"/>
      <c r="X383" s="131"/>
      <c r="Y383" s="131"/>
      <c r="Z383" s="118" t="s">
        <v>7530</v>
      </c>
    </row>
    <row r="384" customHeight="1" spans="1:26">
      <c r="A384" s="125" t="s">
        <v>8904</v>
      </c>
      <c r="B384" s="125">
        <v>3</v>
      </c>
      <c r="C384" s="125" t="s">
        <v>328</v>
      </c>
      <c r="D384" s="125"/>
      <c r="E384" s="125" t="s">
        <v>5122</v>
      </c>
      <c r="F384" s="126" t="s">
        <v>321</v>
      </c>
      <c r="G384" s="125" t="s">
        <v>7535</v>
      </c>
      <c r="H384" s="125" t="s">
        <v>7526</v>
      </c>
      <c r="I384" s="125" t="s">
        <v>7527</v>
      </c>
      <c r="J384" s="125"/>
      <c r="K384" s="142"/>
      <c r="L384" s="143" t="s">
        <v>359</v>
      </c>
      <c r="M384" s="142" t="s">
        <v>8905</v>
      </c>
      <c r="N384" s="142" t="s">
        <v>8906</v>
      </c>
      <c r="O384" s="125"/>
      <c r="P384" s="125" t="s">
        <v>5122</v>
      </c>
      <c r="Q384" s="125" t="s">
        <v>5122</v>
      </c>
      <c r="R384" s="125"/>
      <c r="S384" s="125" t="s">
        <v>5122</v>
      </c>
      <c r="T384" s="125" t="s">
        <v>5122</v>
      </c>
      <c r="U384" s="125"/>
      <c r="V384" s="125" t="s">
        <v>5122</v>
      </c>
      <c r="W384" s="125" t="s">
        <v>5122</v>
      </c>
      <c r="X384" s="125"/>
      <c r="Y384" s="125" t="s">
        <v>5122</v>
      </c>
      <c r="Z384" s="118" t="s">
        <v>7530</v>
      </c>
    </row>
    <row r="385" customHeight="1" spans="1:26">
      <c r="A385" s="125" t="s">
        <v>8907</v>
      </c>
      <c r="B385" s="125">
        <v>3</v>
      </c>
      <c r="C385" s="125" t="s">
        <v>328</v>
      </c>
      <c r="D385" s="125"/>
      <c r="E385" s="125"/>
      <c r="F385" s="126" t="s">
        <v>321</v>
      </c>
      <c r="G385" s="125" t="s">
        <v>7535</v>
      </c>
      <c r="H385" s="125" t="s">
        <v>7526</v>
      </c>
      <c r="I385" s="125" t="s">
        <v>7527</v>
      </c>
      <c r="J385" s="125"/>
      <c r="K385" s="175"/>
      <c r="L385" s="143" t="s">
        <v>323</v>
      </c>
      <c r="M385" s="142" t="s">
        <v>8908</v>
      </c>
      <c r="N385" s="142" t="s">
        <v>8909</v>
      </c>
      <c r="O385" s="125"/>
      <c r="P385" s="125" t="s">
        <v>5122</v>
      </c>
      <c r="Q385" s="125"/>
      <c r="R385" s="125" t="s">
        <v>5122</v>
      </c>
      <c r="S385" s="125"/>
      <c r="T385" s="125"/>
      <c r="U385" s="125" t="s">
        <v>5122</v>
      </c>
      <c r="V385" s="125" t="s">
        <v>5122</v>
      </c>
      <c r="W385" s="125"/>
      <c r="X385" s="125"/>
      <c r="Y385" s="125" t="s">
        <v>5122</v>
      </c>
      <c r="Z385" s="118" t="s">
        <v>7530</v>
      </c>
    </row>
    <row r="386" customHeight="1" spans="1:26">
      <c r="A386" s="127" t="s">
        <v>8910</v>
      </c>
      <c r="B386" s="127">
        <v>3</v>
      </c>
      <c r="C386" s="127" t="s">
        <v>331</v>
      </c>
      <c r="D386" s="127"/>
      <c r="E386" s="127"/>
      <c r="F386" s="128" t="s">
        <v>321</v>
      </c>
      <c r="G386" s="127" t="s">
        <v>7535</v>
      </c>
      <c r="H386" s="127" t="s">
        <v>7526</v>
      </c>
      <c r="I386" s="127" t="s">
        <v>7527</v>
      </c>
      <c r="J386" s="127" t="s">
        <v>7539</v>
      </c>
      <c r="K386" s="144" t="s">
        <v>8911</v>
      </c>
      <c r="L386" s="145" t="s">
        <v>323</v>
      </c>
      <c r="M386" s="144" t="s">
        <v>8912</v>
      </c>
      <c r="N386" s="144" t="s">
        <v>8913</v>
      </c>
      <c r="O386" s="127"/>
      <c r="P386" s="127" t="s">
        <v>5122</v>
      </c>
      <c r="Q386" s="127" t="s">
        <v>5122</v>
      </c>
      <c r="R386" s="127" t="s">
        <v>5122</v>
      </c>
      <c r="S386" s="127" t="s">
        <v>5122</v>
      </c>
      <c r="T386" s="127"/>
      <c r="U386" s="127"/>
      <c r="V386" s="127"/>
      <c r="W386" s="127" t="s">
        <v>5122</v>
      </c>
      <c r="X386" s="127"/>
      <c r="Y386" s="127" t="s">
        <v>5122</v>
      </c>
      <c r="Z386" s="118" t="s">
        <v>7530</v>
      </c>
    </row>
    <row r="387" customHeight="1" spans="1:26">
      <c r="A387" s="135" t="s">
        <v>8914</v>
      </c>
      <c r="B387" s="135">
        <v>3</v>
      </c>
      <c r="C387" s="135" t="s">
        <v>335</v>
      </c>
      <c r="D387" s="135"/>
      <c r="E387" s="135"/>
      <c r="F387" s="136" t="s">
        <v>321</v>
      </c>
      <c r="G387" s="135" t="s">
        <v>8915</v>
      </c>
      <c r="H387" s="135" t="s">
        <v>7526</v>
      </c>
      <c r="I387" s="135" t="s">
        <v>7527</v>
      </c>
      <c r="J387" s="135" t="s">
        <v>7539</v>
      </c>
      <c r="K387" s="152" t="s">
        <v>7574</v>
      </c>
      <c r="L387" s="153" t="s">
        <v>323</v>
      </c>
      <c r="M387" s="152" t="s">
        <v>8916</v>
      </c>
      <c r="N387" s="152" t="s">
        <v>8917</v>
      </c>
      <c r="O387" s="135" t="s">
        <v>5122</v>
      </c>
      <c r="P387" s="135" t="s">
        <v>5122</v>
      </c>
      <c r="Q387" s="135"/>
      <c r="R387" s="135"/>
      <c r="S387" s="135"/>
      <c r="T387" s="135"/>
      <c r="U387" s="135"/>
      <c r="V387" s="135" t="s">
        <v>5122</v>
      </c>
      <c r="W387" s="135"/>
      <c r="X387" s="135"/>
      <c r="Y387" s="135" t="s">
        <v>5122</v>
      </c>
      <c r="Z387" s="118" t="s">
        <v>7530</v>
      </c>
    </row>
    <row r="388" customHeight="1" spans="1:26">
      <c r="A388" s="137" t="s">
        <v>8918</v>
      </c>
      <c r="B388" s="137">
        <v>3</v>
      </c>
      <c r="C388" s="137" t="s">
        <v>339</v>
      </c>
      <c r="D388" s="137"/>
      <c r="E388" s="137" t="s">
        <v>5122</v>
      </c>
      <c r="F388" s="138" t="s">
        <v>321</v>
      </c>
      <c r="G388" s="137" t="s">
        <v>348</v>
      </c>
      <c r="H388" s="137" t="s">
        <v>7526</v>
      </c>
      <c r="I388" s="137" t="s">
        <v>7527</v>
      </c>
      <c r="J388" s="137" t="s">
        <v>7539</v>
      </c>
      <c r="K388" s="154" t="s">
        <v>8919</v>
      </c>
      <c r="L388" s="155" t="s">
        <v>352</v>
      </c>
      <c r="M388" s="154" t="s">
        <v>8920</v>
      </c>
      <c r="N388" s="154" t="s">
        <v>8921</v>
      </c>
      <c r="O388" s="137"/>
      <c r="P388" s="137"/>
      <c r="Q388" s="137" t="s">
        <v>5122</v>
      </c>
      <c r="R388" s="137"/>
      <c r="S388" s="137"/>
      <c r="T388" s="137" t="s">
        <v>5122</v>
      </c>
      <c r="U388" s="137"/>
      <c r="V388" s="137" t="s">
        <v>5122</v>
      </c>
      <c r="W388" s="137"/>
      <c r="X388" s="137"/>
      <c r="Y388" s="137"/>
      <c r="Z388" s="118" t="s">
        <v>7530</v>
      </c>
    </row>
    <row r="389" customHeight="1" spans="1:26">
      <c r="A389" s="131" t="s">
        <v>8922</v>
      </c>
      <c r="B389" s="131">
        <v>3</v>
      </c>
      <c r="C389" s="131" t="s">
        <v>320</v>
      </c>
      <c r="D389" s="131"/>
      <c r="E389" s="131" t="s">
        <v>5122</v>
      </c>
      <c r="F389" s="132" t="s">
        <v>321</v>
      </c>
      <c r="G389" s="131" t="s">
        <v>343</v>
      </c>
      <c r="H389" s="131" t="s">
        <v>7526</v>
      </c>
      <c r="I389" s="131" t="s">
        <v>7527</v>
      </c>
      <c r="J389" s="131" t="s">
        <v>7539</v>
      </c>
      <c r="K389" s="148" t="s">
        <v>8923</v>
      </c>
      <c r="L389" s="149" t="s">
        <v>352</v>
      </c>
      <c r="M389" s="148" t="s">
        <v>8924</v>
      </c>
      <c r="N389" s="148" t="s">
        <v>8925</v>
      </c>
      <c r="O389" s="131" t="s">
        <v>5122</v>
      </c>
      <c r="P389" s="131"/>
      <c r="Q389" s="131"/>
      <c r="R389" s="131"/>
      <c r="S389" s="131"/>
      <c r="T389" s="131" t="s">
        <v>5122</v>
      </c>
      <c r="U389" s="131"/>
      <c r="V389" s="131" t="s">
        <v>5122</v>
      </c>
      <c r="W389" s="131"/>
      <c r="X389" s="131"/>
      <c r="Y389" s="131" t="s">
        <v>5122</v>
      </c>
      <c r="Z389" s="118" t="s">
        <v>7530</v>
      </c>
    </row>
    <row r="390" customHeight="1" spans="1:26">
      <c r="A390" s="127" t="s">
        <v>8926</v>
      </c>
      <c r="B390" s="127">
        <v>3</v>
      </c>
      <c r="C390" s="127" t="s">
        <v>331</v>
      </c>
      <c r="D390" s="127"/>
      <c r="E390" s="127"/>
      <c r="F390" s="128" t="s">
        <v>321</v>
      </c>
      <c r="G390" s="127" t="s">
        <v>7556</v>
      </c>
      <c r="H390" s="127" t="s">
        <v>7526</v>
      </c>
      <c r="I390" s="127" t="s">
        <v>7527</v>
      </c>
      <c r="J390" s="127" t="s">
        <v>7539</v>
      </c>
      <c r="K390" s="144" t="s">
        <v>8927</v>
      </c>
      <c r="L390" s="145" t="s">
        <v>8928</v>
      </c>
      <c r="M390" s="144" t="s">
        <v>8929</v>
      </c>
      <c r="N390" s="144" t="s">
        <v>8930</v>
      </c>
      <c r="O390" s="127" t="s">
        <v>5122</v>
      </c>
      <c r="P390" s="127" t="s">
        <v>5122</v>
      </c>
      <c r="Q390" s="127"/>
      <c r="R390" s="127"/>
      <c r="S390" s="127"/>
      <c r="T390" s="127"/>
      <c r="U390" s="127"/>
      <c r="V390" s="127" t="s">
        <v>5122</v>
      </c>
      <c r="W390" s="127"/>
      <c r="X390" s="127"/>
      <c r="Y390" s="127" t="s">
        <v>5122</v>
      </c>
      <c r="Z390" s="118" t="s">
        <v>7530</v>
      </c>
    </row>
    <row r="391" customHeight="1" spans="1:26">
      <c r="A391" s="131" t="s">
        <v>8931</v>
      </c>
      <c r="B391" s="131">
        <v>3</v>
      </c>
      <c r="C391" s="131" t="s">
        <v>320</v>
      </c>
      <c r="D391" s="131"/>
      <c r="E391" s="131"/>
      <c r="F391" s="132" t="s">
        <v>321</v>
      </c>
      <c r="G391" s="131" t="s">
        <v>8932</v>
      </c>
      <c r="H391" s="131" t="s">
        <v>7526</v>
      </c>
      <c r="I391" s="131" t="s">
        <v>7527</v>
      </c>
      <c r="J391" s="131"/>
      <c r="K391" s="148"/>
      <c r="L391" s="149" t="s">
        <v>8928</v>
      </c>
      <c r="M391" s="148" t="s">
        <v>8933</v>
      </c>
      <c r="N391" s="148" t="s">
        <v>8934</v>
      </c>
      <c r="O391" s="131" t="s">
        <v>5122</v>
      </c>
      <c r="P391" s="131"/>
      <c r="Q391" s="131" t="s">
        <v>5122</v>
      </c>
      <c r="R391" s="131"/>
      <c r="S391" s="131" t="s">
        <v>5122</v>
      </c>
      <c r="T391" s="131"/>
      <c r="U391" s="131"/>
      <c r="V391" s="131"/>
      <c r="W391" s="131"/>
      <c r="X391" s="131"/>
      <c r="Y391" s="131"/>
      <c r="Z391" s="118" t="s">
        <v>7530</v>
      </c>
    </row>
    <row r="392" customHeight="1" spans="1:26">
      <c r="A392" s="137" t="s">
        <v>8935</v>
      </c>
      <c r="B392" s="137">
        <v>3</v>
      </c>
      <c r="C392" s="137" t="s">
        <v>339</v>
      </c>
      <c r="D392" s="137"/>
      <c r="E392" s="137" t="s">
        <v>5122</v>
      </c>
      <c r="F392" s="138" t="s">
        <v>321</v>
      </c>
      <c r="G392" s="137" t="s">
        <v>326</v>
      </c>
      <c r="H392" s="137" t="s">
        <v>7526</v>
      </c>
      <c r="I392" s="137" t="s">
        <v>7527</v>
      </c>
      <c r="J392" s="137" t="s">
        <v>7539</v>
      </c>
      <c r="K392" s="154" t="s">
        <v>8936</v>
      </c>
      <c r="L392" s="155" t="s">
        <v>356</v>
      </c>
      <c r="M392" s="154" t="s">
        <v>8937</v>
      </c>
      <c r="N392" s="154" t="s">
        <v>8938</v>
      </c>
      <c r="O392" s="137"/>
      <c r="P392" s="137" t="s">
        <v>5122</v>
      </c>
      <c r="Q392" s="137"/>
      <c r="R392" s="137"/>
      <c r="S392" s="137"/>
      <c r="T392" s="137"/>
      <c r="U392" s="137"/>
      <c r="V392" s="137"/>
      <c r="W392" s="137"/>
      <c r="X392" s="137"/>
      <c r="Y392" s="137"/>
      <c r="Z392" s="118" t="s">
        <v>7530</v>
      </c>
    </row>
    <row r="393" customHeight="1" spans="1:26">
      <c r="A393" s="137" t="s">
        <v>8939</v>
      </c>
      <c r="B393" s="137">
        <v>3</v>
      </c>
      <c r="C393" s="137" t="s">
        <v>339</v>
      </c>
      <c r="D393" s="137"/>
      <c r="E393" s="137" t="s">
        <v>5122</v>
      </c>
      <c r="F393" s="138" t="s">
        <v>321</v>
      </c>
      <c r="G393" s="137" t="s">
        <v>340</v>
      </c>
      <c r="H393" s="137" t="s">
        <v>7526</v>
      </c>
      <c r="I393" s="137" t="s">
        <v>7527</v>
      </c>
      <c r="J393" s="137" t="s">
        <v>7539</v>
      </c>
      <c r="K393" s="154" t="s">
        <v>8940</v>
      </c>
      <c r="L393" s="155" t="s">
        <v>352</v>
      </c>
      <c r="M393" s="154" t="s">
        <v>8941</v>
      </c>
      <c r="N393" s="154" t="s">
        <v>8942</v>
      </c>
      <c r="O393" s="137" t="s">
        <v>5122</v>
      </c>
      <c r="P393" s="137"/>
      <c r="Q393" s="137"/>
      <c r="R393" s="137"/>
      <c r="S393" s="137"/>
      <c r="T393" s="137" t="s">
        <v>5122</v>
      </c>
      <c r="U393" s="137"/>
      <c r="V393" s="137" t="s">
        <v>5122</v>
      </c>
      <c r="W393" s="137"/>
      <c r="X393" s="137"/>
      <c r="Y393" s="137" t="s">
        <v>5122</v>
      </c>
      <c r="Z393" s="118" t="s">
        <v>7530</v>
      </c>
    </row>
    <row r="394" customHeight="1" spans="1:26">
      <c r="A394" s="137" t="s">
        <v>8943</v>
      </c>
      <c r="B394" s="137">
        <v>3</v>
      </c>
      <c r="C394" s="137" t="s">
        <v>339</v>
      </c>
      <c r="D394" s="137"/>
      <c r="E394" s="137" t="s">
        <v>5122</v>
      </c>
      <c r="F394" s="138" t="s">
        <v>321</v>
      </c>
      <c r="G394" s="137" t="s">
        <v>340</v>
      </c>
      <c r="H394" s="137" t="s">
        <v>7526</v>
      </c>
      <c r="I394" s="137" t="s">
        <v>7527</v>
      </c>
      <c r="J394" s="137" t="s">
        <v>7539</v>
      </c>
      <c r="K394" s="154" t="s">
        <v>8944</v>
      </c>
      <c r="L394" s="155" t="s">
        <v>359</v>
      </c>
      <c r="M394" s="154" t="s">
        <v>8945</v>
      </c>
      <c r="N394" s="154" t="s">
        <v>8946</v>
      </c>
      <c r="O394" s="137"/>
      <c r="P394" s="137"/>
      <c r="Q394" s="137" t="s">
        <v>5122</v>
      </c>
      <c r="R394" s="137"/>
      <c r="S394" s="137" t="s">
        <v>5122</v>
      </c>
      <c r="T394" s="137"/>
      <c r="U394" s="137" t="s">
        <v>5122</v>
      </c>
      <c r="V394" s="137" t="s">
        <v>5122</v>
      </c>
      <c r="W394" s="137"/>
      <c r="X394" s="137"/>
      <c r="Y394" s="137"/>
      <c r="Z394" s="118" t="s">
        <v>7530</v>
      </c>
    </row>
    <row r="395" customHeight="1" spans="1:26">
      <c r="A395" s="127" t="s">
        <v>8947</v>
      </c>
      <c r="B395" s="127">
        <v>3</v>
      </c>
      <c r="C395" s="127" t="s">
        <v>331</v>
      </c>
      <c r="D395" s="127"/>
      <c r="E395" s="127" t="s">
        <v>5122</v>
      </c>
      <c r="F395" s="128" t="s">
        <v>321</v>
      </c>
      <c r="G395" s="127" t="s">
        <v>340</v>
      </c>
      <c r="H395" s="127" t="s">
        <v>7526</v>
      </c>
      <c r="I395" s="127" t="s">
        <v>7527</v>
      </c>
      <c r="J395" s="127" t="s">
        <v>7539</v>
      </c>
      <c r="K395" s="144" t="s">
        <v>8948</v>
      </c>
      <c r="L395" s="145" t="s">
        <v>359</v>
      </c>
      <c r="M395" s="144" t="s">
        <v>8949</v>
      </c>
      <c r="N395" s="144" t="s">
        <v>8950</v>
      </c>
      <c r="O395" s="127"/>
      <c r="P395" s="127"/>
      <c r="Q395" s="127"/>
      <c r="R395" s="127"/>
      <c r="S395" s="127"/>
      <c r="T395" s="127"/>
      <c r="U395" s="127" t="s">
        <v>5122</v>
      </c>
      <c r="V395" s="127" t="s">
        <v>5122</v>
      </c>
      <c r="W395" s="127"/>
      <c r="X395" s="127"/>
      <c r="Y395" s="127"/>
      <c r="Z395" s="118" t="s">
        <v>7530</v>
      </c>
    </row>
    <row r="396" customHeight="1" spans="1:26">
      <c r="A396" s="135" t="s">
        <v>8951</v>
      </c>
      <c r="B396" s="135">
        <v>3</v>
      </c>
      <c r="C396" s="135" t="s">
        <v>335</v>
      </c>
      <c r="D396" s="135"/>
      <c r="E396" s="135"/>
      <c r="F396" s="136" t="s">
        <v>321</v>
      </c>
      <c r="G396" s="135" t="s">
        <v>7535</v>
      </c>
      <c r="H396" s="135" t="s">
        <v>7526</v>
      </c>
      <c r="I396" s="135"/>
      <c r="J396" s="135" t="s">
        <v>7539</v>
      </c>
      <c r="K396" s="152" t="s">
        <v>8952</v>
      </c>
      <c r="L396" s="153" t="s">
        <v>338</v>
      </c>
      <c r="M396" s="152" t="s">
        <v>8953</v>
      </c>
      <c r="N396" s="152" t="s">
        <v>8954</v>
      </c>
      <c r="O396" s="135" t="s">
        <v>5122</v>
      </c>
      <c r="P396" s="135" t="s">
        <v>5122</v>
      </c>
      <c r="Q396" s="135"/>
      <c r="R396" s="135"/>
      <c r="S396" s="135"/>
      <c r="T396" s="135" t="s">
        <v>5122</v>
      </c>
      <c r="U396" s="135" t="s">
        <v>5122</v>
      </c>
      <c r="V396" s="135" t="s">
        <v>5122</v>
      </c>
      <c r="W396" s="135"/>
      <c r="X396" s="135"/>
      <c r="Y396" s="135"/>
      <c r="Z396" s="118" t="s">
        <v>7530</v>
      </c>
    </row>
    <row r="397" customHeight="1" spans="1:26">
      <c r="A397" s="127" t="s">
        <v>8955</v>
      </c>
      <c r="B397" s="127">
        <v>3</v>
      </c>
      <c r="C397" s="127" t="s">
        <v>331</v>
      </c>
      <c r="D397" s="127"/>
      <c r="E397" s="127" t="s">
        <v>5122</v>
      </c>
      <c r="F397" s="128" t="s">
        <v>321</v>
      </c>
      <c r="G397" s="127" t="s">
        <v>326</v>
      </c>
      <c r="H397" s="127" t="s">
        <v>7526</v>
      </c>
      <c r="I397" s="127" t="s">
        <v>7527</v>
      </c>
      <c r="J397" s="127"/>
      <c r="K397" s="144"/>
      <c r="L397" s="145" t="s">
        <v>352</v>
      </c>
      <c r="M397" s="144" t="s">
        <v>8956</v>
      </c>
      <c r="N397" s="144" t="s">
        <v>8957</v>
      </c>
      <c r="O397" s="127"/>
      <c r="P397" s="127"/>
      <c r="Q397" s="127"/>
      <c r="R397" s="127"/>
      <c r="S397" s="127"/>
      <c r="T397" s="127" t="s">
        <v>5122</v>
      </c>
      <c r="U397" s="127" t="s">
        <v>5122</v>
      </c>
      <c r="V397" s="127" t="s">
        <v>5122</v>
      </c>
      <c r="W397" s="127"/>
      <c r="X397" s="127"/>
      <c r="Y397" s="127" t="s">
        <v>5122</v>
      </c>
      <c r="Z397" s="118" t="s">
        <v>7530</v>
      </c>
    </row>
    <row r="398" customHeight="1" spans="1:26">
      <c r="A398" s="131" t="s">
        <v>8958</v>
      </c>
      <c r="B398" s="131">
        <v>3</v>
      </c>
      <c r="C398" s="131" t="s">
        <v>320</v>
      </c>
      <c r="D398" s="131" t="s">
        <v>5122</v>
      </c>
      <c r="E398" s="131"/>
      <c r="F398" s="132" t="s">
        <v>332</v>
      </c>
      <c r="G398" s="131" t="s">
        <v>333</v>
      </c>
      <c r="H398" s="131" t="s">
        <v>7526</v>
      </c>
      <c r="I398" s="131" t="s">
        <v>7527</v>
      </c>
      <c r="J398" s="131" t="s">
        <v>7539</v>
      </c>
      <c r="K398" s="148" t="s">
        <v>8959</v>
      </c>
      <c r="L398" s="149" t="s">
        <v>344</v>
      </c>
      <c r="M398" s="148" t="s">
        <v>8960</v>
      </c>
      <c r="N398" s="148" t="s">
        <v>8961</v>
      </c>
      <c r="O398" s="131"/>
      <c r="P398" s="131"/>
      <c r="Q398" s="131" t="s">
        <v>5122</v>
      </c>
      <c r="R398" s="131"/>
      <c r="S398" s="131" t="s">
        <v>5122</v>
      </c>
      <c r="T398" s="131" t="s">
        <v>5122</v>
      </c>
      <c r="U398" s="131"/>
      <c r="V398" s="131" t="s">
        <v>5122</v>
      </c>
      <c r="W398" s="131" t="s">
        <v>5122</v>
      </c>
      <c r="X398" s="131"/>
      <c r="Y398" s="131" t="s">
        <v>5122</v>
      </c>
      <c r="Z398" s="118" t="s">
        <v>7530</v>
      </c>
    </row>
    <row r="399" customHeight="1" spans="1:26">
      <c r="A399" s="131" t="s">
        <v>8962</v>
      </c>
      <c r="B399" s="131">
        <v>3</v>
      </c>
      <c r="C399" s="131" t="s">
        <v>320</v>
      </c>
      <c r="D399" s="131" t="s">
        <v>5122</v>
      </c>
      <c r="E399" s="131"/>
      <c r="F399" s="132" t="s">
        <v>332</v>
      </c>
      <c r="G399" s="131" t="s">
        <v>333</v>
      </c>
      <c r="H399" s="131" t="s">
        <v>7526</v>
      </c>
      <c r="I399" s="131" t="s">
        <v>7527</v>
      </c>
      <c r="J399" s="131" t="s">
        <v>7539</v>
      </c>
      <c r="K399" s="148" t="s">
        <v>8963</v>
      </c>
      <c r="L399" s="149" t="s">
        <v>338</v>
      </c>
      <c r="M399" s="148" t="s">
        <v>8964</v>
      </c>
      <c r="N399" s="148" t="s">
        <v>8965</v>
      </c>
      <c r="O399" s="131"/>
      <c r="P399" s="131" t="s">
        <v>5122</v>
      </c>
      <c r="Q399" s="131" t="s">
        <v>5122</v>
      </c>
      <c r="R399" s="131"/>
      <c r="S399" s="131" t="s">
        <v>5122</v>
      </c>
      <c r="T399" s="131" t="s">
        <v>5122</v>
      </c>
      <c r="U399" s="131"/>
      <c r="V399" s="131"/>
      <c r="W399" s="131" t="s">
        <v>5122</v>
      </c>
      <c r="X399" s="131"/>
      <c r="Y399" s="131"/>
      <c r="Z399" s="118" t="s">
        <v>7530</v>
      </c>
    </row>
    <row r="400" customHeight="1" spans="1:26">
      <c r="A400" s="123" t="s">
        <v>8966</v>
      </c>
      <c r="B400" s="123">
        <v>3</v>
      </c>
      <c r="C400" s="123" t="s">
        <v>324</v>
      </c>
      <c r="D400" s="123"/>
      <c r="E400" s="123" t="s">
        <v>5122</v>
      </c>
      <c r="F400" s="124" t="s">
        <v>321</v>
      </c>
      <c r="G400" s="123" t="s">
        <v>343</v>
      </c>
      <c r="H400" s="123" t="s">
        <v>7526</v>
      </c>
      <c r="I400" s="123" t="s">
        <v>7527</v>
      </c>
      <c r="J400" s="123" t="s">
        <v>7539</v>
      </c>
      <c r="K400" s="141" t="s">
        <v>8967</v>
      </c>
      <c r="L400" s="139" t="s">
        <v>352</v>
      </c>
      <c r="M400" s="141" t="s">
        <v>8968</v>
      </c>
      <c r="N400" s="141" t="s">
        <v>8969</v>
      </c>
      <c r="O400" s="123"/>
      <c r="P400" s="123"/>
      <c r="Q400" s="123" t="s">
        <v>5122</v>
      </c>
      <c r="R400" s="123"/>
      <c r="S400" s="123" t="s">
        <v>5122</v>
      </c>
      <c r="T400" s="123"/>
      <c r="U400" s="123"/>
      <c r="V400" s="123"/>
      <c r="W400" s="123"/>
      <c r="X400" s="123"/>
      <c r="Y400" s="123"/>
      <c r="Z400" s="118" t="s">
        <v>7530</v>
      </c>
    </row>
    <row r="401" customHeight="1" spans="1:26">
      <c r="A401" s="125" t="s">
        <v>8970</v>
      </c>
      <c r="B401" s="125">
        <v>3</v>
      </c>
      <c r="C401" s="125" t="s">
        <v>328</v>
      </c>
      <c r="D401" s="125"/>
      <c r="E401" s="125" t="s">
        <v>5122</v>
      </c>
      <c r="F401" s="126" t="s">
        <v>321</v>
      </c>
      <c r="G401" s="125" t="s">
        <v>333</v>
      </c>
      <c r="H401" s="125" t="s">
        <v>7526</v>
      </c>
      <c r="I401" s="125"/>
      <c r="J401" s="125"/>
      <c r="K401" s="163"/>
      <c r="L401" s="143" t="s">
        <v>8512</v>
      </c>
      <c r="M401" s="142" t="s">
        <v>8971</v>
      </c>
      <c r="N401" s="142" t="s">
        <v>8972</v>
      </c>
      <c r="O401" s="125" t="s">
        <v>5122</v>
      </c>
      <c r="P401" s="125"/>
      <c r="Q401" s="125"/>
      <c r="R401" s="125"/>
      <c r="S401" s="125"/>
      <c r="T401" s="125" t="s">
        <v>5122</v>
      </c>
      <c r="U401" s="125" t="s">
        <v>5122</v>
      </c>
      <c r="V401" s="125" t="s">
        <v>5122</v>
      </c>
      <c r="W401" s="125" t="s">
        <v>5122</v>
      </c>
      <c r="X401" s="125"/>
      <c r="Y401" s="125"/>
      <c r="Z401" s="118" t="s">
        <v>8030</v>
      </c>
    </row>
    <row r="402" customHeight="1" spans="1:26">
      <c r="A402" s="127" t="s">
        <v>8973</v>
      </c>
      <c r="B402" s="127">
        <v>3</v>
      </c>
      <c r="C402" s="127" t="s">
        <v>331</v>
      </c>
      <c r="D402" s="127"/>
      <c r="E402" s="127" t="s">
        <v>5122</v>
      </c>
      <c r="F402" s="128" t="s">
        <v>325</v>
      </c>
      <c r="G402" s="127" t="s">
        <v>326</v>
      </c>
      <c r="H402" s="127" t="s">
        <v>7526</v>
      </c>
      <c r="I402" s="127" t="s">
        <v>7527</v>
      </c>
      <c r="J402" s="127"/>
      <c r="K402" s="165"/>
      <c r="L402" s="145" t="s">
        <v>7661</v>
      </c>
      <c r="M402" s="144" t="s">
        <v>8974</v>
      </c>
      <c r="N402" s="144" t="s">
        <v>8975</v>
      </c>
      <c r="O402" s="127"/>
      <c r="P402" s="127" t="s">
        <v>5122</v>
      </c>
      <c r="Q402" s="127"/>
      <c r="R402" s="127" t="s">
        <v>5122</v>
      </c>
      <c r="S402" s="127"/>
      <c r="T402" s="127"/>
      <c r="U402" s="127" t="s">
        <v>5122</v>
      </c>
      <c r="V402" s="127" t="s">
        <v>5122</v>
      </c>
      <c r="W402" s="127"/>
      <c r="X402" s="127"/>
      <c r="Y402" s="127"/>
      <c r="Z402" s="118" t="s">
        <v>8030</v>
      </c>
    </row>
    <row r="403" customHeight="1" spans="1:27">
      <c r="A403" s="137" t="s">
        <v>8976</v>
      </c>
      <c r="B403" s="137">
        <v>3</v>
      </c>
      <c r="C403" s="137" t="s">
        <v>339</v>
      </c>
      <c r="D403" s="137"/>
      <c r="E403" s="137" t="s">
        <v>5122</v>
      </c>
      <c r="F403" s="173" t="s">
        <v>321</v>
      </c>
      <c r="G403" s="137" t="s">
        <v>340</v>
      </c>
      <c r="H403" s="137" t="s">
        <v>7526</v>
      </c>
      <c r="I403" s="137" t="s">
        <v>7527</v>
      </c>
      <c r="J403" s="137" t="s">
        <v>7539</v>
      </c>
      <c r="K403" s="155" t="s">
        <v>8977</v>
      </c>
      <c r="L403" s="155" t="s">
        <v>8512</v>
      </c>
      <c r="M403" s="154" t="s">
        <v>8978</v>
      </c>
      <c r="N403" s="154" t="s">
        <v>8979</v>
      </c>
      <c r="O403" s="137"/>
      <c r="P403" s="137"/>
      <c r="Q403" s="137"/>
      <c r="R403" s="137"/>
      <c r="S403" s="137"/>
      <c r="T403" s="137"/>
      <c r="U403" s="137" t="s">
        <v>5122</v>
      </c>
      <c r="V403" s="137" t="s">
        <v>5122</v>
      </c>
      <c r="W403" s="137"/>
      <c r="X403" s="176"/>
      <c r="Y403" s="176"/>
      <c r="Z403" s="118" t="s">
        <v>8030</v>
      </c>
      <c r="AA403" s="177"/>
    </row>
    <row r="404" customHeight="1" spans="1:26">
      <c r="A404" s="133" t="s">
        <v>8980</v>
      </c>
      <c r="B404" s="133">
        <v>3</v>
      </c>
      <c r="C404" s="133" t="s">
        <v>342</v>
      </c>
      <c r="D404" s="133"/>
      <c r="E404" s="133"/>
      <c r="F404" s="134" t="s">
        <v>321</v>
      </c>
      <c r="G404" s="133" t="s">
        <v>333</v>
      </c>
      <c r="H404" s="133"/>
      <c r="I404" s="133" t="s">
        <v>7527</v>
      </c>
      <c r="J404" s="133" t="s">
        <v>7539</v>
      </c>
      <c r="K404" s="160" t="s">
        <v>8981</v>
      </c>
      <c r="L404" s="151" t="s">
        <v>334</v>
      </c>
      <c r="M404" s="150" t="s">
        <v>8982</v>
      </c>
      <c r="N404" s="150" t="s">
        <v>8983</v>
      </c>
      <c r="O404" s="133" t="s">
        <v>5122</v>
      </c>
      <c r="P404" s="133"/>
      <c r="Q404" s="133"/>
      <c r="R404" s="133"/>
      <c r="S404" s="133"/>
      <c r="T404" s="133" t="s">
        <v>5122</v>
      </c>
      <c r="U404" s="133"/>
      <c r="V404" s="133" t="s">
        <v>5122</v>
      </c>
      <c r="W404" s="133" t="s">
        <v>5122</v>
      </c>
      <c r="X404" s="133"/>
      <c r="Y404" s="133"/>
      <c r="Z404" s="162" t="s">
        <v>45</v>
      </c>
    </row>
    <row r="405" customHeight="1" spans="1:26">
      <c r="A405" s="133" t="s">
        <v>8984</v>
      </c>
      <c r="B405" s="133">
        <v>3</v>
      </c>
      <c r="C405" s="133" t="s">
        <v>342</v>
      </c>
      <c r="D405" s="133"/>
      <c r="E405" s="133" t="s">
        <v>5122</v>
      </c>
      <c r="F405" s="134" t="s">
        <v>321</v>
      </c>
      <c r="G405" s="174" t="s">
        <v>322</v>
      </c>
      <c r="H405" s="133" t="s">
        <v>7526</v>
      </c>
      <c r="I405" s="133" t="s">
        <v>7527</v>
      </c>
      <c r="J405" s="133"/>
      <c r="K405" s="160"/>
      <c r="L405" s="151" t="s">
        <v>7661</v>
      </c>
      <c r="M405" s="150" t="s">
        <v>8985</v>
      </c>
      <c r="N405" s="150" t="s">
        <v>8986</v>
      </c>
      <c r="O405" s="133" t="s">
        <v>5122</v>
      </c>
      <c r="P405" s="133"/>
      <c r="Q405" s="133"/>
      <c r="R405" s="133"/>
      <c r="S405" s="133"/>
      <c r="T405" s="133" t="s">
        <v>5122</v>
      </c>
      <c r="U405" s="133" t="s">
        <v>5122</v>
      </c>
      <c r="V405" s="133" t="s">
        <v>5122</v>
      </c>
      <c r="W405" s="133"/>
      <c r="X405" s="133"/>
      <c r="Y405" s="133"/>
      <c r="Z405" s="162" t="s">
        <v>45</v>
      </c>
    </row>
    <row r="406" customHeight="1" spans="1:26">
      <c r="A406" s="131" t="s">
        <v>8987</v>
      </c>
      <c r="B406" s="131">
        <v>3</v>
      </c>
      <c r="C406" s="131" t="s">
        <v>320</v>
      </c>
      <c r="D406" s="131"/>
      <c r="E406" s="131"/>
      <c r="F406" s="132" t="s">
        <v>321</v>
      </c>
      <c r="G406" s="131" t="s">
        <v>343</v>
      </c>
      <c r="H406" s="131" t="s">
        <v>7526</v>
      </c>
      <c r="I406" s="131" t="s">
        <v>7527</v>
      </c>
      <c r="J406" s="131" t="s">
        <v>7539</v>
      </c>
      <c r="K406" s="159" t="s">
        <v>8988</v>
      </c>
      <c r="L406" s="149" t="s">
        <v>323</v>
      </c>
      <c r="M406" s="148" t="s">
        <v>8989</v>
      </c>
      <c r="N406" s="148" t="s">
        <v>8990</v>
      </c>
      <c r="O406" s="131"/>
      <c r="P406" s="131"/>
      <c r="Q406" s="131" t="s">
        <v>5122</v>
      </c>
      <c r="R406" s="131"/>
      <c r="S406" s="131"/>
      <c r="T406" s="131" t="s">
        <v>5122</v>
      </c>
      <c r="U406" s="131"/>
      <c r="V406" s="131" t="s">
        <v>5122</v>
      </c>
      <c r="W406" s="131"/>
      <c r="X406" s="131"/>
      <c r="Y406" s="131"/>
      <c r="Z406" s="162" t="s">
        <v>45</v>
      </c>
    </row>
    <row r="407" customHeight="1" spans="1:26">
      <c r="A407" s="131" t="s">
        <v>8991</v>
      </c>
      <c r="B407" s="131">
        <v>3</v>
      </c>
      <c r="C407" s="131" t="s">
        <v>320</v>
      </c>
      <c r="D407" s="131"/>
      <c r="E407" s="131" t="s">
        <v>5122</v>
      </c>
      <c r="F407" s="132" t="s">
        <v>321</v>
      </c>
      <c r="G407" s="131" t="s">
        <v>322</v>
      </c>
      <c r="H407" s="131" t="s">
        <v>7526</v>
      </c>
      <c r="I407" s="131" t="s">
        <v>7527</v>
      </c>
      <c r="J407" s="131"/>
      <c r="K407" s="159"/>
      <c r="L407" s="149" t="s">
        <v>8512</v>
      </c>
      <c r="M407" s="148" t="s">
        <v>8992</v>
      </c>
      <c r="N407" s="148" t="s">
        <v>8993</v>
      </c>
      <c r="O407" s="131"/>
      <c r="P407" s="131"/>
      <c r="Q407" s="131" t="s">
        <v>5122</v>
      </c>
      <c r="R407" s="131"/>
      <c r="S407" s="131" t="s">
        <v>5122</v>
      </c>
      <c r="T407" s="131" t="s">
        <v>5122</v>
      </c>
      <c r="U407" s="131"/>
      <c r="V407" s="131" t="s">
        <v>5122</v>
      </c>
      <c r="W407" s="131" t="s">
        <v>5122</v>
      </c>
      <c r="X407" s="131"/>
      <c r="Y407" s="131"/>
      <c r="Z407" s="162" t="s">
        <v>45</v>
      </c>
    </row>
    <row r="408" customHeight="1" spans="1:26">
      <c r="A408" s="127" t="s">
        <v>8994</v>
      </c>
      <c r="B408" s="127">
        <v>3</v>
      </c>
      <c r="C408" s="127" t="s">
        <v>331</v>
      </c>
      <c r="D408" s="127"/>
      <c r="E408" s="127"/>
      <c r="F408" s="128" t="s">
        <v>321</v>
      </c>
      <c r="G408" s="127" t="s">
        <v>333</v>
      </c>
      <c r="H408" s="127" t="s">
        <v>7526</v>
      </c>
      <c r="I408" s="127" t="s">
        <v>7527</v>
      </c>
      <c r="J408" s="127"/>
      <c r="K408" s="165"/>
      <c r="L408" s="145" t="s">
        <v>323</v>
      </c>
      <c r="M408" s="144" t="s">
        <v>8995</v>
      </c>
      <c r="N408" s="144" t="s">
        <v>8996</v>
      </c>
      <c r="O408" s="127"/>
      <c r="P408" s="127" t="s">
        <v>5122</v>
      </c>
      <c r="Q408" s="127"/>
      <c r="R408" s="127"/>
      <c r="S408" s="127"/>
      <c r="T408" s="127"/>
      <c r="U408" s="127"/>
      <c r="V408" s="127" t="s">
        <v>5122</v>
      </c>
      <c r="W408" s="127"/>
      <c r="X408" s="127"/>
      <c r="Y408" s="127"/>
      <c r="Z408" s="162" t="s">
        <v>45</v>
      </c>
    </row>
    <row r="409" customHeight="1" spans="1:26">
      <c r="A409" s="123" t="s">
        <v>8997</v>
      </c>
      <c r="B409" s="123">
        <v>3</v>
      </c>
      <c r="C409" s="123" t="s">
        <v>324</v>
      </c>
      <c r="D409" s="123"/>
      <c r="E409" s="123" t="s">
        <v>5122</v>
      </c>
      <c r="F409" s="124" t="s">
        <v>321</v>
      </c>
      <c r="G409" s="123" t="s">
        <v>326</v>
      </c>
      <c r="H409" s="123" t="s">
        <v>7526</v>
      </c>
      <c r="I409" s="123" t="s">
        <v>7527</v>
      </c>
      <c r="J409" s="123" t="s">
        <v>7539</v>
      </c>
      <c r="K409" s="156" t="s">
        <v>8998</v>
      </c>
      <c r="L409" s="139" t="s">
        <v>8037</v>
      </c>
      <c r="M409" s="141" t="s">
        <v>8999</v>
      </c>
      <c r="N409" s="141" t="s">
        <v>9000</v>
      </c>
      <c r="O409" s="123"/>
      <c r="P409" s="123"/>
      <c r="Q409" s="123"/>
      <c r="R409" s="123"/>
      <c r="S409" s="123"/>
      <c r="T409" s="123" t="s">
        <v>5122</v>
      </c>
      <c r="U409" s="123"/>
      <c r="V409" s="123" t="s">
        <v>5122</v>
      </c>
      <c r="W409" s="123"/>
      <c r="X409" s="123"/>
      <c r="Y409" s="123"/>
      <c r="Z409" s="162" t="s">
        <v>45</v>
      </c>
    </row>
    <row r="410" customHeight="1" spans="1:26">
      <c r="A410" s="137" t="s">
        <v>9001</v>
      </c>
      <c r="B410" s="137">
        <v>3</v>
      </c>
      <c r="C410" s="137" t="s">
        <v>339</v>
      </c>
      <c r="D410" s="137"/>
      <c r="E410" s="137" t="s">
        <v>5122</v>
      </c>
      <c r="F410" s="138" t="s">
        <v>321</v>
      </c>
      <c r="G410" s="137" t="s">
        <v>337</v>
      </c>
      <c r="H410" s="137" t="s">
        <v>7526</v>
      </c>
      <c r="I410" s="137" t="s">
        <v>7527</v>
      </c>
      <c r="J410" s="137" t="s">
        <v>7539</v>
      </c>
      <c r="K410" s="157" t="s">
        <v>9002</v>
      </c>
      <c r="L410" s="155" t="s">
        <v>8512</v>
      </c>
      <c r="M410" s="154" t="s">
        <v>9003</v>
      </c>
      <c r="N410" s="154" t="s">
        <v>9004</v>
      </c>
      <c r="O410" s="137"/>
      <c r="P410" s="137"/>
      <c r="Q410" s="137"/>
      <c r="R410" s="137"/>
      <c r="S410" s="137"/>
      <c r="T410" s="137"/>
      <c r="U410" s="137" t="s">
        <v>5122</v>
      </c>
      <c r="V410" s="137" t="s">
        <v>5122</v>
      </c>
      <c r="W410" s="137"/>
      <c r="X410" s="137"/>
      <c r="Y410" s="137"/>
      <c r="Z410" s="162" t="s">
        <v>45</v>
      </c>
    </row>
    <row r="411" customHeight="1" spans="1:26">
      <c r="A411" s="137" t="s">
        <v>9005</v>
      </c>
      <c r="B411" s="137">
        <v>3</v>
      </c>
      <c r="C411" s="137" t="s">
        <v>339</v>
      </c>
      <c r="D411" s="137"/>
      <c r="E411" s="137"/>
      <c r="F411" s="138" t="s">
        <v>321</v>
      </c>
      <c r="G411" s="137" t="s">
        <v>340</v>
      </c>
      <c r="H411" s="137" t="s">
        <v>7526</v>
      </c>
      <c r="I411" s="137"/>
      <c r="J411" s="137"/>
      <c r="K411" s="157"/>
      <c r="L411" s="155" t="s">
        <v>323</v>
      </c>
      <c r="M411" s="154" t="s">
        <v>9006</v>
      </c>
      <c r="N411" s="154" t="s">
        <v>9007</v>
      </c>
      <c r="O411" s="137"/>
      <c r="P411" s="137"/>
      <c r="Q411" s="137"/>
      <c r="R411" s="137"/>
      <c r="S411" s="137"/>
      <c r="T411" s="137" t="s">
        <v>5122</v>
      </c>
      <c r="U411" s="137" t="s">
        <v>5122</v>
      </c>
      <c r="V411" s="137" t="s">
        <v>5122</v>
      </c>
      <c r="W411" s="137"/>
      <c r="X411" s="137"/>
      <c r="Y411" s="137"/>
      <c r="Z411" s="162" t="s">
        <v>45</v>
      </c>
    </row>
    <row r="412" customHeight="1" spans="1:26">
      <c r="A412" s="137" t="s">
        <v>9008</v>
      </c>
      <c r="B412" s="137">
        <v>3</v>
      </c>
      <c r="C412" s="137" t="s">
        <v>339</v>
      </c>
      <c r="D412" s="137"/>
      <c r="E412" s="137"/>
      <c r="F412" s="138" t="s">
        <v>321</v>
      </c>
      <c r="G412" s="137" t="s">
        <v>343</v>
      </c>
      <c r="H412" s="137" t="s">
        <v>7526</v>
      </c>
      <c r="I412" s="137" t="s">
        <v>7527</v>
      </c>
      <c r="J412" s="137" t="s">
        <v>7539</v>
      </c>
      <c r="K412" s="157" t="s">
        <v>8663</v>
      </c>
      <c r="L412" s="155" t="s">
        <v>323</v>
      </c>
      <c r="M412" s="154" t="s">
        <v>9009</v>
      </c>
      <c r="N412" s="154" t="s">
        <v>9010</v>
      </c>
      <c r="O412" s="137"/>
      <c r="P412" s="137"/>
      <c r="Q412" s="137" t="s">
        <v>5122</v>
      </c>
      <c r="R412" s="137"/>
      <c r="S412" s="137"/>
      <c r="T412" s="137" t="s">
        <v>5122</v>
      </c>
      <c r="U412" s="137"/>
      <c r="V412" s="137" t="s">
        <v>5122</v>
      </c>
      <c r="W412" s="137"/>
      <c r="X412" s="137"/>
      <c r="Y412" s="137"/>
      <c r="Z412" s="162" t="s">
        <v>45</v>
      </c>
    </row>
    <row r="413" customHeight="1" spans="1:26">
      <c r="A413" s="131" t="s">
        <v>9011</v>
      </c>
      <c r="B413" s="131">
        <v>3</v>
      </c>
      <c r="C413" s="131" t="s">
        <v>320</v>
      </c>
      <c r="D413" s="131"/>
      <c r="E413" s="131"/>
      <c r="F413" s="132" t="s">
        <v>329</v>
      </c>
      <c r="G413" s="131" t="s">
        <v>322</v>
      </c>
      <c r="H413" s="131" t="s">
        <v>7526</v>
      </c>
      <c r="I413" s="131" t="s">
        <v>7527</v>
      </c>
      <c r="J413" s="131"/>
      <c r="K413" s="159"/>
      <c r="L413" s="149" t="s">
        <v>341</v>
      </c>
      <c r="M413" s="148" t="s">
        <v>9012</v>
      </c>
      <c r="N413" s="148" t="s">
        <v>9013</v>
      </c>
      <c r="O413" s="131"/>
      <c r="P413" s="131"/>
      <c r="Q413" s="131"/>
      <c r="R413" s="131"/>
      <c r="S413" s="131"/>
      <c r="T413" s="131"/>
      <c r="U413" s="131"/>
      <c r="V413" s="131" t="s">
        <v>5122</v>
      </c>
      <c r="W413" s="131" t="s">
        <v>5122</v>
      </c>
      <c r="X413" s="131"/>
      <c r="Y413" s="131"/>
      <c r="Z413" s="162" t="s">
        <v>45</v>
      </c>
    </row>
    <row r="414" customHeight="1" spans="1:26">
      <c r="A414" s="123" t="s">
        <v>9014</v>
      </c>
      <c r="B414" s="123">
        <v>3</v>
      </c>
      <c r="C414" s="123" t="s">
        <v>324</v>
      </c>
      <c r="D414" s="123"/>
      <c r="E414" s="123" t="s">
        <v>5122</v>
      </c>
      <c r="F414" s="124" t="s">
        <v>321</v>
      </c>
      <c r="G414" s="123" t="s">
        <v>340</v>
      </c>
      <c r="H414" s="123" t="s">
        <v>7526</v>
      </c>
      <c r="I414" s="123" t="s">
        <v>7527</v>
      </c>
      <c r="J414" s="123" t="s">
        <v>7539</v>
      </c>
      <c r="K414" s="156" t="s">
        <v>9015</v>
      </c>
      <c r="L414" s="139" t="s">
        <v>8037</v>
      </c>
      <c r="M414" s="141" t="s">
        <v>9016</v>
      </c>
      <c r="N414" s="141" t="s">
        <v>9017</v>
      </c>
      <c r="O414" s="123"/>
      <c r="P414" s="123"/>
      <c r="Q414" s="123"/>
      <c r="R414" s="123"/>
      <c r="S414" s="123"/>
      <c r="T414" s="123"/>
      <c r="U414" s="123"/>
      <c r="V414" s="123" t="s">
        <v>5122</v>
      </c>
      <c r="W414" s="123"/>
      <c r="X414" s="123"/>
      <c r="Y414" s="123"/>
      <c r="Z414" s="162" t="s">
        <v>45</v>
      </c>
    </row>
    <row r="415" customHeight="1" spans="1:26">
      <c r="A415" s="123" t="s">
        <v>9018</v>
      </c>
      <c r="B415" s="123">
        <v>3</v>
      </c>
      <c r="C415" s="123" t="s">
        <v>324</v>
      </c>
      <c r="D415" s="123"/>
      <c r="E415" s="123" t="s">
        <v>5122</v>
      </c>
      <c r="F415" s="124" t="s">
        <v>321</v>
      </c>
      <c r="G415" s="123" t="s">
        <v>337</v>
      </c>
      <c r="H415" s="123" t="s">
        <v>7526</v>
      </c>
      <c r="I415" s="123" t="s">
        <v>7527</v>
      </c>
      <c r="J415" s="123" t="s">
        <v>7539</v>
      </c>
      <c r="K415" s="156" t="s">
        <v>8663</v>
      </c>
      <c r="L415" s="139" t="s">
        <v>8037</v>
      </c>
      <c r="M415" s="141" t="s">
        <v>9019</v>
      </c>
      <c r="N415" s="141" t="s">
        <v>9020</v>
      </c>
      <c r="O415" s="123"/>
      <c r="P415" s="123"/>
      <c r="Q415" s="123" t="s">
        <v>5122</v>
      </c>
      <c r="R415" s="123"/>
      <c r="S415" s="123"/>
      <c r="T415" s="123" t="s">
        <v>5122</v>
      </c>
      <c r="U415" s="123"/>
      <c r="V415" s="123" t="s">
        <v>5122</v>
      </c>
      <c r="W415" s="123"/>
      <c r="X415" s="123"/>
      <c r="Y415" s="123"/>
      <c r="Z415" s="162" t="s">
        <v>45</v>
      </c>
    </row>
    <row r="416" customHeight="1" spans="1:26">
      <c r="A416" s="133" t="s">
        <v>9021</v>
      </c>
      <c r="B416" s="133">
        <v>3</v>
      </c>
      <c r="C416" s="133" t="s">
        <v>342</v>
      </c>
      <c r="D416" s="133"/>
      <c r="E416" s="133" t="s">
        <v>5122</v>
      </c>
      <c r="F416" s="134" t="s">
        <v>321</v>
      </c>
      <c r="G416" s="133" t="s">
        <v>333</v>
      </c>
      <c r="H416" s="133" t="s">
        <v>7526</v>
      </c>
      <c r="I416" s="133"/>
      <c r="J416" s="133"/>
      <c r="K416" s="160"/>
      <c r="L416" s="151" t="s">
        <v>8512</v>
      </c>
      <c r="M416" s="150" t="s">
        <v>9022</v>
      </c>
      <c r="N416" s="150" t="s">
        <v>9023</v>
      </c>
      <c r="O416" s="133" t="s">
        <v>5122</v>
      </c>
      <c r="P416" s="133" t="s">
        <v>5122</v>
      </c>
      <c r="Q416" s="133"/>
      <c r="R416" s="133"/>
      <c r="S416" s="133"/>
      <c r="T416" s="133"/>
      <c r="U416" s="133"/>
      <c r="V416" s="133" t="s">
        <v>5122</v>
      </c>
      <c r="W416" s="133"/>
      <c r="X416" s="133"/>
      <c r="Y416" s="133"/>
      <c r="Z416" s="162" t="s">
        <v>120</v>
      </c>
    </row>
    <row r="417" customHeight="1" spans="1:26">
      <c r="A417" s="133" t="s">
        <v>9024</v>
      </c>
      <c r="B417" s="133">
        <v>3</v>
      </c>
      <c r="C417" s="133" t="s">
        <v>342</v>
      </c>
      <c r="D417" s="133"/>
      <c r="E417" s="133" t="s">
        <v>5122</v>
      </c>
      <c r="F417" s="134" t="s">
        <v>321</v>
      </c>
      <c r="G417" s="133" t="s">
        <v>333</v>
      </c>
      <c r="H417" s="133" t="s">
        <v>7526</v>
      </c>
      <c r="I417" s="133" t="s">
        <v>7527</v>
      </c>
      <c r="J417" s="133" t="s">
        <v>7539</v>
      </c>
      <c r="K417" s="160" t="s">
        <v>9025</v>
      </c>
      <c r="L417" s="151" t="s">
        <v>7661</v>
      </c>
      <c r="M417" s="150" t="s">
        <v>9026</v>
      </c>
      <c r="N417" s="150" t="s">
        <v>9027</v>
      </c>
      <c r="O417" s="133"/>
      <c r="P417" s="133" t="s">
        <v>5122</v>
      </c>
      <c r="Q417" s="133"/>
      <c r="R417" s="133"/>
      <c r="S417" s="133"/>
      <c r="T417" s="133" t="s">
        <v>5122</v>
      </c>
      <c r="U417" s="133" t="s">
        <v>5122</v>
      </c>
      <c r="V417" s="133" t="s">
        <v>5122</v>
      </c>
      <c r="W417" s="133"/>
      <c r="X417" s="133"/>
      <c r="Y417" s="133"/>
      <c r="Z417" s="162" t="s">
        <v>120</v>
      </c>
    </row>
    <row r="418" customHeight="1" spans="1:26">
      <c r="A418" s="133" t="s">
        <v>9028</v>
      </c>
      <c r="B418" s="133">
        <v>3</v>
      </c>
      <c r="C418" s="133" t="s">
        <v>342</v>
      </c>
      <c r="D418" s="133"/>
      <c r="E418" s="133"/>
      <c r="F418" s="134" t="s">
        <v>329</v>
      </c>
      <c r="G418" s="133" t="s">
        <v>337</v>
      </c>
      <c r="H418" s="133" t="s">
        <v>7526</v>
      </c>
      <c r="I418" s="133"/>
      <c r="J418" s="133"/>
      <c r="K418" s="160"/>
      <c r="L418" s="151" t="s">
        <v>338</v>
      </c>
      <c r="M418" s="150" t="s">
        <v>9029</v>
      </c>
      <c r="N418" s="150" t="s">
        <v>9030</v>
      </c>
      <c r="O418" s="133" t="s">
        <v>5122</v>
      </c>
      <c r="P418" s="133" t="s">
        <v>5122</v>
      </c>
      <c r="Q418" s="133"/>
      <c r="R418" s="133"/>
      <c r="S418" s="133"/>
      <c r="T418" s="133"/>
      <c r="U418" s="133"/>
      <c r="V418" s="133"/>
      <c r="W418" s="133"/>
      <c r="X418" s="133"/>
      <c r="Y418" s="133"/>
      <c r="Z418" s="162" t="s">
        <v>120</v>
      </c>
    </row>
    <row r="419" customHeight="1" spans="1:26">
      <c r="A419" s="131" t="s">
        <v>9031</v>
      </c>
      <c r="B419" s="131">
        <v>3</v>
      </c>
      <c r="C419" s="131" t="s">
        <v>320</v>
      </c>
      <c r="D419" s="131"/>
      <c r="E419" s="131" t="s">
        <v>5122</v>
      </c>
      <c r="F419" s="132" t="s">
        <v>325</v>
      </c>
      <c r="G419" s="131" t="s">
        <v>326</v>
      </c>
      <c r="H419" s="131" t="s">
        <v>7526</v>
      </c>
      <c r="I419" s="131" t="s">
        <v>7527</v>
      </c>
      <c r="J419" s="131"/>
      <c r="K419" s="159"/>
      <c r="L419" s="149" t="s">
        <v>7661</v>
      </c>
      <c r="M419" s="148" t="s">
        <v>9032</v>
      </c>
      <c r="N419" s="148" t="s">
        <v>9033</v>
      </c>
      <c r="O419" s="131"/>
      <c r="P419" s="131"/>
      <c r="Q419" s="131"/>
      <c r="R419" s="131"/>
      <c r="S419" s="131" t="s">
        <v>5122</v>
      </c>
      <c r="T419" s="131" t="s">
        <v>5122</v>
      </c>
      <c r="U419" s="131"/>
      <c r="V419" s="131" t="s">
        <v>5122</v>
      </c>
      <c r="W419" s="131" t="s">
        <v>5122</v>
      </c>
      <c r="X419" s="131"/>
      <c r="Y419" s="131"/>
      <c r="Z419" s="162" t="s">
        <v>8534</v>
      </c>
    </row>
    <row r="420" customHeight="1" spans="1:26">
      <c r="A420" s="137" t="s">
        <v>9034</v>
      </c>
      <c r="B420" s="137">
        <v>3</v>
      </c>
      <c r="C420" s="137" t="s">
        <v>339</v>
      </c>
      <c r="D420" s="137"/>
      <c r="E420" s="137"/>
      <c r="F420" s="138" t="s">
        <v>334</v>
      </c>
      <c r="G420" s="137" t="s">
        <v>333</v>
      </c>
      <c r="H420" s="137" t="s">
        <v>7526</v>
      </c>
      <c r="I420" s="137" t="s">
        <v>7527</v>
      </c>
      <c r="J420" s="137" t="s">
        <v>7539</v>
      </c>
      <c r="K420" s="157" t="s">
        <v>9035</v>
      </c>
      <c r="L420" s="155" t="s">
        <v>344</v>
      </c>
      <c r="M420" s="154" t="s">
        <v>9036</v>
      </c>
      <c r="N420" s="154" t="s">
        <v>9037</v>
      </c>
      <c r="O420" s="137"/>
      <c r="P420" s="137"/>
      <c r="Q420" s="137"/>
      <c r="R420" s="137"/>
      <c r="S420" s="137"/>
      <c r="T420" s="137"/>
      <c r="U420" s="137"/>
      <c r="V420" s="137" t="s">
        <v>5122</v>
      </c>
      <c r="W420" s="137"/>
      <c r="X420" s="137"/>
      <c r="Y420" s="137"/>
      <c r="Z420" s="162" t="s">
        <v>8542</v>
      </c>
    </row>
    <row r="421" customHeight="1" spans="1:26">
      <c r="A421" s="133" t="s">
        <v>9038</v>
      </c>
      <c r="B421" s="133">
        <v>3</v>
      </c>
      <c r="C421" s="133" t="s">
        <v>342</v>
      </c>
      <c r="D421" s="133"/>
      <c r="E421" s="133"/>
      <c r="F421" s="134" t="s">
        <v>321</v>
      </c>
      <c r="G421" s="133" t="s">
        <v>333</v>
      </c>
      <c r="H421" s="133" t="s">
        <v>7526</v>
      </c>
      <c r="I421" s="133" t="s">
        <v>7527</v>
      </c>
      <c r="J421" s="133" t="s">
        <v>7539</v>
      </c>
      <c r="K421" s="160" t="s">
        <v>9039</v>
      </c>
      <c r="L421" s="151" t="s">
        <v>323</v>
      </c>
      <c r="M421" s="150" t="s">
        <v>9040</v>
      </c>
      <c r="N421" s="150" t="s">
        <v>9041</v>
      </c>
      <c r="O421" s="133" t="s">
        <v>5122</v>
      </c>
      <c r="P421" s="133"/>
      <c r="Q421" s="133"/>
      <c r="R421" s="133"/>
      <c r="S421" s="133"/>
      <c r="T421" s="133" t="s">
        <v>5122</v>
      </c>
      <c r="U421" s="133" t="s">
        <v>5122</v>
      </c>
      <c r="V421" s="133" t="s">
        <v>5122</v>
      </c>
      <c r="W421" s="133"/>
      <c r="X421" s="133"/>
      <c r="Y421" s="133"/>
      <c r="Z421" s="162" t="s">
        <v>79</v>
      </c>
    </row>
    <row r="422" customHeight="1" spans="1:26">
      <c r="A422" s="123" t="s">
        <v>9042</v>
      </c>
      <c r="B422" s="123">
        <v>3</v>
      </c>
      <c r="C422" s="123" t="s">
        <v>324</v>
      </c>
      <c r="D422" s="123"/>
      <c r="E422" s="123"/>
      <c r="F422" s="124" t="s">
        <v>321</v>
      </c>
      <c r="G422" s="123" t="s">
        <v>326</v>
      </c>
      <c r="H422" s="123" t="s">
        <v>7526</v>
      </c>
      <c r="I422" s="123" t="s">
        <v>7527</v>
      </c>
      <c r="J422" s="123"/>
      <c r="K422" s="139"/>
      <c r="L422" s="139" t="s">
        <v>323</v>
      </c>
      <c r="M422" s="141" t="s">
        <v>9043</v>
      </c>
      <c r="N422" s="158" t="s">
        <v>9044</v>
      </c>
      <c r="O422" s="123"/>
      <c r="P422" s="123"/>
      <c r="Q422" s="123"/>
      <c r="R422" s="123"/>
      <c r="S422" s="123"/>
      <c r="T422" s="123"/>
      <c r="U422" s="123"/>
      <c r="V422" s="123" t="s">
        <v>5122</v>
      </c>
      <c r="W422" s="123"/>
      <c r="X422" s="123"/>
      <c r="Y422" s="123"/>
      <c r="Z422" s="162" t="s">
        <v>7693</v>
      </c>
    </row>
    <row r="423" customHeight="1" spans="1:26">
      <c r="A423" s="129" t="s">
        <v>9045</v>
      </c>
      <c r="B423" s="129">
        <v>3</v>
      </c>
      <c r="C423" s="129" t="s">
        <v>347</v>
      </c>
      <c r="D423" s="129"/>
      <c r="E423" s="129" t="s">
        <v>5122</v>
      </c>
      <c r="F423" s="130" t="s">
        <v>321</v>
      </c>
      <c r="G423" s="129" t="s">
        <v>343</v>
      </c>
      <c r="H423" s="129" t="s">
        <v>7526</v>
      </c>
      <c r="I423" s="129" t="s">
        <v>7527</v>
      </c>
      <c r="J423" s="129"/>
      <c r="K423" s="146"/>
      <c r="L423" s="147" t="s">
        <v>8037</v>
      </c>
      <c r="M423" s="146" t="s">
        <v>9046</v>
      </c>
      <c r="N423" s="146" t="s">
        <v>9047</v>
      </c>
      <c r="O423" s="129"/>
      <c r="P423" s="129"/>
      <c r="Q423" s="129"/>
      <c r="R423" s="129"/>
      <c r="S423" s="129"/>
      <c r="T423" s="129" t="s">
        <v>5122</v>
      </c>
      <c r="U423" s="129" t="s">
        <v>5122</v>
      </c>
      <c r="V423" s="129" t="s">
        <v>5122</v>
      </c>
      <c r="W423" s="129"/>
      <c r="X423" s="129"/>
      <c r="Y423" s="129"/>
      <c r="Z423" s="118" t="s">
        <v>111</v>
      </c>
    </row>
    <row r="424" customHeight="1" spans="1:26">
      <c r="A424" s="127" t="s">
        <v>9048</v>
      </c>
      <c r="B424" s="127">
        <v>3</v>
      </c>
      <c r="C424" s="127" t="s">
        <v>331</v>
      </c>
      <c r="D424" s="127"/>
      <c r="E424" s="127" t="s">
        <v>5122</v>
      </c>
      <c r="F424" s="128" t="s">
        <v>325</v>
      </c>
      <c r="G424" s="127" t="s">
        <v>348</v>
      </c>
      <c r="H424" s="127" t="s">
        <v>7526</v>
      </c>
      <c r="I424" s="127"/>
      <c r="J424" s="127"/>
      <c r="K424" s="144"/>
      <c r="L424" s="145" t="s">
        <v>7661</v>
      </c>
      <c r="M424" s="144" t="s">
        <v>9049</v>
      </c>
      <c r="N424" s="144" t="s">
        <v>9050</v>
      </c>
      <c r="O424" s="127"/>
      <c r="P424" s="127" t="s">
        <v>5122</v>
      </c>
      <c r="Q424" s="127"/>
      <c r="R424" s="127"/>
      <c r="S424" s="127"/>
      <c r="T424" s="127"/>
      <c r="U424" s="127"/>
      <c r="V424" s="127"/>
      <c r="W424" s="127"/>
      <c r="X424" s="127"/>
      <c r="Y424" s="127"/>
      <c r="Z424" s="118" t="s">
        <v>111</v>
      </c>
    </row>
    <row r="425" customHeight="1" spans="1:26">
      <c r="A425" s="137" t="s">
        <v>9051</v>
      </c>
      <c r="B425" s="137">
        <v>3</v>
      </c>
      <c r="C425" s="137" t="s">
        <v>339</v>
      </c>
      <c r="D425" s="137"/>
      <c r="E425" s="137" t="s">
        <v>5122</v>
      </c>
      <c r="F425" s="138" t="s">
        <v>321</v>
      </c>
      <c r="G425" s="137" t="s">
        <v>343</v>
      </c>
      <c r="H425" s="137" t="s">
        <v>7526</v>
      </c>
      <c r="I425" s="137"/>
      <c r="J425" s="137"/>
      <c r="K425" s="154"/>
      <c r="L425" s="155" t="s">
        <v>7661</v>
      </c>
      <c r="M425" s="154" t="s">
        <v>9052</v>
      </c>
      <c r="N425" s="154" t="s">
        <v>9053</v>
      </c>
      <c r="O425" s="137" t="s">
        <v>5122</v>
      </c>
      <c r="P425" s="137"/>
      <c r="Q425" s="137" t="s">
        <v>5122</v>
      </c>
      <c r="R425" s="137"/>
      <c r="S425" s="137" t="s">
        <v>5122</v>
      </c>
      <c r="T425" s="137" t="s">
        <v>5122</v>
      </c>
      <c r="U425" s="137" t="s">
        <v>5122</v>
      </c>
      <c r="V425" s="137" t="s">
        <v>5122</v>
      </c>
      <c r="W425" s="137"/>
      <c r="X425" s="137"/>
      <c r="Y425" s="137"/>
      <c r="Z425" s="118" t="s">
        <v>111</v>
      </c>
    </row>
    <row r="426" customHeight="1" spans="1:26">
      <c r="A426" s="137" t="s">
        <v>9054</v>
      </c>
      <c r="B426" s="137">
        <v>3</v>
      </c>
      <c r="C426" s="137" t="s">
        <v>339</v>
      </c>
      <c r="D426" s="137"/>
      <c r="E426" s="137"/>
      <c r="F426" s="138" t="s">
        <v>321</v>
      </c>
      <c r="G426" s="137" t="s">
        <v>348</v>
      </c>
      <c r="H426" s="137" t="s">
        <v>7526</v>
      </c>
      <c r="I426" s="137" t="s">
        <v>7527</v>
      </c>
      <c r="J426" s="137"/>
      <c r="K426" s="154"/>
      <c r="L426" s="155" t="s">
        <v>323</v>
      </c>
      <c r="M426" s="154" t="s">
        <v>9055</v>
      </c>
      <c r="N426" s="154" t="s">
        <v>9056</v>
      </c>
      <c r="O426" s="137"/>
      <c r="P426" s="137"/>
      <c r="Q426" s="137"/>
      <c r="R426" s="137"/>
      <c r="S426" s="137"/>
      <c r="T426" s="137" t="s">
        <v>5122</v>
      </c>
      <c r="U426" s="137" t="s">
        <v>5122</v>
      </c>
      <c r="V426" s="137" t="s">
        <v>5122</v>
      </c>
      <c r="W426" s="137"/>
      <c r="X426" s="137"/>
      <c r="Y426" s="137"/>
      <c r="Z426" s="118" t="s">
        <v>111</v>
      </c>
    </row>
    <row r="427" customHeight="1" spans="1:26">
      <c r="A427" s="125" t="s">
        <v>9057</v>
      </c>
      <c r="B427" s="125">
        <v>3</v>
      </c>
      <c r="C427" s="125" t="s">
        <v>328</v>
      </c>
      <c r="D427" s="125"/>
      <c r="E427" s="125"/>
      <c r="F427" s="126" t="s">
        <v>325</v>
      </c>
      <c r="G427" s="125" t="s">
        <v>343</v>
      </c>
      <c r="H427" s="125"/>
      <c r="I427" s="125" t="s">
        <v>7527</v>
      </c>
      <c r="J427" s="125"/>
      <c r="K427" s="142"/>
      <c r="L427" s="143" t="s">
        <v>323</v>
      </c>
      <c r="M427" s="142" t="s">
        <v>9058</v>
      </c>
      <c r="N427" s="142" t="s">
        <v>9059</v>
      </c>
      <c r="O427" s="125"/>
      <c r="P427" s="125"/>
      <c r="Q427" s="125"/>
      <c r="R427" s="125"/>
      <c r="S427" s="125"/>
      <c r="T427" s="125" t="s">
        <v>5122</v>
      </c>
      <c r="U427" s="125" t="s">
        <v>5122</v>
      </c>
      <c r="V427" s="125" t="s">
        <v>5122</v>
      </c>
      <c r="W427" s="125"/>
      <c r="X427" s="125"/>
      <c r="Y427" s="125"/>
      <c r="Z427" s="118" t="s">
        <v>111</v>
      </c>
    </row>
    <row r="428" customHeight="1" spans="1:26">
      <c r="A428" s="123" t="s">
        <v>9060</v>
      </c>
      <c r="B428" s="123">
        <v>3</v>
      </c>
      <c r="C428" s="123" t="s">
        <v>324</v>
      </c>
      <c r="D428" s="123"/>
      <c r="E428" s="123"/>
      <c r="F428" s="124" t="s">
        <v>321</v>
      </c>
      <c r="G428" s="123" t="s">
        <v>326</v>
      </c>
      <c r="H428" s="123" t="s">
        <v>7526</v>
      </c>
      <c r="I428" s="123" t="s">
        <v>7527</v>
      </c>
      <c r="J428" s="123" t="s">
        <v>7539</v>
      </c>
      <c r="K428" s="141" t="s">
        <v>9061</v>
      </c>
      <c r="L428" s="139" t="s">
        <v>323</v>
      </c>
      <c r="M428" s="141" t="s">
        <v>9062</v>
      </c>
      <c r="N428" s="141" t="s">
        <v>9063</v>
      </c>
      <c r="O428" s="123"/>
      <c r="P428" s="123"/>
      <c r="Q428" s="123"/>
      <c r="R428" s="123"/>
      <c r="S428" s="123"/>
      <c r="T428" s="123" t="s">
        <v>5122</v>
      </c>
      <c r="U428" s="123"/>
      <c r="V428" s="123" t="s">
        <v>5122</v>
      </c>
      <c r="W428" s="123"/>
      <c r="X428" s="123"/>
      <c r="Y428" s="123" t="s">
        <v>5122</v>
      </c>
      <c r="Z428" s="118" t="s">
        <v>72</v>
      </c>
    </row>
    <row r="429" customHeight="1" spans="1:26">
      <c r="A429" s="123" t="s">
        <v>9064</v>
      </c>
      <c r="B429" s="123">
        <v>3</v>
      </c>
      <c r="C429" s="123" t="s">
        <v>324</v>
      </c>
      <c r="D429" s="123"/>
      <c r="E429" s="123" t="s">
        <v>5122</v>
      </c>
      <c r="F429" s="124" t="s">
        <v>325</v>
      </c>
      <c r="G429" s="123" t="s">
        <v>322</v>
      </c>
      <c r="H429" s="123" t="s">
        <v>7526</v>
      </c>
      <c r="I429" s="123" t="s">
        <v>7527</v>
      </c>
      <c r="J429" s="123" t="s">
        <v>7539</v>
      </c>
      <c r="K429" s="141" t="s">
        <v>9065</v>
      </c>
      <c r="L429" s="139" t="s">
        <v>9066</v>
      </c>
      <c r="M429" s="141" t="s">
        <v>9067</v>
      </c>
      <c r="N429" s="141" t="s">
        <v>9068</v>
      </c>
      <c r="O429" s="123"/>
      <c r="P429" s="123"/>
      <c r="Q429" s="123"/>
      <c r="R429" s="123"/>
      <c r="S429" s="123" t="s">
        <v>5122</v>
      </c>
      <c r="T429" s="123"/>
      <c r="U429" s="123" t="s">
        <v>5122</v>
      </c>
      <c r="V429" s="123"/>
      <c r="W429" s="123"/>
      <c r="X429" s="123"/>
      <c r="Y429" s="123" t="s">
        <v>5122</v>
      </c>
      <c r="Z429" s="118" t="s">
        <v>72</v>
      </c>
    </row>
    <row r="430" customHeight="1" spans="1:26">
      <c r="A430" s="127" t="s">
        <v>9069</v>
      </c>
      <c r="B430" s="127">
        <v>3</v>
      </c>
      <c r="C430" s="127" t="s">
        <v>331</v>
      </c>
      <c r="D430" s="127"/>
      <c r="E430" s="127" t="s">
        <v>5122</v>
      </c>
      <c r="F430" s="128" t="s">
        <v>321</v>
      </c>
      <c r="G430" s="127" t="s">
        <v>340</v>
      </c>
      <c r="H430" s="127" t="s">
        <v>7526</v>
      </c>
      <c r="I430" s="127" t="s">
        <v>7527</v>
      </c>
      <c r="J430" s="127" t="s">
        <v>7539</v>
      </c>
      <c r="K430" s="144" t="s">
        <v>9070</v>
      </c>
      <c r="L430" s="145" t="s">
        <v>352</v>
      </c>
      <c r="M430" s="144" t="s">
        <v>9071</v>
      </c>
      <c r="N430" s="144" t="s">
        <v>9072</v>
      </c>
      <c r="O430" s="127"/>
      <c r="P430" s="127"/>
      <c r="Q430" s="127" t="s">
        <v>5122</v>
      </c>
      <c r="R430" s="127"/>
      <c r="S430" s="127"/>
      <c r="T430" s="127" t="s">
        <v>5122</v>
      </c>
      <c r="U430" s="127" t="s">
        <v>5122</v>
      </c>
      <c r="V430" s="127" t="s">
        <v>5122</v>
      </c>
      <c r="W430" s="127"/>
      <c r="X430" s="127"/>
      <c r="Y430" s="127" t="s">
        <v>5122</v>
      </c>
      <c r="Z430" s="118" t="s">
        <v>72</v>
      </c>
    </row>
    <row r="431" customHeight="1" spans="1:26">
      <c r="A431" s="123" t="s">
        <v>9073</v>
      </c>
      <c r="B431" s="123">
        <v>3</v>
      </c>
      <c r="C431" s="123" t="s">
        <v>324</v>
      </c>
      <c r="D431" s="123"/>
      <c r="E431" s="123"/>
      <c r="F431" s="124" t="s">
        <v>321</v>
      </c>
      <c r="G431" s="123" t="s">
        <v>337</v>
      </c>
      <c r="H431" s="123" t="s">
        <v>7526</v>
      </c>
      <c r="I431" s="123" t="s">
        <v>7527</v>
      </c>
      <c r="J431" s="123"/>
      <c r="K431" s="141"/>
      <c r="L431" s="139" t="s">
        <v>323</v>
      </c>
      <c r="M431" s="141" t="s">
        <v>9074</v>
      </c>
      <c r="N431" s="141" t="s">
        <v>9075</v>
      </c>
      <c r="O431" s="123"/>
      <c r="P431" s="123"/>
      <c r="Q431" s="123"/>
      <c r="R431" s="123"/>
      <c r="S431" s="123"/>
      <c r="T431" s="123"/>
      <c r="U431" s="123"/>
      <c r="V431" s="123" t="s">
        <v>5122</v>
      </c>
      <c r="W431" s="123"/>
      <c r="X431" s="123"/>
      <c r="Y431" s="123" t="s">
        <v>5122</v>
      </c>
      <c r="Z431" s="118" t="s">
        <v>72</v>
      </c>
    </row>
    <row r="432" customHeight="1" spans="1:26">
      <c r="A432" s="131" t="s">
        <v>4663</v>
      </c>
      <c r="B432" s="131">
        <v>3</v>
      </c>
      <c r="C432" s="131" t="s">
        <v>320</v>
      </c>
      <c r="D432" s="131"/>
      <c r="E432" s="131"/>
      <c r="F432" s="132" t="s">
        <v>325</v>
      </c>
      <c r="G432" s="131" t="s">
        <v>326</v>
      </c>
      <c r="H432" s="131" t="s">
        <v>7526</v>
      </c>
      <c r="I432" s="131" t="s">
        <v>7527</v>
      </c>
      <c r="J432" s="131" t="s">
        <v>7539</v>
      </c>
      <c r="K432" s="148" t="s">
        <v>9076</v>
      </c>
      <c r="L432" s="149" t="s">
        <v>9077</v>
      </c>
      <c r="M432" s="148" t="s">
        <v>9078</v>
      </c>
      <c r="N432" s="148" t="s">
        <v>9079</v>
      </c>
      <c r="O432" s="131"/>
      <c r="P432" s="131"/>
      <c r="Q432" s="131" t="s">
        <v>5122</v>
      </c>
      <c r="R432" s="131"/>
      <c r="S432" s="131"/>
      <c r="T432" s="131"/>
      <c r="U432" s="131"/>
      <c r="V432" s="131"/>
      <c r="W432" s="131"/>
      <c r="X432" s="131"/>
      <c r="Y432" s="131" t="s">
        <v>5122</v>
      </c>
      <c r="Z432" s="118" t="s">
        <v>72</v>
      </c>
    </row>
    <row r="433" customHeight="1" spans="1:26">
      <c r="A433" s="137" t="s">
        <v>9080</v>
      </c>
      <c r="B433" s="137">
        <v>3</v>
      </c>
      <c r="C433" s="137" t="s">
        <v>339</v>
      </c>
      <c r="D433" s="137"/>
      <c r="E433" s="137"/>
      <c r="F433" s="138" t="s">
        <v>321</v>
      </c>
      <c r="G433" s="137" t="s">
        <v>343</v>
      </c>
      <c r="H433" s="137" t="s">
        <v>7526</v>
      </c>
      <c r="I433" s="137" t="s">
        <v>7527</v>
      </c>
      <c r="J433" s="137" t="s">
        <v>7539</v>
      </c>
      <c r="K433" s="154" t="s">
        <v>9081</v>
      </c>
      <c r="L433" s="155" t="s">
        <v>323</v>
      </c>
      <c r="M433" s="154" t="s">
        <v>9082</v>
      </c>
      <c r="N433" s="154" t="s">
        <v>9083</v>
      </c>
      <c r="O433" s="137"/>
      <c r="P433" s="137"/>
      <c r="Q433" s="137" t="s">
        <v>5122</v>
      </c>
      <c r="R433" s="137"/>
      <c r="S433" s="137" t="s">
        <v>5122</v>
      </c>
      <c r="T433" s="137" t="s">
        <v>5122</v>
      </c>
      <c r="U433" s="137"/>
      <c r="V433" s="137"/>
      <c r="W433" s="137"/>
      <c r="X433" s="137"/>
      <c r="Y433" s="137"/>
      <c r="Z433" s="118" t="s">
        <v>9084</v>
      </c>
    </row>
    <row r="434" customHeight="1" spans="1:26">
      <c r="A434" s="137" t="s">
        <v>9085</v>
      </c>
      <c r="B434" s="137">
        <v>3</v>
      </c>
      <c r="C434" s="137" t="s">
        <v>339</v>
      </c>
      <c r="D434" s="137"/>
      <c r="E434" s="137"/>
      <c r="F434" s="138" t="s">
        <v>321</v>
      </c>
      <c r="G434" s="137" t="s">
        <v>9086</v>
      </c>
      <c r="H434" s="137" t="s">
        <v>7526</v>
      </c>
      <c r="I434" s="137" t="s">
        <v>7527</v>
      </c>
      <c r="J434" s="137" t="s">
        <v>7539</v>
      </c>
      <c r="K434" s="154" t="s">
        <v>9087</v>
      </c>
      <c r="L434" s="155" t="s">
        <v>323</v>
      </c>
      <c r="M434" s="154" t="s">
        <v>9088</v>
      </c>
      <c r="N434" s="154" t="s">
        <v>9089</v>
      </c>
      <c r="O434" s="137"/>
      <c r="P434" s="137"/>
      <c r="Q434" s="137"/>
      <c r="R434" s="137"/>
      <c r="S434" s="137"/>
      <c r="T434" s="137" t="s">
        <v>5122</v>
      </c>
      <c r="U434" s="137"/>
      <c r="V434" s="137" t="s">
        <v>5122</v>
      </c>
      <c r="W434" s="137"/>
      <c r="X434" s="137"/>
      <c r="Y434" s="137"/>
      <c r="Z434" s="118" t="s">
        <v>103</v>
      </c>
    </row>
    <row r="435" customHeight="1" spans="1:26">
      <c r="A435" s="137" t="s">
        <v>9090</v>
      </c>
      <c r="B435" s="137">
        <v>3</v>
      </c>
      <c r="C435" s="137" t="s">
        <v>339</v>
      </c>
      <c r="D435" s="137"/>
      <c r="E435" s="137" t="s">
        <v>5122</v>
      </c>
      <c r="F435" s="138" t="s">
        <v>321</v>
      </c>
      <c r="G435" s="137" t="s">
        <v>7535</v>
      </c>
      <c r="H435" s="137" t="s">
        <v>7526</v>
      </c>
      <c r="I435" s="137" t="s">
        <v>7527</v>
      </c>
      <c r="J435" s="137" t="s">
        <v>7539</v>
      </c>
      <c r="K435" s="154" t="s">
        <v>9091</v>
      </c>
      <c r="L435" s="155" t="s">
        <v>356</v>
      </c>
      <c r="M435" s="154" t="s">
        <v>9092</v>
      </c>
      <c r="N435" s="154" t="s">
        <v>9093</v>
      </c>
      <c r="O435" s="137"/>
      <c r="P435" s="137"/>
      <c r="Q435" s="137" t="s">
        <v>5122</v>
      </c>
      <c r="R435" s="137" t="s">
        <v>5122</v>
      </c>
      <c r="S435" s="137" t="s">
        <v>5122</v>
      </c>
      <c r="T435" s="137"/>
      <c r="U435" s="137" t="s">
        <v>5122</v>
      </c>
      <c r="V435" s="137"/>
      <c r="W435" s="137"/>
      <c r="X435" s="137"/>
      <c r="Y435" s="137"/>
      <c r="Z435" s="118" t="s">
        <v>103</v>
      </c>
    </row>
    <row r="436" customHeight="1" spans="1:26">
      <c r="A436" s="137" t="s">
        <v>9094</v>
      </c>
      <c r="B436" s="137">
        <v>3</v>
      </c>
      <c r="C436" s="137" t="s">
        <v>339</v>
      </c>
      <c r="D436" s="137"/>
      <c r="E436" s="137" t="s">
        <v>5122</v>
      </c>
      <c r="F436" s="138" t="s">
        <v>321</v>
      </c>
      <c r="G436" s="137" t="s">
        <v>343</v>
      </c>
      <c r="H436" s="137" t="s">
        <v>7526</v>
      </c>
      <c r="I436" s="137" t="s">
        <v>7527</v>
      </c>
      <c r="J436" s="137" t="s">
        <v>7539</v>
      </c>
      <c r="K436" s="154" t="s">
        <v>9095</v>
      </c>
      <c r="L436" s="155" t="s">
        <v>352</v>
      </c>
      <c r="M436" s="154" t="s">
        <v>9096</v>
      </c>
      <c r="N436" s="154" t="s">
        <v>9097</v>
      </c>
      <c r="O436" s="137"/>
      <c r="P436" s="137"/>
      <c r="Q436" s="137" t="s">
        <v>5122</v>
      </c>
      <c r="R436" s="137"/>
      <c r="S436" s="137" t="s">
        <v>5122</v>
      </c>
      <c r="T436" s="137" t="s">
        <v>5122</v>
      </c>
      <c r="U436" s="137" t="s">
        <v>5122</v>
      </c>
      <c r="V436" s="137" t="s">
        <v>5122</v>
      </c>
      <c r="W436" s="137"/>
      <c r="X436" s="137"/>
      <c r="Y436" s="137"/>
      <c r="Z436" s="118" t="s">
        <v>95</v>
      </c>
    </row>
    <row r="437" customHeight="1" spans="1:26">
      <c r="A437" s="137" t="s">
        <v>9098</v>
      </c>
      <c r="B437" s="137">
        <v>3</v>
      </c>
      <c r="C437" s="137" t="s">
        <v>339</v>
      </c>
      <c r="D437" s="137"/>
      <c r="E437" s="137" t="s">
        <v>5122</v>
      </c>
      <c r="F437" s="138" t="s">
        <v>321</v>
      </c>
      <c r="G437" s="137" t="s">
        <v>337</v>
      </c>
      <c r="H437" s="137" t="s">
        <v>7526</v>
      </c>
      <c r="I437" s="137" t="s">
        <v>7527</v>
      </c>
      <c r="J437" s="137" t="s">
        <v>7539</v>
      </c>
      <c r="K437" s="154" t="s">
        <v>9099</v>
      </c>
      <c r="L437" s="155" t="s">
        <v>356</v>
      </c>
      <c r="M437" s="154" t="s">
        <v>9100</v>
      </c>
      <c r="N437" s="154" t="s">
        <v>9101</v>
      </c>
      <c r="O437" s="137"/>
      <c r="P437" s="137"/>
      <c r="Q437" s="137" t="s">
        <v>5122</v>
      </c>
      <c r="R437" s="137"/>
      <c r="S437" s="137" t="s">
        <v>5122</v>
      </c>
      <c r="T437" s="137" t="s">
        <v>5122</v>
      </c>
      <c r="U437" s="137"/>
      <c r="V437" s="137" t="s">
        <v>5122</v>
      </c>
      <c r="W437" s="137"/>
      <c r="X437" s="137"/>
      <c r="Y437" s="137"/>
      <c r="Z437" s="118" t="s">
        <v>95</v>
      </c>
    </row>
    <row r="438" customHeight="1" spans="1:26">
      <c r="A438" s="137" t="s">
        <v>9102</v>
      </c>
      <c r="B438" s="137">
        <v>3</v>
      </c>
      <c r="C438" s="137" t="s">
        <v>339</v>
      </c>
      <c r="D438" s="137"/>
      <c r="E438" s="137"/>
      <c r="F438" s="138" t="s">
        <v>321</v>
      </c>
      <c r="G438" s="137" t="s">
        <v>337</v>
      </c>
      <c r="H438" s="137" t="s">
        <v>7526</v>
      </c>
      <c r="I438" s="137" t="s">
        <v>7527</v>
      </c>
      <c r="J438" s="137" t="s">
        <v>7539</v>
      </c>
      <c r="K438" s="154" t="s">
        <v>9103</v>
      </c>
      <c r="L438" s="155" t="s">
        <v>329</v>
      </c>
      <c r="M438" s="154" t="s">
        <v>9104</v>
      </c>
      <c r="N438" s="154" t="s">
        <v>9105</v>
      </c>
      <c r="O438" s="137"/>
      <c r="P438" s="137"/>
      <c r="Q438" s="137"/>
      <c r="R438" s="137"/>
      <c r="S438" s="137"/>
      <c r="T438" s="137" t="s">
        <v>5122</v>
      </c>
      <c r="U438" s="137" t="s">
        <v>5122</v>
      </c>
      <c r="V438" s="137" t="s">
        <v>5122</v>
      </c>
      <c r="W438" s="137"/>
      <c r="X438" s="137"/>
      <c r="Y438" s="137"/>
      <c r="Z438" s="118" t="s">
        <v>95</v>
      </c>
    </row>
    <row r="439" customHeight="1" spans="1:26">
      <c r="A439" s="123" t="s">
        <v>9106</v>
      </c>
      <c r="B439" s="123">
        <v>3</v>
      </c>
      <c r="C439" s="123" t="s">
        <v>324</v>
      </c>
      <c r="D439" s="123"/>
      <c r="E439" s="123"/>
      <c r="F439" s="124" t="s">
        <v>325</v>
      </c>
      <c r="G439" s="123" t="s">
        <v>337</v>
      </c>
      <c r="H439" s="123" t="s">
        <v>7526</v>
      </c>
      <c r="I439" s="123" t="s">
        <v>7527</v>
      </c>
      <c r="J439" s="123"/>
      <c r="K439" s="141"/>
      <c r="L439" s="139" t="s">
        <v>323</v>
      </c>
      <c r="M439" s="141" t="s">
        <v>9107</v>
      </c>
      <c r="N439" s="141" t="s">
        <v>9108</v>
      </c>
      <c r="O439" s="123" t="s">
        <v>5122</v>
      </c>
      <c r="P439" s="123" t="s">
        <v>5122</v>
      </c>
      <c r="Q439" s="123"/>
      <c r="R439" s="123"/>
      <c r="S439" s="123"/>
      <c r="T439" s="123" t="s">
        <v>5122</v>
      </c>
      <c r="U439" s="123" t="s">
        <v>5122</v>
      </c>
      <c r="V439" s="123" t="s">
        <v>5122</v>
      </c>
      <c r="W439" s="123"/>
      <c r="X439" s="123"/>
      <c r="Y439" s="123"/>
      <c r="Z439" s="118" t="s">
        <v>95</v>
      </c>
    </row>
    <row r="440" customHeight="1" spans="1:26">
      <c r="A440" s="131" t="s">
        <v>9109</v>
      </c>
      <c r="B440" s="131">
        <v>3</v>
      </c>
      <c r="C440" s="131" t="s">
        <v>320</v>
      </c>
      <c r="D440" s="131"/>
      <c r="E440" s="131"/>
      <c r="F440" s="132" t="s">
        <v>321</v>
      </c>
      <c r="G440" s="131" t="s">
        <v>351</v>
      </c>
      <c r="H440" s="131" t="s">
        <v>7526</v>
      </c>
      <c r="I440" s="131" t="s">
        <v>7527</v>
      </c>
      <c r="J440" s="131"/>
      <c r="K440" s="148"/>
      <c r="L440" s="149" t="s">
        <v>323</v>
      </c>
      <c r="M440" s="148" t="s">
        <v>9110</v>
      </c>
      <c r="N440" s="148" t="s">
        <v>9111</v>
      </c>
      <c r="O440" s="131"/>
      <c r="P440" s="131"/>
      <c r="Q440" s="131" t="s">
        <v>5122</v>
      </c>
      <c r="R440" s="131"/>
      <c r="S440" s="131"/>
      <c r="T440" s="131" t="s">
        <v>5122</v>
      </c>
      <c r="U440" s="131" t="s">
        <v>5122</v>
      </c>
      <c r="V440" s="131" t="s">
        <v>5122</v>
      </c>
      <c r="W440" s="131"/>
      <c r="X440" s="131"/>
      <c r="Y440" s="131"/>
      <c r="Z440" s="118" t="s">
        <v>95</v>
      </c>
    </row>
    <row r="441" customHeight="1" spans="1:26">
      <c r="A441" s="137" t="s">
        <v>9112</v>
      </c>
      <c r="B441" s="137">
        <v>3</v>
      </c>
      <c r="C441" s="137" t="s">
        <v>339</v>
      </c>
      <c r="D441" s="137"/>
      <c r="E441" s="137"/>
      <c r="F441" s="138" t="s">
        <v>321</v>
      </c>
      <c r="G441" s="137" t="s">
        <v>337</v>
      </c>
      <c r="H441" s="137" t="s">
        <v>7526</v>
      </c>
      <c r="I441" s="137" t="s">
        <v>7527</v>
      </c>
      <c r="J441" s="137"/>
      <c r="K441" s="154"/>
      <c r="L441" s="155" t="s">
        <v>334</v>
      </c>
      <c r="M441" s="154" t="s">
        <v>9113</v>
      </c>
      <c r="N441" s="154" t="s">
        <v>9114</v>
      </c>
      <c r="O441" s="137" t="s">
        <v>5122</v>
      </c>
      <c r="P441" s="137"/>
      <c r="Q441" s="137"/>
      <c r="R441" s="137"/>
      <c r="S441" s="137"/>
      <c r="T441" s="137" t="s">
        <v>5122</v>
      </c>
      <c r="U441" s="137"/>
      <c r="V441" s="137" t="s">
        <v>5122</v>
      </c>
      <c r="W441" s="137"/>
      <c r="X441" s="137"/>
      <c r="Y441" s="137"/>
      <c r="Z441" s="118" t="s">
        <v>95</v>
      </c>
    </row>
    <row r="442" customHeight="1" spans="1:26">
      <c r="A442" s="137" t="s">
        <v>9115</v>
      </c>
      <c r="B442" s="137">
        <v>3</v>
      </c>
      <c r="C442" s="137" t="s">
        <v>339</v>
      </c>
      <c r="D442" s="137"/>
      <c r="E442" s="137" t="s">
        <v>5122</v>
      </c>
      <c r="F442" s="138" t="s">
        <v>321</v>
      </c>
      <c r="G442" s="137" t="s">
        <v>333</v>
      </c>
      <c r="H442" s="137" t="s">
        <v>7526</v>
      </c>
      <c r="I442" s="137" t="s">
        <v>7527</v>
      </c>
      <c r="J442" s="137" t="s">
        <v>7539</v>
      </c>
      <c r="K442" s="154" t="s">
        <v>9116</v>
      </c>
      <c r="L442" s="155" t="s">
        <v>352</v>
      </c>
      <c r="M442" s="154" t="s">
        <v>9117</v>
      </c>
      <c r="N442" s="154" t="s">
        <v>9118</v>
      </c>
      <c r="O442" s="137" t="s">
        <v>5122</v>
      </c>
      <c r="P442" s="137"/>
      <c r="Q442" s="137" t="s">
        <v>5122</v>
      </c>
      <c r="R442" s="137" t="s">
        <v>5122</v>
      </c>
      <c r="S442" s="137" t="s">
        <v>5122</v>
      </c>
      <c r="T442" s="137" t="s">
        <v>5122</v>
      </c>
      <c r="U442" s="137"/>
      <c r="V442" s="137"/>
      <c r="W442" s="137"/>
      <c r="X442" s="137"/>
      <c r="Y442" s="137"/>
      <c r="Z442" s="118" t="s">
        <v>95</v>
      </c>
    </row>
    <row r="443" customHeight="1" spans="1:26">
      <c r="A443" s="127" t="s">
        <v>9119</v>
      </c>
      <c r="B443" s="127">
        <v>3</v>
      </c>
      <c r="C443" s="127" t="s">
        <v>331</v>
      </c>
      <c r="D443" s="127"/>
      <c r="E443" s="127"/>
      <c r="F443" s="128" t="s">
        <v>321</v>
      </c>
      <c r="G443" s="127" t="s">
        <v>340</v>
      </c>
      <c r="H443" s="127" t="s">
        <v>7526</v>
      </c>
      <c r="I443" s="127" t="s">
        <v>7527</v>
      </c>
      <c r="J443" s="127"/>
      <c r="K443" s="144"/>
      <c r="L443" s="145" t="s">
        <v>329</v>
      </c>
      <c r="M443" s="144" t="s">
        <v>9120</v>
      </c>
      <c r="N443" s="144" t="s">
        <v>9121</v>
      </c>
      <c r="O443" s="127"/>
      <c r="P443" s="127" t="s">
        <v>5122</v>
      </c>
      <c r="Q443" s="127"/>
      <c r="R443" s="127"/>
      <c r="S443" s="127" t="s">
        <v>5122</v>
      </c>
      <c r="T443" s="127" t="s">
        <v>5122</v>
      </c>
      <c r="U443" s="127" t="s">
        <v>5122</v>
      </c>
      <c r="V443" s="127" t="s">
        <v>5122</v>
      </c>
      <c r="W443" s="127"/>
      <c r="X443" s="127"/>
      <c r="Y443" s="127"/>
      <c r="Z443" s="118" t="s">
        <v>108</v>
      </c>
    </row>
    <row r="444" customHeight="1" spans="1:26">
      <c r="A444" s="127" t="s">
        <v>9122</v>
      </c>
      <c r="B444" s="127">
        <v>3</v>
      </c>
      <c r="C444" s="127" t="s">
        <v>331</v>
      </c>
      <c r="D444" s="127"/>
      <c r="E444" s="127"/>
      <c r="F444" s="128" t="s">
        <v>321</v>
      </c>
      <c r="G444" s="127" t="s">
        <v>326</v>
      </c>
      <c r="H444" s="127" t="s">
        <v>7526</v>
      </c>
      <c r="I444" s="127" t="s">
        <v>7527</v>
      </c>
      <c r="J444" s="127" t="s">
        <v>7539</v>
      </c>
      <c r="K444" s="144" t="s">
        <v>9123</v>
      </c>
      <c r="L444" s="145" t="s">
        <v>323</v>
      </c>
      <c r="M444" s="144" t="s">
        <v>9124</v>
      </c>
      <c r="N444" s="144" t="s">
        <v>9125</v>
      </c>
      <c r="O444" s="127"/>
      <c r="P444" s="127"/>
      <c r="Q444" s="127"/>
      <c r="R444" s="127"/>
      <c r="S444" s="127"/>
      <c r="T444" s="127" t="s">
        <v>5122</v>
      </c>
      <c r="U444" s="127" t="s">
        <v>5122</v>
      </c>
      <c r="V444" s="127" t="s">
        <v>5122</v>
      </c>
      <c r="W444" s="127"/>
      <c r="X444" s="127"/>
      <c r="Y444" s="127"/>
      <c r="Z444" s="118" t="s">
        <v>108</v>
      </c>
    </row>
    <row r="445" customHeight="1" spans="1:26">
      <c r="A445" s="125" t="s">
        <v>9126</v>
      </c>
      <c r="B445" s="125">
        <v>3</v>
      </c>
      <c r="C445" s="125" t="s">
        <v>328</v>
      </c>
      <c r="D445" s="125"/>
      <c r="E445" s="125" t="s">
        <v>5122</v>
      </c>
      <c r="F445" s="126" t="s">
        <v>321</v>
      </c>
      <c r="G445" s="125" t="s">
        <v>7535</v>
      </c>
      <c r="H445" s="125" t="s">
        <v>7526</v>
      </c>
      <c r="I445" s="125" t="s">
        <v>7527</v>
      </c>
      <c r="J445" s="125" t="s">
        <v>7539</v>
      </c>
      <c r="K445" s="142" t="s">
        <v>9127</v>
      </c>
      <c r="L445" s="143" t="s">
        <v>356</v>
      </c>
      <c r="M445" s="142" t="s">
        <v>9128</v>
      </c>
      <c r="N445" s="142" t="s">
        <v>9129</v>
      </c>
      <c r="O445" s="125"/>
      <c r="P445" s="125"/>
      <c r="Q445" s="125" t="s">
        <v>5122</v>
      </c>
      <c r="R445" s="125"/>
      <c r="S445" s="125" t="s">
        <v>5122</v>
      </c>
      <c r="T445" s="125"/>
      <c r="U445" s="125" t="s">
        <v>5122</v>
      </c>
      <c r="V445" s="125" t="s">
        <v>5122</v>
      </c>
      <c r="W445" s="125"/>
      <c r="X445" s="125"/>
      <c r="Y445" s="125"/>
      <c r="Z445" s="118" t="s">
        <v>108</v>
      </c>
    </row>
    <row r="446" customHeight="1" spans="1:26">
      <c r="A446" s="127" t="s">
        <v>9130</v>
      </c>
      <c r="B446" s="127">
        <v>3</v>
      </c>
      <c r="C446" s="127" t="s">
        <v>331</v>
      </c>
      <c r="D446" s="127"/>
      <c r="E446" s="127" t="s">
        <v>5122</v>
      </c>
      <c r="F446" s="128" t="s">
        <v>325</v>
      </c>
      <c r="G446" s="127" t="s">
        <v>326</v>
      </c>
      <c r="H446" s="127" t="s">
        <v>7526</v>
      </c>
      <c r="I446" s="127" t="s">
        <v>7527</v>
      </c>
      <c r="J446" s="127"/>
      <c r="K446" s="144"/>
      <c r="L446" s="145" t="s">
        <v>352</v>
      </c>
      <c r="M446" s="144" t="s">
        <v>9131</v>
      </c>
      <c r="N446" s="144" t="s">
        <v>9132</v>
      </c>
      <c r="O446" s="127"/>
      <c r="P446" s="127"/>
      <c r="Q446" s="127" t="s">
        <v>5122</v>
      </c>
      <c r="R446" s="127"/>
      <c r="S446" s="127"/>
      <c r="T446" s="127" t="s">
        <v>5122</v>
      </c>
      <c r="U446" s="127" t="s">
        <v>5122</v>
      </c>
      <c r="V446" s="127" t="s">
        <v>5122</v>
      </c>
      <c r="W446" s="127"/>
      <c r="X446" s="127"/>
      <c r="Y446" s="127"/>
      <c r="Z446" s="118" t="s">
        <v>108</v>
      </c>
    </row>
    <row r="447" customHeight="1" spans="1:26">
      <c r="A447" s="133" t="s">
        <v>9133</v>
      </c>
      <c r="B447" s="133">
        <v>3</v>
      </c>
      <c r="C447" s="133" t="s">
        <v>342</v>
      </c>
      <c r="D447" s="133" t="s">
        <v>5122</v>
      </c>
      <c r="E447" s="133" t="s">
        <v>5122</v>
      </c>
      <c r="F447" s="134" t="s">
        <v>332</v>
      </c>
      <c r="G447" s="133" t="s">
        <v>368</v>
      </c>
      <c r="H447" s="133"/>
      <c r="I447" s="133" t="s">
        <v>7527</v>
      </c>
      <c r="J447" s="133" t="s">
        <v>7539</v>
      </c>
      <c r="K447" s="150" t="s">
        <v>9134</v>
      </c>
      <c r="L447" s="151" t="s">
        <v>356</v>
      </c>
      <c r="M447" s="150" t="s">
        <v>9135</v>
      </c>
      <c r="N447" s="150" t="s">
        <v>9136</v>
      </c>
      <c r="O447" s="133" t="s">
        <v>5122</v>
      </c>
      <c r="P447" s="133"/>
      <c r="Q447" s="133"/>
      <c r="R447" s="133"/>
      <c r="S447" s="133"/>
      <c r="T447" s="133" t="s">
        <v>5122</v>
      </c>
      <c r="U447" s="133" t="s">
        <v>5122</v>
      </c>
      <c r="V447" s="133"/>
      <c r="W447" s="133"/>
      <c r="X447" s="133"/>
      <c r="Y447" s="133"/>
      <c r="Z447" s="118" t="s">
        <v>108</v>
      </c>
    </row>
    <row r="448" customHeight="1" spans="1:26">
      <c r="A448" s="123" t="s">
        <v>9137</v>
      </c>
      <c r="B448" s="123">
        <v>3</v>
      </c>
      <c r="C448" s="123" t="s">
        <v>324</v>
      </c>
      <c r="D448" s="123"/>
      <c r="E448" s="123"/>
      <c r="F448" s="124" t="s">
        <v>321</v>
      </c>
      <c r="G448" s="123" t="s">
        <v>337</v>
      </c>
      <c r="H448" s="123" t="s">
        <v>7526</v>
      </c>
      <c r="I448" s="123" t="s">
        <v>7527</v>
      </c>
      <c r="J448" s="123" t="s">
        <v>7539</v>
      </c>
      <c r="K448" s="141" t="s">
        <v>9138</v>
      </c>
      <c r="L448" s="139" t="s">
        <v>338</v>
      </c>
      <c r="M448" s="141" t="s">
        <v>9139</v>
      </c>
      <c r="N448" s="141" t="s">
        <v>9140</v>
      </c>
      <c r="O448" s="123"/>
      <c r="P448" s="123" t="s">
        <v>5122</v>
      </c>
      <c r="Q448" s="123" t="s">
        <v>5122</v>
      </c>
      <c r="R448" s="123"/>
      <c r="S448" s="123" t="s">
        <v>5122</v>
      </c>
      <c r="T448" s="123"/>
      <c r="U448" s="123"/>
      <c r="V448" s="123"/>
      <c r="W448" s="123"/>
      <c r="X448" s="123"/>
      <c r="Y448" s="123"/>
      <c r="Z448" s="118" t="s">
        <v>108</v>
      </c>
    </row>
    <row r="449" customHeight="1" spans="1:26">
      <c r="A449" s="133" t="s">
        <v>9141</v>
      </c>
      <c r="B449" s="133">
        <v>3</v>
      </c>
      <c r="C449" s="133" t="s">
        <v>342</v>
      </c>
      <c r="D449" s="133"/>
      <c r="E449" s="133" t="s">
        <v>5122</v>
      </c>
      <c r="F449" s="134" t="s">
        <v>321</v>
      </c>
      <c r="G449" s="133" t="s">
        <v>343</v>
      </c>
      <c r="H449" s="133" t="s">
        <v>7526</v>
      </c>
      <c r="I449" s="133" t="s">
        <v>7527</v>
      </c>
      <c r="J449" s="133" t="s">
        <v>7539</v>
      </c>
      <c r="K449" s="150" t="s">
        <v>9142</v>
      </c>
      <c r="L449" s="151" t="s">
        <v>352</v>
      </c>
      <c r="M449" s="150" t="s">
        <v>9143</v>
      </c>
      <c r="N449" s="150" t="s">
        <v>9144</v>
      </c>
      <c r="O449" s="133"/>
      <c r="P449" s="133"/>
      <c r="Q449" s="133"/>
      <c r="R449" s="133"/>
      <c r="S449" s="133"/>
      <c r="T449" s="133"/>
      <c r="U449" s="133" t="s">
        <v>5122</v>
      </c>
      <c r="V449" s="133" t="s">
        <v>5122</v>
      </c>
      <c r="W449" s="133"/>
      <c r="X449" s="133"/>
      <c r="Y449" s="133"/>
      <c r="Z449" s="118" t="s">
        <v>108</v>
      </c>
    </row>
    <row r="450" customHeight="1" spans="1:26">
      <c r="A450" s="127" t="s">
        <v>9145</v>
      </c>
      <c r="B450" s="127">
        <v>3</v>
      </c>
      <c r="C450" s="127" t="s">
        <v>331</v>
      </c>
      <c r="D450" s="127"/>
      <c r="E450" s="127"/>
      <c r="F450" s="128" t="s">
        <v>321</v>
      </c>
      <c r="G450" s="127" t="s">
        <v>7535</v>
      </c>
      <c r="H450" s="127" t="s">
        <v>7526</v>
      </c>
      <c r="I450" s="127" t="s">
        <v>7527</v>
      </c>
      <c r="J450" s="127" t="s">
        <v>7539</v>
      </c>
      <c r="K450" s="144" t="s">
        <v>9146</v>
      </c>
      <c r="L450" s="145" t="s">
        <v>323</v>
      </c>
      <c r="M450" s="144" t="s">
        <v>9147</v>
      </c>
      <c r="N450" s="144" t="s">
        <v>9148</v>
      </c>
      <c r="O450" s="127"/>
      <c r="P450" s="127" t="s">
        <v>5122</v>
      </c>
      <c r="Q450" s="127"/>
      <c r="R450" s="127" t="s">
        <v>5122</v>
      </c>
      <c r="S450" s="127"/>
      <c r="T450" s="127"/>
      <c r="U450" s="127"/>
      <c r="V450" s="127" t="s">
        <v>5122</v>
      </c>
      <c r="W450" s="127"/>
      <c r="X450" s="127"/>
      <c r="Y450" s="127"/>
      <c r="Z450" s="118" t="s">
        <v>108</v>
      </c>
    </row>
    <row r="451" customHeight="1" spans="1:26">
      <c r="A451" s="133" t="s">
        <v>9149</v>
      </c>
      <c r="B451" s="133">
        <v>3</v>
      </c>
      <c r="C451" s="133" t="s">
        <v>342</v>
      </c>
      <c r="D451" s="133"/>
      <c r="E451" s="133" t="s">
        <v>5122</v>
      </c>
      <c r="F451" s="134" t="s">
        <v>321</v>
      </c>
      <c r="G451" s="133" t="s">
        <v>337</v>
      </c>
      <c r="H451" s="133" t="s">
        <v>7526</v>
      </c>
      <c r="I451" s="133" t="s">
        <v>7527</v>
      </c>
      <c r="J451" s="133" t="s">
        <v>7539</v>
      </c>
      <c r="K451" s="150" t="s">
        <v>9150</v>
      </c>
      <c r="L451" s="151" t="s">
        <v>356</v>
      </c>
      <c r="M451" s="150" t="s">
        <v>9151</v>
      </c>
      <c r="N451" s="150" t="s">
        <v>9152</v>
      </c>
      <c r="O451" s="133"/>
      <c r="P451" s="133"/>
      <c r="Q451" s="133"/>
      <c r="R451" s="133"/>
      <c r="S451" s="133"/>
      <c r="T451" s="133" t="s">
        <v>5122</v>
      </c>
      <c r="U451" s="133" t="s">
        <v>5122</v>
      </c>
      <c r="V451" s="133" t="s">
        <v>5122</v>
      </c>
      <c r="W451" s="133"/>
      <c r="X451" s="133"/>
      <c r="Y451" s="133"/>
      <c r="Z451" s="118" t="s">
        <v>108</v>
      </c>
    </row>
    <row r="452" customHeight="1" spans="1:26">
      <c r="A452" s="131" t="s">
        <v>9153</v>
      </c>
      <c r="B452" s="131">
        <v>3</v>
      </c>
      <c r="C452" s="131" t="s">
        <v>320</v>
      </c>
      <c r="D452" s="131"/>
      <c r="E452" s="131"/>
      <c r="F452" s="132" t="s">
        <v>329</v>
      </c>
      <c r="G452" s="131" t="s">
        <v>7731</v>
      </c>
      <c r="H452" s="131" t="s">
        <v>7526</v>
      </c>
      <c r="I452" s="131" t="s">
        <v>7527</v>
      </c>
      <c r="J452" s="131" t="s">
        <v>7539</v>
      </c>
      <c r="K452" s="148" t="s">
        <v>9154</v>
      </c>
      <c r="L452" s="149" t="s">
        <v>344</v>
      </c>
      <c r="M452" s="148" t="s">
        <v>9155</v>
      </c>
      <c r="N452" s="148" t="s">
        <v>9156</v>
      </c>
      <c r="O452" s="131" t="s">
        <v>5122</v>
      </c>
      <c r="P452" s="131" t="s">
        <v>5122</v>
      </c>
      <c r="Q452" s="131"/>
      <c r="R452" s="131" t="s">
        <v>5122</v>
      </c>
      <c r="S452" s="131"/>
      <c r="T452" s="131"/>
      <c r="U452" s="131"/>
      <c r="V452" s="131"/>
      <c r="W452" s="131"/>
      <c r="X452" s="131"/>
      <c r="Y452" s="131"/>
      <c r="Z452" s="118" t="s">
        <v>108</v>
      </c>
    </row>
    <row r="453" customHeight="1" spans="1:26">
      <c r="A453" s="123" t="s">
        <v>9157</v>
      </c>
      <c r="B453" s="123">
        <v>3</v>
      </c>
      <c r="C453" s="123" t="s">
        <v>324</v>
      </c>
      <c r="D453" s="123"/>
      <c r="E453" s="123"/>
      <c r="F453" s="124" t="s">
        <v>321</v>
      </c>
      <c r="G453" s="123" t="s">
        <v>343</v>
      </c>
      <c r="H453" s="123" t="s">
        <v>7526</v>
      </c>
      <c r="I453" s="123" t="s">
        <v>7527</v>
      </c>
      <c r="J453" s="123"/>
      <c r="K453" s="141"/>
      <c r="L453" s="139" t="s">
        <v>323</v>
      </c>
      <c r="M453" s="141" t="s">
        <v>9158</v>
      </c>
      <c r="N453" s="141" t="s">
        <v>9159</v>
      </c>
      <c r="O453" s="123"/>
      <c r="P453" s="123" t="s">
        <v>5122</v>
      </c>
      <c r="Q453" s="123" t="s">
        <v>5122</v>
      </c>
      <c r="R453" s="123" t="s">
        <v>5122</v>
      </c>
      <c r="S453" s="123" t="s">
        <v>5122</v>
      </c>
      <c r="T453" s="123"/>
      <c r="U453" s="123" t="s">
        <v>5122</v>
      </c>
      <c r="V453" s="123" t="s">
        <v>5122</v>
      </c>
      <c r="W453" s="123"/>
      <c r="X453" s="123"/>
      <c r="Y453" s="123"/>
      <c r="Z453" s="118" t="s">
        <v>108</v>
      </c>
    </row>
    <row r="454" customHeight="1" spans="1:26">
      <c r="A454" s="127" t="s">
        <v>9160</v>
      </c>
      <c r="B454" s="127">
        <v>3</v>
      </c>
      <c r="C454" s="127" t="s">
        <v>331</v>
      </c>
      <c r="D454" s="127"/>
      <c r="E454" s="127" t="s">
        <v>5122</v>
      </c>
      <c r="F454" s="128" t="s">
        <v>321</v>
      </c>
      <c r="G454" s="127" t="s">
        <v>326</v>
      </c>
      <c r="H454" s="127" t="s">
        <v>7526</v>
      </c>
      <c r="I454" s="127" t="s">
        <v>7527</v>
      </c>
      <c r="J454" s="127"/>
      <c r="K454" s="144"/>
      <c r="L454" s="145" t="s">
        <v>352</v>
      </c>
      <c r="M454" s="144" t="s">
        <v>9161</v>
      </c>
      <c r="N454" s="144" t="s">
        <v>9162</v>
      </c>
      <c r="O454" s="127"/>
      <c r="P454" s="127"/>
      <c r="Q454" s="127"/>
      <c r="R454" s="127"/>
      <c r="S454" s="127"/>
      <c r="T454" s="127" t="s">
        <v>5122</v>
      </c>
      <c r="U454" s="127" t="s">
        <v>5122</v>
      </c>
      <c r="V454" s="127" t="s">
        <v>5122</v>
      </c>
      <c r="W454" s="127"/>
      <c r="X454" s="127"/>
      <c r="Y454" s="127"/>
      <c r="Z454" s="118" t="s">
        <v>108</v>
      </c>
    </row>
    <row r="455" customHeight="1" spans="1:26">
      <c r="A455" s="137" t="s">
        <v>9163</v>
      </c>
      <c r="B455" s="137">
        <v>3</v>
      </c>
      <c r="C455" s="137" t="s">
        <v>339</v>
      </c>
      <c r="D455" s="137"/>
      <c r="E455" s="137" t="s">
        <v>5122</v>
      </c>
      <c r="F455" s="138" t="s">
        <v>321</v>
      </c>
      <c r="G455" s="137" t="s">
        <v>9164</v>
      </c>
      <c r="H455" s="137" t="s">
        <v>7526</v>
      </c>
      <c r="I455" s="137" t="s">
        <v>7527</v>
      </c>
      <c r="J455" s="137" t="s">
        <v>7539</v>
      </c>
      <c r="K455" s="154" t="s">
        <v>9165</v>
      </c>
      <c r="L455" s="155" t="s">
        <v>352</v>
      </c>
      <c r="M455" s="154" t="s">
        <v>9166</v>
      </c>
      <c r="N455" s="154" t="s">
        <v>9167</v>
      </c>
      <c r="O455" s="137"/>
      <c r="P455" s="137"/>
      <c r="Q455" s="137"/>
      <c r="R455" s="137"/>
      <c r="S455" s="137"/>
      <c r="T455" s="137" t="s">
        <v>5122</v>
      </c>
      <c r="U455" s="137" t="s">
        <v>5122</v>
      </c>
      <c r="V455" s="137" t="s">
        <v>5122</v>
      </c>
      <c r="W455" s="137"/>
      <c r="X455" s="137"/>
      <c r="Y455" s="137"/>
      <c r="Z455" s="118" t="s">
        <v>87</v>
      </c>
    </row>
    <row r="456" customHeight="1" spans="1:26">
      <c r="A456" s="131" t="s">
        <v>9168</v>
      </c>
      <c r="B456" s="131">
        <v>3</v>
      </c>
      <c r="C456" s="131" t="s">
        <v>320</v>
      </c>
      <c r="D456" s="131"/>
      <c r="E456" s="131"/>
      <c r="F456" s="132" t="s">
        <v>321</v>
      </c>
      <c r="G456" s="131" t="s">
        <v>326</v>
      </c>
      <c r="H456" s="131"/>
      <c r="I456" s="131" t="s">
        <v>7527</v>
      </c>
      <c r="J456" s="131" t="s">
        <v>7539</v>
      </c>
      <c r="K456" s="148" t="s">
        <v>9169</v>
      </c>
      <c r="L456" s="149" t="s">
        <v>329</v>
      </c>
      <c r="M456" s="148" t="s">
        <v>9170</v>
      </c>
      <c r="N456" s="148" t="s">
        <v>9171</v>
      </c>
      <c r="O456" s="131"/>
      <c r="P456" s="131"/>
      <c r="Q456" s="131" t="s">
        <v>5122</v>
      </c>
      <c r="R456" s="131"/>
      <c r="S456" s="131" t="s">
        <v>5122</v>
      </c>
      <c r="T456" s="131"/>
      <c r="U456" s="131"/>
      <c r="V456" s="131"/>
      <c r="W456" s="131"/>
      <c r="X456" s="131"/>
      <c r="Y456" s="131"/>
      <c r="Z456" s="118" t="s">
        <v>7771</v>
      </c>
    </row>
    <row r="457" customHeight="1" spans="1:26">
      <c r="A457" s="137" t="s">
        <v>9172</v>
      </c>
      <c r="B457" s="137">
        <v>3</v>
      </c>
      <c r="C457" s="137" t="s">
        <v>339</v>
      </c>
      <c r="D457" s="137"/>
      <c r="E457" s="137" t="s">
        <v>5122</v>
      </c>
      <c r="F457" s="138" t="s">
        <v>321</v>
      </c>
      <c r="G457" s="137" t="s">
        <v>326</v>
      </c>
      <c r="H457" s="137" t="s">
        <v>7526</v>
      </c>
      <c r="I457" s="137" t="s">
        <v>7527</v>
      </c>
      <c r="J457" s="137" t="s">
        <v>7539</v>
      </c>
      <c r="K457" s="154" t="s">
        <v>9173</v>
      </c>
      <c r="L457" s="155" t="s">
        <v>356</v>
      </c>
      <c r="M457" s="154" t="s">
        <v>9174</v>
      </c>
      <c r="N457" s="154" t="s">
        <v>9175</v>
      </c>
      <c r="O457" s="137"/>
      <c r="P457" s="137"/>
      <c r="Q457" s="137" t="s">
        <v>5122</v>
      </c>
      <c r="R457" s="137"/>
      <c r="S457" s="137" t="s">
        <v>5122</v>
      </c>
      <c r="T457" s="137"/>
      <c r="U457" s="137" t="s">
        <v>5122</v>
      </c>
      <c r="V457" s="137"/>
      <c r="W457" s="137"/>
      <c r="X457" s="137"/>
      <c r="Y457" s="137"/>
      <c r="Z457" s="118" t="s">
        <v>7771</v>
      </c>
    </row>
    <row r="458" customHeight="1" spans="1:26">
      <c r="A458" s="135" t="s">
        <v>9176</v>
      </c>
      <c r="B458" s="135">
        <v>3</v>
      </c>
      <c r="C458" s="135" t="s">
        <v>335</v>
      </c>
      <c r="D458" s="135"/>
      <c r="E458" s="135"/>
      <c r="F458" s="136" t="s">
        <v>9177</v>
      </c>
      <c r="G458" s="135" t="s">
        <v>9178</v>
      </c>
      <c r="H458" s="135" t="s">
        <v>7526</v>
      </c>
      <c r="I458" s="135" t="s">
        <v>7527</v>
      </c>
      <c r="J458" s="135" t="s">
        <v>7539</v>
      </c>
      <c r="K458" s="152" t="s">
        <v>9179</v>
      </c>
      <c r="L458" s="153" t="s">
        <v>344</v>
      </c>
      <c r="M458" s="152" t="s">
        <v>9180</v>
      </c>
      <c r="N458" s="152" t="s">
        <v>9181</v>
      </c>
      <c r="O458" s="135"/>
      <c r="P458" s="135" t="s">
        <v>5122</v>
      </c>
      <c r="Q458" s="135"/>
      <c r="R458" s="135" t="s">
        <v>5122</v>
      </c>
      <c r="S458" s="135"/>
      <c r="T458" s="135"/>
      <c r="U458" s="135"/>
      <c r="V458" s="135"/>
      <c r="W458" s="135"/>
      <c r="X458" s="135"/>
      <c r="Y458" s="135"/>
      <c r="Z458" s="118" t="s">
        <v>7771</v>
      </c>
    </row>
    <row r="459" customHeight="1" spans="1:26">
      <c r="A459" s="123" t="s">
        <v>9182</v>
      </c>
      <c r="B459" s="123">
        <v>3</v>
      </c>
      <c r="C459" s="123" t="s">
        <v>324</v>
      </c>
      <c r="D459" s="123"/>
      <c r="E459" s="123" t="s">
        <v>5122</v>
      </c>
      <c r="F459" s="124" t="s">
        <v>321</v>
      </c>
      <c r="G459" s="123" t="s">
        <v>326</v>
      </c>
      <c r="H459" s="123" t="s">
        <v>7526</v>
      </c>
      <c r="I459" s="123" t="s">
        <v>7527</v>
      </c>
      <c r="J459" s="123" t="s">
        <v>7539</v>
      </c>
      <c r="K459" s="141" t="s">
        <v>9183</v>
      </c>
      <c r="L459" s="139" t="s">
        <v>352</v>
      </c>
      <c r="M459" s="141" t="s">
        <v>9184</v>
      </c>
      <c r="N459" s="141" t="s">
        <v>9185</v>
      </c>
      <c r="O459" s="123"/>
      <c r="P459" s="123"/>
      <c r="Q459" s="123" t="s">
        <v>5122</v>
      </c>
      <c r="R459" s="123"/>
      <c r="S459" s="123"/>
      <c r="T459" s="123" t="s">
        <v>5122</v>
      </c>
      <c r="U459" s="123" t="s">
        <v>5122</v>
      </c>
      <c r="V459" s="123"/>
      <c r="W459" s="123"/>
      <c r="X459" s="123"/>
      <c r="Y459" s="123"/>
      <c r="Z459" s="118" t="s">
        <v>7781</v>
      </c>
    </row>
    <row r="460" customHeight="1" spans="1:26">
      <c r="A460" s="123" t="s">
        <v>9186</v>
      </c>
      <c r="B460" s="123">
        <v>3</v>
      </c>
      <c r="C460" s="123" t="s">
        <v>324</v>
      </c>
      <c r="D460" s="123"/>
      <c r="E460" s="123"/>
      <c r="F460" s="124" t="s">
        <v>321</v>
      </c>
      <c r="G460" s="123" t="s">
        <v>9187</v>
      </c>
      <c r="H460" s="123" t="s">
        <v>7526</v>
      </c>
      <c r="I460" s="123"/>
      <c r="J460" s="123" t="s">
        <v>7539</v>
      </c>
      <c r="K460" s="141" t="s">
        <v>9188</v>
      </c>
      <c r="L460" s="139" t="s">
        <v>9189</v>
      </c>
      <c r="M460" s="141" t="s">
        <v>9190</v>
      </c>
      <c r="N460" s="141" t="s">
        <v>9191</v>
      </c>
      <c r="O460" s="123"/>
      <c r="P460" s="123" t="s">
        <v>5122</v>
      </c>
      <c r="Q460" s="123" t="s">
        <v>5122</v>
      </c>
      <c r="R460" s="123"/>
      <c r="S460" s="123"/>
      <c r="T460" s="123"/>
      <c r="U460" s="123"/>
      <c r="V460" s="123"/>
      <c r="W460" s="123"/>
      <c r="X460" s="123"/>
      <c r="Y460" s="123"/>
      <c r="Z460" s="118" t="s">
        <v>7781</v>
      </c>
    </row>
    <row r="461" customHeight="1" spans="1:26">
      <c r="A461" s="131" t="s">
        <v>9192</v>
      </c>
      <c r="B461" s="131">
        <v>3</v>
      </c>
      <c r="C461" s="131" t="s">
        <v>320</v>
      </c>
      <c r="D461" s="131" t="s">
        <v>5122</v>
      </c>
      <c r="E461" s="131"/>
      <c r="F461" s="132" t="s">
        <v>336</v>
      </c>
      <c r="G461" s="131" t="s">
        <v>7535</v>
      </c>
      <c r="H461" s="131" t="s">
        <v>7526</v>
      </c>
      <c r="I461" s="131" t="s">
        <v>7527</v>
      </c>
      <c r="J461" s="131" t="s">
        <v>7539</v>
      </c>
      <c r="K461" s="148" t="s">
        <v>9193</v>
      </c>
      <c r="L461" s="149" t="s">
        <v>341</v>
      </c>
      <c r="M461" s="148" t="s">
        <v>9194</v>
      </c>
      <c r="N461" s="148" t="s">
        <v>9195</v>
      </c>
      <c r="O461" s="131" t="s">
        <v>5122</v>
      </c>
      <c r="P461" s="131" t="s">
        <v>5122</v>
      </c>
      <c r="Q461" s="131" t="s">
        <v>5122</v>
      </c>
      <c r="R461" s="131" t="s">
        <v>5122</v>
      </c>
      <c r="S461" s="131" t="s">
        <v>5122</v>
      </c>
      <c r="T461" s="131"/>
      <c r="U461" s="131"/>
      <c r="V461" s="131"/>
      <c r="W461" s="131"/>
      <c r="X461" s="131"/>
      <c r="Y461" s="131"/>
      <c r="Z461" s="118" t="s">
        <v>7781</v>
      </c>
    </row>
    <row r="462" customHeight="1" spans="1:26">
      <c r="A462" s="137" t="s">
        <v>9196</v>
      </c>
      <c r="B462" s="137">
        <v>3</v>
      </c>
      <c r="C462" s="137" t="s">
        <v>339</v>
      </c>
      <c r="D462" s="137"/>
      <c r="E462" s="137" t="s">
        <v>5122</v>
      </c>
      <c r="F462" s="138" t="s">
        <v>321</v>
      </c>
      <c r="G462" s="137" t="s">
        <v>337</v>
      </c>
      <c r="H462" s="137" t="s">
        <v>7526</v>
      </c>
      <c r="I462" s="137" t="s">
        <v>7527</v>
      </c>
      <c r="J462" s="137"/>
      <c r="K462" s="154"/>
      <c r="L462" s="155" t="s">
        <v>352</v>
      </c>
      <c r="M462" s="154" t="s">
        <v>9197</v>
      </c>
      <c r="N462" s="154" t="s">
        <v>9198</v>
      </c>
      <c r="O462" s="137"/>
      <c r="P462" s="137"/>
      <c r="Q462" s="137"/>
      <c r="R462" s="137"/>
      <c r="S462" s="137"/>
      <c r="T462" s="137"/>
      <c r="U462" s="137" t="s">
        <v>5122</v>
      </c>
      <c r="V462" s="137" t="s">
        <v>5122</v>
      </c>
      <c r="W462" s="137"/>
      <c r="X462" s="137"/>
      <c r="Y462" s="137"/>
      <c r="Z462" s="118" t="s">
        <v>7781</v>
      </c>
    </row>
    <row r="463" customHeight="1" spans="1:26">
      <c r="A463" s="133" t="s">
        <v>9199</v>
      </c>
      <c r="B463" s="133">
        <v>3</v>
      </c>
      <c r="C463" s="133" t="s">
        <v>342</v>
      </c>
      <c r="D463" s="133"/>
      <c r="E463" s="133"/>
      <c r="F463" s="134" t="s">
        <v>321</v>
      </c>
      <c r="G463" s="133" t="s">
        <v>333</v>
      </c>
      <c r="H463" s="133" t="s">
        <v>7526</v>
      </c>
      <c r="I463" s="133" t="s">
        <v>7527</v>
      </c>
      <c r="J463" s="133"/>
      <c r="K463" s="150"/>
      <c r="L463" s="151" t="s">
        <v>338</v>
      </c>
      <c r="M463" s="150" t="s">
        <v>9200</v>
      </c>
      <c r="N463" s="150" t="s">
        <v>9201</v>
      </c>
      <c r="O463" s="133" t="s">
        <v>5122</v>
      </c>
      <c r="P463" s="133" t="s">
        <v>5122</v>
      </c>
      <c r="Q463" s="133" t="s">
        <v>5122</v>
      </c>
      <c r="R463" s="133"/>
      <c r="S463" s="133"/>
      <c r="T463" s="133"/>
      <c r="U463" s="133"/>
      <c r="V463" s="133"/>
      <c r="W463" s="133"/>
      <c r="X463" s="133"/>
      <c r="Y463" s="133"/>
      <c r="Z463" s="118" t="s">
        <v>7781</v>
      </c>
    </row>
    <row r="464" customHeight="1" spans="1:26">
      <c r="A464" s="127" t="s">
        <v>9202</v>
      </c>
      <c r="B464" s="127">
        <v>3</v>
      </c>
      <c r="C464" s="127" t="s">
        <v>331</v>
      </c>
      <c r="D464" s="127"/>
      <c r="E464" s="127"/>
      <c r="F464" s="128" t="s">
        <v>9203</v>
      </c>
      <c r="G464" s="127" t="s">
        <v>326</v>
      </c>
      <c r="H464" s="127" t="s">
        <v>7526</v>
      </c>
      <c r="I464" s="127" t="s">
        <v>7527</v>
      </c>
      <c r="J464" s="127" t="s">
        <v>7539</v>
      </c>
      <c r="K464" s="144" t="s">
        <v>9204</v>
      </c>
      <c r="L464" s="145" t="s">
        <v>323</v>
      </c>
      <c r="M464" s="144" t="s">
        <v>9205</v>
      </c>
      <c r="N464" s="144" t="s">
        <v>9206</v>
      </c>
      <c r="O464" s="127"/>
      <c r="P464" s="127" t="s">
        <v>5122</v>
      </c>
      <c r="Q464" s="127"/>
      <c r="R464" s="127"/>
      <c r="S464" s="127"/>
      <c r="T464" s="127" t="s">
        <v>5122</v>
      </c>
      <c r="U464" s="127"/>
      <c r="V464" s="127" t="s">
        <v>5122</v>
      </c>
      <c r="W464" s="127"/>
      <c r="X464" s="127"/>
      <c r="Y464" s="127"/>
      <c r="Z464" s="118" t="s">
        <v>7781</v>
      </c>
    </row>
    <row r="465" customHeight="1" spans="1:26">
      <c r="A465" s="137" t="s">
        <v>9207</v>
      </c>
      <c r="B465" s="137">
        <v>3</v>
      </c>
      <c r="C465" s="137" t="s">
        <v>339</v>
      </c>
      <c r="D465" s="137"/>
      <c r="E465" s="137"/>
      <c r="F465" s="138" t="s">
        <v>321</v>
      </c>
      <c r="G465" s="137" t="s">
        <v>9208</v>
      </c>
      <c r="H465" s="137" t="s">
        <v>7526</v>
      </c>
      <c r="I465" s="137" t="s">
        <v>7527</v>
      </c>
      <c r="J465" s="137" t="s">
        <v>7539</v>
      </c>
      <c r="K465" s="154" t="s">
        <v>9209</v>
      </c>
      <c r="L465" s="155" t="s">
        <v>329</v>
      </c>
      <c r="M465" s="154" t="s">
        <v>9210</v>
      </c>
      <c r="N465" s="154" t="s">
        <v>9211</v>
      </c>
      <c r="O465" s="137" t="s">
        <v>5122</v>
      </c>
      <c r="P465" s="137"/>
      <c r="Q465" s="137"/>
      <c r="R465" s="137"/>
      <c r="S465" s="137"/>
      <c r="T465" s="137" t="s">
        <v>5122</v>
      </c>
      <c r="U465" s="137" t="s">
        <v>5122</v>
      </c>
      <c r="V465" s="137" t="s">
        <v>5122</v>
      </c>
      <c r="W465" s="137"/>
      <c r="X465" s="137"/>
      <c r="Y465" s="137"/>
      <c r="Z465" s="118" t="s">
        <v>7781</v>
      </c>
    </row>
    <row r="466" customHeight="1" spans="1:26">
      <c r="A466" s="123" t="s">
        <v>9212</v>
      </c>
      <c r="B466" s="123">
        <v>3</v>
      </c>
      <c r="C466" s="123" t="s">
        <v>324</v>
      </c>
      <c r="D466" s="123"/>
      <c r="E466" s="123" t="s">
        <v>5122</v>
      </c>
      <c r="F466" s="124" t="s">
        <v>321</v>
      </c>
      <c r="G466" s="123" t="s">
        <v>326</v>
      </c>
      <c r="H466" s="123" t="s">
        <v>7526</v>
      </c>
      <c r="I466" s="123" t="s">
        <v>7527</v>
      </c>
      <c r="J466" s="123"/>
      <c r="K466" s="141"/>
      <c r="L466" s="139" t="s">
        <v>356</v>
      </c>
      <c r="M466" s="141" t="s">
        <v>9213</v>
      </c>
      <c r="N466" s="141" t="s">
        <v>9214</v>
      </c>
      <c r="O466" s="123" t="s">
        <v>5122</v>
      </c>
      <c r="P466" s="123"/>
      <c r="Q466" s="123"/>
      <c r="R466" s="123"/>
      <c r="S466" s="123"/>
      <c r="T466" s="123" t="s">
        <v>5122</v>
      </c>
      <c r="U466" s="123"/>
      <c r="V466" s="123" t="s">
        <v>5122</v>
      </c>
      <c r="W466" s="123"/>
      <c r="X466" s="123"/>
      <c r="Y466" s="123"/>
      <c r="Z466" s="118" t="s">
        <v>90</v>
      </c>
    </row>
    <row r="467" customHeight="1" spans="1:26">
      <c r="A467" s="137" t="s">
        <v>9215</v>
      </c>
      <c r="B467" s="137">
        <v>3</v>
      </c>
      <c r="C467" s="137" t="s">
        <v>339</v>
      </c>
      <c r="D467" s="137"/>
      <c r="E467" s="137" t="s">
        <v>5122</v>
      </c>
      <c r="F467" s="138" t="s">
        <v>321</v>
      </c>
      <c r="G467" s="137" t="s">
        <v>337</v>
      </c>
      <c r="H467" s="137" t="s">
        <v>7526</v>
      </c>
      <c r="I467" s="137" t="s">
        <v>7527</v>
      </c>
      <c r="J467" s="137" t="s">
        <v>7539</v>
      </c>
      <c r="K467" s="154" t="s">
        <v>9216</v>
      </c>
      <c r="L467" s="155" t="s">
        <v>356</v>
      </c>
      <c r="M467" s="154" t="s">
        <v>9217</v>
      </c>
      <c r="N467" s="154" t="s">
        <v>9218</v>
      </c>
      <c r="O467" s="137"/>
      <c r="P467" s="137"/>
      <c r="Q467" s="137"/>
      <c r="R467" s="137"/>
      <c r="S467" s="137"/>
      <c r="T467" s="137"/>
      <c r="U467" s="137"/>
      <c r="V467" s="137" t="s">
        <v>5122</v>
      </c>
      <c r="W467" s="137"/>
      <c r="X467" s="137"/>
      <c r="Y467" s="137"/>
      <c r="Z467" s="118" t="s">
        <v>90</v>
      </c>
    </row>
    <row r="468" customHeight="1" spans="1:26">
      <c r="A468" s="123" t="s">
        <v>9219</v>
      </c>
      <c r="B468" s="123">
        <v>3</v>
      </c>
      <c r="C468" s="123" t="s">
        <v>324</v>
      </c>
      <c r="D468" s="123"/>
      <c r="E468" s="123"/>
      <c r="F468" s="124" t="s">
        <v>321</v>
      </c>
      <c r="G468" s="123" t="s">
        <v>326</v>
      </c>
      <c r="H468" s="123" t="s">
        <v>7526</v>
      </c>
      <c r="I468" s="123" t="s">
        <v>7527</v>
      </c>
      <c r="J468" s="123" t="s">
        <v>7539</v>
      </c>
      <c r="K468" s="141" t="s">
        <v>9220</v>
      </c>
      <c r="L468" s="139" t="s">
        <v>323</v>
      </c>
      <c r="M468" s="141" t="s">
        <v>9221</v>
      </c>
      <c r="N468" s="141" t="s">
        <v>9222</v>
      </c>
      <c r="O468" s="123"/>
      <c r="P468" s="123" t="s">
        <v>5122</v>
      </c>
      <c r="Q468" s="123"/>
      <c r="R468" s="123"/>
      <c r="S468" s="123"/>
      <c r="T468" s="123" t="s">
        <v>5122</v>
      </c>
      <c r="U468" s="123"/>
      <c r="V468" s="123" t="s">
        <v>5122</v>
      </c>
      <c r="W468" s="123"/>
      <c r="X468" s="123"/>
      <c r="Y468" s="123"/>
      <c r="Z468" s="118" t="s">
        <v>90</v>
      </c>
    </row>
    <row r="469" customHeight="1" spans="1:26">
      <c r="A469" s="137" t="s">
        <v>9223</v>
      </c>
      <c r="B469" s="137">
        <v>3</v>
      </c>
      <c r="C469" s="137" t="s">
        <v>339</v>
      </c>
      <c r="D469" s="137"/>
      <c r="E469" s="137"/>
      <c r="F469" s="138" t="s">
        <v>325</v>
      </c>
      <c r="G469" s="137" t="s">
        <v>326</v>
      </c>
      <c r="H469" s="137" t="s">
        <v>7526</v>
      </c>
      <c r="I469" s="137" t="s">
        <v>7527</v>
      </c>
      <c r="J469" s="137" t="s">
        <v>7539</v>
      </c>
      <c r="K469" s="154" t="s">
        <v>9224</v>
      </c>
      <c r="L469" s="155" t="s">
        <v>338</v>
      </c>
      <c r="M469" s="154" t="s">
        <v>9225</v>
      </c>
      <c r="N469" s="154" t="s">
        <v>9226</v>
      </c>
      <c r="O469" s="137"/>
      <c r="P469" s="137"/>
      <c r="Q469" s="137" t="s">
        <v>5122</v>
      </c>
      <c r="R469" s="137"/>
      <c r="S469" s="137"/>
      <c r="T469" s="137"/>
      <c r="U469" s="137"/>
      <c r="V469" s="137" t="s">
        <v>5122</v>
      </c>
      <c r="W469" s="137"/>
      <c r="X469" s="137"/>
      <c r="Y469" s="137"/>
      <c r="Z469" s="118" t="s">
        <v>90</v>
      </c>
    </row>
    <row r="470" customHeight="1" spans="1:26">
      <c r="A470" s="135" t="s">
        <v>9227</v>
      </c>
      <c r="B470" s="135">
        <v>4</v>
      </c>
      <c r="C470" s="135" t="s">
        <v>335</v>
      </c>
      <c r="D470" s="135"/>
      <c r="E470" s="135" t="s">
        <v>5122</v>
      </c>
      <c r="F470" s="136" t="s">
        <v>321</v>
      </c>
      <c r="G470" s="135" t="s">
        <v>333</v>
      </c>
      <c r="H470" s="135" t="s">
        <v>7526</v>
      </c>
      <c r="I470" s="135" t="s">
        <v>7527</v>
      </c>
      <c r="J470" s="135" t="s">
        <v>7539</v>
      </c>
      <c r="K470" s="152" t="s">
        <v>9228</v>
      </c>
      <c r="L470" s="153" t="s">
        <v>359</v>
      </c>
      <c r="M470" s="152" t="s">
        <v>9229</v>
      </c>
      <c r="N470" s="152" t="s">
        <v>9230</v>
      </c>
      <c r="O470" s="135"/>
      <c r="P470" s="135"/>
      <c r="Q470" s="135"/>
      <c r="R470" s="135"/>
      <c r="S470" s="135"/>
      <c r="T470" s="135"/>
      <c r="U470" s="135"/>
      <c r="V470" s="135" t="s">
        <v>5122</v>
      </c>
      <c r="W470" s="135" t="s">
        <v>5122</v>
      </c>
      <c r="X470" s="135"/>
      <c r="Y470" s="135"/>
      <c r="Z470" s="118" t="s">
        <v>7530</v>
      </c>
    </row>
    <row r="471" customHeight="1" spans="1:26">
      <c r="A471" s="125" t="s">
        <v>9231</v>
      </c>
      <c r="B471" s="125">
        <v>4</v>
      </c>
      <c r="C471" s="125" t="s">
        <v>328</v>
      </c>
      <c r="D471" s="125"/>
      <c r="E471" s="125" t="s">
        <v>5122</v>
      </c>
      <c r="F471" s="126" t="s">
        <v>321</v>
      </c>
      <c r="G471" s="125" t="s">
        <v>326</v>
      </c>
      <c r="H471" s="125" t="s">
        <v>7526</v>
      </c>
      <c r="I471" s="125"/>
      <c r="J471" s="125"/>
      <c r="K471" s="142"/>
      <c r="L471" s="143" t="s">
        <v>356</v>
      </c>
      <c r="M471" s="142" t="s">
        <v>9232</v>
      </c>
      <c r="N471" s="142" t="s">
        <v>9233</v>
      </c>
      <c r="O471" s="125"/>
      <c r="P471" s="125" t="s">
        <v>5122</v>
      </c>
      <c r="Q471" s="125"/>
      <c r="R471" s="125" t="s">
        <v>5122</v>
      </c>
      <c r="S471" s="125"/>
      <c r="T471" s="125"/>
      <c r="U471" s="125"/>
      <c r="V471" s="125"/>
      <c r="W471" s="125"/>
      <c r="X471" s="125"/>
      <c r="Y471" s="125"/>
      <c r="Z471" s="118" t="s">
        <v>7530</v>
      </c>
    </row>
    <row r="472" customHeight="1" spans="1:26">
      <c r="A472" s="125" t="s">
        <v>9234</v>
      </c>
      <c r="B472" s="125">
        <v>4</v>
      </c>
      <c r="C472" s="125" t="s">
        <v>328</v>
      </c>
      <c r="D472" s="125"/>
      <c r="E472" s="125" t="s">
        <v>5122</v>
      </c>
      <c r="F472" s="126" t="s">
        <v>321</v>
      </c>
      <c r="G472" s="125" t="s">
        <v>326</v>
      </c>
      <c r="H472" s="125" t="s">
        <v>7526</v>
      </c>
      <c r="I472" s="125"/>
      <c r="J472" s="125"/>
      <c r="K472" s="142"/>
      <c r="L472" s="143" t="s">
        <v>356</v>
      </c>
      <c r="M472" s="142" t="s">
        <v>9235</v>
      </c>
      <c r="N472" s="142" t="s">
        <v>9236</v>
      </c>
      <c r="O472" s="125"/>
      <c r="P472" s="125" t="s">
        <v>5122</v>
      </c>
      <c r="Q472" s="125"/>
      <c r="R472" s="125" t="s">
        <v>5122</v>
      </c>
      <c r="S472" s="125"/>
      <c r="T472" s="125"/>
      <c r="U472" s="125"/>
      <c r="V472" s="125"/>
      <c r="W472" s="125"/>
      <c r="X472" s="125"/>
      <c r="Y472" s="125"/>
      <c r="Z472" s="118" t="s">
        <v>7530</v>
      </c>
    </row>
    <row r="473" customHeight="1" spans="1:26">
      <c r="A473" s="125" t="s">
        <v>9237</v>
      </c>
      <c r="B473" s="125">
        <v>4</v>
      </c>
      <c r="C473" s="125" t="s">
        <v>328</v>
      </c>
      <c r="D473" s="125"/>
      <c r="E473" s="125" t="s">
        <v>5122</v>
      </c>
      <c r="F473" s="126" t="s">
        <v>321</v>
      </c>
      <c r="G473" s="125" t="s">
        <v>333</v>
      </c>
      <c r="H473" s="125" t="s">
        <v>7526</v>
      </c>
      <c r="I473" s="125" t="s">
        <v>7527</v>
      </c>
      <c r="J473" s="125" t="s">
        <v>7539</v>
      </c>
      <c r="K473" s="142" t="s">
        <v>9238</v>
      </c>
      <c r="L473" s="143" t="s">
        <v>352</v>
      </c>
      <c r="M473" s="142" t="s">
        <v>9239</v>
      </c>
      <c r="N473" s="142" t="s">
        <v>9240</v>
      </c>
      <c r="O473" s="125"/>
      <c r="P473" s="125" t="s">
        <v>5122</v>
      </c>
      <c r="Q473" s="125"/>
      <c r="R473" s="125" t="s">
        <v>5122</v>
      </c>
      <c r="S473" s="125"/>
      <c r="T473" s="125" t="s">
        <v>5122</v>
      </c>
      <c r="U473" s="125" t="s">
        <v>5122</v>
      </c>
      <c r="V473" s="125" t="s">
        <v>5122</v>
      </c>
      <c r="W473" s="125"/>
      <c r="X473" s="125"/>
      <c r="Y473" s="125"/>
      <c r="Z473" s="118" t="s">
        <v>7530</v>
      </c>
    </row>
    <row r="474" customHeight="1" spans="1:26">
      <c r="A474" s="127" t="s">
        <v>9241</v>
      </c>
      <c r="B474" s="127">
        <v>4</v>
      </c>
      <c r="C474" s="127" t="s">
        <v>331</v>
      </c>
      <c r="D474" s="127"/>
      <c r="E474" s="127"/>
      <c r="F474" s="128" t="s">
        <v>321</v>
      </c>
      <c r="G474" s="127" t="s">
        <v>333</v>
      </c>
      <c r="H474" s="127" t="s">
        <v>7526</v>
      </c>
      <c r="I474" s="127" t="s">
        <v>7527</v>
      </c>
      <c r="J474" s="127"/>
      <c r="K474" s="144"/>
      <c r="L474" s="145" t="s">
        <v>323</v>
      </c>
      <c r="M474" s="144" t="s">
        <v>9242</v>
      </c>
      <c r="N474" s="144" t="s">
        <v>9243</v>
      </c>
      <c r="O474" s="127"/>
      <c r="P474" s="127"/>
      <c r="Q474" s="127" t="s">
        <v>5122</v>
      </c>
      <c r="R474" s="127"/>
      <c r="S474" s="127"/>
      <c r="T474" s="127" t="s">
        <v>5122</v>
      </c>
      <c r="U474" s="127" t="s">
        <v>5122</v>
      </c>
      <c r="V474" s="127" t="s">
        <v>5122</v>
      </c>
      <c r="W474" s="127"/>
      <c r="X474" s="127"/>
      <c r="Y474" s="127" t="s">
        <v>5122</v>
      </c>
      <c r="Z474" s="118" t="s">
        <v>7530</v>
      </c>
    </row>
    <row r="475" customHeight="1" spans="1:26">
      <c r="A475" s="133" t="s">
        <v>9244</v>
      </c>
      <c r="B475" s="133">
        <v>4</v>
      </c>
      <c r="C475" s="133" t="s">
        <v>342</v>
      </c>
      <c r="D475" s="133"/>
      <c r="E475" s="133"/>
      <c r="F475" s="134" t="s">
        <v>321</v>
      </c>
      <c r="G475" s="133" t="s">
        <v>333</v>
      </c>
      <c r="H475" s="133" t="s">
        <v>7526</v>
      </c>
      <c r="I475" s="133" t="s">
        <v>7527</v>
      </c>
      <c r="J475" s="133"/>
      <c r="K475" s="150"/>
      <c r="L475" s="151" t="s">
        <v>338</v>
      </c>
      <c r="M475" s="150" t="s">
        <v>9245</v>
      </c>
      <c r="N475" s="150" t="s">
        <v>9246</v>
      </c>
      <c r="O475" s="133" t="s">
        <v>5122</v>
      </c>
      <c r="P475" s="133"/>
      <c r="Q475" s="133" t="s">
        <v>5122</v>
      </c>
      <c r="R475" s="133"/>
      <c r="S475" s="133"/>
      <c r="T475" s="133" t="s">
        <v>5122</v>
      </c>
      <c r="U475" s="133" t="s">
        <v>5122</v>
      </c>
      <c r="V475" s="133" t="s">
        <v>5122</v>
      </c>
      <c r="W475" s="133"/>
      <c r="X475" s="133"/>
      <c r="Y475" s="133"/>
      <c r="Z475" s="118" t="s">
        <v>7530</v>
      </c>
    </row>
    <row r="476" customHeight="1" spans="1:26">
      <c r="A476" s="133" t="s">
        <v>9247</v>
      </c>
      <c r="B476" s="133">
        <v>4</v>
      </c>
      <c r="C476" s="133" t="s">
        <v>342</v>
      </c>
      <c r="D476" s="133"/>
      <c r="E476" s="133" t="s">
        <v>5122</v>
      </c>
      <c r="F476" s="134" t="s">
        <v>321</v>
      </c>
      <c r="G476" s="133" t="s">
        <v>333</v>
      </c>
      <c r="H476" s="133" t="s">
        <v>7526</v>
      </c>
      <c r="I476" s="133" t="s">
        <v>7527</v>
      </c>
      <c r="J476" s="133"/>
      <c r="K476" s="150"/>
      <c r="L476" s="151" t="s">
        <v>352</v>
      </c>
      <c r="M476" s="150" t="s">
        <v>9248</v>
      </c>
      <c r="N476" s="150" t="s">
        <v>9249</v>
      </c>
      <c r="O476" s="133" t="s">
        <v>5122</v>
      </c>
      <c r="P476" s="133"/>
      <c r="Q476" s="133"/>
      <c r="R476" s="133"/>
      <c r="S476" s="133"/>
      <c r="T476" s="133"/>
      <c r="U476" s="133"/>
      <c r="V476" s="133"/>
      <c r="W476" s="133"/>
      <c r="X476" s="133"/>
      <c r="Y476" s="133"/>
      <c r="Z476" s="118" t="s">
        <v>7530</v>
      </c>
    </row>
    <row r="477" customHeight="1" spans="1:26">
      <c r="A477" s="133" t="s">
        <v>9250</v>
      </c>
      <c r="B477" s="133">
        <v>4</v>
      </c>
      <c r="C477" s="133" t="s">
        <v>342</v>
      </c>
      <c r="D477" s="133"/>
      <c r="E477" s="133" t="s">
        <v>5122</v>
      </c>
      <c r="F477" s="134" t="s">
        <v>321</v>
      </c>
      <c r="G477" s="133" t="s">
        <v>340</v>
      </c>
      <c r="H477" s="133" t="s">
        <v>7526</v>
      </c>
      <c r="I477" s="133" t="s">
        <v>7527</v>
      </c>
      <c r="J477" s="133" t="s">
        <v>7539</v>
      </c>
      <c r="K477" s="150" t="s">
        <v>9251</v>
      </c>
      <c r="L477" s="151" t="s">
        <v>352</v>
      </c>
      <c r="M477" s="150" t="s">
        <v>9252</v>
      </c>
      <c r="N477" s="150" t="s">
        <v>9253</v>
      </c>
      <c r="O477" s="133" t="s">
        <v>5122</v>
      </c>
      <c r="P477" s="133"/>
      <c r="Q477" s="133" t="s">
        <v>5122</v>
      </c>
      <c r="R477" s="133"/>
      <c r="S477" s="133"/>
      <c r="T477" s="133" t="s">
        <v>5122</v>
      </c>
      <c r="U477" s="133"/>
      <c r="V477" s="133" t="s">
        <v>5122</v>
      </c>
      <c r="W477" s="133"/>
      <c r="X477" s="133"/>
      <c r="Y477" s="133"/>
      <c r="Z477" s="118" t="s">
        <v>7530</v>
      </c>
    </row>
    <row r="478" customHeight="1" spans="1:26">
      <c r="A478" s="137" t="s">
        <v>9254</v>
      </c>
      <c r="B478" s="137">
        <v>4</v>
      </c>
      <c r="C478" s="137" t="s">
        <v>339</v>
      </c>
      <c r="D478" s="137"/>
      <c r="E478" s="137" t="s">
        <v>5122</v>
      </c>
      <c r="F478" s="138" t="s">
        <v>321</v>
      </c>
      <c r="G478" s="137" t="s">
        <v>326</v>
      </c>
      <c r="H478" s="137" t="s">
        <v>7526</v>
      </c>
      <c r="I478" s="137" t="s">
        <v>7527</v>
      </c>
      <c r="J478" s="137"/>
      <c r="K478" s="154"/>
      <c r="L478" s="155" t="s">
        <v>356</v>
      </c>
      <c r="M478" s="154" t="s">
        <v>9255</v>
      </c>
      <c r="N478" s="154" t="s">
        <v>9256</v>
      </c>
      <c r="O478" s="137"/>
      <c r="P478" s="137"/>
      <c r="Q478" s="137" t="s">
        <v>5122</v>
      </c>
      <c r="R478" s="137"/>
      <c r="S478" s="137"/>
      <c r="T478" s="137"/>
      <c r="U478" s="137"/>
      <c r="V478" s="137" t="s">
        <v>5122</v>
      </c>
      <c r="W478" s="137"/>
      <c r="X478" s="137"/>
      <c r="Y478" s="137"/>
      <c r="Z478" s="118" t="s">
        <v>7530</v>
      </c>
    </row>
    <row r="479" customHeight="1" spans="1:26">
      <c r="A479" s="137" t="s">
        <v>9257</v>
      </c>
      <c r="B479" s="137">
        <v>4</v>
      </c>
      <c r="C479" s="137" t="s">
        <v>339</v>
      </c>
      <c r="D479" s="137"/>
      <c r="E479" s="137" t="s">
        <v>5122</v>
      </c>
      <c r="F479" s="138" t="s">
        <v>321</v>
      </c>
      <c r="G479" s="137" t="s">
        <v>326</v>
      </c>
      <c r="H479" s="137" t="s">
        <v>7526</v>
      </c>
      <c r="I479" s="137" t="s">
        <v>7527</v>
      </c>
      <c r="J479" s="137"/>
      <c r="K479" s="154"/>
      <c r="L479" s="155" t="s">
        <v>356</v>
      </c>
      <c r="M479" s="154" t="s">
        <v>9258</v>
      </c>
      <c r="N479" s="154" t="s">
        <v>9259</v>
      </c>
      <c r="O479" s="137"/>
      <c r="P479" s="137"/>
      <c r="Q479" s="137" t="s">
        <v>5122</v>
      </c>
      <c r="R479" s="137"/>
      <c r="S479" s="137" t="s">
        <v>5122</v>
      </c>
      <c r="T479" s="137"/>
      <c r="U479" s="137"/>
      <c r="V479" s="137"/>
      <c r="W479" s="137"/>
      <c r="X479" s="137"/>
      <c r="Y479" s="137"/>
      <c r="Z479" s="118" t="s">
        <v>7530</v>
      </c>
    </row>
    <row r="480" customHeight="1" spans="1:26">
      <c r="A480" s="131" t="s">
        <v>9260</v>
      </c>
      <c r="B480" s="131">
        <v>4</v>
      </c>
      <c r="C480" s="131" t="s">
        <v>320</v>
      </c>
      <c r="D480" s="131"/>
      <c r="E480" s="131" t="s">
        <v>5122</v>
      </c>
      <c r="F480" s="132" t="s">
        <v>321</v>
      </c>
      <c r="G480" s="131" t="s">
        <v>351</v>
      </c>
      <c r="H480" s="131" t="s">
        <v>7526</v>
      </c>
      <c r="I480" s="131" t="s">
        <v>7527</v>
      </c>
      <c r="J480" s="131" t="s">
        <v>7539</v>
      </c>
      <c r="K480" s="148" t="s">
        <v>9261</v>
      </c>
      <c r="L480" s="149" t="s">
        <v>356</v>
      </c>
      <c r="M480" s="148" t="s">
        <v>9262</v>
      </c>
      <c r="N480" s="148" t="s">
        <v>9263</v>
      </c>
      <c r="O480" s="131"/>
      <c r="P480" s="131" t="s">
        <v>5122</v>
      </c>
      <c r="Q480" s="131" t="s">
        <v>5122</v>
      </c>
      <c r="R480" s="131"/>
      <c r="S480" s="131"/>
      <c r="T480" s="131"/>
      <c r="U480" s="131"/>
      <c r="V480" s="131" t="s">
        <v>5122</v>
      </c>
      <c r="W480" s="131"/>
      <c r="X480" s="131"/>
      <c r="Y480" s="131"/>
      <c r="Z480" s="118" t="s">
        <v>7530</v>
      </c>
    </row>
    <row r="481" customHeight="1" spans="1:26">
      <c r="A481" s="125" t="s">
        <v>9264</v>
      </c>
      <c r="B481" s="125">
        <v>4</v>
      </c>
      <c r="C481" s="125" t="s">
        <v>328</v>
      </c>
      <c r="D481" s="125"/>
      <c r="E481" s="125"/>
      <c r="F481" s="126" t="s">
        <v>321</v>
      </c>
      <c r="G481" s="125" t="s">
        <v>7535</v>
      </c>
      <c r="H481" s="125" t="s">
        <v>7526</v>
      </c>
      <c r="I481" s="125" t="s">
        <v>7527</v>
      </c>
      <c r="J481" s="125"/>
      <c r="K481" s="142"/>
      <c r="L481" s="143" t="s">
        <v>341</v>
      </c>
      <c r="M481" s="142" t="s">
        <v>9265</v>
      </c>
      <c r="N481" s="142" t="s">
        <v>9266</v>
      </c>
      <c r="O481" s="125"/>
      <c r="P481" s="125" t="s">
        <v>5122</v>
      </c>
      <c r="Q481" s="125"/>
      <c r="R481" s="125" t="s">
        <v>5122</v>
      </c>
      <c r="S481" s="125"/>
      <c r="T481" s="125"/>
      <c r="U481" s="125"/>
      <c r="V481" s="125"/>
      <c r="W481" s="125"/>
      <c r="X481" s="125"/>
      <c r="Y481" s="125" t="s">
        <v>5122</v>
      </c>
      <c r="Z481" s="118" t="s">
        <v>7530</v>
      </c>
    </row>
    <row r="482" customHeight="1" spans="1:26">
      <c r="A482" s="137" t="s">
        <v>9267</v>
      </c>
      <c r="B482" s="137">
        <v>4</v>
      </c>
      <c r="C482" s="137" t="s">
        <v>339</v>
      </c>
      <c r="D482" s="137"/>
      <c r="E482" s="137"/>
      <c r="F482" s="138" t="s">
        <v>321</v>
      </c>
      <c r="G482" s="137" t="s">
        <v>9268</v>
      </c>
      <c r="H482" s="137" t="s">
        <v>7526</v>
      </c>
      <c r="I482" s="137"/>
      <c r="J482" s="137"/>
      <c r="K482" s="154"/>
      <c r="L482" s="155" t="s">
        <v>323</v>
      </c>
      <c r="M482" s="154" t="s">
        <v>9269</v>
      </c>
      <c r="N482" s="154" t="s">
        <v>9270</v>
      </c>
      <c r="O482" s="137" t="s">
        <v>5122</v>
      </c>
      <c r="P482" s="137"/>
      <c r="Q482" s="137"/>
      <c r="R482" s="137"/>
      <c r="S482" s="137"/>
      <c r="T482" s="137" t="s">
        <v>5122</v>
      </c>
      <c r="U482" s="137" t="s">
        <v>5122</v>
      </c>
      <c r="V482" s="137" t="s">
        <v>5122</v>
      </c>
      <c r="W482" s="137"/>
      <c r="X482" s="137"/>
      <c r="Y482" s="137"/>
      <c r="Z482" s="118" t="s">
        <v>7530</v>
      </c>
    </row>
    <row r="483" customHeight="1" spans="1:26">
      <c r="A483" s="135" t="s">
        <v>9271</v>
      </c>
      <c r="B483" s="135">
        <v>4</v>
      </c>
      <c r="C483" s="135" t="s">
        <v>335</v>
      </c>
      <c r="D483" s="135" t="s">
        <v>5122</v>
      </c>
      <c r="E483" s="135"/>
      <c r="F483" s="136" t="s">
        <v>332</v>
      </c>
      <c r="G483" s="135" t="s">
        <v>326</v>
      </c>
      <c r="H483" s="135" t="s">
        <v>7526</v>
      </c>
      <c r="I483" s="135" t="s">
        <v>7527</v>
      </c>
      <c r="J483" s="135" t="s">
        <v>7539</v>
      </c>
      <c r="K483" s="152" t="s">
        <v>9272</v>
      </c>
      <c r="L483" s="153" t="s">
        <v>323</v>
      </c>
      <c r="M483" s="152" t="s">
        <v>9273</v>
      </c>
      <c r="N483" s="152" t="s">
        <v>9274</v>
      </c>
      <c r="O483" s="135"/>
      <c r="P483" s="135" t="s">
        <v>5122</v>
      </c>
      <c r="Q483" s="135" t="s">
        <v>5122</v>
      </c>
      <c r="R483" s="135"/>
      <c r="S483" s="135"/>
      <c r="T483" s="135"/>
      <c r="U483" s="135"/>
      <c r="V483" s="135" t="s">
        <v>5122</v>
      </c>
      <c r="W483" s="135"/>
      <c r="X483" s="135"/>
      <c r="Y483" s="135"/>
      <c r="Z483" s="118" t="s">
        <v>7530</v>
      </c>
    </row>
    <row r="484" customHeight="1" spans="1:26">
      <c r="A484" s="133" t="s">
        <v>9275</v>
      </c>
      <c r="B484" s="133">
        <v>4</v>
      </c>
      <c r="C484" s="133" t="s">
        <v>342</v>
      </c>
      <c r="D484" s="133"/>
      <c r="E484" s="133" t="s">
        <v>5122</v>
      </c>
      <c r="F484" s="134" t="s">
        <v>321</v>
      </c>
      <c r="G484" s="133" t="s">
        <v>337</v>
      </c>
      <c r="H484" s="133" t="s">
        <v>7526</v>
      </c>
      <c r="I484" s="133" t="s">
        <v>7527</v>
      </c>
      <c r="J484" s="133"/>
      <c r="K484" s="150"/>
      <c r="L484" s="151" t="s">
        <v>352</v>
      </c>
      <c r="M484" s="150" t="s">
        <v>9276</v>
      </c>
      <c r="N484" s="150" t="s">
        <v>9277</v>
      </c>
      <c r="O484" s="133"/>
      <c r="P484" s="133"/>
      <c r="Q484" s="133" t="s">
        <v>5122</v>
      </c>
      <c r="R484" s="133"/>
      <c r="S484" s="133" t="s">
        <v>5122</v>
      </c>
      <c r="T484" s="133" t="s">
        <v>5122</v>
      </c>
      <c r="U484" s="133"/>
      <c r="V484" s="133"/>
      <c r="W484" s="133"/>
      <c r="X484" s="133"/>
      <c r="Y484" s="133"/>
      <c r="Z484" s="118" t="s">
        <v>7530</v>
      </c>
    </row>
    <row r="485" customHeight="1" spans="1:26">
      <c r="A485" s="137" t="s">
        <v>9278</v>
      </c>
      <c r="B485" s="137">
        <v>4</v>
      </c>
      <c r="C485" s="137" t="s">
        <v>339</v>
      </c>
      <c r="D485" s="137"/>
      <c r="E485" s="137" t="s">
        <v>5122</v>
      </c>
      <c r="F485" s="138" t="s">
        <v>321</v>
      </c>
      <c r="G485" s="137" t="s">
        <v>340</v>
      </c>
      <c r="H485" s="137" t="s">
        <v>7526</v>
      </c>
      <c r="I485" s="137" t="s">
        <v>7527</v>
      </c>
      <c r="J485" s="137" t="s">
        <v>7539</v>
      </c>
      <c r="K485" s="154" t="s">
        <v>9279</v>
      </c>
      <c r="L485" s="155" t="s">
        <v>352</v>
      </c>
      <c r="M485" s="154" t="s">
        <v>9280</v>
      </c>
      <c r="N485" s="154" t="s">
        <v>9281</v>
      </c>
      <c r="O485" s="137"/>
      <c r="P485" s="137"/>
      <c r="Q485" s="137"/>
      <c r="R485" s="137"/>
      <c r="S485" s="137"/>
      <c r="T485" s="137"/>
      <c r="U485" s="137"/>
      <c r="V485" s="137" t="s">
        <v>5122</v>
      </c>
      <c r="W485" s="137"/>
      <c r="X485" s="137"/>
      <c r="Y485" s="137" t="s">
        <v>5122</v>
      </c>
      <c r="Z485" s="118" t="s">
        <v>7530</v>
      </c>
    </row>
    <row r="486" customHeight="1" spans="1:26">
      <c r="A486" s="131" t="s">
        <v>9282</v>
      </c>
      <c r="B486" s="131">
        <v>4</v>
      </c>
      <c r="C486" s="131" t="s">
        <v>320</v>
      </c>
      <c r="D486" s="131"/>
      <c r="E486" s="131"/>
      <c r="F486" s="132" t="s">
        <v>334</v>
      </c>
      <c r="G486" s="178" t="s">
        <v>343</v>
      </c>
      <c r="H486" s="131" t="s">
        <v>7526</v>
      </c>
      <c r="I486" s="131" t="s">
        <v>7527</v>
      </c>
      <c r="J486" s="131"/>
      <c r="K486" s="148"/>
      <c r="L486" s="149" t="s">
        <v>323</v>
      </c>
      <c r="M486" s="148" t="s">
        <v>9283</v>
      </c>
      <c r="N486" s="148" t="s">
        <v>9284</v>
      </c>
      <c r="O486" s="131"/>
      <c r="P486" s="131"/>
      <c r="Q486" s="131"/>
      <c r="R486" s="131"/>
      <c r="S486" s="131"/>
      <c r="T486" s="131"/>
      <c r="U486" s="131"/>
      <c r="V486" s="131" t="s">
        <v>5122</v>
      </c>
      <c r="W486" s="131" t="s">
        <v>5122</v>
      </c>
      <c r="X486" s="131"/>
      <c r="Y486" s="131"/>
      <c r="Z486" s="118" t="s">
        <v>7530</v>
      </c>
    </row>
    <row r="487" customHeight="1" spans="1:26">
      <c r="A487" s="123" t="s">
        <v>9285</v>
      </c>
      <c r="B487" s="123">
        <v>4</v>
      </c>
      <c r="C487" s="123" t="s">
        <v>324</v>
      </c>
      <c r="D487" s="123"/>
      <c r="E487" s="123"/>
      <c r="F487" s="124" t="s">
        <v>321</v>
      </c>
      <c r="G487" s="123" t="s">
        <v>326</v>
      </c>
      <c r="H487" s="123" t="s">
        <v>7526</v>
      </c>
      <c r="I487" s="123" t="s">
        <v>7527</v>
      </c>
      <c r="J487" s="123" t="s">
        <v>7539</v>
      </c>
      <c r="K487" s="141" t="s">
        <v>9286</v>
      </c>
      <c r="L487" s="139" t="s">
        <v>334</v>
      </c>
      <c r="M487" s="141" t="s">
        <v>9287</v>
      </c>
      <c r="N487" s="141" t="s">
        <v>9288</v>
      </c>
      <c r="O487" s="123"/>
      <c r="P487" s="123"/>
      <c r="Q487" s="123" t="s">
        <v>5122</v>
      </c>
      <c r="R487" s="123"/>
      <c r="S487" s="123"/>
      <c r="T487" s="123" t="s">
        <v>5122</v>
      </c>
      <c r="U487" s="123"/>
      <c r="V487" s="123" t="s">
        <v>5122</v>
      </c>
      <c r="W487" s="123"/>
      <c r="X487" s="123"/>
      <c r="Y487" s="123"/>
      <c r="Z487" s="118" t="s">
        <v>7530</v>
      </c>
    </row>
    <row r="488" customHeight="1" spans="1:26">
      <c r="A488" s="123" t="s">
        <v>9289</v>
      </c>
      <c r="B488" s="123">
        <v>4</v>
      </c>
      <c r="C488" s="123" t="s">
        <v>324</v>
      </c>
      <c r="D488" s="123"/>
      <c r="E488" s="123" t="s">
        <v>5122</v>
      </c>
      <c r="F488" s="124" t="s">
        <v>321</v>
      </c>
      <c r="G488" s="123" t="s">
        <v>326</v>
      </c>
      <c r="H488" s="123" t="s">
        <v>7526</v>
      </c>
      <c r="I488" s="123" t="s">
        <v>7527</v>
      </c>
      <c r="J488" s="123"/>
      <c r="K488" s="141"/>
      <c r="L488" s="139" t="s">
        <v>356</v>
      </c>
      <c r="M488" s="141" t="s">
        <v>9290</v>
      </c>
      <c r="N488" s="141" t="s">
        <v>9291</v>
      </c>
      <c r="O488" s="123" t="s">
        <v>5122</v>
      </c>
      <c r="P488" s="123"/>
      <c r="Q488" s="123" t="s">
        <v>5122</v>
      </c>
      <c r="R488" s="123"/>
      <c r="S488" s="123"/>
      <c r="T488" s="123"/>
      <c r="U488" s="123"/>
      <c r="V488" s="123"/>
      <c r="W488" s="123"/>
      <c r="X488" s="123"/>
      <c r="Y488" s="123"/>
      <c r="Z488" s="118" t="s">
        <v>7530</v>
      </c>
    </row>
    <row r="489" customHeight="1" spans="1:26">
      <c r="A489" s="125" t="s">
        <v>9292</v>
      </c>
      <c r="B489" s="125">
        <v>4</v>
      </c>
      <c r="C489" s="125" t="s">
        <v>328</v>
      </c>
      <c r="D489" s="125"/>
      <c r="E489" s="125"/>
      <c r="F489" s="126" t="s">
        <v>321</v>
      </c>
      <c r="G489" s="125" t="s">
        <v>7535</v>
      </c>
      <c r="H489" s="125" t="s">
        <v>7526</v>
      </c>
      <c r="I489" s="125" t="s">
        <v>7527</v>
      </c>
      <c r="J489" s="125" t="s">
        <v>7539</v>
      </c>
      <c r="K489" s="142" t="s">
        <v>9293</v>
      </c>
      <c r="L489" s="143" t="s">
        <v>338</v>
      </c>
      <c r="M489" s="142" t="s">
        <v>9294</v>
      </c>
      <c r="N489" s="142" t="s">
        <v>9295</v>
      </c>
      <c r="O489" s="125" t="s">
        <v>5122</v>
      </c>
      <c r="P489" s="125" t="s">
        <v>5122</v>
      </c>
      <c r="Q489" s="125" t="s">
        <v>5122</v>
      </c>
      <c r="R489" s="125"/>
      <c r="S489" s="125" t="s">
        <v>5122</v>
      </c>
      <c r="T489" s="125"/>
      <c r="U489" s="125"/>
      <c r="V489" s="125"/>
      <c r="W489" s="125" t="s">
        <v>5122</v>
      </c>
      <c r="X489" s="125"/>
      <c r="Y489" s="125" t="s">
        <v>5122</v>
      </c>
      <c r="Z489" s="118" t="s">
        <v>7530</v>
      </c>
    </row>
    <row r="490" customHeight="1" spans="1:26">
      <c r="A490" s="137" t="s">
        <v>9296</v>
      </c>
      <c r="B490" s="137">
        <v>4</v>
      </c>
      <c r="C490" s="137" t="s">
        <v>339</v>
      </c>
      <c r="D490" s="137"/>
      <c r="E490" s="137" t="s">
        <v>5122</v>
      </c>
      <c r="F490" s="138" t="s">
        <v>321</v>
      </c>
      <c r="G490" s="137" t="s">
        <v>337</v>
      </c>
      <c r="H490" s="137" t="s">
        <v>7526</v>
      </c>
      <c r="I490" s="137" t="s">
        <v>7527</v>
      </c>
      <c r="J490" s="137"/>
      <c r="K490" s="154"/>
      <c r="L490" s="155" t="s">
        <v>356</v>
      </c>
      <c r="M490" s="154" t="s">
        <v>9297</v>
      </c>
      <c r="N490" s="154" t="s">
        <v>9298</v>
      </c>
      <c r="O490" s="137"/>
      <c r="P490" s="137"/>
      <c r="Q490" s="137" t="s">
        <v>5122</v>
      </c>
      <c r="R490" s="137"/>
      <c r="S490" s="137"/>
      <c r="T490" s="137"/>
      <c r="U490" s="137"/>
      <c r="V490" s="137"/>
      <c r="W490" s="137"/>
      <c r="X490" s="137"/>
      <c r="Y490" s="137"/>
      <c r="Z490" s="118" t="s">
        <v>7530</v>
      </c>
    </row>
    <row r="491" customHeight="1" spans="1:26">
      <c r="A491" s="137" t="s">
        <v>9299</v>
      </c>
      <c r="B491" s="137">
        <v>4</v>
      </c>
      <c r="C491" s="137" t="s">
        <v>339</v>
      </c>
      <c r="D491" s="137"/>
      <c r="E491" s="137" t="s">
        <v>5122</v>
      </c>
      <c r="F491" s="138" t="s">
        <v>325</v>
      </c>
      <c r="G491" s="137" t="s">
        <v>337</v>
      </c>
      <c r="H491" s="137" t="s">
        <v>7526</v>
      </c>
      <c r="I491" s="137" t="s">
        <v>7527</v>
      </c>
      <c r="J491" s="137"/>
      <c r="K491" s="154"/>
      <c r="L491" s="155" t="s">
        <v>352</v>
      </c>
      <c r="M491" s="154" t="s">
        <v>9300</v>
      </c>
      <c r="N491" s="154" t="s">
        <v>9301</v>
      </c>
      <c r="O491" s="137"/>
      <c r="P491" s="137"/>
      <c r="Q491" s="137" t="s">
        <v>5122</v>
      </c>
      <c r="R491" s="137"/>
      <c r="S491" s="137" t="s">
        <v>5122</v>
      </c>
      <c r="T491" s="137"/>
      <c r="U491" s="137"/>
      <c r="V491" s="137"/>
      <c r="W491" s="137"/>
      <c r="X491" s="137"/>
      <c r="Y491" s="137"/>
      <c r="Z491" s="118" t="s">
        <v>7530</v>
      </c>
    </row>
    <row r="492" customHeight="1" spans="1:26">
      <c r="A492" s="129" t="s">
        <v>9302</v>
      </c>
      <c r="B492" s="129">
        <v>4</v>
      </c>
      <c r="C492" s="129" t="s">
        <v>347</v>
      </c>
      <c r="D492" s="129"/>
      <c r="E492" s="129" t="s">
        <v>5122</v>
      </c>
      <c r="F492" s="130" t="s">
        <v>321</v>
      </c>
      <c r="G492" s="129" t="s">
        <v>7535</v>
      </c>
      <c r="H492" s="129" t="s">
        <v>7526</v>
      </c>
      <c r="I492" s="129" t="s">
        <v>7527</v>
      </c>
      <c r="J492" s="129"/>
      <c r="K492" s="146"/>
      <c r="L492" s="147" t="s">
        <v>352</v>
      </c>
      <c r="M492" s="146" t="s">
        <v>9303</v>
      </c>
      <c r="N492" s="146" t="s">
        <v>9304</v>
      </c>
      <c r="O492" s="129" t="s">
        <v>5122</v>
      </c>
      <c r="P492" s="129"/>
      <c r="Q492" s="129"/>
      <c r="R492" s="129"/>
      <c r="S492" s="129"/>
      <c r="T492" s="129" t="s">
        <v>5122</v>
      </c>
      <c r="U492" s="129"/>
      <c r="V492" s="129" t="s">
        <v>5122</v>
      </c>
      <c r="W492" s="129"/>
      <c r="X492" s="129"/>
      <c r="Y492" s="129"/>
      <c r="Z492" s="118" t="s">
        <v>7530</v>
      </c>
    </row>
    <row r="493" customHeight="1" spans="1:26">
      <c r="A493" s="137" t="s">
        <v>9305</v>
      </c>
      <c r="B493" s="137">
        <v>4</v>
      </c>
      <c r="C493" s="137" t="s">
        <v>339</v>
      </c>
      <c r="D493" s="137"/>
      <c r="E493" s="137"/>
      <c r="F493" s="138" t="s">
        <v>321</v>
      </c>
      <c r="G493" s="137" t="s">
        <v>333</v>
      </c>
      <c r="H493" s="137" t="s">
        <v>7526</v>
      </c>
      <c r="I493" s="137"/>
      <c r="J493" s="137"/>
      <c r="K493" s="154"/>
      <c r="L493" s="155" t="s">
        <v>341</v>
      </c>
      <c r="M493" s="154" t="s">
        <v>9306</v>
      </c>
      <c r="N493" s="154" t="s">
        <v>9307</v>
      </c>
      <c r="O493" s="137"/>
      <c r="P493" s="137" t="s">
        <v>5122</v>
      </c>
      <c r="Q493" s="137"/>
      <c r="R493" s="137"/>
      <c r="S493" s="137"/>
      <c r="T493" s="137"/>
      <c r="U493" s="137"/>
      <c r="V493" s="137"/>
      <c r="W493" s="137"/>
      <c r="X493" s="137"/>
      <c r="Y493" s="137"/>
      <c r="Z493" s="118" t="s">
        <v>7530</v>
      </c>
    </row>
    <row r="494" customHeight="1" spans="1:26">
      <c r="A494" s="129" t="s">
        <v>9308</v>
      </c>
      <c r="B494" s="129">
        <v>4</v>
      </c>
      <c r="C494" s="129" t="s">
        <v>347</v>
      </c>
      <c r="D494" s="129"/>
      <c r="E494" s="129"/>
      <c r="F494" s="130" t="s">
        <v>334</v>
      </c>
      <c r="G494" s="129" t="s">
        <v>351</v>
      </c>
      <c r="H494" s="129" t="s">
        <v>7526</v>
      </c>
      <c r="I494" s="129" t="s">
        <v>7527</v>
      </c>
      <c r="J494" s="129" t="s">
        <v>7539</v>
      </c>
      <c r="K494" s="146" t="s">
        <v>9309</v>
      </c>
      <c r="L494" s="147" t="s">
        <v>344</v>
      </c>
      <c r="M494" s="146" t="s">
        <v>9310</v>
      </c>
      <c r="N494" s="146" t="s">
        <v>9311</v>
      </c>
      <c r="O494" s="129" t="s">
        <v>5122</v>
      </c>
      <c r="P494" s="129"/>
      <c r="Q494" s="129" t="s">
        <v>5122</v>
      </c>
      <c r="R494" s="129"/>
      <c r="S494" s="129"/>
      <c r="T494" s="129"/>
      <c r="U494" s="129" t="s">
        <v>5122</v>
      </c>
      <c r="V494" s="129" t="s">
        <v>5122</v>
      </c>
      <c r="W494" s="129"/>
      <c r="X494" s="129"/>
      <c r="Y494" s="129"/>
      <c r="Z494" s="118" t="s">
        <v>7530</v>
      </c>
    </row>
    <row r="495" customHeight="1" spans="1:26">
      <c r="A495" s="123" t="s">
        <v>9312</v>
      </c>
      <c r="B495" s="123">
        <v>4</v>
      </c>
      <c r="C495" s="123" t="s">
        <v>324</v>
      </c>
      <c r="D495" s="123"/>
      <c r="E495" s="123"/>
      <c r="F495" s="124" t="s">
        <v>321</v>
      </c>
      <c r="G495" s="123" t="s">
        <v>351</v>
      </c>
      <c r="H495" s="123" t="s">
        <v>7526</v>
      </c>
      <c r="I495" s="123" t="s">
        <v>7527</v>
      </c>
      <c r="J495" s="123" t="s">
        <v>7539</v>
      </c>
      <c r="K495" s="141" t="s">
        <v>9313</v>
      </c>
      <c r="L495" s="139" t="s">
        <v>323</v>
      </c>
      <c r="M495" s="141" t="s">
        <v>9314</v>
      </c>
      <c r="N495" s="141" t="s">
        <v>9315</v>
      </c>
      <c r="O495" s="123"/>
      <c r="P495" s="123"/>
      <c r="Q495" s="123" t="s">
        <v>5122</v>
      </c>
      <c r="R495" s="123"/>
      <c r="S495" s="123"/>
      <c r="T495" s="123" t="s">
        <v>5122</v>
      </c>
      <c r="U495" s="123"/>
      <c r="V495" s="123" t="s">
        <v>5122</v>
      </c>
      <c r="W495" s="123"/>
      <c r="X495" s="123"/>
      <c r="Y495" s="123"/>
      <c r="Z495" s="118" t="s">
        <v>7530</v>
      </c>
    </row>
    <row r="496" customHeight="1" spans="1:26">
      <c r="A496" s="137" t="s">
        <v>9316</v>
      </c>
      <c r="B496" s="137">
        <v>4</v>
      </c>
      <c r="C496" s="137" t="s">
        <v>339</v>
      </c>
      <c r="D496" s="137"/>
      <c r="E496" s="137"/>
      <c r="F496" s="138" t="s">
        <v>321</v>
      </c>
      <c r="G496" s="137" t="s">
        <v>7535</v>
      </c>
      <c r="H496" s="137" t="s">
        <v>7526</v>
      </c>
      <c r="I496" s="137" t="s">
        <v>7527</v>
      </c>
      <c r="J496" s="137" t="s">
        <v>7539</v>
      </c>
      <c r="K496" s="154" t="s">
        <v>9317</v>
      </c>
      <c r="L496" s="155" t="s">
        <v>9318</v>
      </c>
      <c r="M496" s="154" t="s">
        <v>9319</v>
      </c>
      <c r="N496" s="154" t="s">
        <v>9320</v>
      </c>
      <c r="O496" s="137"/>
      <c r="P496" s="137"/>
      <c r="Q496" s="137"/>
      <c r="R496" s="137"/>
      <c r="S496" s="137"/>
      <c r="T496" s="137"/>
      <c r="U496" s="137"/>
      <c r="V496" s="137" t="s">
        <v>5122</v>
      </c>
      <c r="W496" s="137" t="s">
        <v>5122</v>
      </c>
      <c r="X496" s="137"/>
      <c r="Y496" s="137"/>
      <c r="Z496" s="118" t="s">
        <v>7530</v>
      </c>
    </row>
    <row r="497" customHeight="1" spans="1:26">
      <c r="A497" s="135" t="s">
        <v>9321</v>
      </c>
      <c r="B497" s="135">
        <v>4</v>
      </c>
      <c r="C497" s="135" t="s">
        <v>335</v>
      </c>
      <c r="D497" s="135"/>
      <c r="E497" s="135" t="s">
        <v>5122</v>
      </c>
      <c r="F497" s="136" t="s">
        <v>321</v>
      </c>
      <c r="G497" s="135" t="s">
        <v>326</v>
      </c>
      <c r="H497" s="135" t="s">
        <v>7526</v>
      </c>
      <c r="I497" s="135" t="s">
        <v>7527</v>
      </c>
      <c r="J497" s="135" t="s">
        <v>7539</v>
      </c>
      <c r="K497" s="152" t="s">
        <v>8379</v>
      </c>
      <c r="L497" s="153" t="s">
        <v>359</v>
      </c>
      <c r="M497" s="152" t="s">
        <v>9322</v>
      </c>
      <c r="N497" s="152" t="s">
        <v>9323</v>
      </c>
      <c r="O497" s="135" t="s">
        <v>5122</v>
      </c>
      <c r="P497" s="135" t="s">
        <v>5122</v>
      </c>
      <c r="Q497" s="135" t="s">
        <v>5122</v>
      </c>
      <c r="R497" s="135" t="s">
        <v>5122</v>
      </c>
      <c r="S497" s="135" t="s">
        <v>5122</v>
      </c>
      <c r="T497" s="135"/>
      <c r="U497" s="135"/>
      <c r="V497" s="135" t="s">
        <v>5122</v>
      </c>
      <c r="W497" s="135"/>
      <c r="X497" s="135"/>
      <c r="Y497" s="135"/>
      <c r="Z497" s="118" t="s">
        <v>7530</v>
      </c>
    </row>
    <row r="498" customHeight="1" spans="1:26">
      <c r="A498" s="137" t="s">
        <v>9324</v>
      </c>
      <c r="B498" s="137">
        <v>4</v>
      </c>
      <c r="C498" s="137" t="s">
        <v>339</v>
      </c>
      <c r="D498" s="137"/>
      <c r="E498" s="137"/>
      <c r="F498" s="138" t="s">
        <v>321</v>
      </c>
      <c r="G498" s="137" t="s">
        <v>333</v>
      </c>
      <c r="H498" s="137" t="s">
        <v>7526</v>
      </c>
      <c r="I498" s="137" t="s">
        <v>7527</v>
      </c>
      <c r="J498" s="137" t="s">
        <v>7539</v>
      </c>
      <c r="K498" s="154" t="s">
        <v>9325</v>
      </c>
      <c r="L498" s="155" t="s">
        <v>341</v>
      </c>
      <c r="M498" s="154" t="s">
        <v>9326</v>
      </c>
      <c r="N498" s="154" t="s">
        <v>9327</v>
      </c>
      <c r="O498" s="137"/>
      <c r="P498" s="137"/>
      <c r="Q498" s="137"/>
      <c r="R498" s="137"/>
      <c r="S498" s="137"/>
      <c r="T498" s="137"/>
      <c r="U498" s="137"/>
      <c r="V498" s="137" t="s">
        <v>5122</v>
      </c>
      <c r="W498" s="137" t="s">
        <v>5122</v>
      </c>
      <c r="X498" s="137"/>
      <c r="Y498" s="137"/>
      <c r="Z498" s="118" t="s">
        <v>7530</v>
      </c>
    </row>
    <row r="499" customHeight="1" spans="1:26">
      <c r="A499" s="125" t="s">
        <v>9328</v>
      </c>
      <c r="B499" s="125">
        <v>4</v>
      </c>
      <c r="C499" s="125" t="s">
        <v>328</v>
      </c>
      <c r="D499" s="125"/>
      <c r="E499" s="125"/>
      <c r="F499" s="126" t="s">
        <v>334</v>
      </c>
      <c r="G499" s="125" t="s">
        <v>343</v>
      </c>
      <c r="H499" s="125" t="s">
        <v>7526</v>
      </c>
      <c r="I499" s="125" t="s">
        <v>7527</v>
      </c>
      <c r="J499" s="125" t="s">
        <v>7539</v>
      </c>
      <c r="K499" s="142" t="s">
        <v>9329</v>
      </c>
      <c r="L499" s="143" t="s">
        <v>344</v>
      </c>
      <c r="M499" s="142" t="s">
        <v>9330</v>
      </c>
      <c r="N499" s="142" t="s">
        <v>9331</v>
      </c>
      <c r="O499" s="125"/>
      <c r="P499" s="125"/>
      <c r="Q499" s="125"/>
      <c r="R499" s="125"/>
      <c r="S499" s="125"/>
      <c r="T499" s="125"/>
      <c r="U499" s="125"/>
      <c r="V499" s="125" t="s">
        <v>5122</v>
      </c>
      <c r="W499" s="125" t="s">
        <v>5122</v>
      </c>
      <c r="X499" s="125"/>
      <c r="Y499" s="125"/>
      <c r="Z499" s="118" t="s">
        <v>7530</v>
      </c>
    </row>
    <row r="500" customHeight="1" spans="1:26">
      <c r="A500" s="125" t="s">
        <v>9332</v>
      </c>
      <c r="B500" s="125">
        <v>4</v>
      </c>
      <c r="C500" s="125" t="s">
        <v>328</v>
      </c>
      <c r="D500" s="125"/>
      <c r="E500" s="125" t="s">
        <v>5122</v>
      </c>
      <c r="F500" s="126" t="s">
        <v>321</v>
      </c>
      <c r="G500" s="125" t="s">
        <v>333</v>
      </c>
      <c r="H500" s="125" t="s">
        <v>7526</v>
      </c>
      <c r="I500" s="125" t="s">
        <v>7527</v>
      </c>
      <c r="J500" s="125" t="s">
        <v>7539</v>
      </c>
      <c r="K500" s="142" t="s">
        <v>9333</v>
      </c>
      <c r="L500" s="143" t="s">
        <v>352</v>
      </c>
      <c r="M500" s="142" t="s">
        <v>9334</v>
      </c>
      <c r="N500" s="142" t="s">
        <v>9335</v>
      </c>
      <c r="O500" s="125"/>
      <c r="P500" s="125"/>
      <c r="Q500" s="125"/>
      <c r="R500" s="125"/>
      <c r="S500" s="125"/>
      <c r="T500" s="125"/>
      <c r="U500" s="125"/>
      <c r="V500" s="125" t="s">
        <v>5122</v>
      </c>
      <c r="W500" s="125" t="s">
        <v>5122</v>
      </c>
      <c r="X500" s="125"/>
      <c r="Y500" s="125"/>
      <c r="Z500" s="118" t="s">
        <v>7530</v>
      </c>
    </row>
    <row r="501" customHeight="1" spans="1:26">
      <c r="A501" s="129" t="s">
        <v>9336</v>
      </c>
      <c r="B501" s="129">
        <v>4</v>
      </c>
      <c r="C501" s="129" t="s">
        <v>347</v>
      </c>
      <c r="D501" s="129"/>
      <c r="E501" s="129" t="s">
        <v>5122</v>
      </c>
      <c r="F501" s="130" t="s">
        <v>321</v>
      </c>
      <c r="G501" s="129" t="s">
        <v>343</v>
      </c>
      <c r="H501" s="129" t="s">
        <v>7526</v>
      </c>
      <c r="I501" s="129" t="s">
        <v>7527</v>
      </c>
      <c r="J501" s="129"/>
      <c r="K501" s="146"/>
      <c r="L501" s="147" t="s">
        <v>352</v>
      </c>
      <c r="M501" s="146" t="s">
        <v>9337</v>
      </c>
      <c r="N501" s="146" t="s">
        <v>9338</v>
      </c>
      <c r="O501" s="129" t="s">
        <v>5122</v>
      </c>
      <c r="P501" s="129"/>
      <c r="Q501" s="129"/>
      <c r="R501" s="129"/>
      <c r="S501" s="129"/>
      <c r="T501" s="129"/>
      <c r="U501" s="129"/>
      <c r="V501" s="129" t="s">
        <v>5122</v>
      </c>
      <c r="W501" s="129"/>
      <c r="X501" s="129"/>
      <c r="Y501" s="129"/>
      <c r="Z501" s="118" t="s">
        <v>7530</v>
      </c>
    </row>
    <row r="502" customHeight="1" spans="1:26">
      <c r="A502" s="131" t="s">
        <v>9339</v>
      </c>
      <c r="B502" s="131">
        <v>4</v>
      </c>
      <c r="C502" s="131" t="s">
        <v>320</v>
      </c>
      <c r="D502" s="131"/>
      <c r="E502" s="131" t="s">
        <v>5122</v>
      </c>
      <c r="F502" s="132" t="s">
        <v>321</v>
      </c>
      <c r="G502" s="131" t="s">
        <v>337</v>
      </c>
      <c r="H502" s="131" t="s">
        <v>7526</v>
      </c>
      <c r="I502" s="131" t="s">
        <v>7527</v>
      </c>
      <c r="J502" s="131" t="s">
        <v>7539</v>
      </c>
      <c r="K502" s="148" t="s">
        <v>9340</v>
      </c>
      <c r="L502" s="149" t="s">
        <v>359</v>
      </c>
      <c r="M502" s="148" t="s">
        <v>9341</v>
      </c>
      <c r="N502" s="148" t="s">
        <v>9342</v>
      </c>
      <c r="O502" s="131" t="s">
        <v>5122</v>
      </c>
      <c r="P502" s="131"/>
      <c r="Q502" s="131" t="s">
        <v>5122</v>
      </c>
      <c r="R502" s="131"/>
      <c r="S502" s="131"/>
      <c r="T502" s="131" t="s">
        <v>5122</v>
      </c>
      <c r="U502" s="131"/>
      <c r="V502" s="131" t="s">
        <v>5122</v>
      </c>
      <c r="W502" s="131"/>
      <c r="X502" s="131"/>
      <c r="Y502" s="131" t="s">
        <v>5122</v>
      </c>
      <c r="Z502" s="118" t="s">
        <v>7530</v>
      </c>
    </row>
    <row r="503" customHeight="1" spans="1:26">
      <c r="A503" s="133" t="s">
        <v>9343</v>
      </c>
      <c r="B503" s="133">
        <v>4</v>
      </c>
      <c r="C503" s="133" t="s">
        <v>342</v>
      </c>
      <c r="D503" s="133"/>
      <c r="E503" s="133"/>
      <c r="F503" s="134" t="s">
        <v>7871</v>
      </c>
      <c r="G503" s="133" t="s">
        <v>326</v>
      </c>
      <c r="H503" s="133" t="s">
        <v>7526</v>
      </c>
      <c r="I503" s="133"/>
      <c r="J503" s="133"/>
      <c r="K503" s="150"/>
      <c r="L503" s="151" t="s">
        <v>323</v>
      </c>
      <c r="M503" s="150" t="s">
        <v>9344</v>
      </c>
      <c r="N503" s="150" t="s">
        <v>9345</v>
      </c>
      <c r="O503" s="133"/>
      <c r="P503" s="133"/>
      <c r="Q503" s="133"/>
      <c r="R503" s="133" t="s">
        <v>5122</v>
      </c>
      <c r="S503" s="133"/>
      <c r="T503" s="133"/>
      <c r="U503" s="133"/>
      <c r="V503" s="133"/>
      <c r="W503" s="133"/>
      <c r="X503" s="133"/>
      <c r="Y503" s="133"/>
      <c r="Z503" s="118" t="s">
        <v>7530</v>
      </c>
    </row>
    <row r="504" customHeight="1" spans="1:26">
      <c r="A504" s="131" t="s">
        <v>9346</v>
      </c>
      <c r="B504" s="131">
        <v>4</v>
      </c>
      <c r="C504" s="131" t="s">
        <v>320</v>
      </c>
      <c r="D504" s="131"/>
      <c r="E504" s="131"/>
      <c r="F504" s="132" t="s">
        <v>321</v>
      </c>
      <c r="G504" s="131" t="s">
        <v>7535</v>
      </c>
      <c r="H504" s="131" t="s">
        <v>7526</v>
      </c>
      <c r="I504" s="131" t="s">
        <v>7527</v>
      </c>
      <c r="J504" s="131" t="s">
        <v>7539</v>
      </c>
      <c r="K504" s="148" t="s">
        <v>9347</v>
      </c>
      <c r="L504" s="149" t="s">
        <v>323</v>
      </c>
      <c r="M504" s="148" t="s">
        <v>9348</v>
      </c>
      <c r="N504" s="148" t="s">
        <v>9349</v>
      </c>
      <c r="O504" s="131"/>
      <c r="P504" s="131" t="s">
        <v>5122</v>
      </c>
      <c r="Q504" s="131" t="s">
        <v>5122</v>
      </c>
      <c r="R504" s="131"/>
      <c r="S504" s="131"/>
      <c r="T504" s="131"/>
      <c r="U504" s="131"/>
      <c r="V504" s="131" t="s">
        <v>5122</v>
      </c>
      <c r="W504" s="131" t="s">
        <v>5122</v>
      </c>
      <c r="X504" s="131"/>
      <c r="Y504" s="131"/>
      <c r="Z504" s="118" t="s">
        <v>7530</v>
      </c>
    </row>
    <row r="505" customHeight="1" spans="1:26">
      <c r="A505" s="125" t="s">
        <v>9350</v>
      </c>
      <c r="B505" s="125">
        <v>4</v>
      </c>
      <c r="C505" s="125" t="s">
        <v>328</v>
      </c>
      <c r="D505" s="125"/>
      <c r="E505" s="125" t="s">
        <v>5122</v>
      </c>
      <c r="F505" s="126" t="s">
        <v>321</v>
      </c>
      <c r="G505" s="125" t="s">
        <v>7535</v>
      </c>
      <c r="H505" s="125" t="s">
        <v>7526</v>
      </c>
      <c r="I505" s="125" t="s">
        <v>7527</v>
      </c>
      <c r="J505" s="125" t="s">
        <v>7539</v>
      </c>
      <c r="K505" s="142" t="s">
        <v>9351</v>
      </c>
      <c r="L505" s="143" t="s">
        <v>359</v>
      </c>
      <c r="M505" s="142" t="s">
        <v>9352</v>
      </c>
      <c r="N505" s="142" t="s">
        <v>9353</v>
      </c>
      <c r="O505" s="125"/>
      <c r="P505" s="125"/>
      <c r="Q505" s="125" t="s">
        <v>5122</v>
      </c>
      <c r="R505" s="125"/>
      <c r="S505" s="125" t="s">
        <v>5122</v>
      </c>
      <c r="T505" s="125" t="s">
        <v>5122</v>
      </c>
      <c r="U505" s="125"/>
      <c r="V505" s="125" t="s">
        <v>5122</v>
      </c>
      <c r="W505" s="125" t="s">
        <v>5122</v>
      </c>
      <c r="X505" s="125"/>
      <c r="Y505" s="125" t="s">
        <v>5122</v>
      </c>
      <c r="Z505" s="118" t="s">
        <v>7530</v>
      </c>
    </row>
    <row r="506" customHeight="1" spans="1:26">
      <c r="A506" s="137" t="s">
        <v>9354</v>
      </c>
      <c r="B506" s="137">
        <v>4</v>
      </c>
      <c r="C506" s="137" t="s">
        <v>339</v>
      </c>
      <c r="D506" s="137"/>
      <c r="E506" s="137" t="s">
        <v>5122</v>
      </c>
      <c r="F506" s="138" t="s">
        <v>321</v>
      </c>
      <c r="G506" s="137" t="s">
        <v>340</v>
      </c>
      <c r="H506" s="137" t="s">
        <v>7526</v>
      </c>
      <c r="I506" s="137" t="s">
        <v>7527</v>
      </c>
      <c r="J506" s="137" t="s">
        <v>7539</v>
      </c>
      <c r="K506" s="154" t="s">
        <v>9355</v>
      </c>
      <c r="L506" s="155" t="s">
        <v>359</v>
      </c>
      <c r="M506" s="154" t="s">
        <v>9356</v>
      </c>
      <c r="N506" s="154" t="s">
        <v>9357</v>
      </c>
      <c r="O506" s="137"/>
      <c r="P506" s="137"/>
      <c r="Q506" s="137"/>
      <c r="R506" s="137"/>
      <c r="S506" s="137"/>
      <c r="T506" s="137"/>
      <c r="U506" s="137" t="s">
        <v>5122</v>
      </c>
      <c r="V506" s="137" t="s">
        <v>5122</v>
      </c>
      <c r="W506" s="137"/>
      <c r="X506" s="137"/>
      <c r="Y506" s="137"/>
      <c r="Z506" s="118" t="s">
        <v>7530</v>
      </c>
    </row>
    <row r="507" customHeight="1" spans="1:26">
      <c r="A507" s="137" t="s">
        <v>9358</v>
      </c>
      <c r="B507" s="137">
        <v>4</v>
      </c>
      <c r="C507" s="137" t="s">
        <v>339</v>
      </c>
      <c r="D507" s="137"/>
      <c r="E507" s="137" t="s">
        <v>5122</v>
      </c>
      <c r="F507" s="138" t="s">
        <v>321</v>
      </c>
      <c r="G507" s="137" t="s">
        <v>340</v>
      </c>
      <c r="H507" s="137" t="s">
        <v>7526</v>
      </c>
      <c r="I507" s="137" t="s">
        <v>7527</v>
      </c>
      <c r="J507" s="137" t="s">
        <v>7539</v>
      </c>
      <c r="K507" s="154" t="s">
        <v>9359</v>
      </c>
      <c r="L507" s="155" t="s">
        <v>359</v>
      </c>
      <c r="M507" s="154" t="s">
        <v>9360</v>
      </c>
      <c r="N507" s="154" t="s">
        <v>9361</v>
      </c>
      <c r="O507" s="137"/>
      <c r="P507" s="137"/>
      <c r="Q507" s="137"/>
      <c r="R507" s="137"/>
      <c r="S507" s="137"/>
      <c r="T507" s="137"/>
      <c r="U507" s="137"/>
      <c r="V507" s="137" t="s">
        <v>5122</v>
      </c>
      <c r="W507" s="137" t="s">
        <v>5122</v>
      </c>
      <c r="X507" s="137"/>
      <c r="Y507" s="137"/>
      <c r="Z507" s="118" t="s">
        <v>7530</v>
      </c>
    </row>
    <row r="508" customHeight="1" spans="1:26">
      <c r="A508" s="137" t="s">
        <v>9362</v>
      </c>
      <c r="B508" s="137">
        <v>4</v>
      </c>
      <c r="C508" s="137" t="s">
        <v>339</v>
      </c>
      <c r="D508" s="137"/>
      <c r="E508" s="137" t="s">
        <v>5122</v>
      </c>
      <c r="F508" s="138" t="s">
        <v>321</v>
      </c>
      <c r="G508" s="137" t="s">
        <v>340</v>
      </c>
      <c r="H508" s="137" t="s">
        <v>7526</v>
      </c>
      <c r="I508" s="137" t="s">
        <v>7527</v>
      </c>
      <c r="J508" s="137" t="s">
        <v>7539</v>
      </c>
      <c r="K508" s="154" t="s">
        <v>9363</v>
      </c>
      <c r="L508" s="155" t="s">
        <v>359</v>
      </c>
      <c r="M508" s="154" t="s">
        <v>9364</v>
      </c>
      <c r="N508" s="154" t="s">
        <v>9365</v>
      </c>
      <c r="O508" s="137"/>
      <c r="P508" s="137"/>
      <c r="Q508" s="137" t="s">
        <v>5122</v>
      </c>
      <c r="R508" s="137"/>
      <c r="S508" s="137" t="s">
        <v>5122</v>
      </c>
      <c r="T508" s="137"/>
      <c r="U508" s="137"/>
      <c r="V508" s="137" t="s">
        <v>5122</v>
      </c>
      <c r="W508" s="137"/>
      <c r="X508" s="137"/>
      <c r="Y508" s="137"/>
      <c r="Z508" s="118" t="s">
        <v>7530</v>
      </c>
    </row>
    <row r="509" customHeight="1" spans="1:26">
      <c r="A509" s="123" t="s">
        <v>9366</v>
      </c>
      <c r="B509" s="123">
        <v>4</v>
      </c>
      <c r="C509" s="123" t="s">
        <v>324</v>
      </c>
      <c r="D509" s="123"/>
      <c r="E509" s="123"/>
      <c r="F509" s="124" t="s">
        <v>321</v>
      </c>
      <c r="G509" s="123" t="s">
        <v>348</v>
      </c>
      <c r="H509" s="123" t="s">
        <v>7526</v>
      </c>
      <c r="I509" s="123" t="s">
        <v>7527</v>
      </c>
      <c r="J509" s="123" t="s">
        <v>7539</v>
      </c>
      <c r="K509" s="141" t="s">
        <v>9367</v>
      </c>
      <c r="L509" s="139" t="s">
        <v>323</v>
      </c>
      <c r="M509" s="141" t="s">
        <v>9368</v>
      </c>
      <c r="N509" s="141" t="s">
        <v>9369</v>
      </c>
      <c r="O509" s="123"/>
      <c r="P509" s="123"/>
      <c r="Q509" s="123"/>
      <c r="R509" s="123"/>
      <c r="S509" s="123"/>
      <c r="T509" s="123" t="s">
        <v>5122</v>
      </c>
      <c r="U509" s="123"/>
      <c r="V509" s="123" t="s">
        <v>5122</v>
      </c>
      <c r="W509" s="123"/>
      <c r="X509" s="123"/>
      <c r="Y509" s="123"/>
      <c r="Z509" s="118" t="s">
        <v>7530</v>
      </c>
    </row>
    <row r="510" customHeight="1" spans="1:26">
      <c r="A510" s="123" t="s">
        <v>9370</v>
      </c>
      <c r="B510" s="123">
        <v>4</v>
      </c>
      <c r="C510" s="123" t="s">
        <v>324</v>
      </c>
      <c r="D510" s="123"/>
      <c r="E510" s="123" t="s">
        <v>5122</v>
      </c>
      <c r="F510" s="124" t="s">
        <v>321</v>
      </c>
      <c r="G510" s="123" t="s">
        <v>343</v>
      </c>
      <c r="H510" s="123" t="s">
        <v>7526</v>
      </c>
      <c r="I510" s="123" t="s">
        <v>7527</v>
      </c>
      <c r="J510" s="123" t="s">
        <v>7539</v>
      </c>
      <c r="K510" s="141" t="s">
        <v>9371</v>
      </c>
      <c r="L510" s="139" t="s">
        <v>352</v>
      </c>
      <c r="M510" s="141" t="s">
        <v>9372</v>
      </c>
      <c r="N510" s="141" t="s">
        <v>9373</v>
      </c>
      <c r="O510" s="123"/>
      <c r="P510" s="123"/>
      <c r="Q510" s="123" t="s">
        <v>5122</v>
      </c>
      <c r="R510" s="123"/>
      <c r="S510" s="123"/>
      <c r="T510" s="123" t="s">
        <v>5122</v>
      </c>
      <c r="U510" s="123"/>
      <c r="V510" s="123" t="s">
        <v>5122</v>
      </c>
      <c r="W510" s="123"/>
      <c r="X510" s="123"/>
      <c r="Y510" s="123"/>
      <c r="Z510" s="118" t="s">
        <v>7530</v>
      </c>
    </row>
    <row r="511" customHeight="1" spans="1:26">
      <c r="A511" s="131" t="s">
        <v>9374</v>
      </c>
      <c r="B511" s="131">
        <v>4</v>
      </c>
      <c r="C511" s="131" t="s">
        <v>320</v>
      </c>
      <c r="D511" s="131"/>
      <c r="E511" s="131" t="s">
        <v>5122</v>
      </c>
      <c r="F511" s="132" t="s">
        <v>321</v>
      </c>
      <c r="G511" s="131" t="s">
        <v>340</v>
      </c>
      <c r="H511" s="131" t="s">
        <v>7526</v>
      </c>
      <c r="I511" s="131" t="s">
        <v>7527</v>
      </c>
      <c r="J511" s="131"/>
      <c r="K511" s="159"/>
      <c r="L511" s="149" t="s">
        <v>7661</v>
      </c>
      <c r="M511" s="148" t="s">
        <v>9375</v>
      </c>
      <c r="N511" s="148" t="s">
        <v>9376</v>
      </c>
      <c r="O511" s="131"/>
      <c r="P511" s="131"/>
      <c r="Q511" s="131" t="s">
        <v>5122</v>
      </c>
      <c r="R511" s="131"/>
      <c r="S511" s="131"/>
      <c r="T511" s="131"/>
      <c r="U511" s="131" t="s">
        <v>5122</v>
      </c>
      <c r="V511" s="131" t="s">
        <v>5122</v>
      </c>
      <c r="W511" s="131" t="s">
        <v>5122</v>
      </c>
      <c r="X511" s="131"/>
      <c r="Y511" s="131"/>
      <c r="Z511" s="162" t="s">
        <v>45</v>
      </c>
    </row>
    <row r="512" customHeight="1" spans="1:26">
      <c r="A512" s="137" t="s">
        <v>9377</v>
      </c>
      <c r="B512" s="137">
        <v>4</v>
      </c>
      <c r="C512" s="137" t="s">
        <v>339</v>
      </c>
      <c r="D512" s="137"/>
      <c r="E512" s="137"/>
      <c r="F512" s="138" t="s">
        <v>334</v>
      </c>
      <c r="G512" s="137" t="s">
        <v>333</v>
      </c>
      <c r="H512" s="137" t="s">
        <v>7526</v>
      </c>
      <c r="I512" s="137" t="s">
        <v>7527</v>
      </c>
      <c r="J512" s="137"/>
      <c r="K512" s="157"/>
      <c r="L512" s="155" t="s">
        <v>323</v>
      </c>
      <c r="M512" s="154" t="s">
        <v>9378</v>
      </c>
      <c r="N512" s="154" t="s">
        <v>9379</v>
      </c>
      <c r="O512" s="137"/>
      <c r="P512" s="137"/>
      <c r="Q512" s="137"/>
      <c r="R512" s="137" t="s">
        <v>5122</v>
      </c>
      <c r="S512" s="137"/>
      <c r="T512" s="137"/>
      <c r="U512" s="137"/>
      <c r="V512" s="137"/>
      <c r="W512" s="137"/>
      <c r="X512" s="137"/>
      <c r="Y512" s="137"/>
      <c r="Z512" s="162" t="s">
        <v>45</v>
      </c>
    </row>
    <row r="513" customHeight="1" spans="1:26">
      <c r="A513" s="131" t="s">
        <v>9380</v>
      </c>
      <c r="B513" s="131">
        <v>4</v>
      </c>
      <c r="C513" s="131" t="s">
        <v>320</v>
      </c>
      <c r="D513" s="131"/>
      <c r="E513" s="131" t="s">
        <v>5122</v>
      </c>
      <c r="F513" s="132" t="s">
        <v>325</v>
      </c>
      <c r="G513" s="131" t="s">
        <v>326</v>
      </c>
      <c r="H513" s="131" t="s">
        <v>7526</v>
      </c>
      <c r="I513" s="131"/>
      <c r="J513" s="131"/>
      <c r="K513" s="159"/>
      <c r="L513" s="149" t="s">
        <v>7661</v>
      </c>
      <c r="M513" s="148" t="s">
        <v>9381</v>
      </c>
      <c r="N513" s="148" t="s">
        <v>9382</v>
      </c>
      <c r="O513" s="131"/>
      <c r="P513" s="131"/>
      <c r="Q513" s="131" t="s">
        <v>5122</v>
      </c>
      <c r="R513" s="131"/>
      <c r="S513" s="131" t="s">
        <v>5122</v>
      </c>
      <c r="T513" s="131"/>
      <c r="U513" s="131"/>
      <c r="V513" s="131"/>
      <c r="W513" s="131"/>
      <c r="X513" s="131"/>
      <c r="Y513" s="131"/>
      <c r="Z513" s="162" t="s">
        <v>45</v>
      </c>
    </row>
    <row r="514" customHeight="1" spans="1:26">
      <c r="A514" s="127" t="s">
        <v>9383</v>
      </c>
      <c r="B514" s="127">
        <v>4</v>
      </c>
      <c r="C514" s="127" t="s">
        <v>331</v>
      </c>
      <c r="D514" s="127"/>
      <c r="E514" s="127" t="s">
        <v>5122</v>
      </c>
      <c r="F514" s="128" t="s">
        <v>321</v>
      </c>
      <c r="G514" s="127" t="s">
        <v>326</v>
      </c>
      <c r="H514" s="127" t="s">
        <v>7526</v>
      </c>
      <c r="I514" s="127" t="s">
        <v>7527</v>
      </c>
      <c r="J514" s="127" t="s">
        <v>7539</v>
      </c>
      <c r="K514" s="165" t="s">
        <v>9384</v>
      </c>
      <c r="L514" s="145" t="s">
        <v>7661</v>
      </c>
      <c r="M514" s="144" t="s">
        <v>9385</v>
      </c>
      <c r="N514" s="144" t="s">
        <v>9386</v>
      </c>
      <c r="O514" s="127"/>
      <c r="P514" s="127"/>
      <c r="Q514" s="127"/>
      <c r="R514" s="127"/>
      <c r="S514" s="127"/>
      <c r="T514" s="127"/>
      <c r="U514" s="127" t="s">
        <v>5122</v>
      </c>
      <c r="V514" s="127"/>
      <c r="W514" s="127"/>
      <c r="X514" s="127"/>
      <c r="Y514" s="127"/>
      <c r="Z514" s="162" t="s">
        <v>45</v>
      </c>
    </row>
    <row r="515" customHeight="1" spans="1:26">
      <c r="A515" s="123" t="s">
        <v>9387</v>
      </c>
      <c r="B515" s="123">
        <v>4</v>
      </c>
      <c r="C515" s="123" t="s">
        <v>324</v>
      </c>
      <c r="D515" s="123"/>
      <c r="E515" s="123" t="s">
        <v>5122</v>
      </c>
      <c r="F515" s="124" t="s">
        <v>321</v>
      </c>
      <c r="G515" s="123" t="s">
        <v>343</v>
      </c>
      <c r="H515" s="123" t="s">
        <v>7526</v>
      </c>
      <c r="I515" s="123" t="s">
        <v>7527</v>
      </c>
      <c r="J515" s="123"/>
      <c r="K515" s="156"/>
      <c r="L515" s="139" t="s">
        <v>8037</v>
      </c>
      <c r="M515" s="141" t="s">
        <v>9388</v>
      </c>
      <c r="N515" s="141" t="s">
        <v>9389</v>
      </c>
      <c r="O515" s="123"/>
      <c r="P515" s="123"/>
      <c r="Q515" s="123"/>
      <c r="R515" s="123"/>
      <c r="S515" s="123"/>
      <c r="T515" s="123" t="s">
        <v>5122</v>
      </c>
      <c r="U515" s="123" t="s">
        <v>5122</v>
      </c>
      <c r="V515" s="123" t="s">
        <v>5122</v>
      </c>
      <c r="W515" s="123"/>
      <c r="X515" s="123"/>
      <c r="Y515" s="123"/>
      <c r="Z515" s="162" t="s">
        <v>45</v>
      </c>
    </row>
    <row r="516" customHeight="1" spans="1:26">
      <c r="A516" s="123" t="s">
        <v>9390</v>
      </c>
      <c r="B516" s="123">
        <v>4</v>
      </c>
      <c r="C516" s="123" t="s">
        <v>324</v>
      </c>
      <c r="D516" s="123"/>
      <c r="E516" s="123" t="s">
        <v>5122</v>
      </c>
      <c r="F516" s="124" t="s">
        <v>321</v>
      </c>
      <c r="G516" s="123" t="s">
        <v>348</v>
      </c>
      <c r="H516" s="123" t="s">
        <v>7526</v>
      </c>
      <c r="I516" s="123" t="s">
        <v>7527</v>
      </c>
      <c r="J516" s="123"/>
      <c r="K516" s="156"/>
      <c r="L516" s="139" t="s">
        <v>7661</v>
      </c>
      <c r="M516" s="141" t="s">
        <v>9391</v>
      </c>
      <c r="N516" s="141" t="s">
        <v>9392</v>
      </c>
      <c r="O516" s="123"/>
      <c r="P516" s="123"/>
      <c r="Q516" s="123"/>
      <c r="R516" s="123"/>
      <c r="S516" s="123"/>
      <c r="T516" s="123" t="s">
        <v>5122</v>
      </c>
      <c r="U516" s="123"/>
      <c r="V516" s="123" t="s">
        <v>5122</v>
      </c>
      <c r="W516" s="123"/>
      <c r="X516" s="123"/>
      <c r="Y516" s="123"/>
      <c r="Z516" s="162" t="s">
        <v>45</v>
      </c>
    </row>
    <row r="517" customHeight="1" spans="1:26">
      <c r="A517" s="137" t="s">
        <v>9393</v>
      </c>
      <c r="B517" s="137">
        <v>4</v>
      </c>
      <c r="C517" s="137" t="s">
        <v>339</v>
      </c>
      <c r="D517" s="137"/>
      <c r="E517" s="137" t="s">
        <v>5122</v>
      </c>
      <c r="F517" s="138" t="s">
        <v>321</v>
      </c>
      <c r="G517" s="137" t="s">
        <v>337</v>
      </c>
      <c r="H517" s="137" t="s">
        <v>7526</v>
      </c>
      <c r="I517" s="137" t="s">
        <v>7527</v>
      </c>
      <c r="J517" s="137" t="s">
        <v>7539</v>
      </c>
      <c r="K517" s="157" t="s">
        <v>9002</v>
      </c>
      <c r="L517" s="155" t="s">
        <v>8512</v>
      </c>
      <c r="M517" s="154" t="s">
        <v>9394</v>
      </c>
      <c r="N517" s="154" t="s">
        <v>9395</v>
      </c>
      <c r="O517" s="137"/>
      <c r="P517" s="137"/>
      <c r="Q517" s="137"/>
      <c r="R517" s="137"/>
      <c r="S517" s="137"/>
      <c r="T517" s="137"/>
      <c r="U517" s="137" t="s">
        <v>5122</v>
      </c>
      <c r="V517" s="137" t="s">
        <v>5122</v>
      </c>
      <c r="W517" s="137"/>
      <c r="X517" s="137"/>
      <c r="Y517" s="137"/>
      <c r="Z517" s="162" t="s">
        <v>45</v>
      </c>
    </row>
    <row r="518" customHeight="1" spans="1:26">
      <c r="A518" s="137" t="s">
        <v>9396</v>
      </c>
      <c r="B518" s="137">
        <v>4</v>
      </c>
      <c r="C518" s="137" t="s">
        <v>339</v>
      </c>
      <c r="D518" s="137"/>
      <c r="E518" s="137" t="s">
        <v>5122</v>
      </c>
      <c r="F518" s="138" t="s">
        <v>321</v>
      </c>
      <c r="G518" s="137" t="s">
        <v>340</v>
      </c>
      <c r="H518" s="137" t="s">
        <v>7526</v>
      </c>
      <c r="I518" s="137" t="s">
        <v>7527</v>
      </c>
      <c r="J518" s="137" t="s">
        <v>7539</v>
      </c>
      <c r="K518" s="157" t="s">
        <v>8663</v>
      </c>
      <c r="L518" s="155" t="s">
        <v>7661</v>
      </c>
      <c r="M518" s="154" t="s">
        <v>9397</v>
      </c>
      <c r="N518" s="154" t="s">
        <v>9398</v>
      </c>
      <c r="O518" s="137"/>
      <c r="P518" s="137"/>
      <c r="Q518" s="137" t="s">
        <v>5122</v>
      </c>
      <c r="R518" s="137"/>
      <c r="S518" s="137"/>
      <c r="T518" s="137" t="s">
        <v>5122</v>
      </c>
      <c r="U518" s="137"/>
      <c r="V518" s="137" t="s">
        <v>5122</v>
      </c>
      <c r="W518" s="137"/>
      <c r="X518" s="137"/>
      <c r="Y518" s="137"/>
      <c r="Z518" s="162" t="s">
        <v>45</v>
      </c>
    </row>
    <row r="519" customHeight="1" spans="1:26">
      <c r="A519" s="133" t="s">
        <v>9399</v>
      </c>
      <c r="B519" s="133">
        <v>4</v>
      </c>
      <c r="C519" s="133" t="s">
        <v>342</v>
      </c>
      <c r="D519" s="133"/>
      <c r="E519" s="133"/>
      <c r="F519" s="134" t="s">
        <v>321</v>
      </c>
      <c r="G519" s="133" t="s">
        <v>343</v>
      </c>
      <c r="H519" s="133" t="s">
        <v>7526</v>
      </c>
      <c r="I519" s="133"/>
      <c r="J519" s="133"/>
      <c r="K519" s="160"/>
      <c r="L519" s="151" t="s">
        <v>323</v>
      </c>
      <c r="M519" s="150" t="s">
        <v>9400</v>
      </c>
      <c r="N519" s="150" t="s">
        <v>9401</v>
      </c>
      <c r="O519" s="133" t="s">
        <v>5122</v>
      </c>
      <c r="P519" s="133"/>
      <c r="Q519" s="133"/>
      <c r="R519" s="133"/>
      <c r="S519" s="133"/>
      <c r="T519" s="133" t="s">
        <v>5122</v>
      </c>
      <c r="U519" s="133" t="s">
        <v>5122</v>
      </c>
      <c r="V519" s="133" t="s">
        <v>5122</v>
      </c>
      <c r="W519" s="133"/>
      <c r="X519" s="133"/>
      <c r="Y519" s="133"/>
      <c r="Z519" s="162" t="s">
        <v>8534</v>
      </c>
    </row>
    <row r="520" customHeight="1" spans="1:26">
      <c r="A520" s="137" t="s">
        <v>9402</v>
      </c>
      <c r="B520" s="137">
        <v>4</v>
      </c>
      <c r="C520" s="137" t="s">
        <v>339</v>
      </c>
      <c r="D520" s="137"/>
      <c r="E520" s="137"/>
      <c r="F520" s="138" t="s">
        <v>321</v>
      </c>
      <c r="G520" s="137" t="s">
        <v>7556</v>
      </c>
      <c r="H520" s="137" t="s">
        <v>7526</v>
      </c>
      <c r="I520" s="137" t="s">
        <v>7527</v>
      </c>
      <c r="J520" s="137" t="s">
        <v>7539</v>
      </c>
      <c r="K520" s="157" t="s">
        <v>9403</v>
      </c>
      <c r="L520" s="155" t="s">
        <v>334</v>
      </c>
      <c r="M520" s="154" t="s">
        <v>9404</v>
      </c>
      <c r="N520" s="154" t="s">
        <v>9405</v>
      </c>
      <c r="O520" s="137"/>
      <c r="P520" s="137"/>
      <c r="Q520" s="137"/>
      <c r="R520" s="137"/>
      <c r="S520" s="137"/>
      <c r="T520" s="137"/>
      <c r="U520" s="137" t="s">
        <v>5122</v>
      </c>
      <c r="V520" s="137" t="s">
        <v>5122</v>
      </c>
      <c r="W520" s="137"/>
      <c r="X520" s="137"/>
      <c r="Y520" s="137"/>
      <c r="Z520" s="162" t="s">
        <v>8542</v>
      </c>
    </row>
    <row r="521" customHeight="1" spans="1:26">
      <c r="A521" s="127" t="s">
        <v>9406</v>
      </c>
      <c r="B521" s="127">
        <v>4</v>
      </c>
      <c r="C521" s="127" t="s">
        <v>331</v>
      </c>
      <c r="D521" s="127"/>
      <c r="E521" s="127" t="s">
        <v>5122</v>
      </c>
      <c r="F521" s="128" t="s">
        <v>321</v>
      </c>
      <c r="G521" s="127" t="s">
        <v>337</v>
      </c>
      <c r="H521" s="127" t="s">
        <v>7526</v>
      </c>
      <c r="I521" s="127" t="s">
        <v>7527</v>
      </c>
      <c r="J521" s="127" t="s">
        <v>7539</v>
      </c>
      <c r="K521" s="165" t="s">
        <v>9407</v>
      </c>
      <c r="L521" s="145" t="s">
        <v>359</v>
      </c>
      <c r="M521" s="144" t="s">
        <v>9408</v>
      </c>
      <c r="N521" s="144" t="s">
        <v>9409</v>
      </c>
      <c r="O521" s="127"/>
      <c r="P521" s="127"/>
      <c r="Q521" s="127"/>
      <c r="R521" s="127"/>
      <c r="S521" s="127"/>
      <c r="T521" s="127" t="s">
        <v>5122</v>
      </c>
      <c r="U521" s="127" t="s">
        <v>5122</v>
      </c>
      <c r="V521" s="127" t="s">
        <v>5122</v>
      </c>
      <c r="W521" s="127"/>
      <c r="X521" s="127"/>
      <c r="Y521" s="127"/>
      <c r="Z521" s="162" t="s">
        <v>79</v>
      </c>
    </row>
    <row r="522" customHeight="1" spans="1:26">
      <c r="A522" s="125" t="s">
        <v>9410</v>
      </c>
      <c r="B522" s="125">
        <v>4</v>
      </c>
      <c r="C522" s="125" t="s">
        <v>328</v>
      </c>
      <c r="D522" s="125"/>
      <c r="E522" s="125"/>
      <c r="F522" s="126" t="s">
        <v>329</v>
      </c>
      <c r="G522" s="125" t="s">
        <v>337</v>
      </c>
      <c r="H522" s="125" t="s">
        <v>7526</v>
      </c>
      <c r="I522" s="125" t="s">
        <v>7527</v>
      </c>
      <c r="J522" s="125" t="s">
        <v>7539</v>
      </c>
      <c r="K522" s="163" t="s">
        <v>9411</v>
      </c>
      <c r="L522" s="143" t="s">
        <v>344</v>
      </c>
      <c r="M522" s="142" t="s">
        <v>9412</v>
      </c>
      <c r="N522" s="142" t="s">
        <v>9413</v>
      </c>
      <c r="O522" s="125"/>
      <c r="P522" s="125"/>
      <c r="Q522" s="125"/>
      <c r="R522" s="125"/>
      <c r="S522" s="125"/>
      <c r="T522" s="125" t="s">
        <v>5122</v>
      </c>
      <c r="U522" s="125" t="s">
        <v>5122</v>
      </c>
      <c r="V522" s="125" t="s">
        <v>5122</v>
      </c>
      <c r="W522" s="125"/>
      <c r="X522" s="125"/>
      <c r="Y522" s="125"/>
      <c r="Z522" s="162" t="s">
        <v>136</v>
      </c>
    </row>
    <row r="523" customHeight="1" spans="1:26">
      <c r="A523" s="123" t="s">
        <v>9414</v>
      </c>
      <c r="B523" s="123">
        <v>4</v>
      </c>
      <c r="C523" s="123" t="s">
        <v>324</v>
      </c>
      <c r="D523" s="123"/>
      <c r="E523" s="123"/>
      <c r="F523" s="124" t="s">
        <v>321</v>
      </c>
      <c r="G523" s="123" t="s">
        <v>343</v>
      </c>
      <c r="H523" s="123" t="s">
        <v>7526</v>
      </c>
      <c r="I523" s="123" t="s">
        <v>7527</v>
      </c>
      <c r="J523" s="123" t="s">
        <v>7539</v>
      </c>
      <c r="K523" s="139" t="s">
        <v>9415</v>
      </c>
      <c r="L523" s="139" t="s">
        <v>323</v>
      </c>
      <c r="M523" s="141" t="s">
        <v>9416</v>
      </c>
      <c r="N523" s="158" t="s">
        <v>9417</v>
      </c>
      <c r="O523" s="123"/>
      <c r="P523" s="123"/>
      <c r="Q523" s="123"/>
      <c r="R523" s="123"/>
      <c r="S523" s="123"/>
      <c r="T523" s="123"/>
      <c r="U523" s="123"/>
      <c r="V523" s="123" t="s">
        <v>5122</v>
      </c>
      <c r="W523" s="123"/>
      <c r="X523" s="123"/>
      <c r="Y523" s="123"/>
      <c r="Z523" s="162" t="s">
        <v>7693</v>
      </c>
    </row>
    <row r="524" customHeight="1" spans="1:26">
      <c r="A524" s="137" t="s">
        <v>9418</v>
      </c>
      <c r="B524" s="137">
        <v>4</v>
      </c>
      <c r="C524" s="137" t="s">
        <v>339</v>
      </c>
      <c r="D524" s="137"/>
      <c r="E524" s="137" t="s">
        <v>5122</v>
      </c>
      <c r="F524" s="138" t="s">
        <v>321</v>
      </c>
      <c r="G524" s="137" t="s">
        <v>343</v>
      </c>
      <c r="H524" s="137" t="s">
        <v>7526</v>
      </c>
      <c r="I524" s="137" t="s">
        <v>7527</v>
      </c>
      <c r="J524" s="137"/>
      <c r="K524" s="154"/>
      <c r="L524" s="155" t="s">
        <v>8037</v>
      </c>
      <c r="M524" s="154" t="s">
        <v>9419</v>
      </c>
      <c r="N524" s="154" t="s">
        <v>9420</v>
      </c>
      <c r="O524" s="137"/>
      <c r="P524" s="137" t="s">
        <v>5122</v>
      </c>
      <c r="Q524" s="137" t="s">
        <v>5122</v>
      </c>
      <c r="R524" s="137"/>
      <c r="S524" s="137"/>
      <c r="T524" s="137" t="s">
        <v>5122</v>
      </c>
      <c r="U524" s="137" t="s">
        <v>5122</v>
      </c>
      <c r="V524" s="137" t="s">
        <v>5122</v>
      </c>
      <c r="W524" s="137"/>
      <c r="X524" s="137"/>
      <c r="Y524" s="137"/>
      <c r="Z524" s="118" t="s">
        <v>111</v>
      </c>
    </row>
    <row r="525" customHeight="1" spans="1:26">
      <c r="A525" s="137" t="s">
        <v>9421</v>
      </c>
      <c r="B525" s="137">
        <v>4</v>
      </c>
      <c r="C525" s="137" t="s">
        <v>339</v>
      </c>
      <c r="D525" s="137"/>
      <c r="E525" s="137"/>
      <c r="F525" s="138" t="s">
        <v>321</v>
      </c>
      <c r="G525" s="137" t="s">
        <v>343</v>
      </c>
      <c r="H525" s="137" t="s">
        <v>7526</v>
      </c>
      <c r="I525" s="137" t="s">
        <v>7527</v>
      </c>
      <c r="J525" s="137"/>
      <c r="K525" s="154"/>
      <c r="L525" s="155" t="s">
        <v>323</v>
      </c>
      <c r="M525" s="154" t="s">
        <v>9422</v>
      </c>
      <c r="N525" s="154" t="s">
        <v>9423</v>
      </c>
      <c r="O525" s="137"/>
      <c r="P525" s="137"/>
      <c r="Q525" s="137"/>
      <c r="R525" s="137"/>
      <c r="S525" s="137"/>
      <c r="T525" s="137" t="s">
        <v>5122</v>
      </c>
      <c r="U525" s="137" t="s">
        <v>5122</v>
      </c>
      <c r="V525" s="137" t="s">
        <v>5122</v>
      </c>
      <c r="W525" s="137"/>
      <c r="X525" s="137"/>
      <c r="Y525" s="137"/>
      <c r="Z525" s="118" t="s">
        <v>111</v>
      </c>
    </row>
    <row r="526" customHeight="1" spans="1:26">
      <c r="A526" s="127" t="s">
        <v>9424</v>
      </c>
      <c r="B526" s="127">
        <v>4</v>
      </c>
      <c r="C526" s="127" t="s">
        <v>331</v>
      </c>
      <c r="D526" s="127"/>
      <c r="E526" s="127" t="s">
        <v>5122</v>
      </c>
      <c r="F526" s="128" t="s">
        <v>321</v>
      </c>
      <c r="G526" s="127" t="s">
        <v>333</v>
      </c>
      <c r="H526" s="127" t="s">
        <v>7526</v>
      </c>
      <c r="I526" s="127" t="s">
        <v>7527</v>
      </c>
      <c r="J526" s="127" t="s">
        <v>7539</v>
      </c>
      <c r="K526" s="144" t="s">
        <v>9425</v>
      </c>
      <c r="L526" s="145" t="s">
        <v>352</v>
      </c>
      <c r="M526" s="144" t="s">
        <v>9426</v>
      </c>
      <c r="N526" s="144" t="s">
        <v>9427</v>
      </c>
      <c r="O526" s="127" t="s">
        <v>5122</v>
      </c>
      <c r="P526" s="127"/>
      <c r="Q526" s="127" t="s">
        <v>5122</v>
      </c>
      <c r="R526" s="127"/>
      <c r="S526" s="127"/>
      <c r="T526" s="127"/>
      <c r="U526" s="127" t="s">
        <v>5122</v>
      </c>
      <c r="V526" s="127"/>
      <c r="W526" s="127"/>
      <c r="X526" s="127"/>
      <c r="Y526" s="127" t="s">
        <v>5122</v>
      </c>
      <c r="Z526" s="118" t="s">
        <v>72</v>
      </c>
    </row>
    <row r="527" customHeight="1" spans="1:26">
      <c r="A527" s="127" t="s">
        <v>9428</v>
      </c>
      <c r="B527" s="127">
        <v>4</v>
      </c>
      <c r="C527" s="127" t="s">
        <v>331</v>
      </c>
      <c r="D527" s="127"/>
      <c r="E527" s="127"/>
      <c r="F527" s="128" t="s">
        <v>9429</v>
      </c>
      <c r="G527" s="127" t="s">
        <v>343</v>
      </c>
      <c r="H527" s="127" t="s">
        <v>7526</v>
      </c>
      <c r="I527" s="127" t="s">
        <v>7527</v>
      </c>
      <c r="J527" s="127"/>
      <c r="K527" s="144"/>
      <c r="L527" s="145" t="s">
        <v>323</v>
      </c>
      <c r="M527" s="144" t="s">
        <v>9430</v>
      </c>
      <c r="N527" s="144" t="s">
        <v>9431</v>
      </c>
      <c r="O527" s="127"/>
      <c r="P527" s="127"/>
      <c r="Q527" s="127"/>
      <c r="R527" s="127"/>
      <c r="S527" s="127"/>
      <c r="T527" s="127"/>
      <c r="U527" s="127" t="s">
        <v>5122</v>
      </c>
      <c r="V527" s="127" t="s">
        <v>5122</v>
      </c>
      <c r="W527" s="127"/>
      <c r="X527" s="127"/>
      <c r="Y527" s="127" t="s">
        <v>5122</v>
      </c>
      <c r="Z527" s="118" t="s">
        <v>72</v>
      </c>
    </row>
    <row r="528" customHeight="1" spans="1:26">
      <c r="A528" s="127" t="s">
        <v>9432</v>
      </c>
      <c r="B528" s="127">
        <v>4</v>
      </c>
      <c r="C528" s="127" t="s">
        <v>331</v>
      </c>
      <c r="D528" s="127"/>
      <c r="E528" s="127" t="s">
        <v>5122</v>
      </c>
      <c r="F528" s="128" t="s">
        <v>325</v>
      </c>
      <c r="G528" s="127" t="s">
        <v>343</v>
      </c>
      <c r="H528" s="127" t="s">
        <v>7526</v>
      </c>
      <c r="I528" s="127" t="s">
        <v>7527</v>
      </c>
      <c r="J528" s="127" t="s">
        <v>7539</v>
      </c>
      <c r="K528" s="144" t="s">
        <v>9433</v>
      </c>
      <c r="L528" s="145" t="s">
        <v>352</v>
      </c>
      <c r="M528" s="144" t="s">
        <v>9434</v>
      </c>
      <c r="N528" s="144" t="s">
        <v>9435</v>
      </c>
      <c r="O528" s="127"/>
      <c r="P528" s="127"/>
      <c r="Q528" s="127" t="s">
        <v>5122</v>
      </c>
      <c r="R528" s="127"/>
      <c r="S528" s="127" t="s">
        <v>5122</v>
      </c>
      <c r="T528" s="127"/>
      <c r="U528" s="127"/>
      <c r="V528" s="127"/>
      <c r="W528" s="127"/>
      <c r="X528" s="127"/>
      <c r="Y528" s="127" t="s">
        <v>5122</v>
      </c>
      <c r="Z528" s="118" t="s">
        <v>72</v>
      </c>
    </row>
    <row r="529" customHeight="1" spans="1:26">
      <c r="A529" s="125" t="s">
        <v>9436</v>
      </c>
      <c r="B529" s="125">
        <v>4</v>
      </c>
      <c r="C529" s="125" t="s">
        <v>328</v>
      </c>
      <c r="D529" s="125"/>
      <c r="E529" s="125"/>
      <c r="F529" s="126" t="s">
        <v>321</v>
      </c>
      <c r="G529" s="125" t="s">
        <v>343</v>
      </c>
      <c r="H529" s="125" t="s">
        <v>7526</v>
      </c>
      <c r="I529" s="125" t="s">
        <v>7527</v>
      </c>
      <c r="J529" s="125" t="s">
        <v>7539</v>
      </c>
      <c r="K529" s="142" t="s">
        <v>9437</v>
      </c>
      <c r="L529" s="143" t="s">
        <v>323</v>
      </c>
      <c r="M529" s="142" t="s">
        <v>9438</v>
      </c>
      <c r="N529" s="142" t="s">
        <v>9439</v>
      </c>
      <c r="O529" s="125"/>
      <c r="P529" s="125" t="s">
        <v>5122</v>
      </c>
      <c r="Q529" s="125"/>
      <c r="R529" s="125" t="s">
        <v>5122</v>
      </c>
      <c r="S529" s="125"/>
      <c r="T529" s="125"/>
      <c r="U529" s="125"/>
      <c r="V529" s="125"/>
      <c r="W529" s="125"/>
      <c r="X529" s="125"/>
      <c r="Y529" s="125" t="s">
        <v>5122</v>
      </c>
      <c r="Z529" s="118" t="s">
        <v>72</v>
      </c>
    </row>
    <row r="530" customHeight="1" spans="1:26">
      <c r="A530" s="137" t="s">
        <v>9440</v>
      </c>
      <c r="B530" s="137">
        <v>4</v>
      </c>
      <c r="C530" s="137" t="s">
        <v>339</v>
      </c>
      <c r="D530" s="137"/>
      <c r="E530" s="137"/>
      <c r="F530" s="138" t="s">
        <v>321</v>
      </c>
      <c r="G530" s="137" t="s">
        <v>326</v>
      </c>
      <c r="H530" s="137" t="s">
        <v>7526</v>
      </c>
      <c r="I530" s="137" t="s">
        <v>7527</v>
      </c>
      <c r="J530" s="137" t="s">
        <v>7539</v>
      </c>
      <c r="K530" s="154" t="s">
        <v>9441</v>
      </c>
      <c r="L530" s="155" t="s">
        <v>323</v>
      </c>
      <c r="M530" s="154" t="s">
        <v>9442</v>
      </c>
      <c r="N530" s="154" t="s">
        <v>9443</v>
      </c>
      <c r="O530" s="137"/>
      <c r="P530" s="137"/>
      <c r="Q530" s="137" t="s">
        <v>5122</v>
      </c>
      <c r="R530" s="137"/>
      <c r="S530" s="137"/>
      <c r="T530" s="137" t="s">
        <v>5122</v>
      </c>
      <c r="U530" s="137"/>
      <c r="V530" s="137" t="s">
        <v>5122</v>
      </c>
      <c r="W530" s="137"/>
      <c r="X530" s="137"/>
      <c r="Y530" s="137" t="s">
        <v>5122</v>
      </c>
      <c r="Z530" s="118" t="s">
        <v>72</v>
      </c>
    </row>
    <row r="531" customHeight="1" spans="1:26">
      <c r="A531" s="137" t="s">
        <v>9444</v>
      </c>
      <c r="B531" s="137">
        <v>4</v>
      </c>
      <c r="C531" s="137" t="s">
        <v>339</v>
      </c>
      <c r="D531" s="137"/>
      <c r="E531" s="137" t="s">
        <v>5122</v>
      </c>
      <c r="F531" s="138" t="s">
        <v>321</v>
      </c>
      <c r="G531" s="137" t="s">
        <v>340</v>
      </c>
      <c r="H531" s="137" t="s">
        <v>7526</v>
      </c>
      <c r="I531" s="137" t="s">
        <v>7527</v>
      </c>
      <c r="J531" s="137" t="s">
        <v>7539</v>
      </c>
      <c r="K531" s="154" t="s">
        <v>9445</v>
      </c>
      <c r="L531" s="155" t="s">
        <v>359</v>
      </c>
      <c r="M531" s="154" t="s">
        <v>9446</v>
      </c>
      <c r="N531" s="154" t="s">
        <v>9447</v>
      </c>
      <c r="O531" s="137"/>
      <c r="P531" s="137"/>
      <c r="Q531" s="137" t="s">
        <v>5122</v>
      </c>
      <c r="R531" s="137"/>
      <c r="S531" s="137"/>
      <c r="T531" s="137"/>
      <c r="U531" s="137" t="s">
        <v>5122</v>
      </c>
      <c r="V531" s="137"/>
      <c r="W531" s="137"/>
      <c r="X531" s="137"/>
      <c r="Y531" s="137" t="s">
        <v>5122</v>
      </c>
      <c r="Z531" s="118" t="s">
        <v>72</v>
      </c>
    </row>
    <row r="532" customHeight="1" spans="1:26">
      <c r="A532" s="131" t="s">
        <v>9448</v>
      </c>
      <c r="B532" s="131">
        <v>4</v>
      </c>
      <c r="C532" s="131" t="s">
        <v>320</v>
      </c>
      <c r="D532" s="131"/>
      <c r="E532" s="131" t="s">
        <v>5122</v>
      </c>
      <c r="F532" s="132" t="s">
        <v>321</v>
      </c>
      <c r="G532" s="131" t="s">
        <v>333</v>
      </c>
      <c r="H532" s="131" t="s">
        <v>7526</v>
      </c>
      <c r="I532" s="131" t="s">
        <v>7527</v>
      </c>
      <c r="J532" s="131" t="s">
        <v>7539</v>
      </c>
      <c r="K532" s="148" t="s">
        <v>9449</v>
      </c>
      <c r="L532" s="149" t="s">
        <v>352</v>
      </c>
      <c r="M532" s="148" t="s">
        <v>9450</v>
      </c>
      <c r="N532" s="148" t="s">
        <v>9451</v>
      </c>
      <c r="O532" s="131"/>
      <c r="P532" s="131"/>
      <c r="Q532" s="131"/>
      <c r="R532" s="131"/>
      <c r="S532" s="131"/>
      <c r="T532" s="131" t="s">
        <v>5122</v>
      </c>
      <c r="U532" s="131"/>
      <c r="V532" s="131" t="s">
        <v>5122</v>
      </c>
      <c r="W532" s="131"/>
      <c r="X532" s="131"/>
      <c r="Y532" s="131" t="s">
        <v>5122</v>
      </c>
      <c r="Z532" s="118" t="s">
        <v>72</v>
      </c>
    </row>
    <row r="533" customHeight="1" spans="1:26">
      <c r="A533" s="135" t="s">
        <v>9452</v>
      </c>
      <c r="B533" s="135">
        <v>4</v>
      </c>
      <c r="C533" s="135" t="s">
        <v>335</v>
      </c>
      <c r="D533" s="135"/>
      <c r="E533" s="135"/>
      <c r="F533" s="136" t="s">
        <v>321</v>
      </c>
      <c r="G533" s="135" t="s">
        <v>326</v>
      </c>
      <c r="H533" s="135" t="s">
        <v>7526</v>
      </c>
      <c r="I533" s="135" t="s">
        <v>7527</v>
      </c>
      <c r="J533" s="135"/>
      <c r="K533" s="152"/>
      <c r="L533" s="153" t="s">
        <v>323</v>
      </c>
      <c r="M533" s="152" t="s">
        <v>9453</v>
      </c>
      <c r="N533" s="152" t="s">
        <v>9454</v>
      </c>
      <c r="O533" s="135"/>
      <c r="P533" s="135" t="s">
        <v>5122</v>
      </c>
      <c r="Q533" s="135"/>
      <c r="R533" s="135"/>
      <c r="S533" s="135"/>
      <c r="T533" s="135"/>
      <c r="U533" s="135"/>
      <c r="V533" s="135" t="s">
        <v>5122</v>
      </c>
      <c r="W533" s="135"/>
      <c r="X533" s="135"/>
      <c r="Y533" s="135"/>
      <c r="Z533" s="118" t="s">
        <v>103</v>
      </c>
    </row>
    <row r="534" customHeight="1" spans="1:26">
      <c r="A534" s="131" t="s">
        <v>9455</v>
      </c>
      <c r="B534" s="131">
        <v>4</v>
      </c>
      <c r="C534" s="131" t="s">
        <v>320</v>
      </c>
      <c r="D534" s="131"/>
      <c r="E534" s="131"/>
      <c r="F534" s="132" t="s">
        <v>321</v>
      </c>
      <c r="G534" s="131" t="s">
        <v>333</v>
      </c>
      <c r="H534" s="131" t="s">
        <v>7526</v>
      </c>
      <c r="I534" s="131" t="s">
        <v>7527</v>
      </c>
      <c r="J534" s="131" t="s">
        <v>7539</v>
      </c>
      <c r="K534" s="148" t="s">
        <v>9456</v>
      </c>
      <c r="L534" s="149" t="s">
        <v>368</v>
      </c>
      <c r="M534" s="148" t="s">
        <v>9457</v>
      </c>
      <c r="N534" s="148" t="s">
        <v>9458</v>
      </c>
      <c r="O534" s="131"/>
      <c r="P534" s="131"/>
      <c r="Q534" s="131"/>
      <c r="R534" s="131"/>
      <c r="S534" s="131"/>
      <c r="T534" s="131"/>
      <c r="U534" s="131"/>
      <c r="V534" s="131" t="s">
        <v>5122</v>
      </c>
      <c r="W534" s="131"/>
      <c r="X534" s="131"/>
      <c r="Y534" s="131"/>
      <c r="Z534" s="118" t="s">
        <v>103</v>
      </c>
    </row>
    <row r="535" customHeight="1" spans="1:26">
      <c r="A535" s="133" t="s">
        <v>9459</v>
      </c>
      <c r="B535" s="133">
        <v>4</v>
      </c>
      <c r="C535" s="133" t="s">
        <v>342</v>
      </c>
      <c r="D535" s="133"/>
      <c r="E535" s="133" t="s">
        <v>5122</v>
      </c>
      <c r="F535" s="134" t="s">
        <v>321</v>
      </c>
      <c r="G535" s="133" t="s">
        <v>337</v>
      </c>
      <c r="H535" s="133" t="s">
        <v>7526</v>
      </c>
      <c r="I535" s="133" t="s">
        <v>7527</v>
      </c>
      <c r="J535" s="133" t="s">
        <v>7539</v>
      </c>
      <c r="K535" s="150" t="s">
        <v>8159</v>
      </c>
      <c r="L535" s="151" t="s">
        <v>352</v>
      </c>
      <c r="M535" s="150" t="s">
        <v>9460</v>
      </c>
      <c r="N535" s="150" t="s">
        <v>9461</v>
      </c>
      <c r="O535" s="133" t="s">
        <v>5122</v>
      </c>
      <c r="P535" s="133" t="s">
        <v>5122</v>
      </c>
      <c r="Q535" s="133" t="s">
        <v>5122</v>
      </c>
      <c r="R535" s="133"/>
      <c r="S535" s="133"/>
      <c r="T535" s="133" t="s">
        <v>5122</v>
      </c>
      <c r="U535" s="133" t="s">
        <v>5122</v>
      </c>
      <c r="V535" s="133" t="s">
        <v>5122</v>
      </c>
      <c r="W535" s="133"/>
      <c r="X535" s="133"/>
      <c r="Y535" s="133"/>
      <c r="Z535" s="118" t="s">
        <v>95</v>
      </c>
    </row>
    <row r="536" customHeight="1" spans="1:26">
      <c r="A536" s="123" t="s">
        <v>9462</v>
      </c>
      <c r="B536" s="123">
        <v>4</v>
      </c>
      <c r="C536" s="123" t="s">
        <v>324</v>
      </c>
      <c r="D536" s="123"/>
      <c r="E536" s="123"/>
      <c r="F536" s="124" t="s">
        <v>321</v>
      </c>
      <c r="G536" s="123" t="s">
        <v>337</v>
      </c>
      <c r="H536" s="123" t="s">
        <v>7526</v>
      </c>
      <c r="I536" s="123" t="s">
        <v>7527</v>
      </c>
      <c r="J536" s="123" t="s">
        <v>7539</v>
      </c>
      <c r="K536" s="141" t="s">
        <v>9463</v>
      </c>
      <c r="L536" s="139" t="s">
        <v>323</v>
      </c>
      <c r="M536" s="141" t="s">
        <v>9464</v>
      </c>
      <c r="N536" s="141" t="s">
        <v>9465</v>
      </c>
      <c r="O536" s="123"/>
      <c r="P536" s="123"/>
      <c r="Q536" s="123" t="s">
        <v>5122</v>
      </c>
      <c r="R536" s="123" t="s">
        <v>5122</v>
      </c>
      <c r="S536" s="123" t="s">
        <v>5122</v>
      </c>
      <c r="T536" s="123" t="s">
        <v>5122</v>
      </c>
      <c r="U536" s="123" t="s">
        <v>5122</v>
      </c>
      <c r="V536" s="123"/>
      <c r="W536" s="123"/>
      <c r="X536" s="123"/>
      <c r="Y536" s="123"/>
      <c r="Z536" s="118" t="s">
        <v>95</v>
      </c>
    </row>
    <row r="537" customHeight="1" spans="1:26">
      <c r="A537" s="131" t="s">
        <v>9466</v>
      </c>
      <c r="B537" s="131">
        <v>4</v>
      </c>
      <c r="C537" s="131" t="s">
        <v>320</v>
      </c>
      <c r="D537" s="131"/>
      <c r="E537" s="131"/>
      <c r="F537" s="132" t="s">
        <v>321</v>
      </c>
      <c r="G537" s="131" t="s">
        <v>337</v>
      </c>
      <c r="H537" s="131" t="s">
        <v>7526</v>
      </c>
      <c r="I537" s="131" t="s">
        <v>7527</v>
      </c>
      <c r="J537" s="131" t="s">
        <v>7539</v>
      </c>
      <c r="K537" s="148" t="s">
        <v>9467</v>
      </c>
      <c r="L537" s="149" t="s">
        <v>323</v>
      </c>
      <c r="M537" s="148" t="s">
        <v>9468</v>
      </c>
      <c r="N537" s="148" t="s">
        <v>9469</v>
      </c>
      <c r="O537" s="131"/>
      <c r="P537" s="131"/>
      <c r="Q537" s="131" t="s">
        <v>5122</v>
      </c>
      <c r="R537" s="131"/>
      <c r="S537" s="131"/>
      <c r="T537" s="131" t="s">
        <v>5122</v>
      </c>
      <c r="U537" s="131" t="s">
        <v>5122</v>
      </c>
      <c r="V537" s="131" t="s">
        <v>5122</v>
      </c>
      <c r="W537" s="131"/>
      <c r="X537" s="131"/>
      <c r="Y537" s="131"/>
      <c r="Z537" s="118" t="s">
        <v>108</v>
      </c>
    </row>
    <row r="538" customHeight="1" spans="1:26">
      <c r="A538" s="133" t="s">
        <v>9470</v>
      </c>
      <c r="B538" s="133">
        <v>4</v>
      </c>
      <c r="C538" s="133" t="s">
        <v>342</v>
      </c>
      <c r="D538" s="133"/>
      <c r="E538" s="133" t="s">
        <v>5122</v>
      </c>
      <c r="F538" s="134" t="s">
        <v>321</v>
      </c>
      <c r="G538" s="133" t="s">
        <v>326</v>
      </c>
      <c r="H538" s="133" t="s">
        <v>7526</v>
      </c>
      <c r="I538" s="133" t="s">
        <v>7527</v>
      </c>
      <c r="J538" s="133" t="s">
        <v>7539</v>
      </c>
      <c r="K538" s="150" t="s">
        <v>9471</v>
      </c>
      <c r="L538" s="151" t="s">
        <v>352</v>
      </c>
      <c r="M538" s="150" t="s">
        <v>9472</v>
      </c>
      <c r="N538" s="150" t="s">
        <v>9473</v>
      </c>
      <c r="O538" s="133" t="s">
        <v>5122</v>
      </c>
      <c r="P538" s="133"/>
      <c r="Q538" s="133" t="s">
        <v>5122</v>
      </c>
      <c r="R538" s="133"/>
      <c r="S538" s="133" t="s">
        <v>5122</v>
      </c>
      <c r="T538" s="133"/>
      <c r="U538" s="133" t="s">
        <v>5122</v>
      </c>
      <c r="V538" s="133"/>
      <c r="W538" s="133"/>
      <c r="X538" s="133"/>
      <c r="Y538" s="133"/>
      <c r="Z538" s="118" t="s">
        <v>108</v>
      </c>
    </row>
    <row r="539" customHeight="1" spans="1:26">
      <c r="A539" s="123" t="s">
        <v>9474</v>
      </c>
      <c r="B539" s="123">
        <v>4</v>
      </c>
      <c r="C539" s="123" t="s">
        <v>324</v>
      </c>
      <c r="D539" s="123"/>
      <c r="E539" s="123" t="s">
        <v>5122</v>
      </c>
      <c r="F539" s="124" t="s">
        <v>321</v>
      </c>
      <c r="G539" s="123" t="s">
        <v>340</v>
      </c>
      <c r="H539" s="123" t="s">
        <v>7526</v>
      </c>
      <c r="I539" s="123" t="s">
        <v>7527</v>
      </c>
      <c r="J539" s="123"/>
      <c r="K539" s="141"/>
      <c r="L539" s="139" t="s">
        <v>352</v>
      </c>
      <c r="M539" s="141" t="s">
        <v>9475</v>
      </c>
      <c r="N539" s="141" t="s">
        <v>9476</v>
      </c>
      <c r="O539" s="123"/>
      <c r="P539" s="123"/>
      <c r="Q539" s="123" t="s">
        <v>5122</v>
      </c>
      <c r="R539" s="123" t="s">
        <v>5122</v>
      </c>
      <c r="S539" s="123"/>
      <c r="T539" s="123"/>
      <c r="U539" s="123" t="s">
        <v>5122</v>
      </c>
      <c r="V539" s="123"/>
      <c r="W539" s="123"/>
      <c r="X539" s="123"/>
      <c r="Y539" s="123"/>
      <c r="Z539" s="118" t="s">
        <v>108</v>
      </c>
    </row>
    <row r="540" customHeight="1" spans="1:26">
      <c r="A540" s="133" t="s">
        <v>9477</v>
      </c>
      <c r="B540" s="133">
        <v>4</v>
      </c>
      <c r="C540" s="133" t="s">
        <v>342</v>
      </c>
      <c r="D540" s="133"/>
      <c r="E540" s="133" t="s">
        <v>5122</v>
      </c>
      <c r="F540" s="134" t="s">
        <v>321</v>
      </c>
      <c r="G540" s="133" t="s">
        <v>340</v>
      </c>
      <c r="H540" s="133" t="s">
        <v>7526</v>
      </c>
      <c r="I540" s="133" t="s">
        <v>7527</v>
      </c>
      <c r="J540" s="133" t="s">
        <v>7539</v>
      </c>
      <c r="K540" s="150" t="s">
        <v>9478</v>
      </c>
      <c r="L540" s="151" t="s">
        <v>352</v>
      </c>
      <c r="M540" s="150" t="s">
        <v>9479</v>
      </c>
      <c r="N540" s="150" t="s">
        <v>9480</v>
      </c>
      <c r="O540" s="133" t="s">
        <v>5122</v>
      </c>
      <c r="P540" s="133"/>
      <c r="Q540" s="133"/>
      <c r="R540" s="133"/>
      <c r="S540" s="133"/>
      <c r="T540" s="133" t="s">
        <v>5122</v>
      </c>
      <c r="U540" s="133" t="s">
        <v>5122</v>
      </c>
      <c r="V540" s="133" t="s">
        <v>5122</v>
      </c>
      <c r="W540" s="133"/>
      <c r="X540" s="133"/>
      <c r="Y540" s="133"/>
      <c r="Z540" s="118" t="s">
        <v>108</v>
      </c>
    </row>
    <row r="541" customHeight="1" spans="1:26">
      <c r="A541" s="137" t="s">
        <v>9481</v>
      </c>
      <c r="B541" s="137">
        <v>4</v>
      </c>
      <c r="C541" s="137" t="s">
        <v>339</v>
      </c>
      <c r="D541" s="137"/>
      <c r="E541" s="137"/>
      <c r="F541" s="138" t="s">
        <v>321</v>
      </c>
      <c r="G541" s="137" t="s">
        <v>326</v>
      </c>
      <c r="H541" s="137" t="s">
        <v>7526</v>
      </c>
      <c r="I541" s="137" t="s">
        <v>7527</v>
      </c>
      <c r="J541" s="137" t="s">
        <v>7539</v>
      </c>
      <c r="K541" s="154" t="s">
        <v>9482</v>
      </c>
      <c r="L541" s="155" t="s">
        <v>323</v>
      </c>
      <c r="M541" s="154" t="s">
        <v>9483</v>
      </c>
      <c r="N541" s="154" t="s">
        <v>9484</v>
      </c>
      <c r="O541" s="137"/>
      <c r="P541" s="137"/>
      <c r="Q541" s="137" t="s">
        <v>5122</v>
      </c>
      <c r="R541" s="137"/>
      <c r="S541" s="137" t="s">
        <v>5122</v>
      </c>
      <c r="T541" s="137" t="s">
        <v>5122</v>
      </c>
      <c r="U541" s="137" t="s">
        <v>5122</v>
      </c>
      <c r="V541" s="137" t="s">
        <v>5122</v>
      </c>
      <c r="W541" s="137"/>
      <c r="X541" s="137"/>
      <c r="Y541" s="137"/>
      <c r="Z541" s="118" t="s">
        <v>108</v>
      </c>
    </row>
    <row r="542" customHeight="1" spans="1:26">
      <c r="A542" s="133" t="s">
        <v>9485</v>
      </c>
      <c r="B542" s="133">
        <v>4</v>
      </c>
      <c r="C542" s="133" t="s">
        <v>342</v>
      </c>
      <c r="D542" s="133"/>
      <c r="E542" s="133" t="s">
        <v>5122</v>
      </c>
      <c r="F542" s="134" t="s">
        <v>321</v>
      </c>
      <c r="G542" s="133" t="s">
        <v>337</v>
      </c>
      <c r="H542" s="133" t="s">
        <v>7526</v>
      </c>
      <c r="I542" s="133" t="s">
        <v>7527</v>
      </c>
      <c r="J542" s="133" t="s">
        <v>7539</v>
      </c>
      <c r="K542" s="150" t="s">
        <v>9486</v>
      </c>
      <c r="L542" s="151" t="s">
        <v>352</v>
      </c>
      <c r="M542" s="150" t="s">
        <v>9487</v>
      </c>
      <c r="N542" s="150" t="s">
        <v>9488</v>
      </c>
      <c r="O542" s="133" t="s">
        <v>5122</v>
      </c>
      <c r="P542" s="133"/>
      <c r="Q542" s="133"/>
      <c r="R542" s="133"/>
      <c r="S542" s="133"/>
      <c r="T542" s="133" t="s">
        <v>5122</v>
      </c>
      <c r="U542" s="133" t="s">
        <v>5122</v>
      </c>
      <c r="V542" s="133" t="s">
        <v>5122</v>
      </c>
      <c r="W542" s="133"/>
      <c r="X542" s="133"/>
      <c r="Y542" s="133"/>
      <c r="Z542" s="118" t="s">
        <v>108</v>
      </c>
    </row>
    <row r="543" customHeight="1" spans="1:26">
      <c r="A543" s="127" t="s">
        <v>9489</v>
      </c>
      <c r="B543" s="127">
        <v>4</v>
      </c>
      <c r="C543" s="127" t="s">
        <v>331</v>
      </c>
      <c r="D543" s="127"/>
      <c r="E543" s="127" t="s">
        <v>5122</v>
      </c>
      <c r="F543" s="128" t="s">
        <v>321</v>
      </c>
      <c r="G543" s="127" t="s">
        <v>7535</v>
      </c>
      <c r="H543" s="127"/>
      <c r="I543" s="127" t="s">
        <v>7527</v>
      </c>
      <c r="J543" s="127"/>
      <c r="K543" s="144"/>
      <c r="L543" s="145" t="s">
        <v>352</v>
      </c>
      <c r="M543" s="144" t="s">
        <v>9490</v>
      </c>
      <c r="N543" s="144" t="s">
        <v>9491</v>
      </c>
      <c r="O543" s="127"/>
      <c r="P543" s="127" t="s">
        <v>5122</v>
      </c>
      <c r="Q543" s="127"/>
      <c r="R543" s="127" t="s">
        <v>5122</v>
      </c>
      <c r="S543" s="127"/>
      <c r="T543" s="127"/>
      <c r="U543" s="127" t="s">
        <v>5122</v>
      </c>
      <c r="V543" s="127" t="s">
        <v>5122</v>
      </c>
      <c r="W543" s="127"/>
      <c r="X543" s="127"/>
      <c r="Y543" s="127"/>
      <c r="Z543" s="118" t="s">
        <v>108</v>
      </c>
    </row>
    <row r="544" customHeight="1" spans="1:26">
      <c r="A544" s="125" t="s">
        <v>9492</v>
      </c>
      <c r="B544" s="125">
        <v>4</v>
      </c>
      <c r="C544" s="125" t="s">
        <v>328</v>
      </c>
      <c r="D544" s="125"/>
      <c r="E544" s="125"/>
      <c r="F544" s="126" t="s">
        <v>329</v>
      </c>
      <c r="G544" s="125" t="s">
        <v>7731</v>
      </c>
      <c r="H544" s="125" t="s">
        <v>7526</v>
      </c>
      <c r="I544" s="125" t="s">
        <v>7527</v>
      </c>
      <c r="J544" s="125" t="s">
        <v>7539</v>
      </c>
      <c r="K544" s="142" t="s">
        <v>9493</v>
      </c>
      <c r="L544" s="143" t="s">
        <v>344</v>
      </c>
      <c r="M544" s="142" t="s">
        <v>9494</v>
      </c>
      <c r="N544" s="142" t="s">
        <v>9495</v>
      </c>
      <c r="O544" s="125"/>
      <c r="P544" s="125" t="s">
        <v>5122</v>
      </c>
      <c r="Q544" s="125"/>
      <c r="R544" s="125" t="s">
        <v>5122</v>
      </c>
      <c r="S544" s="125"/>
      <c r="T544" s="125"/>
      <c r="U544" s="125"/>
      <c r="V544" s="125" t="s">
        <v>5122</v>
      </c>
      <c r="W544" s="125"/>
      <c r="X544" s="125"/>
      <c r="Y544" s="125"/>
      <c r="Z544" s="118" t="s">
        <v>108</v>
      </c>
    </row>
    <row r="545" customHeight="1" spans="1:26">
      <c r="A545" s="125" t="s">
        <v>9496</v>
      </c>
      <c r="B545" s="125">
        <v>4</v>
      </c>
      <c r="C545" s="125" t="s">
        <v>328</v>
      </c>
      <c r="D545" s="125"/>
      <c r="E545" s="125" t="s">
        <v>5122</v>
      </c>
      <c r="F545" s="126" t="s">
        <v>321</v>
      </c>
      <c r="G545" s="125" t="s">
        <v>326</v>
      </c>
      <c r="H545" s="125" t="s">
        <v>7526</v>
      </c>
      <c r="I545" s="125"/>
      <c r="J545" s="125"/>
      <c r="K545" s="142"/>
      <c r="L545" s="143" t="s">
        <v>356</v>
      </c>
      <c r="M545" s="142" t="s">
        <v>9497</v>
      </c>
      <c r="N545" s="142" t="s">
        <v>9498</v>
      </c>
      <c r="O545" s="125"/>
      <c r="P545" s="125" t="s">
        <v>5122</v>
      </c>
      <c r="Q545" s="125"/>
      <c r="R545" s="125" t="s">
        <v>5122</v>
      </c>
      <c r="S545" s="125"/>
      <c r="T545" s="125"/>
      <c r="U545" s="125"/>
      <c r="V545" s="125"/>
      <c r="W545" s="125"/>
      <c r="X545" s="125"/>
      <c r="Y545" s="125"/>
      <c r="Z545" s="118" t="s">
        <v>87</v>
      </c>
    </row>
    <row r="546" customHeight="1" spans="1:26">
      <c r="A546" s="123" t="s">
        <v>9499</v>
      </c>
      <c r="B546" s="123">
        <v>4</v>
      </c>
      <c r="C546" s="123" t="s">
        <v>324</v>
      </c>
      <c r="D546" s="123"/>
      <c r="E546" s="123" t="s">
        <v>5122</v>
      </c>
      <c r="F546" s="124" t="s">
        <v>325</v>
      </c>
      <c r="G546" s="123" t="s">
        <v>7535</v>
      </c>
      <c r="H546" s="123" t="s">
        <v>7526</v>
      </c>
      <c r="I546" s="123" t="s">
        <v>7527</v>
      </c>
      <c r="J546" s="123"/>
      <c r="K546" s="141"/>
      <c r="L546" s="139" t="s">
        <v>359</v>
      </c>
      <c r="M546" s="141" t="s">
        <v>9500</v>
      </c>
      <c r="N546" s="141" t="s">
        <v>9501</v>
      </c>
      <c r="O546" s="123"/>
      <c r="P546" s="123"/>
      <c r="Q546" s="123"/>
      <c r="R546" s="123" t="s">
        <v>5122</v>
      </c>
      <c r="S546" s="123"/>
      <c r="T546" s="123"/>
      <c r="U546" s="123"/>
      <c r="V546" s="123"/>
      <c r="W546" s="123"/>
      <c r="X546" s="123"/>
      <c r="Y546" s="123"/>
      <c r="Z546" s="118" t="s">
        <v>87</v>
      </c>
    </row>
    <row r="547" customHeight="1" spans="1:26">
      <c r="A547" s="127" t="s">
        <v>9502</v>
      </c>
      <c r="B547" s="127">
        <v>4</v>
      </c>
      <c r="C547" s="127" t="s">
        <v>331</v>
      </c>
      <c r="D547" s="127"/>
      <c r="E547" s="127" t="s">
        <v>5122</v>
      </c>
      <c r="F547" s="128" t="s">
        <v>321</v>
      </c>
      <c r="G547" s="127" t="s">
        <v>343</v>
      </c>
      <c r="H547" s="127" t="s">
        <v>7526</v>
      </c>
      <c r="I547" s="127" t="s">
        <v>7527</v>
      </c>
      <c r="J547" s="127" t="s">
        <v>7539</v>
      </c>
      <c r="K547" s="144" t="s">
        <v>9503</v>
      </c>
      <c r="L547" s="145" t="s">
        <v>352</v>
      </c>
      <c r="M547" s="144" t="s">
        <v>9504</v>
      </c>
      <c r="N547" s="144" t="s">
        <v>9505</v>
      </c>
      <c r="O547" s="127"/>
      <c r="P547" s="127"/>
      <c r="Q547" s="127" t="s">
        <v>5122</v>
      </c>
      <c r="R547" s="127"/>
      <c r="S547" s="127"/>
      <c r="T547" s="127" t="s">
        <v>5122</v>
      </c>
      <c r="U547" s="127"/>
      <c r="V547" s="127" t="s">
        <v>5122</v>
      </c>
      <c r="W547" s="127"/>
      <c r="X547" s="127"/>
      <c r="Y547" s="127"/>
      <c r="Z547" s="118" t="s">
        <v>87</v>
      </c>
    </row>
    <row r="548" customHeight="1" spans="1:26">
      <c r="A548" s="137" t="s">
        <v>9506</v>
      </c>
      <c r="B548" s="137">
        <v>4</v>
      </c>
      <c r="C548" s="137" t="s">
        <v>339</v>
      </c>
      <c r="D548" s="137"/>
      <c r="E548" s="137"/>
      <c r="F548" s="138" t="s">
        <v>321</v>
      </c>
      <c r="G548" s="137" t="s">
        <v>326</v>
      </c>
      <c r="H548" s="137" t="s">
        <v>7526</v>
      </c>
      <c r="I548" s="137" t="s">
        <v>7527</v>
      </c>
      <c r="J548" s="137" t="s">
        <v>7539</v>
      </c>
      <c r="K548" s="154" t="s">
        <v>7574</v>
      </c>
      <c r="L548" s="155" t="s">
        <v>323</v>
      </c>
      <c r="M548" s="154" t="s">
        <v>9507</v>
      </c>
      <c r="N548" s="154" t="s">
        <v>9508</v>
      </c>
      <c r="O548" s="137"/>
      <c r="P548" s="137"/>
      <c r="Q548" s="137" t="s">
        <v>5122</v>
      </c>
      <c r="R548" s="137"/>
      <c r="S548" s="137"/>
      <c r="T548" s="137" t="s">
        <v>5122</v>
      </c>
      <c r="U548" s="137"/>
      <c r="V548" s="137" t="s">
        <v>5122</v>
      </c>
      <c r="W548" s="137"/>
      <c r="X548" s="137"/>
      <c r="Y548" s="137"/>
      <c r="Z548" s="118" t="s">
        <v>65</v>
      </c>
    </row>
    <row r="549" customHeight="1" spans="1:26">
      <c r="A549" s="123" t="s">
        <v>9509</v>
      </c>
      <c r="B549" s="123">
        <v>4</v>
      </c>
      <c r="C549" s="123" t="s">
        <v>324</v>
      </c>
      <c r="D549" s="123"/>
      <c r="E549" s="123" t="s">
        <v>5122</v>
      </c>
      <c r="F549" s="124" t="s">
        <v>325</v>
      </c>
      <c r="G549" s="123" t="s">
        <v>326</v>
      </c>
      <c r="H549" s="123" t="s">
        <v>7526</v>
      </c>
      <c r="I549" s="123"/>
      <c r="J549" s="123"/>
      <c r="K549" s="141"/>
      <c r="L549" s="139" t="s">
        <v>352</v>
      </c>
      <c r="M549" s="141" t="s">
        <v>9510</v>
      </c>
      <c r="N549" s="141" t="s">
        <v>9511</v>
      </c>
      <c r="O549" s="123"/>
      <c r="P549" s="123"/>
      <c r="Q549" s="123"/>
      <c r="R549" s="123" t="s">
        <v>5122</v>
      </c>
      <c r="S549" s="123"/>
      <c r="T549" s="123"/>
      <c r="U549" s="123"/>
      <c r="V549" s="123"/>
      <c r="W549" s="123"/>
      <c r="X549" s="123"/>
      <c r="Y549" s="123"/>
      <c r="Z549" s="118" t="s">
        <v>65</v>
      </c>
    </row>
    <row r="550" customHeight="1" spans="1:26">
      <c r="A550" s="131" t="s">
        <v>9512</v>
      </c>
      <c r="B550" s="131">
        <v>4</v>
      </c>
      <c r="C550" s="131" t="s">
        <v>320</v>
      </c>
      <c r="D550" s="131"/>
      <c r="E550" s="131"/>
      <c r="F550" s="132" t="s">
        <v>321</v>
      </c>
      <c r="G550" s="131" t="s">
        <v>7535</v>
      </c>
      <c r="H550" s="131" t="s">
        <v>7526</v>
      </c>
      <c r="I550" s="131" t="s">
        <v>7527</v>
      </c>
      <c r="J550" s="131"/>
      <c r="K550" s="148"/>
      <c r="L550" s="149" t="s">
        <v>9513</v>
      </c>
      <c r="M550" s="148" t="s">
        <v>9514</v>
      </c>
      <c r="N550" s="148" t="s">
        <v>9515</v>
      </c>
      <c r="O550" s="131" t="s">
        <v>5122</v>
      </c>
      <c r="P550" s="131" t="s">
        <v>5122</v>
      </c>
      <c r="Q550" s="131" t="s">
        <v>5122</v>
      </c>
      <c r="R550" s="131"/>
      <c r="S550" s="131"/>
      <c r="T550" s="131"/>
      <c r="U550" s="131"/>
      <c r="V550" s="131"/>
      <c r="W550" s="131"/>
      <c r="X550" s="131"/>
      <c r="Y550" s="131"/>
      <c r="Z550" s="118" t="s">
        <v>7771</v>
      </c>
    </row>
    <row r="551" customHeight="1" spans="1:26">
      <c r="A551" s="123" t="s">
        <v>9516</v>
      </c>
      <c r="B551" s="123">
        <v>4</v>
      </c>
      <c r="C551" s="123" t="s">
        <v>324</v>
      </c>
      <c r="D551" s="123"/>
      <c r="E551" s="123"/>
      <c r="F551" s="124" t="s">
        <v>321</v>
      </c>
      <c r="G551" s="123" t="s">
        <v>9517</v>
      </c>
      <c r="H551" s="123" t="s">
        <v>7526</v>
      </c>
      <c r="I551" s="123" t="s">
        <v>7527</v>
      </c>
      <c r="J551" s="123"/>
      <c r="K551" s="141"/>
      <c r="L551" s="139" t="s">
        <v>329</v>
      </c>
      <c r="M551" s="141" t="s">
        <v>9518</v>
      </c>
      <c r="N551" s="141" t="s">
        <v>9519</v>
      </c>
      <c r="O551" s="123"/>
      <c r="P551" s="123"/>
      <c r="Q551" s="123" t="s">
        <v>5122</v>
      </c>
      <c r="R551" s="123"/>
      <c r="S551" s="123" t="s">
        <v>5122</v>
      </c>
      <c r="T551" s="123" t="s">
        <v>5122</v>
      </c>
      <c r="U551" s="123"/>
      <c r="V551" s="123" t="s">
        <v>5122</v>
      </c>
      <c r="W551" s="123"/>
      <c r="X551" s="123"/>
      <c r="Y551" s="123"/>
      <c r="Z551" s="118" t="s">
        <v>7771</v>
      </c>
    </row>
    <row r="552" customHeight="1" spans="1:26">
      <c r="A552" s="137" t="s">
        <v>9520</v>
      </c>
      <c r="B552" s="137">
        <v>4</v>
      </c>
      <c r="C552" s="137" t="s">
        <v>339</v>
      </c>
      <c r="D552" s="137"/>
      <c r="E552" s="137" t="s">
        <v>5122</v>
      </c>
      <c r="F552" s="138" t="s">
        <v>321</v>
      </c>
      <c r="G552" s="137" t="s">
        <v>337</v>
      </c>
      <c r="H552" s="137" t="s">
        <v>7526</v>
      </c>
      <c r="I552" s="137"/>
      <c r="J552" s="137" t="s">
        <v>7539</v>
      </c>
      <c r="K552" s="154" t="s">
        <v>9521</v>
      </c>
      <c r="L552" s="155" t="s">
        <v>356</v>
      </c>
      <c r="M552" s="154" t="s">
        <v>9522</v>
      </c>
      <c r="N552" s="154" t="s">
        <v>9523</v>
      </c>
      <c r="O552" s="137" t="s">
        <v>5122</v>
      </c>
      <c r="P552" s="137"/>
      <c r="Q552" s="137"/>
      <c r="R552" s="137"/>
      <c r="S552" s="137"/>
      <c r="T552" s="137" t="s">
        <v>5122</v>
      </c>
      <c r="U552" s="137" t="s">
        <v>5122</v>
      </c>
      <c r="V552" s="137" t="s">
        <v>5122</v>
      </c>
      <c r="W552" s="137"/>
      <c r="X552" s="137"/>
      <c r="Y552" s="137"/>
      <c r="Z552" s="118" t="s">
        <v>7781</v>
      </c>
    </row>
    <row r="553" customHeight="1" spans="1:26">
      <c r="A553" s="137" t="s">
        <v>9524</v>
      </c>
      <c r="B553" s="137">
        <v>4</v>
      </c>
      <c r="C553" s="137" t="s">
        <v>339</v>
      </c>
      <c r="D553" s="137"/>
      <c r="E553" s="137" t="s">
        <v>5122</v>
      </c>
      <c r="F553" s="138" t="s">
        <v>321</v>
      </c>
      <c r="G553" s="137" t="s">
        <v>326</v>
      </c>
      <c r="H553" s="137" t="s">
        <v>7526</v>
      </c>
      <c r="I553" s="137" t="s">
        <v>7527</v>
      </c>
      <c r="J553" s="137" t="s">
        <v>7539</v>
      </c>
      <c r="K553" s="154" t="s">
        <v>9525</v>
      </c>
      <c r="L553" s="155" t="s">
        <v>356</v>
      </c>
      <c r="M553" s="154" t="s">
        <v>9526</v>
      </c>
      <c r="N553" s="154" t="s">
        <v>9527</v>
      </c>
      <c r="O553" s="137"/>
      <c r="P553" s="137" t="s">
        <v>5122</v>
      </c>
      <c r="Q553" s="137" t="s">
        <v>5122</v>
      </c>
      <c r="R553" s="137"/>
      <c r="S553" s="137"/>
      <c r="T553" s="137"/>
      <c r="U553" s="137"/>
      <c r="V553" s="137" t="s">
        <v>5122</v>
      </c>
      <c r="W553" s="137"/>
      <c r="X553" s="137"/>
      <c r="Y553" s="137"/>
      <c r="Z553" s="118" t="s">
        <v>7781</v>
      </c>
    </row>
    <row r="554" customHeight="1" spans="1:26">
      <c r="A554" s="127" t="s">
        <v>9528</v>
      </c>
      <c r="B554" s="127">
        <v>4</v>
      </c>
      <c r="C554" s="127" t="s">
        <v>331</v>
      </c>
      <c r="D554" s="127"/>
      <c r="E554" s="127" t="s">
        <v>5122</v>
      </c>
      <c r="F554" s="128" t="s">
        <v>321</v>
      </c>
      <c r="G554" s="127" t="s">
        <v>333</v>
      </c>
      <c r="H554" s="127" t="s">
        <v>7526</v>
      </c>
      <c r="I554" s="127" t="s">
        <v>7527</v>
      </c>
      <c r="J554" s="127" t="s">
        <v>7539</v>
      </c>
      <c r="K554" s="144" t="s">
        <v>9529</v>
      </c>
      <c r="L554" s="145" t="s">
        <v>352</v>
      </c>
      <c r="M554" s="144" t="s">
        <v>9530</v>
      </c>
      <c r="N554" s="144" t="s">
        <v>9531</v>
      </c>
      <c r="O554" s="127" t="s">
        <v>5122</v>
      </c>
      <c r="P554" s="127" t="s">
        <v>5122</v>
      </c>
      <c r="Q554" s="127" t="s">
        <v>5122</v>
      </c>
      <c r="R554" s="127" t="s">
        <v>5122</v>
      </c>
      <c r="S554" s="127"/>
      <c r="T554" s="127" t="s">
        <v>5122</v>
      </c>
      <c r="U554" s="127" t="s">
        <v>5122</v>
      </c>
      <c r="V554" s="127" t="s">
        <v>5122</v>
      </c>
      <c r="W554" s="127"/>
      <c r="X554" s="127"/>
      <c r="Y554" s="127"/>
      <c r="Z554" s="118" t="s">
        <v>7781</v>
      </c>
    </row>
    <row r="555" customHeight="1" spans="1:26">
      <c r="A555" s="129" t="s">
        <v>9532</v>
      </c>
      <c r="B555" s="129">
        <v>4</v>
      </c>
      <c r="C555" s="129" t="s">
        <v>347</v>
      </c>
      <c r="D555" s="129"/>
      <c r="E555" s="129" t="s">
        <v>5122</v>
      </c>
      <c r="F555" s="130" t="s">
        <v>321</v>
      </c>
      <c r="G555" s="129" t="s">
        <v>343</v>
      </c>
      <c r="H555" s="129" t="s">
        <v>7526</v>
      </c>
      <c r="I555" s="129" t="s">
        <v>7527</v>
      </c>
      <c r="J555" s="129" t="s">
        <v>7539</v>
      </c>
      <c r="K555" s="146" t="s">
        <v>9533</v>
      </c>
      <c r="L555" s="147" t="s">
        <v>352</v>
      </c>
      <c r="M555" s="146" t="s">
        <v>9534</v>
      </c>
      <c r="N555" s="146" t="s">
        <v>9535</v>
      </c>
      <c r="O555" s="129" t="s">
        <v>5122</v>
      </c>
      <c r="P555" s="129"/>
      <c r="Q555" s="129"/>
      <c r="R555" s="129"/>
      <c r="S555" s="129"/>
      <c r="T555" s="129" t="s">
        <v>5122</v>
      </c>
      <c r="U555" s="129" t="s">
        <v>5122</v>
      </c>
      <c r="V555" s="129" t="s">
        <v>5122</v>
      </c>
      <c r="W555" s="129"/>
      <c r="X555" s="129"/>
      <c r="Y555" s="129"/>
      <c r="Z555" s="118" t="s">
        <v>7781</v>
      </c>
    </row>
    <row r="556" customHeight="1" spans="1:26">
      <c r="A556" s="127" t="s">
        <v>9536</v>
      </c>
      <c r="B556" s="127">
        <v>4</v>
      </c>
      <c r="C556" s="127" t="s">
        <v>331</v>
      </c>
      <c r="D556" s="127"/>
      <c r="E556" s="127"/>
      <c r="F556" s="128" t="s">
        <v>321</v>
      </c>
      <c r="G556" s="127" t="s">
        <v>337</v>
      </c>
      <c r="H556" s="127" t="s">
        <v>7526</v>
      </c>
      <c r="I556" s="127" t="s">
        <v>7527</v>
      </c>
      <c r="J556" s="127" t="s">
        <v>7539</v>
      </c>
      <c r="K556" s="144" t="s">
        <v>9537</v>
      </c>
      <c r="L556" s="145" t="s">
        <v>370</v>
      </c>
      <c r="M556" s="144" t="s">
        <v>9538</v>
      </c>
      <c r="N556" s="144" t="s">
        <v>9539</v>
      </c>
      <c r="O556" s="127"/>
      <c r="P556" s="127" t="s">
        <v>5122</v>
      </c>
      <c r="Q556" s="127" t="s">
        <v>5122</v>
      </c>
      <c r="R556" s="127"/>
      <c r="S556" s="127"/>
      <c r="T556" s="127" t="s">
        <v>5122</v>
      </c>
      <c r="U556" s="127"/>
      <c r="V556" s="127" t="s">
        <v>5122</v>
      </c>
      <c r="W556" s="127"/>
      <c r="X556" s="127"/>
      <c r="Y556" s="127"/>
      <c r="Z556" s="118" t="s">
        <v>7781</v>
      </c>
    </row>
    <row r="557" customHeight="1" spans="1:26">
      <c r="A557" s="137" t="s">
        <v>9540</v>
      </c>
      <c r="B557" s="137">
        <v>4</v>
      </c>
      <c r="C557" s="137" t="s">
        <v>339</v>
      </c>
      <c r="D557" s="137"/>
      <c r="E557" s="137"/>
      <c r="F557" s="138" t="s">
        <v>329</v>
      </c>
      <c r="G557" s="137" t="s">
        <v>9208</v>
      </c>
      <c r="H557" s="137" t="s">
        <v>7526</v>
      </c>
      <c r="I557" s="137" t="s">
        <v>7527</v>
      </c>
      <c r="J557" s="137" t="s">
        <v>7539</v>
      </c>
      <c r="K557" s="154" t="s">
        <v>9541</v>
      </c>
      <c r="L557" s="155" t="s">
        <v>323</v>
      </c>
      <c r="M557" s="154" t="s">
        <v>9542</v>
      </c>
      <c r="N557" s="154" t="s">
        <v>9543</v>
      </c>
      <c r="O557" s="137"/>
      <c r="P557" s="137"/>
      <c r="Q557" s="137" t="s">
        <v>5122</v>
      </c>
      <c r="R557" s="137"/>
      <c r="S557" s="137"/>
      <c r="T557" s="137" t="s">
        <v>5122</v>
      </c>
      <c r="U557" s="137"/>
      <c r="V557" s="137" t="s">
        <v>5122</v>
      </c>
      <c r="W557" s="137"/>
      <c r="X557" s="137"/>
      <c r="Y557" s="137"/>
      <c r="Z557" s="118" t="s">
        <v>7781</v>
      </c>
    </row>
    <row r="558" customHeight="1" spans="1:26">
      <c r="A558" s="137" t="s">
        <v>9544</v>
      </c>
      <c r="B558" s="137">
        <v>4</v>
      </c>
      <c r="C558" s="137" t="s">
        <v>339</v>
      </c>
      <c r="D558" s="137"/>
      <c r="E558" s="137"/>
      <c r="F558" s="138" t="s">
        <v>321</v>
      </c>
      <c r="G558" s="137" t="s">
        <v>326</v>
      </c>
      <c r="H558" s="137" t="s">
        <v>7526</v>
      </c>
      <c r="I558" s="137" t="s">
        <v>7527</v>
      </c>
      <c r="J558" s="137" t="s">
        <v>7539</v>
      </c>
      <c r="K558" s="154" t="s">
        <v>9545</v>
      </c>
      <c r="L558" s="155" t="s">
        <v>323</v>
      </c>
      <c r="M558" s="154" t="s">
        <v>9546</v>
      </c>
      <c r="N558" s="154" t="s">
        <v>9547</v>
      </c>
      <c r="O558" s="137"/>
      <c r="P558" s="137" t="s">
        <v>5122</v>
      </c>
      <c r="Q558" s="137" t="s">
        <v>5122</v>
      </c>
      <c r="R558" s="137"/>
      <c r="S558" s="137"/>
      <c r="T558" s="137" t="s">
        <v>5122</v>
      </c>
      <c r="U558" s="137"/>
      <c r="V558" s="137" t="s">
        <v>5122</v>
      </c>
      <c r="W558" s="137"/>
      <c r="X558" s="137"/>
      <c r="Y558" s="137"/>
      <c r="Z558" s="118" t="s">
        <v>7781</v>
      </c>
    </row>
    <row r="559" customHeight="1" spans="1:26">
      <c r="A559" s="137" t="s">
        <v>9548</v>
      </c>
      <c r="B559" s="137">
        <v>4</v>
      </c>
      <c r="C559" s="137" t="s">
        <v>339</v>
      </c>
      <c r="D559" s="137"/>
      <c r="E559" s="137" t="s">
        <v>5122</v>
      </c>
      <c r="F559" s="138" t="s">
        <v>321</v>
      </c>
      <c r="G559" s="137" t="s">
        <v>340</v>
      </c>
      <c r="H559" s="137" t="s">
        <v>7526</v>
      </c>
      <c r="I559" s="137" t="s">
        <v>7527</v>
      </c>
      <c r="J559" s="137" t="s">
        <v>7539</v>
      </c>
      <c r="K559" s="154" t="s">
        <v>9549</v>
      </c>
      <c r="L559" s="155" t="s">
        <v>352</v>
      </c>
      <c r="M559" s="154" t="s">
        <v>9550</v>
      </c>
      <c r="N559" s="154" t="s">
        <v>9551</v>
      </c>
      <c r="O559" s="137" t="s">
        <v>5122</v>
      </c>
      <c r="P559" s="137"/>
      <c r="Q559" s="137"/>
      <c r="R559" s="137"/>
      <c r="S559" s="137"/>
      <c r="T559" s="137" t="s">
        <v>5122</v>
      </c>
      <c r="U559" s="137"/>
      <c r="V559" s="137" t="s">
        <v>5122</v>
      </c>
      <c r="W559" s="137"/>
      <c r="X559" s="137"/>
      <c r="Y559" s="137"/>
      <c r="Z559" s="118" t="s">
        <v>7781</v>
      </c>
    </row>
    <row r="560" customHeight="1" spans="1:26">
      <c r="A560" s="137" t="s">
        <v>9552</v>
      </c>
      <c r="B560" s="137">
        <v>4</v>
      </c>
      <c r="C560" s="137" t="s">
        <v>339</v>
      </c>
      <c r="D560" s="137"/>
      <c r="E560" s="137"/>
      <c r="F560" s="138" t="s">
        <v>338</v>
      </c>
      <c r="G560" s="137" t="s">
        <v>7556</v>
      </c>
      <c r="H560" s="137" t="s">
        <v>7526</v>
      </c>
      <c r="I560" s="137" t="s">
        <v>7527</v>
      </c>
      <c r="J560" s="137" t="s">
        <v>7539</v>
      </c>
      <c r="K560" s="154" t="s">
        <v>9553</v>
      </c>
      <c r="L560" s="155" t="s">
        <v>344</v>
      </c>
      <c r="M560" s="154" t="s">
        <v>9554</v>
      </c>
      <c r="N560" s="154" t="s">
        <v>9555</v>
      </c>
      <c r="O560" s="137"/>
      <c r="P560" s="137" t="s">
        <v>5122</v>
      </c>
      <c r="Q560" s="137"/>
      <c r="R560" s="137"/>
      <c r="S560" s="137"/>
      <c r="T560" s="137" t="s">
        <v>5122</v>
      </c>
      <c r="U560" s="137"/>
      <c r="V560" s="137" t="s">
        <v>5122</v>
      </c>
      <c r="W560" s="137"/>
      <c r="X560" s="137"/>
      <c r="Y560" s="137"/>
      <c r="Z560" s="118" t="s">
        <v>7781</v>
      </c>
    </row>
    <row r="561" customHeight="1" spans="1:26">
      <c r="A561" s="125" t="s">
        <v>9556</v>
      </c>
      <c r="B561" s="125">
        <v>4</v>
      </c>
      <c r="C561" s="125" t="s">
        <v>328</v>
      </c>
      <c r="D561" s="125"/>
      <c r="E561" s="125"/>
      <c r="F561" s="126" t="s">
        <v>9557</v>
      </c>
      <c r="G561" s="125" t="s">
        <v>337</v>
      </c>
      <c r="H561" s="125" t="s">
        <v>7526</v>
      </c>
      <c r="I561" s="125"/>
      <c r="J561" s="125"/>
      <c r="K561" s="142"/>
      <c r="L561" s="143" t="s">
        <v>323</v>
      </c>
      <c r="M561" s="142" t="s">
        <v>9558</v>
      </c>
      <c r="N561" s="142" t="s">
        <v>9559</v>
      </c>
      <c r="O561" s="125" t="s">
        <v>5122</v>
      </c>
      <c r="P561" s="125"/>
      <c r="Q561" s="125"/>
      <c r="R561" s="125"/>
      <c r="S561" s="125"/>
      <c r="T561" s="125" t="s">
        <v>5122</v>
      </c>
      <c r="U561" s="125" t="s">
        <v>5122</v>
      </c>
      <c r="V561" s="125" t="s">
        <v>5122</v>
      </c>
      <c r="W561" s="125"/>
      <c r="X561" s="125"/>
      <c r="Y561" s="125"/>
      <c r="Z561" s="118" t="s">
        <v>90</v>
      </c>
    </row>
    <row r="562" customHeight="1" spans="1:26">
      <c r="A562" s="137" t="s">
        <v>9560</v>
      </c>
      <c r="B562" s="137">
        <v>4</v>
      </c>
      <c r="C562" s="137" t="s">
        <v>339</v>
      </c>
      <c r="D562" s="137"/>
      <c r="E562" s="137" t="s">
        <v>5122</v>
      </c>
      <c r="F562" s="138" t="s">
        <v>321</v>
      </c>
      <c r="G562" s="137" t="s">
        <v>343</v>
      </c>
      <c r="H562" s="137" t="s">
        <v>7526</v>
      </c>
      <c r="I562" s="137" t="s">
        <v>7527</v>
      </c>
      <c r="J562" s="137" t="s">
        <v>7539</v>
      </c>
      <c r="K562" s="154" t="s">
        <v>9561</v>
      </c>
      <c r="L562" s="155" t="s">
        <v>352</v>
      </c>
      <c r="M562" s="154" t="s">
        <v>9562</v>
      </c>
      <c r="N562" s="154" t="s">
        <v>9563</v>
      </c>
      <c r="O562" s="137" t="s">
        <v>5122</v>
      </c>
      <c r="P562" s="137" t="s">
        <v>5122</v>
      </c>
      <c r="Q562" s="137"/>
      <c r="R562" s="137"/>
      <c r="S562" s="137"/>
      <c r="T562" s="137"/>
      <c r="U562" s="137" t="s">
        <v>5122</v>
      </c>
      <c r="V562" s="137"/>
      <c r="W562" s="137"/>
      <c r="X562" s="137"/>
      <c r="Y562" s="137"/>
      <c r="Z562" s="118" t="s">
        <v>90</v>
      </c>
    </row>
    <row r="563" customHeight="1" spans="1:26">
      <c r="A563" s="123" t="s">
        <v>9564</v>
      </c>
      <c r="B563" s="123">
        <v>4</v>
      </c>
      <c r="C563" s="123" t="s">
        <v>324</v>
      </c>
      <c r="D563" s="123"/>
      <c r="E563" s="123"/>
      <c r="F563" s="124" t="s">
        <v>321</v>
      </c>
      <c r="G563" s="123" t="s">
        <v>337</v>
      </c>
      <c r="H563" s="123" t="s">
        <v>7526</v>
      </c>
      <c r="I563" s="123" t="s">
        <v>7527</v>
      </c>
      <c r="J563" s="123"/>
      <c r="K563" s="141"/>
      <c r="L563" s="139" t="s">
        <v>352</v>
      </c>
      <c r="M563" s="141" t="s">
        <v>9565</v>
      </c>
      <c r="N563" s="141" t="s">
        <v>9566</v>
      </c>
      <c r="O563" s="123"/>
      <c r="P563" s="123"/>
      <c r="Q563" s="123"/>
      <c r="R563" s="123"/>
      <c r="S563" s="123"/>
      <c r="T563" s="123" t="s">
        <v>5122</v>
      </c>
      <c r="U563" s="123"/>
      <c r="V563" s="123" t="s">
        <v>5122</v>
      </c>
      <c r="W563" s="123"/>
      <c r="X563" s="123"/>
      <c r="Y563" s="123"/>
      <c r="Z563" s="118" t="s">
        <v>90</v>
      </c>
    </row>
    <row r="564" customHeight="1" spans="1:26">
      <c r="A564" s="131" t="s">
        <v>9567</v>
      </c>
      <c r="B564" s="131">
        <v>5</v>
      </c>
      <c r="C564" s="131" t="s">
        <v>320</v>
      </c>
      <c r="D564" s="131"/>
      <c r="E564" s="131" t="s">
        <v>5122</v>
      </c>
      <c r="F564" s="132" t="s">
        <v>321</v>
      </c>
      <c r="G564" s="131" t="s">
        <v>343</v>
      </c>
      <c r="H564" s="131" t="s">
        <v>7526</v>
      </c>
      <c r="I564" s="131" t="s">
        <v>7527</v>
      </c>
      <c r="J564" s="131"/>
      <c r="K564" s="148"/>
      <c r="L564" s="149" t="s">
        <v>352</v>
      </c>
      <c r="M564" s="148" t="s">
        <v>9568</v>
      </c>
      <c r="N564" s="148" t="s">
        <v>9569</v>
      </c>
      <c r="O564" s="131" t="s">
        <v>5122</v>
      </c>
      <c r="P564" s="131"/>
      <c r="Q564" s="131"/>
      <c r="R564" s="131"/>
      <c r="S564" s="131"/>
      <c r="T564" s="131" t="s">
        <v>5122</v>
      </c>
      <c r="U564" s="131"/>
      <c r="V564" s="131" t="s">
        <v>5122</v>
      </c>
      <c r="W564" s="131" t="s">
        <v>5122</v>
      </c>
      <c r="X564" s="131"/>
      <c r="Y564" s="131"/>
      <c r="Z564" s="118" t="s">
        <v>7530</v>
      </c>
    </row>
    <row r="565" customHeight="1" spans="1:26">
      <c r="A565" s="125" t="s">
        <v>9570</v>
      </c>
      <c r="B565" s="125">
        <v>5</v>
      </c>
      <c r="C565" s="125" t="s">
        <v>328</v>
      </c>
      <c r="D565" s="125"/>
      <c r="E565" s="125" t="s">
        <v>5122</v>
      </c>
      <c r="F565" s="126" t="s">
        <v>321</v>
      </c>
      <c r="G565" s="125" t="s">
        <v>326</v>
      </c>
      <c r="H565" s="125" t="s">
        <v>7526</v>
      </c>
      <c r="I565" s="125" t="s">
        <v>7527</v>
      </c>
      <c r="J565" s="125"/>
      <c r="K565" s="142"/>
      <c r="L565" s="143" t="s">
        <v>359</v>
      </c>
      <c r="M565" s="142" t="s">
        <v>9571</v>
      </c>
      <c r="N565" s="142" t="s">
        <v>9572</v>
      </c>
      <c r="O565" s="125"/>
      <c r="P565" s="125"/>
      <c r="Q565" s="125" t="s">
        <v>5122</v>
      </c>
      <c r="R565" s="125"/>
      <c r="S565" s="125"/>
      <c r="T565" s="125"/>
      <c r="U565" s="125"/>
      <c r="V565" s="125"/>
      <c r="W565" s="125"/>
      <c r="X565" s="125"/>
      <c r="Y565" s="125" t="s">
        <v>5122</v>
      </c>
      <c r="Z565" s="118" t="s">
        <v>7530</v>
      </c>
    </row>
    <row r="566" customHeight="1" spans="1:26">
      <c r="A566" s="131" t="s">
        <v>9573</v>
      </c>
      <c r="B566" s="131">
        <v>5</v>
      </c>
      <c r="C566" s="131" t="s">
        <v>320</v>
      </c>
      <c r="D566" s="131"/>
      <c r="E566" s="131"/>
      <c r="F566" s="132" t="s">
        <v>341</v>
      </c>
      <c r="G566" s="131" t="s">
        <v>7535</v>
      </c>
      <c r="H566" s="131" t="s">
        <v>7526</v>
      </c>
      <c r="I566" s="131" t="s">
        <v>7527</v>
      </c>
      <c r="J566" s="131" t="s">
        <v>7539</v>
      </c>
      <c r="K566" s="148" t="s">
        <v>9574</v>
      </c>
      <c r="L566" s="149" t="s">
        <v>323</v>
      </c>
      <c r="M566" s="148" t="s">
        <v>9575</v>
      </c>
      <c r="N566" s="148" t="s">
        <v>9576</v>
      </c>
      <c r="O566" s="131" t="s">
        <v>5122</v>
      </c>
      <c r="P566" s="131"/>
      <c r="Q566" s="131" t="s">
        <v>5122</v>
      </c>
      <c r="R566" s="131"/>
      <c r="S566" s="131"/>
      <c r="T566" s="131"/>
      <c r="U566" s="131"/>
      <c r="V566" s="131"/>
      <c r="W566" s="131"/>
      <c r="X566" s="131"/>
      <c r="Y566" s="131"/>
      <c r="Z566" s="118" t="s">
        <v>7530</v>
      </c>
    </row>
    <row r="567" customHeight="1" spans="1:26">
      <c r="A567" s="137" t="s">
        <v>9577</v>
      </c>
      <c r="B567" s="137">
        <v>5</v>
      </c>
      <c r="C567" s="137" t="s">
        <v>339</v>
      </c>
      <c r="D567" s="137"/>
      <c r="E567" s="137" t="s">
        <v>5122</v>
      </c>
      <c r="F567" s="138" t="s">
        <v>7871</v>
      </c>
      <c r="G567" s="137" t="s">
        <v>326</v>
      </c>
      <c r="H567" s="137" t="s">
        <v>7526</v>
      </c>
      <c r="I567" s="137"/>
      <c r="J567" s="137"/>
      <c r="K567" s="154"/>
      <c r="L567" s="155" t="s">
        <v>352</v>
      </c>
      <c r="M567" s="154" t="s">
        <v>9578</v>
      </c>
      <c r="N567" s="154" t="s">
        <v>9579</v>
      </c>
      <c r="O567" s="137"/>
      <c r="P567" s="137"/>
      <c r="Q567" s="137"/>
      <c r="R567" s="137" t="s">
        <v>5122</v>
      </c>
      <c r="S567" s="137"/>
      <c r="T567" s="137"/>
      <c r="U567" s="137"/>
      <c r="V567" s="137"/>
      <c r="W567" s="137"/>
      <c r="X567" s="137"/>
      <c r="Y567" s="137"/>
      <c r="Z567" s="118" t="s">
        <v>7530</v>
      </c>
    </row>
    <row r="568" customHeight="1" spans="1:26">
      <c r="A568" s="123" t="s">
        <v>9580</v>
      </c>
      <c r="B568" s="123">
        <v>5</v>
      </c>
      <c r="C568" s="123" t="s">
        <v>324</v>
      </c>
      <c r="D568" s="123"/>
      <c r="E568" s="123" t="s">
        <v>5122</v>
      </c>
      <c r="F568" s="124" t="s">
        <v>321</v>
      </c>
      <c r="G568" s="123" t="s">
        <v>343</v>
      </c>
      <c r="H568" s="123" t="s">
        <v>7526</v>
      </c>
      <c r="I568" s="123" t="s">
        <v>7527</v>
      </c>
      <c r="J568" s="123" t="s">
        <v>7539</v>
      </c>
      <c r="K568" s="141" t="s">
        <v>9581</v>
      </c>
      <c r="L568" s="139" t="s">
        <v>352</v>
      </c>
      <c r="M568" s="141" t="s">
        <v>9582</v>
      </c>
      <c r="N568" s="141" t="s">
        <v>9583</v>
      </c>
      <c r="O568" s="123"/>
      <c r="P568" s="123"/>
      <c r="Q568" s="123"/>
      <c r="R568" s="123"/>
      <c r="S568" s="123"/>
      <c r="T568" s="123" t="s">
        <v>5122</v>
      </c>
      <c r="U568" s="123"/>
      <c r="V568" s="123" t="s">
        <v>5122</v>
      </c>
      <c r="W568" s="123" t="s">
        <v>5122</v>
      </c>
      <c r="X568" s="123"/>
      <c r="Y568" s="123"/>
      <c r="Z568" s="118" t="s">
        <v>7530</v>
      </c>
    </row>
    <row r="569" customHeight="1" spans="1:26">
      <c r="A569" s="125" t="s">
        <v>9584</v>
      </c>
      <c r="B569" s="125">
        <v>5</v>
      </c>
      <c r="C569" s="125" t="s">
        <v>328</v>
      </c>
      <c r="D569" s="125"/>
      <c r="E569" s="125" t="s">
        <v>5122</v>
      </c>
      <c r="F569" s="126" t="s">
        <v>321</v>
      </c>
      <c r="G569" s="125" t="s">
        <v>326</v>
      </c>
      <c r="H569" s="125" t="s">
        <v>7526</v>
      </c>
      <c r="I569" s="125"/>
      <c r="J569" s="125"/>
      <c r="K569" s="142"/>
      <c r="L569" s="143" t="s">
        <v>356</v>
      </c>
      <c r="M569" s="142" t="s">
        <v>9585</v>
      </c>
      <c r="N569" s="142" t="s">
        <v>9586</v>
      </c>
      <c r="O569" s="125"/>
      <c r="P569" s="125" t="s">
        <v>5122</v>
      </c>
      <c r="Q569" s="125"/>
      <c r="R569" s="125" t="s">
        <v>5122</v>
      </c>
      <c r="S569" s="125"/>
      <c r="T569" s="125"/>
      <c r="U569" s="125"/>
      <c r="V569" s="125" t="s">
        <v>5122</v>
      </c>
      <c r="W569" s="125" t="s">
        <v>5122</v>
      </c>
      <c r="X569" s="125"/>
      <c r="Y569" s="125"/>
      <c r="Z569" s="118" t="s">
        <v>7530</v>
      </c>
    </row>
    <row r="570" customHeight="1" spans="1:26">
      <c r="A570" s="137" t="s">
        <v>9587</v>
      </c>
      <c r="B570" s="137">
        <v>5</v>
      </c>
      <c r="C570" s="137" t="s">
        <v>339</v>
      </c>
      <c r="D570" s="137"/>
      <c r="E570" s="137" t="s">
        <v>5122</v>
      </c>
      <c r="F570" s="138" t="s">
        <v>321</v>
      </c>
      <c r="G570" s="137" t="s">
        <v>343</v>
      </c>
      <c r="H570" s="137" t="s">
        <v>7526</v>
      </c>
      <c r="I570" s="137" t="s">
        <v>7527</v>
      </c>
      <c r="J570" s="137"/>
      <c r="K570" s="154"/>
      <c r="L570" s="155" t="s">
        <v>356</v>
      </c>
      <c r="M570" s="154" t="s">
        <v>9588</v>
      </c>
      <c r="N570" s="154" t="s">
        <v>9589</v>
      </c>
      <c r="O570" s="137"/>
      <c r="P570" s="137"/>
      <c r="Q570" s="137"/>
      <c r="R570" s="137"/>
      <c r="S570" s="137"/>
      <c r="T570" s="137" t="s">
        <v>5122</v>
      </c>
      <c r="U570" s="137"/>
      <c r="V570" s="137" t="s">
        <v>5122</v>
      </c>
      <c r="W570" s="137"/>
      <c r="X570" s="137"/>
      <c r="Y570" s="137" t="s">
        <v>5122</v>
      </c>
      <c r="Z570" s="118" t="s">
        <v>7530</v>
      </c>
    </row>
    <row r="571" customHeight="1" spans="1:26">
      <c r="A571" s="135" t="s">
        <v>9590</v>
      </c>
      <c r="B571" s="135">
        <v>5</v>
      </c>
      <c r="C571" s="135" t="s">
        <v>335</v>
      </c>
      <c r="D571" s="135" t="s">
        <v>5122</v>
      </c>
      <c r="E571" s="135"/>
      <c r="F571" s="136" t="s">
        <v>336</v>
      </c>
      <c r="G571" s="135" t="s">
        <v>326</v>
      </c>
      <c r="H571" s="135" t="s">
        <v>7526</v>
      </c>
      <c r="I571" s="135" t="s">
        <v>7527</v>
      </c>
      <c r="J571" s="135" t="s">
        <v>7539</v>
      </c>
      <c r="K571" s="152" t="s">
        <v>9591</v>
      </c>
      <c r="L571" s="153" t="s">
        <v>329</v>
      </c>
      <c r="M571" s="152" t="s">
        <v>9592</v>
      </c>
      <c r="N571" s="152" t="s">
        <v>9593</v>
      </c>
      <c r="O571" s="135"/>
      <c r="P571" s="135" t="s">
        <v>5122</v>
      </c>
      <c r="Q571" s="135"/>
      <c r="R571" s="135"/>
      <c r="S571" s="135"/>
      <c r="T571" s="135"/>
      <c r="U571" s="135"/>
      <c r="V571" s="135"/>
      <c r="W571" s="135"/>
      <c r="X571" s="135"/>
      <c r="Y571" s="135"/>
      <c r="Z571" s="118" t="s">
        <v>7530</v>
      </c>
    </row>
    <row r="572" customHeight="1" spans="1:26">
      <c r="A572" s="135" t="s">
        <v>9594</v>
      </c>
      <c r="B572" s="135">
        <v>5</v>
      </c>
      <c r="C572" s="135" t="s">
        <v>335</v>
      </c>
      <c r="D572" s="135" t="s">
        <v>5122</v>
      </c>
      <c r="E572" s="135"/>
      <c r="F572" s="136" t="s">
        <v>336</v>
      </c>
      <c r="G572" s="135" t="s">
        <v>326</v>
      </c>
      <c r="H572" s="135" t="s">
        <v>7526</v>
      </c>
      <c r="I572" s="135" t="s">
        <v>7527</v>
      </c>
      <c r="J572" s="135"/>
      <c r="K572" s="152"/>
      <c r="L572" s="153" t="s">
        <v>323</v>
      </c>
      <c r="M572" s="152" t="s">
        <v>9595</v>
      </c>
      <c r="N572" s="152" t="s">
        <v>9596</v>
      </c>
      <c r="O572" s="135"/>
      <c r="P572" s="135"/>
      <c r="Q572" s="135" t="s">
        <v>5122</v>
      </c>
      <c r="R572" s="135"/>
      <c r="S572" s="135" t="s">
        <v>5122</v>
      </c>
      <c r="T572" s="135"/>
      <c r="U572" s="135"/>
      <c r="V572" s="135"/>
      <c r="W572" s="135"/>
      <c r="X572" s="135"/>
      <c r="Y572" s="135"/>
      <c r="Z572" s="118" t="s">
        <v>7530</v>
      </c>
    </row>
    <row r="573" customHeight="1" spans="1:26">
      <c r="A573" s="123" t="s">
        <v>9597</v>
      </c>
      <c r="B573" s="123">
        <v>5</v>
      </c>
      <c r="C573" s="123" t="s">
        <v>324</v>
      </c>
      <c r="D573" s="123"/>
      <c r="E573" s="123"/>
      <c r="F573" s="124" t="s">
        <v>321</v>
      </c>
      <c r="G573" s="123" t="s">
        <v>326</v>
      </c>
      <c r="H573" s="123" t="s">
        <v>7526</v>
      </c>
      <c r="I573" s="123" t="s">
        <v>7527</v>
      </c>
      <c r="J573" s="123" t="s">
        <v>7539</v>
      </c>
      <c r="K573" s="141" t="s">
        <v>9598</v>
      </c>
      <c r="L573" s="139" t="s">
        <v>323</v>
      </c>
      <c r="M573" s="141" t="s">
        <v>9599</v>
      </c>
      <c r="N573" s="141" t="s">
        <v>9600</v>
      </c>
      <c r="O573" s="123"/>
      <c r="P573" s="123"/>
      <c r="Q573" s="123" t="s">
        <v>5122</v>
      </c>
      <c r="R573" s="123"/>
      <c r="S573" s="123"/>
      <c r="T573" s="123" t="s">
        <v>5122</v>
      </c>
      <c r="U573" s="123"/>
      <c r="V573" s="123" t="s">
        <v>5122</v>
      </c>
      <c r="W573" s="123"/>
      <c r="X573" s="123"/>
      <c r="Y573" s="123"/>
      <c r="Z573" s="118" t="s">
        <v>7530</v>
      </c>
    </row>
    <row r="574" customHeight="1" spans="1:26">
      <c r="A574" s="137" t="s">
        <v>9601</v>
      </c>
      <c r="B574" s="137">
        <v>5</v>
      </c>
      <c r="C574" s="137" t="s">
        <v>339</v>
      </c>
      <c r="D574" s="137"/>
      <c r="E574" s="137" t="s">
        <v>5122</v>
      </c>
      <c r="F574" s="138" t="s">
        <v>321</v>
      </c>
      <c r="G574" s="137" t="s">
        <v>337</v>
      </c>
      <c r="H574" s="137" t="s">
        <v>7526</v>
      </c>
      <c r="I574" s="137" t="s">
        <v>7527</v>
      </c>
      <c r="J574" s="137"/>
      <c r="K574" s="154"/>
      <c r="L574" s="155" t="s">
        <v>356</v>
      </c>
      <c r="M574" s="154" t="s">
        <v>9602</v>
      </c>
      <c r="N574" s="154" t="s">
        <v>9603</v>
      </c>
      <c r="O574" s="137"/>
      <c r="P574" s="137"/>
      <c r="Q574" s="137" t="s">
        <v>5122</v>
      </c>
      <c r="R574" s="137"/>
      <c r="S574" s="137"/>
      <c r="T574" s="137"/>
      <c r="U574" s="137"/>
      <c r="V574" s="137" t="s">
        <v>5122</v>
      </c>
      <c r="W574" s="137"/>
      <c r="X574" s="137"/>
      <c r="Y574" s="137"/>
      <c r="Z574" s="118" t="s">
        <v>7530</v>
      </c>
    </row>
    <row r="575" customHeight="1" spans="1:26">
      <c r="A575" s="137" t="s">
        <v>9604</v>
      </c>
      <c r="B575" s="137">
        <v>5</v>
      </c>
      <c r="C575" s="137" t="s">
        <v>339</v>
      </c>
      <c r="D575" s="137"/>
      <c r="E575" s="137"/>
      <c r="F575" s="138" t="s">
        <v>321</v>
      </c>
      <c r="G575" s="137" t="s">
        <v>348</v>
      </c>
      <c r="H575" s="137" t="s">
        <v>7526</v>
      </c>
      <c r="I575" s="137" t="s">
        <v>7527</v>
      </c>
      <c r="J575" s="137" t="s">
        <v>7539</v>
      </c>
      <c r="K575" s="154" t="s">
        <v>8809</v>
      </c>
      <c r="L575" s="155" t="s">
        <v>323</v>
      </c>
      <c r="M575" s="154" t="s">
        <v>9605</v>
      </c>
      <c r="N575" s="154" t="s">
        <v>9606</v>
      </c>
      <c r="O575" s="137"/>
      <c r="P575" s="137"/>
      <c r="Q575" s="137"/>
      <c r="R575" s="137"/>
      <c r="S575" s="137" t="s">
        <v>5122</v>
      </c>
      <c r="T575" s="137"/>
      <c r="U575" s="137"/>
      <c r="V575" s="137"/>
      <c r="W575" s="137"/>
      <c r="X575" s="137"/>
      <c r="Y575" s="137"/>
      <c r="Z575" s="118" t="s">
        <v>7530</v>
      </c>
    </row>
    <row r="576" customHeight="1" spans="1:26">
      <c r="A576" s="135" t="s">
        <v>9607</v>
      </c>
      <c r="B576" s="135">
        <v>5</v>
      </c>
      <c r="C576" s="135" t="s">
        <v>335</v>
      </c>
      <c r="D576" s="135" t="s">
        <v>5122</v>
      </c>
      <c r="E576" s="135"/>
      <c r="F576" s="136" t="s">
        <v>336</v>
      </c>
      <c r="G576" s="135" t="s">
        <v>326</v>
      </c>
      <c r="H576" s="135" t="s">
        <v>7526</v>
      </c>
      <c r="I576" s="135"/>
      <c r="J576" s="135"/>
      <c r="K576" s="152"/>
      <c r="L576" s="153" t="s">
        <v>329</v>
      </c>
      <c r="M576" s="152" t="s">
        <v>9608</v>
      </c>
      <c r="N576" s="152" t="s">
        <v>9609</v>
      </c>
      <c r="O576" s="135"/>
      <c r="P576" s="135"/>
      <c r="Q576" s="135"/>
      <c r="R576" s="135"/>
      <c r="S576" s="135"/>
      <c r="T576" s="135"/>
      <c r="U576" s="135" t="s">
        <v>5122</v>
      </c>
      <c r="V576" s="135" t="s">
        <v>5122</v>
      </c>
      <c r="W576" s="135"/>
      <c r="X576" s="135"/>
      <c r="Y576" s="135" t="s">
        <v>5122</v>
      </c>
      <c r="Z576" s="118" t="s">
        <v>7530</v>
      </c>
    </row>
    <row r="577" customHeight="1" spans="1:26">
      <c r="A577" s="127" t="s">
        <v>9610</v>
      </c>
      <c r="B577" s="127">
        <v>5</v>
      </c>
      <c r="C577" s="127" t="s">
        <v>331</v>
      </c>
      <c r="D577" s="127"/>
      <c r="E577" s="127"/>
      <c r="F577" s="128" t="s">
        <v>321</v>
      </c>
      <c r="G577" s="127" t="s">
        <v>7535</v>
      </c>
      <c r="H577" s="127" t="s">
        <v>7526</v>
      </c>
      <c r="I577" s="127" t="s">
        <v>7527</v>
      </c>
      <c r="J577" s="127"/>
      <c r="K577" s="144"/>
      <c r="L577" s="145" t="s">
        <v>363</v>
      </c>
      <c r="M577" s="144" t="s">
        <v>9611</v>
      </c>
      <c r="N577" s="144" t="s">
        <v>9612</v>
      </c>
      <c r="O577" s="127"/>
      <c r="P577" s="127" t="s">
        <v>5122</v>
      </c>
      <c r="Q577" s="127" t="s">
        <v>5122</v>
      </c>
      <c r="R577" s="127"/>
      <c r="S577" s="127"/>
      <c r="T577" s="127"/>
      <c r="U577" s="127"/>
      <c r="V577" s="127"/>
      <c r="W577" s="127"/>
      <c r="X577" s="127"/>
      <c r="Y577" s="127"/>
      <c r="Z577" s="118" t="s">
        <v>7530</v>
      </c>
    </row>
    <row r="578" customHeight="1" spans="1:26">
      <c r="A578" s="129" t="s">
        <v>9613</v>
      </c>
      <c r="B578" s="129">
        <v>5</v>
      </c>
      <c r="C578" s="129" t="s">
        <v>347</v>
      </c>
      <c r="D578" s="129"/>
      <c r="E578" s="129"/>
      <c r="F578" s="130" t="s">
        <v>329</v>
      </c>
      <c r="G578" s="129" t="s">
        <v>333</v>
      </c>
      <c r="H578" s="129" t="s">
        <v>7526</v>
      </c>
      <c r="I578" s="129" t="s">
        <v>7527</v>
      </c>
      <c r="J578" s="129" t="s">
        <v>7539</v>
      </c>
      <c r="K578" s="146" t="s">
        <v>9614</v>
      </c>
      <c r="L578" s="147" t="s">
        <v>368</v>
      </c>
      <c r="M578" s="146" t="s">
        <v>9615</v>
      </c>
      <c r="N578" s="146" t="s">
        <v>9616</v>
      </c>
      <c r="O578" s="129"/>
      <c r="P578" s="129"/>
      <c r="Q578" s="129"/>
      <c r="R578" s="129"/>
      <c r="S578" s="129"/>
      <c r="T578" s="129" t="s">
        <v>5122</v>
      </c>
      <c r="U578" s="129"/>
      <c r="V578" s="129" t="s">
        <v>5122</v>
      </c>
      <c r="W578" s="129" t="s">
        <v>5122</v>
      </c>
      <c r="X578" s="129"/>
      <c r="Y578" s="129"/>
      <c r="Z578" s="118" t="s">
        <v>7530</v>
      </c>
    </row>
    <row r="579" customHeight="1" spans="1:26">
      <c r="A579" s="123" t="s">
        <v>9617</v>
      </c>
      <c r="B579" s="123">
        <v>5</v>
      </c>
      <c r="C579" s="123" t="s">
        <v>324</v>
      </c>
      <c r="D579" s="123"/>
      <c r="E579" s="123"/>
      <c r="F579" s="124" t="s">
        <v>321</v>
      </c>
      <c r="G579" s="123" t="s">
        <v>326</v>
      </c>
      <c r="H579" s="123" t="s">
        <v>7526</v>
      </c>
      <c r="I579" s="123"/>
      <c r="J579" s="123"/>
      <c r="K579" s="141"/>
      <c r="L579" s="139" t="s">
        <v>323</v>
      </c>
      <c r="M579" s="141" t="s">
        <v>9618</v>
      </c>
      <c r="N579" s="141" t="s">
        <v>9619</v>
      </c>
      <c r="O579" s="123"/>
      <c r="P579" s="123"/>
      <c r="Q579" s="123"/>
      <c r="R579" s="123" t="s">
        <v>5122</v>
      </c>
      <c r="S579" s="123"/>
      <c r="T579" s="123"/>
      <c r="U579" s="123"/>
      <c r="V579" s="123"/>
      <c r="W579" s="123"/>
      <c r="X579" s="123"/>
      <c r="Y579" s="123"/>
      <c r="Z579" s="118" t="s">
        <v>7530</v>
      </c>
    </row>
    <row r="580" customHeight="1" spans="1:26">
      <c r="A580" s="125" t="s">
        <v>9620</v>
      </c>
      <c r="B580" s="125">
        <v>5</v>
      </c>
      <c r="C580" s="125" t="s">
        <v>328</v>
      </c>
      <c r="D580" s="125"/>
      <c r="E580" s="125" t="s">
        <v>5122</v>
      </c>
      <c r="F580" s="126" t="s">
        <v>321</v>
      </c>
      <c r="G580" s="125" t="s">
        <v>326</v>
      </c>
      <c r="H580" s="125" t="s">
        <v>7526</v>
      </c>
      <c r="I580" s="125" t="s">
        <v>7527</v>
      </c>
      <c r="J580" s="125" t="s">
        <v>7539</v>
      </c>
      <c r="K580" s="142" t="s">
        <v>9621</v>
      </c>
      <c r="L580" s="143" t="s">
        <v>352</v>
      </c>
      <c r="M580" s="142" t="s">
        <v>9622</v>
      </c>
      <c r="N580" s="142" t="s">
        <v>9623</v>
      </c>
      <c r="O580" s="125"/>
      <c r="P580" s="125" t="s">
        <v>5122</v>
      </c>
      <c r="Q580" s="125"/>
      <c r="R580" s="125" t="s">
        <v>5122</v>
      </c>
      <c r="S580" s="125"/>
      <c r="T580" s="125"/>
      <c r="U580" s="125"/>
      <c r="V580" s="125"/>
      <c r="W580" s="125"/>
      <c r="X580" s="125"/>
      <c r="Y580" s="125"/>
      <c r="Z580" s="118" t="s">
        <v>7530</v>
      </c>
    </row>
    <row r="581" customHeight="1" spans="1:26">
      <c r="A581" s="133" t="s">
        <v>9624</v>
      </c>
      <c r="B581" s="133">
        <v>5</v>
      </c>
      <c r="C581" s="133" t="s">
        <v>342</v>
      </c>
      <c r="D581" s="133"/>
      <c r="E581" s="133" t="s">
        <v>5122</v>
      </c>
      <c r="F581" s="134" t="s">
        <v>321</v>
      </c>
      <c r="G581" s="133" t="s">
        <v>337</v>
      </c>
      <c r="H581" s="133" t="s">
        <v>7526</v>
      </c>
      <c r="I581" s="133" t="s">
        <v>7527</v>
      </c>
      <c r="J581" s="133"/>
      <c r="K581" s="150"/>
      <c r="L581" s="151" t="s">
        <v>352</v>
      </c>
      <c r="M581" s="150" t="s">
        <v>9625</v>
      </c>
      <c r="N581" s="150" t="s">
        <v>9626</v>
      </c>
      <c r="O581" s="133" t="s">
        <v>5122</v>
      </c>
      <c r="P581" s="133"/>
      <c r="Q581" s="133"/>
      <c r="R581" s="133"/>
      <c r="S581" s="133"/>
      <c r="T581" s="133" t="s">
        <v>5122</v>
      </c>
      <c r="U581" s="133"/>
      <c r="V581" s="133" t="s">
        <v>5122</v>
      </c>
      <c r="W581" s="133"/>
      <c r="X581" s="133"/>
      <c r="Y581" s="133"/>
      <c r="Z581" s="118" t="s">
        <v>7530</v>
      </c>
    </row>
    <row r="582" customHeight="1" spans="1:26">
      <c r="A582" s="129" t="s">
        <v>9627</v>
      </c>
      <c r="B582" s="129">
        <v>5</v>
      </c>
      <c r="C582" s="129" t="s">
        <v>347</v>
      </c>
      <c r="D582" s="129"/>
      <c r="E582" s="129"/>
      <c r="F582" s="130" t="s">
        <v>329</v>
      </c>
      <c r="G582" s="129" t="s">
        <v>368</v>
      </c>
      <c r="H582" s="129" t="s">
        <v>7526</v>
      </c>
      <c r="I582" s="129" t="s">
        <v>7527</v>
      </c>
      <c r="J582" s="129" t="s">
        <v>7539</v>
      </c>
      <c r="K582" s="146" t="s">
        <v>9628</v>
      </c>
      <c r="L582" s="147" t="s">
        <v>341</v>
      </c>
      <c r="M582" s="146" t="s">
        <v>9629</v>
      </c>
      <c r="N582" s="146" t="s">
        <v>9630</v>
      </c>
      <c r="O582" s="129" t="s">
        <v>5122</v>
      </c>
      <c r="P582" s="129"/>
      <c r="Q582" s="129"/>
      <c r="R582" s="129"/>
      <c r="S582" s="129"/>
      <c r="T582" s="129"/>
      <c r="U582" s="129" t="s">
        <v>5122</v>
      </c>
      <c r="V582" s="129" t="s">
        <v>5122</v>
      </c>
      <c r="W582" s="129"/>
      <c r="X582" s="129"/>
      <c r="Y582" s="129"/>
      <c r="Z582" s="118" t="s">
        <v>7530</v>
      </c>
    </row>
    <row r="583" customHeight="1" spans="1:26">
      <c r="A583" s="123" t="s">
        <v>9631</v>
      </c>
      <c r="B583" s="123">
        <v>5</v>
      </c>
      <c r="C583" s="123" t="s">
        <v>324</v>
      </c>
      <c r="D583" s="123"/>
      <c r="E583" s="123"/>
      <c r="F583" s="124" t="s">
        <v>321</v>
      </c>
      <c r="G583" s="123" t="s">
        <v>337</v>
      </c>
      <c r="H583" s="123" t="s">
        <v>7526</v>
      </c>
      <c r="I583" s="123" t="s">
        <v>7527</v>
      </c>
      <c r="J583" s="123" t="s">
        <v>7539</v>
      </c>
      <c r="K583" s="141" t="s">
        <v>9632</v>
      </c>
      <c r="L583" s="139" t="s">
        <v>323</v>
      </c>
      <c r="M583" s="141" t="s">
        <v>9633</v>
      </c>
      <c r="N583" s="141" t="s">
        <v>9634</v>
      </c>
      <c r="O583" s="123"/>
      <c r="P583" s="123" t="s">
        <v>5122</v>
      </c>
      <c r="Q583" s="123"/>
      <c r="R583" s="123"/>
      <c r="S583" s="123"/>
      <c r="T583" s="123"/>
      <c r="U583" s="123"/>
      <c r="V583" s="123"/>
      <c r="W583" s="123"/>
      <c r="X583" s="123"/>
      <c r="Y583" s="123"/>
      <c r="Z583" s="118" t="s">
        <v>7530</v>
      </c>
    </row>
    <row r="584" customHeight="1" spans="1:26">
      <c r="A584" s="133" t="s">
        <v>9635</v>
      </c>
      <c r="B584" s="133">
        <v>5</v>
      </c>
      <c r="C584" s="133" t="s">
        <v>342</v>
      </c>
      <c r="D584" s="133"/>
      <c r="E584" s="133"/>
      <c r="F584" s="134" t="s">
        <v>329</v>
      </c>
      <c r="G584" s="133" t="s">
        <v>337</v>
      </c>
      <c r="H584" s="133" t="s">
        <v>7526</v>
      </c>
      <c r="I584" s="133"/>
      <c r="J584" s="133"/>
      <c r="K584" s="150"/>
      <c r="L584" s="151" t="s">
        <v>365</v>
      </c>
      <c r="M584" s="150" t="s">
        <v>9636</v>
      </c>
      <c r="N584" s="150" t="s">
        <v>9637</v>
      </c>
      <c r="O584" s="133" t="s">
        <v>5122</v>
      </c>
      <c r="P584" s="133" t="s">
        <v>5122</v>
      </c>
      <c r="Q584" s="133" t="s">
        <v>5122</v>
      </c>
      <c r="R584" s="133" t="s">
        <v>5122</v>
      </c>
      <c r="S584" s="133"/>
      <c r="T584" s="133"/>
      <c r="U584" s="133"/>
      <c r="V584" s="133" t="s">
        <v>5122</v>
      </c>
      <c r="W584" s="133"/>
      <c r="X584" s="133"/>
      <c r="Y584" s="133"/>
      <c r="Z584" s="118" t="s">
        <v>7530</v>
      </c>
    </row>
    <row r="585" customHeight="1" spans="1:26">
      <c r="A585" s="125" t="s">
        <v>9638</v>
      </c>
      <c r="B585" s="125">
        <v>5</v>
      </c>
      <c r="C585" s="125" t="s">
        <v>328</v>
      </c>
      <c r="D585" s="125"/>
      <c r="E585" s="125"/>
      <c r="F585" s="126" t="s">
        <v>321</v>
      </c>
      <c r="G585" s="125" t="s">
        <v>7535</v>
      </c>
      <c r="H585" s="125" t="s">
        <v>7526</v>
      </c>
      <c r="I585" s="125" t="s">
        <v>7527</v>
      </c>
      <c r="J585" s="125" t="s">
        <v>7539</v>
      </c>
      <c r="K585" s="142" t="s">
        <v>9639</v>
      </c>
      <c r="L585" s="143" t="s">
        <v>323</v>
      </c>
      <c r="M585" s="142" t="s">
        <v>9640</v>
      </c>
      <c r="N585" s="142" t="s">
        <v>9641</v>
      </c>
      <c r="O585" s="125" t="s">
        <v>5122</v>
      </c>
      <c r="P585" s="125" t="s">
        <v>5122</v>
      </c>
      <c r="Q585" s="125" t="s">
        <v>5122</v>
      </c>
      <c r="R585" s="125" t="s">
        <v>5122</v>
      </c>
      <c r="S585" s="125" t="s">
        <v>5122</v>
      </c>
      <c r="T585" s="125"/>
      <c r="U585" s="125"/>
      <c r="V585" s="125"/>
      <c r="W585" s="125" t="s">
        <v>5122</v>
      </c>
      <c r="X585" s="125"/>
      <c r="Y585" s="125" t="s">
        <v>5122</v>
      </c>
      <c r="Z585" s="118" t="s">
        <v>7530</v>
      </c>
    </row>
    <row r="586" customHeight="1" spans="1:26">
      <c r="A586" s="125" t="s">
        <v>9642</v>
      </c>
      <c r="B586" s="125">
        <v>5</v>
      </c>
      <c r="C586" s="125" t="s">
        <v>328</v>
      </c>
      <c r="D586" s="125"/>
      <c r="E586" s="125"/>
      <c r="F586" s="126" t="s">
        <v>344</v>
      </c>
      <c r="G586" s="125" t="s">
        <v>7535</v>
      </c>
      <c r="H586" s="125" t="s">
        <v>7526</v>
      </c>
      <c r="I586" s="125" t="s">
        <v>7527</v>
      </c>
      <c r="J586" s="125" t="s">
        <v>7539</v>
      </c>
      <c r="K586" s="142" t="s">
        <v>9643</v>
      </c>
      <c r="L586" s="143" t="s">
        <v>9318</v>
      </c>
      <c r="M586" s="142" t="s">
        <v>9644</v>
      </c>
      <c r="N586" s="142" t="s">
        <v>9645</v>
      </c>
      <c r="O586" s="125"/>
      <c r="P586" s="125" t="s">
        <v>5122</v>
      </c>
      <c r="Q586" s="125"/>
      <c r="R586" s="125"/>
      <c r="S586" s="125"/>
      <c r="T586" s="125"/>
      <c r="U586" s="125"/>
      <c r="V586" s="125"/>
      <c r="W586" s="125"/>
      <c r="X586" s="125"/>
      <c r="Y586" s="125"/>
      <c r="Z586" s="118" t="s">
        <v>7530</v>
      </c>
    </row>
    <row r="587" customHeight="1" spans="1:26">
      <c r="A587" s="133" t="s">
        <v>9646</v>
      </c>
      <c r="B587" s="133">
        <v>5</v>
      </c>
      <c r="C587" s="133" t="s">
        <v>342</v>
      </c>
      <c r="D587" s="133"/>
      <c r="E587" s="133" t="s">
        <v>5122</v>
      </c>
      <c r="F587" s="134" t="s">
        <v>321</v>
      </c>
      <c r="G587" s="133" t="s">
        <v>340</v>
      </c>
      <c r="H587" s="133" t="s">
        <v>7526</v>
      </c>
      <c r="I587" s="133" t="s">
        <v>7527</v>
      </c>
      <c r="J587" s="133" t="s">
        <v>7539</v>
      </c>
      <c r="K587" s="150" t="s">
        <v>8361</v>
      </c>
      <c r="L587" s="151" t="s">
        <v>352</v>
      </c>
      <c r="M587" s="150" t="s">
        <v>9647</v>
      </c>
      <c r="N587" s="150" t="s">
        <v>9648</v>
      </c>
      <c r="O587" s="133" t="s">
        <v>5122</v>
      </c>
      <c r="P587" s="133"/>
      <c r="Q587" s="133"/>
      <c r="R587" s="133"/>
      <c r="S587" s="133"/>
      <c r="T587" s="133" t="s">
        <v>5122</v>
      </c>
      <c r="U587" s="133" t="s">
        <v>5122</v>
      </c>
      <c r="V587" s="133" t="s">
        <v>5122</v>
      </c>
      <c r="W587" s="133"/>
      <c r="X587" s="133"/>
      <c r="Y587" s="133" t="s">
        <v>5122</v>
      </c>
      <c r="Z587" s="118" t="s">
        <v>7530</v>
      </c>
    </row>
    <row r="588" customHeight="1" spans="1:26">
      <c r="A588" s="137" t="s">
        <v>9649</v>
      </c>
      <c r="B588" s="137">
        <v>5</v>
      </c>
      <c r="C588" s="137" t="s">
        <v>339</v>
      </c>
      <c r="D588" s="137"/>
      <c r="E588" s="137" t="s">
        <v>5122</v>
      </c>
      <c r="F588" s="138" t="s">
        <v>321</v>
      </c>
      <c r="G588" s="137" t="s">
        <v>351</v>
      </c>
      <c r="H588" s="137" t="s">
        <v>7526</v>
      </c>
      <c r="I588" s="137" t="s">
        <v>7527</v>
      </c>
      <c r="J588" s="137" t="s">
        <v>7539</v>
      </c>
      <c r="K588" s="154" t="s">
        <v>9650</v>
      </c>
      <c r="L588" s="155" t="s">
        <v>356</v>
      </c>
      <c r="M588" s="154" t="s">
        <v>9651</v>
      </c>
      <c r="N588" s="154" t="s">
        <v>9652</v>
      </c>
      <c r="O588" s="137"/>
      <c r="P588" s="137" t="s">
        <v>5122</v>
      </c>
      <c r="Q588" s="137" t="s">
        <v>5122</v>
      </c>
      <c r="R588" s="137"/>
      <c r="S588" s="137"/>
      <c r="T588" s="137" t="s">
        <v>5122</v>
      </c>
      <c r="U588" s="137"/>
      <c r="V588" s="137"/>
      <c r="W588" s="137"/>
      <c r="X588" s="137"/>
      <c r="Y588" s="137"/>
      <c r="Z588" s="118" t="s">
        <v>7530</v>
      </c>
    </row>
    <row r="589" customHeight="1" spans="1:26">
      <c r="A589" s="123" t="s">
        <v>9653</v>
      </c>
      <c r="B589" s="123">
        <v>5</v>
      </c>
      <c r="C589" s="123" t="s">
        <v>324</v>
      </c>
      <c r="D589" s="123"/>
      <c r="E589" s="123" t="s">
        <v>5122</v>
      </c>
      <c r="F589" s="124" t="s">
        <v>321</v>
      </c>
      <c r="G589" s="123" t="s">
        <v>343</v>
      </c>
      <c r="H589" s="123" t="s">
        <v>7526</v>
      </c>
      <c r="I589" s="123" t="s">
        <v>7527</v>
      </c>
      <c r="J589" s="123" t="s">
        <v>7539</v>
      </c>
      <c r="K589" s="141" t="s">
        <v>9654</v>
      </c>
      <c r="L589" s="139" t="s">
        <v>352</v>
      </c>
      <c r="M589" s="141" t="s">
        <v>9655</v>
      </c>
      <c r="N589" s="141" t="s">
        <v>9656</v>
      </c>
      <c r="O589" s="123"/>
      <c r="P589" s="123"/>
      <c r="Q589" s="123"/>
      <c r="R589" s="123"/>
      <c r="S589" s="123"/>
      <c r="T589" s="123"/>
      <c r="U589" s="123" t="s">
        <v>5122</v>
      </c>
      <c r="V589" s="123" t="s">
        <v>5122</v>
      </c>
      <c r="W589" s="123"/>
      <c r="X589" s="123"/>
      <c r="Y589" s="123"/>
      <c r="Z589" s="118" t="s">
        <v>7530</v>
      </c>
    </row>
    <row r="590" customHeight="1" spans="1:26">
      <c r="A590" s="135" t="s">
        <v>9657</v>
      </c>
      <c r="B590" s="135">
        <v>5</v>
      </c>
      <c r="C590" s="135" t="s">
        <v>335</v>
      </c>
      <c r="D590" s="135"/>
      <c r="E590" s="135"/>
      <c r="F590" s="136" t="s">
        <v>334</v>
      </c>
      <c r="G590" s="135" t="s">
        <v>326</v>
      </c>
      <c r="H590" s="135" t="s">
        <v>7526</v>
      </c>
      <c r="I590" s="135" t="s">
        <v>7527</v>
      </c>
      <c r="J590" s="135" t="s">
        <v>7539</v>
      </c>
      <c r="K590" s="152" t="s">
        <v>9658</v>
      </c>
      <c r="L590" s="153" t="s">
        <v>323</v>
      </c>
      <c r="M590" s="152" t="s">
        <v>9659</v>
      </c>
      <c r="N590" s="152" t="s">
        <v>9660</v>
      </c>
      <c r="O590" s="135" t="s">
        <v>5122</v>
      </c>
      <c r="P590" s="135" t="s">
        <v>5122</v>
      </c>
      <c r="Q590" s="135"/>
      <c r="R590" s="135"/>
      <c r="S590" s="135"/>
      <c r="T590" s="135"/>
      <c r="U590" s="135"/>
      <c r="V590" s="135" t="s">
        <v>5122</v>
      </c>
      <c r="W590" s="135"/>
      <c r="X590" s="135"/>
      <c r="Y590" s="135"/>
      <c r="Z590" s="118" t="s">
        <v>7530</v>
      </c>
    </row>
    <row r="591" customHeight="1" spans="1:26">
      <c r="A591" s="123" t="s">
        <v>9661</v>
      </c>
      <c r="B591" s="123">
        <v>5</v>
      </c>
      <c r="C591" s="123" t="s">
        <v>324</v>
      </c>
      <c r="D591" s="123"/>
      <c r="E591" s="123"/>
      <c r="F591" s="124" t="s">
        <v>321</v>
      </c>
      <c r="G591" s="123" t="s">
        <v>337</v>
      </c>
      <c r="H591" s="123" t="s">
        <v>7526</v>
      </c>
      <c r="I591" s="123" t="s">
        <v>7527</v>
      </c>
      <c r="J591" s="123"/>
      <c r="K591" s="141"/>
      <c r="L591" s="139" t="s">
        <v>323</v>
      </c>
      <c r="M591" s="141" t="s">
        <v>9662</v>
      </c>
      <c r="N591" s="141" t="s">
        <v>9663</v>
      </c>
      <c r="O591" s="123" t="s">
        <v>5122</v>
      </c>
      <c r="P591" s="123" t="s">
        <v>5122</v>
      </c>
      <c r="Q591" s="123" t="s">
        <v>5122</v>
      </c>
      <c r="R591" s="123"/>
      <c r="S591" s="123"/>
      <c r="T591" s="123"/>
      <c r="U591" s="123"/>
      <c r="V591" s="123"/>
      <c r="W591" s="123"/>
      <c r="X591" s="123"/>
      <c r="Y591" s="123" t="s">
        <v>5122</v>
      </c>
      <c r="Z591" s="118" t="s">
        <v>7530</v>
      </c>
    </row>
    <row r="592" customHeight="1" spans="1:26">
      <c r="A592" s="129" t="s">
        <v>9664</v>
      </c>
      <c r="B592" s="129">
        <v>5</v>
      </c>
      <c r="C592" s="129" t="s">
        <v>347</v>
      </c>
      <c r="D592" s="129"/>
      <c r="E592" s="129" t="s">
        <v>5122</v>
      </c>
      <c r="F592" s="130" t="s">
        <v>321</v>
      </c>
      <c r="G592" s="129" t="s">
        <v>326</v>
      </c>
      <c r="H592" s="129"/>
      <c r="I592" s="129" t="s">
        <v>7527</v>
      </c>
      <c r="J592" s="129"/>
      <c r="K592" s="146"/>
      <c r="L592" s="147" t="s">
        <v>359</v>
      </c>
      <c r="M592" s="146" t="s">
        <v>9665</v>
      </c>
      <c r="N592" s="146" t="s">
        <v>9666</v>
      </c>
      <c r="O592" s="129" t="s">
        <v>5122</v>
      </c>
      <c r="P592" s="129"/>
      <c r="Q592" s="129"/>
      <c r="R592" s="129"/>
      <c r="S592" s="129"/>
      <c r="T592" s="129"/>
      <c r="U592" s="129" t="s">
        <v>5122</v>
      </c>
      <c r="V592" s="129" t="s">
        <v>5122</v>
      </c>
      <c r="W592" s="129"/>
      <c r="X592" s="129"/>
      <c r="Y592" s="129"/>
      <c r="Z592" s="118" t="s">
        <v>7530</v>
      </c>
    </row>
    <row r="593" customHeight="1" spans="1:26">
      <c r="A593" s="133" t="s">
        <v>9667</v>
      </c>
      <c r="B593" s="133">
        <v>5</v>
      </c>
      <c r="C593" s="133" t="s">
        <v>342</v>
      </c>
      <c r="D593" s="133"/>
      <c r="E593" s="133" t="s">
        <v>5122</v>
      </c>
      <c r="F593" s="134" t="s">
        <v>321</v>
      </c>
      <c r="G593" s="133" t="s">
        <v>333</v>
      </c>
      <c r="H593" s="133" t="s">
        <v>7526</v>
      </c>
      <c r="I593" s="133" t="s">
        <v>7527</v>
      </c>
      <c r="J593" s="133"/>
      <c r="K593" s="150"/>
      <c r="L593" s="151" t="s">
        <v>352</v>
      </c>
      <c r="M593" s="150" t="s">
        <v>9668</v>
      </c>
      <c r="N593" s="150" t="s">
        <v>9669</v>
      </c>
      <c r="O593" s="133" t="s">
        <v>5122</v>
      </c>
      <c r="P593" s="133"/>
      <c r="Q593" s="133"/>
      <c r="R593" s="133"/>
      <c r="S593" s="133"/>
      <c r="T593" s="133"/>
      <c r="U593" s="133"/>
      <c r="V593" s="133" t="s">
        <v>5122</v>
      </c>
      <c r="W593" s="133"/>
      <c r="X593" s="133"/>
      <c r="Y593" s="133"/>
      <c r="Z593" s="118" t="s">
        <v>7530</v>
      </c>
    </row>
    <row r="594" customHeight="1" spans="1:26">
      <c r="A594" s="131" t="s">
        <v>9670</v>
      </c>
      <c r="B594" s="131">
        <v>5</v>
      </c>
      <c r="C594" s="131" t="s">
        <v>320</v>
      </c>
      <c r="D594" s="131"/>
      <c r="E594" s="131"/>
      <c r="F594" s="132" t="s">
        <v>321</v>
      </c>
      <c r="G594" s="131" t="s">
        <v>333</v>
      </c>
      <c r="H594" s="131" t="s">
        <v>7526</v>
      </c>
      <c r="I594" s="131" t="s">
        <v>7527</v>
      </c>
      <c r="J594" s="131" t="s">
        <v>7539</v>
      </c>
      <c r="K594" s="148" t="s">
        <v>9671</v>
      </c>
      <c r="L594" s="149" t="s">
        <v>338</v>
      </c>
      <c r="M594" s="148" t="s">
        <v>9672</v>
      </c>
      <c r="N594" s="148" t="s">
        <v>9673</v>
      </c>
      <c r="O594" s="131"/>
      <c r="P594" s="131"/>
      <c r="Q594" s="131"/>
      <c r="R594" s="131"/>
      <c r="S594" s="131"/>
      <c r="T594" s="131"/>
      <c r="U594" s="131"/>
      <c r="V594" s="131" t="s">
        <v>5122</v>
      </c>
      <c r="W594" s="131"/>
      <c r="X594" s="131"/>
      <c r="Y594" s="131"/>
      <c r="Z594" s="118" t="s">
        <v>7530</v>
      </c>
    </row>
    <row r="595" customHeight="1" spans="1:26">
      <c r="A595" s="137" t="s">
        <v>9674</v>
      </c>
      <c r="B595" s="137">
        <v>5</v>
      </c>
      <c r="C595" s="137" t="s">
        <v>339</v>
      </c>
      <c r="D595" s="137"/>
      <c r="E595" s="137"/>
      <c r="F595" s="138" t="s">
        <v>338</v>
      </c>
      <c r="G595" s="137" t="s">
        <v>337</v>
      </c>
      <c r="H595" s="137" t="s">
        <v>7526</v>
      </c>
      <c r="I595" s="137" t="s">
        <v>7527</v>
      </c>
      <c r="J595" s="137" t="s">
        <v>7539</v>
      </c>
      <c r="K595" s="154" t="s">
        <v>9675</v>
      </c>
      <c r="L595" s="155" t="s">
        <v>344</v>
      </c>
      <c r="M595" s="154" t="s">
        <v>9676</v>
      </c>
      <c r="N595" s="154" t="s">
        <v>9677</v>
      </c>
      <c r="O595" s="137"/>
      <c r="P595" s="137" t="s">
        <v>5122</v>
      </c>
      <c r="Q595" s="137"/>
      <c r="R595" s="137"/>
      <c r="S595" s="137"/>
      <c r="T595" s="137"/>
      <c r="U595" s="137"/>
      <c r="V595" s="137"/>
      <c r="W595" s="137"/>
      <c r="X595" s="137"/>
      <c r="Y595" s="137"/>
      <c r="Z595" s="118" t="s">
        <v>7530</v>
      </c>
    </row>
    <row r="596" customHeight="1" spans="1:26">
      <c r="A596" s="127" t="s">
        <v>9678</v>
      </c>
      <c r="B596" s="127">
        <v>5</v>
      </c>
      <c r="C596" s="127" t="s">
        <v>331</v>
      </c>
      <c r="D596" s="127"/>
      <c r="E596" s="127"/>
      <c r="F596" s="128" t="s">
        <v>338</v>
      </c>
      <c r="G596" s="127" t="s">
        <v>7535</v>
      </c>
      <c r="H596" s="127" t="s">
        <v>7526</v>
      </c>
      <c r="I596" s="127" t="s">
        <v>7527</v>
      </c>
      <c r="J596" s="127" t="s">
        <v>7539</v>
      </c>
      <c r="K596" s="144" t="s">
        <v>9679</v>
      </c>
      <c r="L596" s="145" t="s">
        <v>323</v>
      </c>
      <c r="M596" s="144" t="s">
        <v>9680</v>
      </c>
      <c r="N596" s="144" t="s">
        <v>9681</v>
      </c>
      <c r="O596" s="127" t="s">
        <v>5122</v>
      </c>
      <c r="P596" s="127" t="s">
        <v>5122</v>
      </c>
      <c r="Q596" s="127"/>
      <c r="R596" s="127" t="s">
        <v>5122</v>
      </c>
      <c r="S596" s="127"/>
      <c r="T596" s="127"/>
      <c r="U596" s="127"/>
      <c r="V596" s="127"/>
      <c r="W596" s="127"/>
      <c r="X596" s="127"/>
      <c r="Y596" s="127" t="s">
        <v>5122</v>
      </c>
      <c r="Z596" s="118" t="s">
        <v>7530</v>
      </c>
    </row>
    <row r="597" customHeight="1" spans="1:26">
      <c r="A597" s="135" t="s">
        <v>9682</v>
      </c>
      <c r="B597" s="135">
        <v>5</v>
      </c>
      <c r="C597" s="135" t="s">
        <v>335</v>
      </c>
      <c r="D597" s="135" t="s">
        <v>5122</v>
      </c>
      <c r="E597" s="135"/>
      <c r="F597" s="136" t="s">
        <v>332</v>
      </c>
      <c r="G597" s="135" t="s">
        <v>333</v>
      </c>
      <c r="H597" s="135" t="s">
        <v>7526</v>
      </c>
      <c r="I597" s="135" t="s">
        <v>7527</v>
      </c>
      <c r="J597" s="135" t="s">
        <v>7539</v>
      </c>
      <c r="K597" s="152" t="s">
        <v>9683</v>
      </c>
      <c r="L597" s="153" t="s">
        <v>338</v>
      </c>
      <c r="M597" s="152" t="s">
        <v>9684</v>
      </c>
      <c r="N597" s="152" t="s">
        <v>9685</v>
      </c>
      <c r="O597" s="135" t="s">
        <v>5122</v>
      </c>
      <c r="P597" s="135"/>
      <c r="Q597" s="135"/>
      <c r="R597" s="135"/>
      <c r="S597" s="135"/>
      <c r="T597" s="135"/>
      <c r="U597" s="135"/>
      <c r="V597" s="135" t="s">
        <v>5122</v>
      </c>
      <c r="W597" s="135"/>
      <c r="X597" s="135"/>
      <c r="Y597" s="135" t="s">
        <v>5122</v>
      </c>
      <c r="Z597" s="118" t="s">
        <v>7530</v>
      </c>
    </row>
    <row r="598" customHeight="1" spans="1:26">
      <c r="A598" s="127" t="s">
        <v>9686</v>
      </c>
      <c r="B598" s="127">
        <v>5</v>
      </c>
      <c r="C598" s="127" t="s">
        <v>331</v>
      </c>
      <c r="D598" s="127"/>
      <c r="E598" s="127"/>
      <c r="F598" s="128" t="s">
        <v>338</v>
      </c>
      <c r="G598" s="127" t="s">
        <v>7535</v>
      </c>
      <c r="H598" s="127" t="s">
        <v>7526</v>
      </c>
      <c r="I598" s="127" t="s">
        <v>7527</v>
      </c>
      <c r="J598" s="127" t="s">
        <v>7539</v>
      </c>
      <c r="K598" s="144" t="s">
        <v>9687</v>
      </c>
      <c r="L598" s="145" t="s">
        <v>323</v>
      </c>
      <c r="M598" s="144" t="s">
        <v>9688</v>
      </c>
      <c r="N598" s="144" t="s">
        <v>9689</v>
      </c>
      <c r="O598" s="127"/>
      <c r="P598" s="127"/>
      <c r="Q598" s="127" t="s">
        <v>5122</v>
      </c>
      <c r="R598" s="127"/>
      <c r="S598" s="127"/>
      <c r="T598" s="127"/>
      <c r="U598" s="127"/>
      <c r="V598" s="127"/>
      <c r="W598" s="127"/>
      <c r="X598" s="127"/>
      <c r="Y598" s="127"/>
      <c r="Z598" s="118" t="s">
        <v>7530</v>
      </c>
    </row>
    <row r="599" customHeight="1" spans="1:26">
      <c r="A599" s="135" t="s">
        <v>9690</v>
      </c>
      <c r="B599" s="135">
        <v>5</v>
      </c>
      <c r="C599" s="135" t="s">
        <v>335</v>
      </c>
      <c r="D599" s="135"/>
      <c r="E599" s="135" t="s">
        <v>5122</v>
      </c>
      <c r="F599" s="136" t="s">
        <v>334</v>
      </c>
      <c r="G599" s="135" t="s">
        <v>326</v>
      </c>
      <c r="H599" s="135" t="s">
        <v>7526</v>
      </c>
      <c r="I599" s="135" t="s">
        <v>7527</v>
      </c>
      <c r="J599" s="135" t="s">
        <v>7539</v>
      </c>
      <c r="K599" s="152" t="s">
        <v>9691</v>
      </c>
      <c r="L599" s="153" t="s">
        <v>9692</v>
      </c>
      <c r="M599" s="152" t="s">
        <v>9693</v>
      </c>
      <c r="N599" s="152" t="s">
        <v>9694</v>
      </c>
      <c r="O599" s="135" t="s">
        <v>5122</v>
      </c>
      <c r="P599" s="135" t="s">
        <v>5122</v>
      </c>
      <c r="Q599" s="135" t="s">
        <v>5122</v>
      </c>
      <c r="R599" s="135"/>
      <c r="S599" s="135"/>
      <c r="T599" s="135"/>
      <c r="U599" s="135" t="s">
        <v>5122</v>
      </c>
      <c r="V599" s="135" t="s">
        <v>5122</v>
      </c>
      <c r="W599" s="135"/>
      <c r="X599" s="135"/>
      <c r="Y599" s="135" t="s">
        <v>5122</v>
      </c>
      <c r="Z599" s="118" t="s">
        <v>7530</v>
      </c>
    </row>
    <row r="600" customHeight="1" spans="1:26">
      <c r="A600" s="129" t="s">
        <v>9695</v>
      </c>
      <c r="B600" s="129">
        <v>5</v>
      </c>
      <c r="C600" s="129" t="s">
        <v>347</v>
      </c>
      <c r="D600" s="129"/>
      <c r="E600" s="129"/>
      <c r="F600" s="130" t="s">
        <v>321</v>
      </c>
      <c r="G600" s="129" t="s">
        <v>333</v>
      </c>
      <c r="H600" s="129" t="s">
        <v>7526</v>
      </c>
      <c r="I600" s="129" t="s">
        <v>7527</v>
      </c>
      <c r="J600" s="129"/>
      <c r="K600" s="146"/>
      <c r="L600" s="147" t="s">
        <v>341</v>
      </c>
      <c r="M600" s="146" t="s">
        <v>9696</v>
      </c>
      <c r="N600" s="146" t="s">
        <v>9697</v>
      </c>
      <c r="O600" s="129" t="s">
        <v>5122</v>
      </c>
      <c r="P600" s="129"/>
      <c r="Q600" s="129"/>
      <c r="R600" s="129"/>
      <c r="S600" s="129"/>
      <c r="T600" s="129" t="s">
        <v>5122</v>
      </c>
      <c r="U600" s="129"/>
      <c r="V600" s="129" t="s">
        <v>5122</v>
      </c>
      <c r="W600" s="129"/>
      <c r="X600" s="129"/>
      <c r="Y600" s="129"/>
      <c r="Z600" s="118" t="s">
        <v>7530</v>
      </c>
    </row>
    <row r="601" customHeight="1" spans="1:26">
      <c r="A601" s="137" t="s">
        <v>9698</v>
      </c>
      <c r="B601" s="137">
        <v>5</v>
      </c>
      <c r="C601" s="137" t="s">
        <v>339</v>
      </c>
      <c r="D601" s="137"/>
      <c r="E601" s="137"/>
      <c r="F601" s="138" t="s">
        <v>321</v>
      </c>
      <c r="G601" s="137" t="s">
        <v>333</v>
      </c>
      <c r="H601" s="137"/>
      <c r="I601" s="137" t="s">
        <v>7527</v>
      </c>
      <c r="J601" s="137" t="s">
        <v>7539</v>
      </c>
      <c r="K601" s="154" t="s">
        <v>9699</v>
      </c>
      <c r="L601" s="155" t="s">
        <v>323</v>
      </c>
      <c r="M601" s="154" t="s">
        <v>9700</v>
      </c>
      <c r="N601" s="154" t="s">
        <v>9701</v>
      </c>
      <c r="O601" s="137"/>
      <c r="P601" s="137"/>
      <c r="Q601" s="137"/>
      <c r="R601" s="137"/>
      <c r="S601" s="137" t="s">
        <v>5122</v>
      </c>
      <c r="T601" s="137"/>
      <c r="U601" s="137"/>
      <c r="V601" s="137" t="s">
        <v>5122</v>
      </c>
      <c r="W601" s="137"/>
      <c r="X601" s="137"/>
      <c r="Y601" s="137"/>
      <c r="Z601" s="118" t="s">
        <v>7530</v>
      </c>
    </row>
    <row r="602" customHeight="1" spans="1:26">
      <c r="A602" s="137" t="s">
        <v>9702</v>
      </c>
      <c r="B602" s="137">
        <v>5</v>
      </c>
      <c r="C602" s="137" t="s">
        <v>339</v>
      </c>
      <c r="D602" s="137"/>
      <c r="E602" s="137" t="s">
        <v>5122</v>
      </c>
      <c r="F602" s="138" t="s">
        <v>321</v>
      </c>
      <c r="G602" s="137" t="s">
        <v>340</v>
      </c>
      <c r="H602" s="137" t="s">
        <v>7526</v>
      </c>
      <c r="I602" s="137" t="s">
        <v>7527</v>
      </c>
      <c r="J602" s="137" t="s">
        <v>7539</v>
      </c>
      <c r="K602" s="154" t="s">
        <v>9703</v>
      </c>
      <c r="L602" s="155" t="s">
        <v>359</v>
      </c>
      <c r="M602" s="154" t="s">
        <v>9704</v>
      </c>
      <c r="N602" s="154" t="s">
        <v>9705</v>
      </c>
      <c r="O602" s="137"/>
      <c r="P602" s="137" t="s">
        <v>5122</v>
      </c>
      <c r="Q602" s="137"/>
      <c r="R602" s="137" t="s">
        <v>5122</v>
      </c>
      <c r="S602" s="137"/>
      <c r="T602" s="137"/>
      <c r="U602" s="137"/>
      <c r="V602" s="137"/>
      <c r="W602" s="137"/>
      <c r="X602" s="137"/>
      <c r="Y602" s="137"/>
      <c r="Z602" s="118" t="s">
        <v>7530</v>
      </c>
    </row>
    <row r="603" customHeight="1" spans="1:26">
      <c r="A603" s="137" t="s">
        <v>9706</v>
      </c>
      <c r="B603" s="137">
        <v>5</v>
      </c>
      <c r="C603" s="137" t="s">
        <v>339</v>
      </c>
      <c r="D603" s="137"/>
      <c r="E603" s="137" t="s">
        <v>5122</v>
      </c>
      <c r="F603" s="138" t="s">
        <v>321</v>
      </c>
      <c r="G603" s="137" t="s">
        <v>340</v>
      </c>
      <c r="H603" s="137" t="s">
        <v>7526</v>
      </c>
      <c r="I603" s="137" t="s">
        <v>7527</v>
      </c>
      <c r="J603" s="137" t="s">
        <v>7539</v>
      </c>
      <c r="K603" s="154" t="s">
        <v>9707</v>
      </c>
      <c r="L603" s="155" t="s">
        <v>359</v>
      </c>
      <c r="M603" s="154" t="s">
        <v>9708</v>
      </c>
      <c r="N603" s="154" t="s">
        <v>9709</v>
      </c>
      <c r="O603" s="137"/>
      <c r="P603" s="137"/>
      <c r="Q603" s="137"/>
      <c r="R603" s="137"/>
      <c r="S603" s="137"/>
      <c r="T603" s="137"/>
      <c r="U603" s="137"/>
      <c r="V603" s="137" t="s">
        <v>5122</v>
      </c>
      <c r="W603" s="137"/>
      <c r="X603" s="137"/>
      <c r="Y603" s="137"/>
      <c r="Z603" s="118" t="s">
        <v>7530</v>
      </c>
    </row>
    <row r="604" customHeight="1" spans="1:26">
      <c r="A604" s="131" t="s">
        <v>9710</v>
      </c>
      <c r="B604" s="131">
        <v>5</v>
      </c>
      <c r="C604" s="131" t="s">
        <v>320</v>
      </c>
      <c r="D604" s="131"/>
      <c r="E604" s="131" t="s">
        <v>5122</v>
      </c>
      <c r="F604" s="132" t="s">
        <v>325</v>
      </c>
      <c r="G604" s="131" t="s">
        <v>326</v>
      </c>
      <c r="H604" s="131" t="s">
        <v>7526</v>
      </c>
      <c r="I604" s="131" t="s">
        <v>7527</v>
      </c>
      <c r="J604" s="131" t="s">
        <v>7539</v>
      </c>
      <c r="K604" s="148" t="s">
        <v>9711</v>
      </c>
      <c r="L604" s="149" t="s">
        <v>352</v>
      </c>
      <c r="M604" s="148" t="s">
        <v>9712</v>
      </c>
      <c r="N604" s="148" t="s">
        <v>9713</v>
      </c>
      <c r="O604" s="131"/>
      <c r="P604" s="131"/>
      <c r="Q604" s="131"/>
      <c r="R604" s="131"/>
      <c r="S604" s="131" t="s">
        <v>5122</v>
      </c>
      <c r="T604" s="131"/>
      <c r="U604" s="131"/>
      <c r="V604" s="131"/>
      <c r="W604" s="131"/>
      <c r="X604" s="131"/>
      <c r="Y604" s="131"/>
      <c r="Z604" s="118" t="s">
        <v>7530</v>
      </c>
    </row>
    <row r="605" customHeight="1" spans="1:26">
      <c r="A605" s="133" t="s">
        <v>9714</v>
      </c>
      <c r="B605" s="133">
        <v>5</v>
      </c>
      <c r="C605" s="133" t="s">
        <v>342</v>
      </c>
      <c r="D605" s="133"/>
      <c r="E605" s="133"/>
      <c r="F605" s="134" t="s">
        <v>321</v>
      </c>
      <c r="G605" s="133" t="s">
        <v>343</v>
      </c>
      <c r="H605" s="133" t="s">
        <v>7526</v>
      </c>
      <c r="I605" s="133" t="s">
        <v>7527</v>
      </c>
      <c r="J605" s="133"/>
      <c r="K605" s="150"/>
      <c r="L605" s="151" t="s">
        <v>323</v>
      </c>
      <c r="M605" s="150" t="s">
        <v>9715</v>
      </c>
      <c r="N605" s="150" t="s">
        <v>9716</v>
      </c>
      <c r="O605" s="133" t="s">
        <v>5122</v>
      </c>
      <c r="P605" s="133"/>
      <c r="Q605" s="133"/>
      <c r="R605" s="133"/>
      <c r="S605" s="133"/>
      <c r="T605" s="133" t="s">
        <v>5122</v>
      </c>
      <c r="U605" s="133" t="s">
        <v>5122</v>
      </c>
      <c r="V605" s="133" t="s">
        <v>5122</v>
      </c>
      <c r="W605" s="133"/>
      <c r="X605" s="133"/>
      <c r="Y605" s="133"/>
      <c r="Z605" s="118" t="s">
        <v>7530</v>
      </c>
    </row>
    <row r="606" customHeight="1" spans="1:26">
      <c r="A606" s="131" t="s">
        <v>9717</v>
      </c>
      <c r="B606" s="131">
        <v>5</v>
      </c>
      <c r="C606" s="131" t="s">
        <v>320</v>
      </c>
      <c r="D606" s="131"/>
      <c r="E606" s="131" t="s">
        <v>5122</v>
      </c>
      <c r="F606" s="132" t="s">
        <v>321</v>
      </c>
      <c r="G606" s="131" t="s">
        <v>337</v>
      </c>
      <c r="H606" s="131" t="s">
        <v>7526</v>
      </c>
      <c r="I606" s="131" t="s">
        <v>7527</v>
      </c>
      <c r="J606" s="131"/>
      <c r="K606" s="148"/>
      <c r="L606" s="149" t="s">
        <v>356</v>
      </c>
      <c r="M606" s="148" t="s">
        <v>9718</v>
      </c>
      <c r="N606" s="148" t="s">
        <v>9719</v>
      </c>
      <c r="O606" s="131"/>
      <c r="P606" s="131"/>
      <c r="Q606" s="131"/>
      <c r="R606" s="131"/>
      <c r="S606" s="131"/>
      <c r="T606" s="131" t="s">
        <v>5122</v>
      </c>
      <c r="U606" s="131"/>
      <c r="V606" s="131" t="s">
        <v>5122</v>
      </c>
      <c r="W606" s="131"/>
      <c r="X606" s="131"/>
      <c r="Y606" s="131"/>
      <c r="Z606" s="118" t="s">
        <v>7530</v>
      </c>
    </row>
    <row r="607" customHeight="1" spans="1:26">
      <c r="A607" s="137" t="s">
        <v>6662</v>
      </c>
      <c r="B607" s="137">
        <v>5</v>
      </c>
      <c r="C607" s="137" t="s">
        <v>339</v>
      </c>
      <c r="D607" s="137"/>
      <c r="E607" s="137"/>
      <c r="F607" s="138" t="s">
        <v>329</v>
      </c>
      <c r="G607" s="137" t="s">
        <v>7556</v>
      </c>
      <c r="H607" s="137" t="s">
        <v>7526</v>
      </c>
      <c r="I607" s="137"/>
      <c r="J607" s="137" t="s">
        <v>7539</v>
      </c>
      <c r="K607" s="154" t="s">
        <v>9720</v>
      </c>
      <c r="L607" s="155" t="s">
        <v>327</v>
      </c>
      <c r="M607" s="154" t="s">
        <v>9721</v>
      </c>
      <c r="N607" s="154" t="s">
        <v>9722</v>
      </c>
      <c r="O607" s="137" t="s">
        <v>5122</v>
      </c>
      <c r="P607" s="137"/>
      <c r="Q607" s="137"/>
      <c r="R607" s="137"/>
      <c r="S607" s="137"/>
      <c r="T607" s="137" t="s">
        <v>5122</v>
      </c>
      <c r="U607" s="137" t="s">
        <v>5122</v>
      </c>
      <c r="V607" s="137" t="s">
        <v>5122</v>
      </c>
      <c r="W607" s="137"/>
      <c r="X607" s="137"/>
      <c r="Y607" s="137" t="s">
        <v>5122</v>
      </c>
      <c r="Z607" s="118" t="s">
        <v>7530</v>
      </c>
    </row>
    <row r="608" customHeight="1" spans="1:26">
      <c r="A608" s="137" t="s">
        <v>9723</v>
      </c>
      <c r="B608" s="137">
        <v>5</v>
      </c>
      <c r="C608" s="137" t="s">
        <v>339</v>
      </c>
      <c r="D608" s="137"/>
      <c r="E608" s="137" t="s">
        <v>5122</v>
      </c>
      <c r="F608" s="138" t="s">
        <v>321</v>
      </c>
      <c r="G608" s="137" t="s">
        <v>326</v>
      </c>
      <c r="H608" s="137" t="s">
        <v>7526</v>
      </c>
      <c r="I608" s="137" t="s">
        <v>7527</v>
      </c>
      <c r="J608" s="137"/>
      <c r="K608" s="154"/>
      <c r="L608" s="155" t="s">
        <v>352</v>
      </c>
      <c r="M608" s="154" t="s">
        <v>9724</v>
      </c>
      <c r="N608" s="154" t="s">
        <v>9725</v>
      </c>
      <c r="O608" s="137"/>
      <c r="P608" s="137"/>
      <c r="Q608" s="137" t="s">
        <v>5122</v>
      </c>
      <c r="R608" s="137"/>
      <c r="S608" s="137" t="s">
        <v>5122</v>
      </c>
      <c r="T608" s="137"/>
      <c r="U608" s="137"/>
      <c r="V608" s="137"/>
      <c r="W608" s="137"/>
      <c r="X608" s="137"/>
      <c r="Y608" s="137"/>
      <c r="Z608" s="118" t="s">
        <v>7530</v>
      </c>
    </row>
    <row r="609" customHeight="1" spans="1:26">
      <c r="A609" s="123" t="s">
        <v>9726</v>
      </c>
      <c r="B609" s="123">
        <v>5</v>
      </c>
      <c r="C609" s="123" t="s">
        <v>324</v>
      </c>
      <c r="D609" s="123"/>
      <c r="E609" s="123" t="s">
        <v>5122</v>
      </c>
      <c r="F609" s="124" t="s">
        <v>321</v>
      </c>
      <c r="G609" s="123" t="s">
        <v>343</v>
      </c>
      <c r="H609" s="123" t="s">
        <v>7526</v>
      </c>
      <c r="I609" s="123" t="s">
        <v>7527</v>
      </c>
      <c r="J609" s="123" t="s">
        <v>7539</v>
      </c>
      <c r="K609" s="141" t="s">
        <v>9727</v>
      </c>
      <c r="L609" s="139" t="s">
        <v>356</v>
      </c>
      <c r="M609" s="141" t="s">
        <v>9728</v>
      </c>
      <c r="N609" s="141" t="s">
        <v>9729</v>
      </c>
      <c r="O609" s="123"/>
      <c r="P609" s="123"/>
      <c r="Q609" s="123"/>
      <c r="R609" s="123"/>
      <c r="S609" s="123"/>
      <c r="T609" s="123"/>
      <c r="U609" s="123"/>
      <c r="V609" s="123" t="s">
        <v>5122</v>
      </c>
      <c r="W609" s="123"/>
      <c r="X609" s="123"/>
      <c r="Y609" s="123"/>
      <c r="Z609" s="118" t="s">
        <v>7530</v>
      </c>
    </row>
    <row r="610" customHeight="1" spans="1:26">
      <c r="A610" s="123" t="s">
        <v>9730</v>
      </c>
      <c r="B610" s="123">
        <v>5</v>
      </c>
      <c r="C610" s="123" t="s">
        <v>324</v>
      </c>
      <c r="D610" s="123"/>
      <c r="E610" s="123" t="s">
        <v>5122</v>
      </c>
      <c r="F610" s="124" t="s">
        <v>321</v>
      </c>
      <c r="G610" s="123" t="s">
        <v>343</v>
      </c>
      <c r="H610" s="123" t="s">
        <v>7526</v>
      </c>
      <c r="I610" s="123" t="s">
        <v>7527</v>
      </c>
      <c r="J610" s="123" t="s">
        <v>7539</v>
      </c>
      <c r="K610" s="141" t="s">
        <v>9731</v>
      </c>
      <c r="L610" s="139" t="s">
        <v>356</v>
      </c>
      <c r="M610" s="141" t="s">
        <v>9732</v>
      </c>
      <c r="N610" s="141" t="s">
        <v>9733</v>
      </c>
      <c r="O610" s="123"/>
      <c r="P610" s="123"/>
      <c r="Q610" s="123" t="s">
        <v>5122</v>
      </c>
      <c r="R610" s="123"/>
      <c r="S610" s="123"/>
      <c r="T610" s="123" t="s">
        <v>5122</v>
      </c>
      <c r="U610" s="123"/>
      <c r="V610" s="123" t="s">
        <v>5122</v>
      </c>
      <c r="W610" s="123" t="s">
        <v>5122</v>
      </c>
      <c r="X610" s="123"/>
      <c r="Y610" s="123"/>
      <c r="Z610" s="118" t="s">
        <v>7530</v>
      </c>
    </row>
    <row r="611" customHeight="1" spans="1:26">
      <c r="A611" s="133" t="s">
        <v>9734</v>
      </c>
      <c r="B611" s="133">
        <v>5</v>
      </c>
      <c r="C611" s="133" t="s">
        <v>342</v>
      </c>
      <c r="D611" s="133"/>
      <c r="E611" s="133" t="s">
        <v>5122</v>
      </c>
      <c r="F611" s="134" t="s">
        <v>321</v>
      </c>
      <c r="G611" s="133" t="s">
        <v>326</v>
      </c>
      <c r="H611" s="133" t="s">
        <v>7526</v>
      </c>
      <c r="I611" s="133" t="s">
        <v>7527</v>
      </c>
      <c r="J611" s="133" t="s">
        <v>7539</v>
      </c>
      <c r="K611" s="150" t="s">
        <v>9735</v>
      </c>
      <c r="L611" s="151" t="s">
        <v>352</v>
      </c>
      <c r="M611" s="150" t="s">
        <v>9736</v>
      </c>
      <c r="N611" s="150" t="s">
        <v>9737</v>
      </c>
      <c r="O611" s="133" t="s">
        <v>5122</v>
      </c>
      <c r="P611" s="133"/>
      <c r="Q611" s="133"/>
      <c r="R611" s="133"/>
      <c r="S611" s="133"/>
      <c r="T611" s="133"/>
      <c r="U611" s="133"/>
      <c r="V611" s="133" t="s">
        <v>5122</v>
      </c>
      <c r="W611" s="133"/>
      <c r="X611" s="133"/>
      <c r="Y611" s="133"/>
      <c r="Z611" s="118" t="s">
        <v>7530</v>
      </c>
    </row>
    <row r="612" customHeight="1" spans="1:26">
      <c r="A612" s="131" t="s">
        <v>9738</v>
      </c>
      <c r="B612" s="131">
        <v>5</v>
      </c>
      <c r="C612" s="131" t="s">
        <v>320</v>
      </c>
      <c r="D612" s="131"/>
      <c r="E612" s="131" t="s">
        <v>5122</v>
      </c>
      <c r="F612" s="132" t="s">
        <v>321</v>
      </c>
      <c r="G612" s="131" t="s">
        <v>351</v>
      </c>
      <c r="H612" s="131" t="s">
        <v>7526</v>
      </c>
      <c r="I612" s="131" t="s">
        <v>7527</v>
      </c>
      <c r="J612" s="131"/>
      <c r="K612" s="159"/>
      <c r="L612" s="149" t="s">
        <v>8512</v>
      </c>
      <c r="M612" s="148" t="s">
        <v>9739</v>
      </c>
      <c r="N612" s="148" t="s">
        <v>9740</v>
      </c>
      <c r="O612" s="131"/>
      <c r="P612" s="131"/>
      <c r="Q612" s="131" t="s">
        <v>5122</v>
      </c>
      <c r="R612" s="131"/>
      <c r="S612" s="131"/>
      <c r="T612" s="131" t="s">
        <v>5122</v>
      </c>
      <c r="U612" s="131"/>
      <c r="V612" s="131" t="s">
        <v>5122</v>
      </c>
      <c r="W612" s="131"/>
      <c r="X612" s="131"/>
      <c r="Y612" s="131"/>
      <c r="Z612" s="162" t="s">
        <v>45</v>
      </c>
    </row>
    <row r="613" customHeight="1" spans="1:26">
      <c r="A613" s="127" t="s">
        <v>9741</v>
      </c>
      <c r="B613" s="127">
        <v>5</v>
      </c>
      <c r="C613" s="127" t="s">
        <v>331</v>
      </c>
      <c r="D613" s="127"/>
      <c r="E613" s="127" t="s">
        <v>5122</v>
      </c>
      <c r="F613" s="128" t="s">
        <v>321</v>
      </c>
      <c r="G613" s="127" t="s">
        <v>337</v>
      </c>
      <c r="H613" s="127" t="s">
        <v>7526</v>
      </c>
      <c r="I613" s="127" t="s">
        <v>7527</v>
      </c>
      <c r="J613" s="127"/>
      <c r="K613" s="165"/>
      <c r="L613" s="145" t="s">
        <v>8512</v>
      </c>
      <c r="M613" s="144" t="s">
        <v>9742</v>
      </c>
      <c r="N613" s="144" t="s">
        <v>9743</v>
      </c>
      <c r="O613" s="127"/>
      <c r="P613" s="127"/>
      <c r="Q613" s="127"/>
      <c r="R613" s="127"/>
      <c r="S613" s="127"/>
      <c r="T613" s="127"/>
      <c r="U613" s="127" t="s">
        <v>5122</v>
      </c>
      <c r="V613" s="127" t="s">
        <v>5122</v>
      </c>
      <c r="W613" s="127"/>
      <c r="X613" s="127"/>
      <c r="Y613" s="127"/>
      <c r="Z613" s="162" t="s">
        <v>45</v>
      </c>
    </row>
    <row r="614" customHeight="1" spans="1:26">
      <c r="A614" s="123" t="s">
        <v>9744</v>
      </c>
      <c r="B614" s="123">
        <v>5</v>
      </c>
      <c r="C614" s="123" t="s">
        <v>324</v>
      </c>
      <c r="D614" s="123"/>
      <c r="E614" s="123" t="s">
        <v>5122</v>
      </c>
      <c r="F614" s="124" t="s">
        <v>321</v>
      </c>
      <c r="G614" s="123" t="s">
        <v>337</v>
      </c>
      <c r="H614" s="123" t="s">
        <v>7526</v>
      </c>
      <c r="I614" s="123" t="s">
        <v>7527</v>
      </c>
      <c r="J614" s="123" t="s">
        <v>7539</v>
      </c>
      <c r="K614" s="156" t="s">
        <v>9745</v>
      </c>
      <c r="L614" s="139" t="s">
        <v>7661</v>
      </c>
      <c r="M614" s="141" t="s">
        <v>9746</v>
      </c>
      <c r="N614" s="141" t="s">
        <v>9747</v>
      </c>
      <c r="O614" s="123"/>
      <c r="P614" s="123" t="s">
        <v>5122</v>
      </c>
      <c r="Q614" s="123"/>
      <c r="R614" s="123"/>
      <c r="S614" s="123"/>
      <c r="T614" s="123"/>
      <c r="U614" s="123"/>
      <c r="V614" s="123" t="s">
        <v>5122</v>
      </c>
      <c r="W614" s="123"/>
      <c r="X614" s="123"/>
      <c r="Y614" s="123"/>
      <c r="Z614" s="162" t="s">
        <v>45</v>
      </c>
    </row>
    <row r="615" customHeight="1" spans="1:26">
      <c r="A615" s="127" t="s">
        <v>9748</v>
      </c>
      <c r="B615" s="127">
        <v>5</v>
      </c>
      <c r="C615" s="127" t="s">
        <v>331</v>
      </c>
      <c r="D615" s="127"/>
      <c r="E615" s="127" t="s">
        <v>5122</v>
      </c>
      <c r="F615" s="128" t="s">
        <v>321</v>
      </c>
      <c r="G615" s="127" t="s">
        <v>337</v>
      </c>
      <c r="H615" s="127" t="s">
        <v>7526</v>
      </c>
      <c r="I615" s="127" t="s">
        <v>7527</v>
      </c>
      <c r="J615" s="127"/>
      <c r="K615" s="165"/>
      <c r="L615" s="145" t="s">
        <v>7661</v>
      </c>
      <c r="M615" s="144" t="s">
        <v>9749</v>
      </c>
      <c r="N615" s="144" t="s">
        <v>9750</v>
      </c>
      <c r="O615" s="127"/>
      <c r="P615" s="127"/>
      <c r="Q615" s="127"/>
      <c r="R615" s="127"/>
      <c r="S615" s="127"/>
      <c r="T615" s="127" t="s">
        <v>5122</v>
      </c>
      <c r="U615" s="127" t="s">
        <v>5122</v>
      </c>
      <c r="V615" s="127" t="s">
        <v>5122</v>
      </c>
      <c r="W615" s="127"/>
      <c r="X615" s="127"/>
      <c r="Y615" s="127"/>
      <c r="Z615" s="162" t="s">
        <v>45</v>
      </c>
    </row>
    <row r="616" customHeight="1" spans="1:26">
      <c r="A616" s="137" t="s">
        <v>9751</v>
      </c>
      <c r="B616" s="137">
        <v>5</v>
      </c>
      <c r="C616" s="137" t="s">
        <v>339</v>
      </c>
      <c r="D616" s="137"/>
      <c r="E616" s="137" t="s">
        <v>5122</v>
      </c>
      <c r="F616" s="138" t="s">
        <v>321</v>
      </c>
      <c r="G616" s="137" t="s">
        <v>326</v>
      </c>
      <c r="H616" s="137" t="s">
        <v>7526</v>
      </c>
      <c r="I616" s="137"/>
      <c r="J616" s="137"/>
      <c r="K616" s="157"/>
      <c r="L616" s="155" t="s">
        <v>7661</v>
      </c>
      <c r="M616" s="154" t="s">
        <v>9752</v>
      </c>
      <c r="N616" s="154" t="s">
        <v>9753</v>
      </c>
      <c r="O616" s="137"/>
      <c r="P616" s="137"/>
      <c r="Q616" s="137"/>
      <c r="R616" s="137"/>
      <c r="S616" s="137"/>
      <c r="T616" s="137" t="s">
        <v>5122</v>
      </c>
      <c r="U616" s="137" t="s">
        <v>5122</v>
      </c>
      <c r="V616" s="137" t="s">
        <v>5122</v>
      </c>
      <c r="W616" s="137"/>
      <c r="X616" s="137"/>
      <c r="Y616" s="137"/>
      <c r="Z616" s="162" t="s">
        <v>45</v>
      </c>
    </row>
    <row r="617" customHeight="1" spans="1:26">
      <c r="A617" s="123" t="s">
        <v>9754</v>
      </c>
      <c r="B617" s="123">
        <v>5</v>
      </c>
      <c r="C617" s="123" t="s">
        <v>324</v>
      </c>
      <c r="D617" s="123"/>
      <c r="E617" s="123" t="s">
        <v>5122</v>
      </c>
      <c r="F617" s="124" t="s">
        <v>325</v>
      </c>
      <c r="G617" s="123" t="s">
        <v>322</v>
      </c>
      <c r="H617" s="123" t="s">
        <v>7526</v>
      </c>
      <c r="I617" s="123" t="s">
        <v>7527</v>
      </c>
      <c r="J617" s="123"/>
      <c r="K617" s="156"/>
      <c r="L617" s="139" t="s">
        <v>8512</v>
      </c>
      <c r="M617" s="141" t="s">
        <v>9755</v>
      </c>
      <c r="N617" s="141" t="s">
        <v>9756</v>
      </c>
      <c r="O617" s="123"/>
      <c r="P617" s="123" t="s">
        <v>5122</v>
      </c>
      <c r="Q617" s="123"/>
      <c r="R617" s="123" t="s">
        <v>5122</v>
      </c>
      <c r="S617" s="123"/>
      <c r="T617" s="123"/>
      <c r="U617" s="123"/>
      <c r="V617" s="123"/>
      <c r="W617" s="123"/>
      <c r="X617" s="123"/>
      <c r="Y617" s="123"/>
      <c r="Z617" s="162" t="s">
        <v>45</v>
      </c>
    </row>
    <row r="618" customHeight="1" spans="1:26">
      <c r="A618" s="123" t="s">
        <v>9757</v>
      </c>
      <c r="B618" s="123">
        <v>5</v>
      </c>
      <c r="C618" s="123" t="s">
        <v>324</v>
      </c>
      <c r="D618" s="123"/>
      <c r="E618" s="123" t="s">
        <v>5122</v>
      </c>
      <c r="F618" s="124" t="s">
        <v>321</v>
      </c>
      <c r="G618" s="123" t="s">
        <v>340</v>
      </c>
      <c r="H618" s="123" t="s">
        <v>7526</v>
      </c>
      <c r="I618" s="123"/>
      <c r="J618" s="123"/>
      <c r="K618" s="156"/>
      <c r="L618" s="139" t="s">
        <v>7661</v>
      </c>
      <c r="M618" s="141" t="s">
        <v>9758</v>
      </c>
      <c r="N618" s="141" t="s">
        <v>9759</v>
      </c>
      <c r="O618" s="123"/>
      <c r="P618" s="123"/>
      <c r="Q618" s="123"/>
      <c r="R618" s="123"/>
      <c r="S618" s="123"/>
      <c r="T618" s="123" t="s">
        <v>5122</v>
      </c>
      <c r="U618" s="123"/>
      <c r="V618" s="123" t="s">
        <v>5122</v>
      </c>
      <c r="W618" s="123"/>
      <c r="X618" s="123"/>
      <c r="Y618" s="123"/>
      <c r="Z618" s="162" t="s">
        <v>45</v>
      </c>
    </row>
    <row r="619" customHeight="1" spans="1:26">
      <c r="A619" s="137" t="s">
        <v>9760</v>
      </c>
      <c r="B619" s="137">
        <v>5</v>
      </c>
      <c r="C619" s="137" t="s">
        <v>339</v>
      </c>
      <c r="D619" s="137"/>
      <c r="E619" s="137" t="s">
        <v>5122</v>
      </c>
      <c r="F619" s="138" t="s">
        <v>329</v>
      </c>
      <c r="G619" s="137" t="s">
        <v>340</v>
      </c>
      <c r="H619" s="137" t="s">
        <v>7526</v>
      </c>
      <c r="I619" s="137" t="s">
        <v>7527</v>
      </c>
      <c r="J619" s="137" t="s">
        <v>7539</v>
      </c>
      <c r="K619" s="157" t="s">
        <v>9761</v>
      </c>
      <c r="L619" s="155" t="s">
        <v>8512</v>
      </c>
      <c r="M619" s="154" t="s">
        <v>9762</v>
      </c>
      <c r="N619" s="154" t="s">
        <v>9763</v>
      </c>
      <c r="O619" s="137"/>
      <c r="P619" s="137"/>
      <c r="Q619" s="137"/>
      <c r="R619" s="137"/>
      <c r="S619" s="137"/>
      <c r="T619" s="137"/>
      <c r="U619" s="137" t="s">
        <v>5122</v>
      </c>
      <c r="V619" s="137" t="s">
        <v>5122</v>
      </c>
      <c r="W619" s="137"/>
      <c r="X619" s="137"/>
      <c r="Y619" s="137"/>
      <c r="Z619" s="162" t="s">
        <v>45</v>
      </c>
    </row>
    <row r="620" customHeight="1" spans="1:26">
      <c r="A620" s="123" t="s">
        <v>9764</v>
      </c>
      <c r="B620" s="123">
        <v>5</v>
      </c>
      <c r="C620" s="123" t="s">
        <v>324</v>
      </c>
      <c r="D620" s="123"/>
      <c r="E620" s="123" t="s">
        <v>5122</v>
      </c>
      <c r="F620" s="124" t="s">
        <v>321</v>
      </c>
      <c r="G620" s="123" t="s">
        <v>343</v>
      </c>
      <c r="H620" s="123" t="s">
        <v>7526</v>
      </c>
      <c r="I620" s="123" t="s">
        <v>7527</v>
      </c>
      <c r="J620" s="123" t="s">
        <v>7539</v>
      </c>
      <c r="K620" s="156" t="s">
        <v>9765</v>
      </c>
      <c r="L620" s="139" t="s">
        <v>7661</v>
      </c>
      <c r="M620" s="141" t="s">
        <v>9766</v>
      </c>
      <c r="N620" s="141" t="s">
        <v>9767</v>
      </c>
      <c r="O620" s="123"/>
      <c r="P620" s="123"/>
      <c r="Q620" s="123" t="s">
        <v>5122</v>
      </c>
      <c r="R620" s="123"/>
      <c r="S620" s="123"/>
      <c r="T620" s="123"/>
      <c r="U620" s="123"/>
      <c r="V620" s="123"/>
      <c r="W620" s="123"/>
      <c r="X620" s="123"/>
      <c r="Y620" s="123"/>
      <c r="Z620" s="162" t="s">
        <v>45</v>
      </c>
    </row>
    <row r="621" customHeight="1" spans="1:26">
      <c r="A621" s="127" t="s">
        <v>9768</v>
      </c>
      <c r="B621" s="127">
        <v>5</v>
      </c>
      <c r="C621" s="127" t="s">
        <v>331</v>
      </c>
      <c r="D621" s="127"/>
      <c r="E621" s="127"/>
      <c r="F621" s="128" t="s">
        <v>321</v>
      </c>
      <c r="G621" s="127" t="s">
        <v>337</v>
      </c>
      <c r="H621" s="127" t="s">
        <v>7526</v>
      </c>
      <c r="I621" s="127"/>
      <c r="J621" s="127" t="s">
        <v>7539</v>
      </c>
      <c r="K621" s="165" t="s">
        <v>9769</v>
      </c>
      <c r="L621" s="145" t="s">
        <v>323</v>
      </c>
      <c r="M621" s="144" t="s">
        <v>9770</v>
      </c>
      <c r="N621" s="144" t="s">
        <v>9771</v>
      </c>
      <c r="O621" s="127"/>
      <c r="P621" s="127"/>
      <c r="Q621" s="127"/>
      <c r="R621" s="127"/>
      <c r="S621" s="127"/>
      <c r="T621" s="127"/>
      <c r="U621" s="127" t="s">
        <v>5122</v>
      </c>
      <c r="V621" s="127" t="s">
        <v>5122</v>
      </c>
      <c r="W621" s="127"/>
      <c r="X621" s="127"/>
      <c r="Y621" s="127"/>
      <c r="Z621" s="162" t="s">
        <v>45</v>
      </c>
    </row>
    <row r="622" customHeight="1" spans="1:26">
      <c r="A622" s="131" t="s">
        <v>9772</v>
      </c>
      <c r="B622" s="131">
        <v>5</v>
      </c>
      <c r="C622" s="131" t="s">
        <v>320</v>
      </c>
      <c r="D622" s="131"/>
      <c r="E622" s="131" t="s">
        <v>5122</v>
      </c>
      <c r="F622" s="132" t="s">
        <v>321</v>
      </c>
      <c r="G622" s="131" t="s">
        <v>322</v>
      </c>
      <c r="H622" s="131" t="s">
        <v>7526</v>
      </c>
      <c r="I622" s="131" t="s">
        <v>7527</v>
      </c>
      <c r="J622" s="131"/>
      <c r="K622" s="159"/>
      <c r="L622" s="149" t="s">
        <v>8512</v>
      </c>
      <c r="M622" s="148" t="s">
        <v>9773</v>
      </c>
      <c r="N622" s="148" t="s">
        <v>9774</v>
      </c>
      <c r="O622" s="131" t="s">
        <v>5122</v>
      </c>
      <c r="P622" s="131"/>
      <c r="Q622" s="131"/>
      <c r="R622" s="131"/>
      <c r="S622" s="131"/>
      <c r="T622" s="131" t="s">
        <v>5122</v>
      </c>
      <c r="U622" s="131"/>
      <c r="V622" s="131" t="s">
        <v>5122</v>
      </c>
      <c r="W622" s="131" t="s">
        <v>5122</v>
      </c>
      <c r="X622" s="131"/>
      <c r="Y622" s="131"/>
      <c r="Z622" s="162" t="s">
        <v>45</v>
      </c>
    </row>
    <row r="623" customHeight="1" spans="1:26">
      <c r="A623" s="131" t="s">
        <v>9775</v>
      </c>
      <c r="B623" s="131">
        <v>5</v>
      </c>
      <c r="C623" s="131" t="s">
        <v>320</v>
      </c>
      <c r="D623" s="131"/>
      <c r="E623" s="131"/>
      <c r="F623" s="132" t="s">
        <v>321</v>
      </c>
      <c r="G623" s="131" t="s">
        <v>343</v>
      </c>
      <c r="H623" s="131" t="s">
        <v>7526</v>
      </c>
      <c r="I623" s="131" t="s">
        <v>7527</v>
      </c>
      <c r="J623" s="131" t="s">
        <v>7539</v>
      </c>
      <c r="K623" s="159" t="s">
        <v>9776</v>
      </c>
      <c r="L623" s="149" t="s">
        <v>8298</v>
      </c>
      <c r="M623" s="148" t="s">
        <v>9777</v>
      </c>
      <c r="N623" s="148" t="s">
        <v>9778</v>
      </c>
      <c r="O623" s="131"/>
      <c r="P623" s="131"/>
      <c r="Q623" s="131" t="s">
        <v>5122</v>
      </c>
      <c r="R623" s="131"/>
      <c r="S623" s="131"/>
      <c r="T623" s="131"/>
      <c r="U623" s="131"/>
      <c r="V623" s="131" t="s">
        <v>5122</v>
      </c>
      <c r="W623" s="131" t="s">
        <v>5122</v>
      </c>
      <c r="X623" s="131"/>
      <c r="Y623" s="131"/>
      <c r="Z623" s="162" t="s">
        <v>45</v>
      </c>
    </row>
    <row r="624" customHeight="1" spans="1:26">
      <c r="A624" s="123" t="s">
        <v>9779</v>
      </c>
      <c r="B624" s="123">
        <v>5</v>
      </c>
      <c r="C624" s="123" t="s">
        <v>324</v>
      </c>
      <c r="D624" s="123"/>
      <c r="E624" s="123" t="s">
        <v>5122</v>
      </c>
      <c r="F624" s="124" t="s">
        <v>321</v>
      </c>
      <c r="G624" s="123" t="s">
        <v>343</v>
      </c>
      <c r="H624" s="123" t="s">
        <v>7526</v>
      </c>
      <c r="I624" s="123" t="s">
        <v>7527</v>
      </c>
      <c r="J624" s="123" t="s">
        <v>7539</v>
      </c>
      <c r="K624" s="156" t="s">
        <v>9780</v>
      </c>
      <c r="L624" s="139" t="s">
        <v>8037</v>
      </c>
      <c r="M624" s="141" t="s">
        <v>9781</v>
      </c>
      <c r="N624" s="141" t="s">
        <v>9782</v>
      </c>
      <c r="O624" s="123"/>
      <c r="P624" s="123"/>
      <c r="Q624" s="123"/>
      <c r="R624" s="123"/>
      <c r="S624" s="123"/>
      <c r="T624" s="123" t="s">
        <v>5122</v>
      </c>
      <c r="U624" s="123" t="s">
        <v>5122</v>
      </c>
      <c r="V624" s="123" t="s">
        <v>5122</v>
      </c>
      <c r="W624" s="123"/>
      <c r="X624" s="123"/>
      <c r="Y624" s="123"/>
      <c r="Z624" s="162" t="s">
        <v>45</v>
      </c>
    </row>
    <row r="625" customHeight="1" spans="1:26">
      <c r="A625" s="123" t="s">
        <v>9783</v>
      </c>
      <c r="B625" s="123">
        <v>5</v>
      </c>
      <c r="C625" s="123" t="s">
        <v>324</v>
      </c>
      <c r="D625" s="123"/>
      <c r="E625" s="123" t="s">
        <v>5122</v>
      </c>
      <c r="F625" s="124" t="s">
        <v>321</v>
      </c>
      <c r="G625" s="123" t="s">
        <v>343</v>
      </c>
      <c r="H625" s="123" t="s">
        <v>7526</v>
      </c>
      <c r="I625" s="123" t="s">
        <v>7527</v>
      </c>
      <c r="J625" s="123"/>
      <c r="K625" s="156"/>
      <c r="L625" s="139" t="s">
        <v>7661</v>
      </c>
      <c r="M625" s="141" t="s">
        <v>9784</v>
      </c>
      <c r="N625" s="141" t="s">
        <v>9785</v>
      </c>
      <c r="O625" s="123"/>
      <c r="P625" s="123"/>
      <c r="Q625" s="123" t="s">
        <v>5122</v>
      </c>
      <c r="R625" s="123"/>
      <c r="S625" s="123" t="s">
        <v>5122</v>
      </c>
      <c r="T625" s="123"/>
      <c r="U625" s="123"/>
      <c r="V625" s="123"/>
      <c r="W625" s="123"/>
      <c r="X625" s="123"/>
      <c r="Y625" s="123"/>
      <c r="Z625" s="162" t="s">
        <v>45</v>
      </c>
    </row>
    <row r="626" customHeight="1" spans="1:26">
      <c r="A626" s="137" t="s">
        <v>9786</v>
      </c>
      <c r="B626" s="137">
        <v>5</v>
      </c>
      <c r="C626" s="137" t="s">
        <v>339</v>
      </c>
      <c r="D626" s="137"/>
      <c r="E626" s="137" t="s">
        <v>5122</v>
      </c>
      <c r="F626" s="138" t="s">
        <v>321</v>
      </c>
      <c r="G626" s="137" t="s">
        <v>337</v>
      </c>
      <c r="H626" s="137" t="s">
        <v>7526</v>
      </c>
      <c r="I626" s="137" t="s">
        <v>7527</v>
      </c>
      <c r="J626" s="137" t="s">
        <v>7539</v>
      </c>
      <c r="K626" s="157" t="s">
        <v>9787</v>
      </c>
      <c r="L626" s="155" t="s">
        <v>8512</v>
      </c>
      <c r="M626" s="154" t="s">
        <v>9788</v>
      </c>
      <c r="N626" s="154" t="s">
        <v>9789</v>
      </c>
      <c r="O626" s="137"/>
      <c r="P626" s="137"/>
      <c r="Q626" s="137" t="s">
        <v>5122</v>
      </c>
      <c r="R626" s="137"/>
      <c r="S626" s="137"/>
      <c r="T626" s="137" t="s">
        <v>5122</v>
      </c>
      <c r="U626" s="137"/>
      <c r="V626" s="137" t="s">
        <v>5122</v>
      </c>
      <c r="W626" s="137"/>
      <c r="X626" s="137"/>
      <c r="Y626" s="137"/>
      <c r="Z626" s="162" t="s">
        <v>8534</v>
      </c>
    </row>
    <row r="627" customHeight="1" spans="1:26">
      <c r="A627" s="131" t="s">
        <v>9790</v>
      </c>
      <c r="B627" s="131">
        <v>5</v>
      </c>
      <c r="C627" s="131" t="s">
        <v>320</v>
      </c>
      <c r="D627" s="131"/>
      <c r="E627" s="131"/>
      <c r="F627" s="132" t="s">
        <v>321</v>
      </c>
      <c r="G627" s="131" t="s">
        <v>322</v>
      </c>
      <c r="H627" s="131" t="s">
        <v>7526</v>
      </c>
      <c r="I627" s="131" t="s">
        <v>7527</v>
      </c>
      <c r="J627" s="131" t="s">
        <v>7539</v>
      </c>
      <c r="K627" s="159" t="s">
        <v>9791</v>
      </c>
      <c r="L627" s="149" t="s">
        <v>323</v>
      </c>
      <c r="M627" s="148" t="s">
        <v>9792</v>
      </c>
      <c r="N627" s="148" t="s">
        <v>9793</v>
      </c>
      <c r="O627" s="131"/>
      <c r="P627" s="131"/>
      <c r="Q627" s="131"/>
      <c r="R627" s="131"/>
      <c r="S627" s="131"/>
      <c r="T627" s="131"/>
      <c r="U627" s="131"/>
      <c r="V627" s="131" t="s">
        <v>5122</v>
      </c>
      <c r="W627" s="131" t="s">
        <v>5122</v>
      </c>
      <c r="X627" s="131"/>
      <c r="Y627" s="131"/>
      <c r="Z627" s="162" t="s">
        <v>8565</v>
      </c>
    </row>
    <row r="628" customHeight="1" spans="1:26">
      <c r="A628" s="131" t="s">
        <v>9794</v>
      </c>
      <c r="B628" s="131">
        <v>5</v>
      </c>
      <c r="C628" s="131" t="s">
        <v>320</v>
      </c>
      <c r="D628" s="131"/>
      <c r="E628" s="131"/>
      <c r="F628" s="132" t="s">
        <v>9795</v>
      </c>
      <c r="G628" s="131" t="s">
        <v>343</v>
      </c>
      <c r="H628" s="131" t="s">
        <v>7526</v>
      </c>
      <c r="I628" s="131" t="s">
        <v>7527</v>
      </c>
      <c r="J628" s="131"/>
      <c r="K628" s="149"/>
      <c r="L628" s="149" t="s">
        <v>327</v>
      </c>
      <c r="M628" s="148" t="s">
        <v>9796</v>
      </c>
      <c r="N628" s="168" t="s">
        <v>9797</v>
      </c>
      <c r="O628" s="131"/>
      <c r="P628" s="131"/>
      <c r="Q628" s="131"/>
      <c r="R628" s="131"/>
      <c r="S628" s="131"/>
      <c r="T628" s="131"/>
      <c r="U628" s="131"/>
      <c r="V628" s="131" t="s">
        <v>5122</v>
      </c>
      <c r="W628" s="131"/>
      <c r="X628" s="131"/>
      <c r="Y628" s="131"/>
      <c r="Z628" s="162" t="s">
        <v>7693</v>
      </c>
    </row>
    <row r="629" customHeight="1" spans="1:26">
      <c r="A629" s="135" t="s">
        <v>9798</v>
      </c>
      <c r="B629" s="135">
        <v>5</v>
      </c>
      <c r="C629" s="135" t="s">
        <v>335</v>
      </c>
      <c r="D629" s="135" t="s">
        <v>5122</v>
      </c>
      <c r="E629" s="135"/>
      <c r="F629" s="136" t="s">
        <v>336</v>
      </c>
      <c r="G629" s="135" t="s">
        <v>326</v>
      </c>
      <c r="H629" s="135" t="s">
        <v>7526</v>
      </c>
      <c r="I629" s="135" t="s">
        <v>7527</v>
      </c>
      <c r="J629" s="135" t="s">
        <v>7539</v>
      </c>
      <c r="K629" s="152" t="s">
        <v>9799</v>
      </c>
      <c r="L629" s="153" t="s">
        <v>329</v>
      </c>
      <c r="M629" s="152" t="s">
        <v>9800</v>
      </c>
      <c r="N629" s="152" t="s">
        <v>9801</v>
      </c>
      <c r="O629" s="135" t="s">
        <v>5122</v>
      </c>
      <c r="P629" s="135" t="s">
        <v>5122</v>
      </c>
      <c r="Q629" s="135" t="s">
        <v>5122</v>
      </c>
      <c r="R629" s="135"/>
      <c r="S629" s="135"/>
      <c r="T629" s="135" t="s">
        <v>5122</v>
      </c>
      <c r="U629" s="135" t="s">
        <v>5122</v>
      </c>
      <c r="V629" s="135" t="s">
        <v>5122</v>
      </c>
      <c r="W629" s="135"/>
      <c r="X629" s="135"/>
      <c r="Y629" s="135"/>
      <c r="Z629" s="118" t="s">
        <v>111</v>
      </c>
    </row>
    <row r="630" customHeight="1" spans="1:26">
      <c r="A630" s="125" t="s">
        <v>9802</v>
      </c>
      <c r="B630" s="125">
        <v>5</v>
      </c>
      <c r="C630" s="125" t="s">
        <v>328</v>
      </c>
      <c r="D630" s="125"/>
      <c r="E630" s="125"/>
      <c r="F630" s="126" t="s">
        <v>321</v>
      </c>
      <c r="G630" s="125" t="s">
        <v>343</v>
      </c>
      <c r="H630" s="125" t="s">
        <v>7526</v>
      </c>
      <c r="I630" s="125" t="s">
        <v>7527</v>
      </c>
      <c r="J630" s="125"/>
      <c r="K630" s="142"/>
      <c r="L630" s="143" t="s">
        <v>323</v>
      </c>
      <c r="M630" s="142" t="s">
        <v>9803</v>
      </c>
      <c r="N630" s="142" t="s">
        <v>9804</v>
      </c>
      <c r="O630" s="125" t="s">
        <v>5122</v>
      </c>
      <c r="P630" s="125" t="s">
        <v>5122</v>
      </c>
      <c r="Q630" s="125" t="s">
        <v>5122</v>
      </c>
      <c r="R630" s="125"/>
      <c r="S630" s="125"/>
      <c r="T630" s="125" t="s">
        <v>5122</v>
      </c>
      <c r="U630" s="125" t="s">
        <v>5122</v>
      </c>
      <c r="V630" s="125" t="s">
        <v>5122</v>
      </c>
      <c r="W630" s="125"/>
      <c r="X630" s="125"/>
      <c r="Y630" s="125"/>
      <c r="Z630" s="118" t="s">
        <v>111</v>
      </c>
    </row>
    <row r="631" customHeight="1" spans="1:26">
      <c r="A631" s="131" t="s">
        <v>9805</v>
      </c>
      <c r="B631" s="131">
        <v>5</v>
      </c>
      <c r="C631" s="131" t="s">
        <v>320</v>
      </c>
      <c r="D631" s="131"/>
      <c r="E631" s="131" t="s">
        <v>5122</v>
      </c>
      <c r="F631" s="132" t="s">
        <v>321</v>
      </c>
      <c r="G631" s="131" t="s">
        <v>343</v>
      </c>
      <c r="H631" s="131" t="s">
        <v>7526</v>
      </c>
      <c r="I631" s="131"/>
      <c r="J631" s="131"/>
      <c r="K631" s="148"/>
      <c r="L631" s="149" t="s">
        <v>7661</v>
      </c>
      <c r="M631" s="148" t="s">
        <v>9806</v>
      </c>
      <c r="N631" s="148" t="s">
        <v>9807</v>
      </c>
      <c r="O631" s="131" t="s">
        <v>5122</v>
      </c>
      <c r="P631" s="131"/>
      <c r="Q631" s="131" t="s">
        <v>5122</v>
      </c>
      <c r="R631" s="131"/>
      <c r="S631" s="131"/>
      <c r="T631" s="131" t="s">
        <v>5122</v>
      </c>
      <c r="U631" s="131" t="s">
        <v>5122</v>
      </c>
      <c r="V631" s="131" t="s">
        <v>5122</v>
      </c>
      <c r="W631" s="131"/>
      <c r="X631" s="131"/>
      <c r="Y631" s="131"/>
      <c r="Z631" s="118" t="s">
        <v>111</v>
      </c>
    </row>
    <row r="632" customHeight="1" spans="1:26">
      <c r="A632" s="137" t="s">
        <v>9808</v>
      </c>
      <c r="B632" s="137">
        <v>5</v>
      </c>
      <c r="C632" s="137" t="s">
        <v>339</v>
      </c>
      <c r="D632" s="137"/>
      <c r="E632" s="137" t="s">
        <v>5122</v>
      </c>
      <c r="F632" s="138" t="s">
        <v>329</v>
      </c>
      <c r="G632" s="137" t="s">
        <v>340</v>
      </c>
      <c r="H632" s="137" t="s">
        <v>7526</v>
      </c>
      <c r="I632" s="137" t="s">
        <v>7527</v>
      </c>
      <c r="J632" s="137" t="s">
        <v>7539</v>
      </c>
      <c r="K632" s="154" t="s">
        <v>9799</v>
      </c>
      <c r="L632" s="155" t="s">
        <v>359</v>
      </c>
      <c r="M632" s="154" t="s">
        <v>9809</v>
      </c>
      <c r="N632" s="154" t="s">
        <v>9810</v>
      </c>
      <c r="O632" s="137"/>
      <c r="P632" s="137"/>
      <c r="Q632" s="137"/>
      <c r="R632" s="137"/>
      <c r="S632" s="137"/>
      <c r="T632" s="137" t="s">
        <v>5122</v>
      </c>
      <c r="U632" s="137" t="s">
        <v>5122</v>
      </c>
      <c r="V632" s="137" t="s">
        <v>5122</v>
      </c>
      <c r="W632" s="137"/>
      <c r="X632" s="137"/>
      <c r="Y632" s="137"/>
      <c r="Z632" s="118" t="s">
        <v>111</v>
      </c>
    </row>
    <row r="633" customHeight="1" spans="1:26">
      <c r="A633" s="137" t="s">
        <v>9811</v>
      </c>
      <c r="B633" s="137">
        <v>5</v>
      </c>
      <c r="C633" s="137" t="s">
        <v>339</v>
      </c>
      <c r="D633" s="137"/>
      <c r="E633" s="137" t="s">
        <v>5122</v>
      </c>
      <c r="F633" s="138" t="s">
        <v>321</v>
      </c>
      <c r="G633" s="137" t="s">
        <v>348</v>
      </c>
      <c r="H633" s="137" t="s">
        <v>7526</v>
      </c>
      <c r="I633" s="137" t="s">
        <v>7527</v>
      </c>
      <c r="J633" s="137" t="s">
        <v>7539</v>
      </c>
      <c r="K633" s="154" t="s">
        <v>9812</v>
      </c>
      <c r="L633" s="155" t="s">
        <v>352</v>
      </c>
      <c r="M633" s="154" t="s">
        <v>9813</v>
      </c>
      <c r="N633" s="154" t="s">
        <v>9814</v>
      </c>
      <c r="O633" s="137"/>
      <c r="P633" s="137"/>
      <c r="Q633" s="137" t="s">
        <v>5122</v>
      </c>
      <c r="R633" s="137"/>
      <c r="S633" s="137"/>
      <c r="T633" s="137"/>
      <c r="U633" s="137"/>
      <c r="V633" s="137" t="s">
        <v>5122</v>
      </c>
      <c r="W633" s="137"/>
      <c r="X633" s="137"/>
      <c r="Y633" s="137" t="s">
        <v>5122</v>
      </c>
      <c r="Z633" s="118" t="s">
        <v>72</v>
      </c>
    </row>
    <row r="634" customHeight="1" spans="1:26">
      <c r="A634" s="127" t="s">
        <v>9815</v>
      </c>
      <c r="B634" s="127">
        <v>5</v>
      </c>
      <c r="C634" s="127" t="s">
        <v>331</v>
      </c>
      <c r="D634" s="127"/>
      <c r="E634" s="127" t="s">
        <v>5122</v>
      </c>
      <c r="F634" s="128" t="s">
        <v>321</v>
      </c>
      <c r="G634" s="127" t="s">
        <v>343</v>
      </c>
      <c r="H634" s="127" t="s">
        <v>7526</v>
      </c>
      <c r="I634" s="127" t="s">
        <v>7527</v>
      </c>
      <c r="J634" s="127" t="s">
        <v>7539</v>
      </c>
      <c r="K634" s="144" t="s">
        <v>9816</v>
      </c>
      <c r="L634" s="145" t="s">
        <v>356</v>
      </c>
      <c r="M634" s="144" t="s">
        <v>9817</v>
      </c>
      <c r="N634" s="144" t="s">
        <v>9818</v>
      </c>
      <c r="O634" s="127"/>
      <c r="P634" s="127"/>
      <c r="Q634" s="127"/>
      <c r="R634" s="127"/>
      <c r="S634" s="127"/>
      <c r="T634" s="127" t="s">
        <v>5122</v>
      </c>
      <c r="U634" s="127" t="s">
        <v>5122</v>
      </c>
      <c r="V634" s="127" t="s">
        <v>5122</v>
      </c>
      <c r="W634" s="127"/>
      <c r="X634" s="127"/>
      <c r="Y634" s="127" t="s">
        <v>5122</v>
      </c>
      <c r="Z634" s="118" t="s">
        <v>72</v>
      </c>
    </row>
    <row r="635" customHeight="1" spans="1:26">
      <c r="A635" s="127" t="s">
        <v>9819</v>
      </c>
      <c r="B635" s="127">
        <v>5</v>
      </c>
      <c r="C635" s="127" t="s">
        <v>331</v>
      </c>
      <c r="D635" s="127"/>
      <c r="E635" s="127"/>
      <c r="F635" s="128" t="s">
        <v>321</v>
      </c>
      <c r="G635" s="127" t="s">
        <v>348</v>
      </c>
      <c r="H635" s="127" t="s">
        <v>7526</v>
      </c>
      <c r="I635" s="127" t="s">
        <v>7527</v>
      </c>
      <c r="J635" s="127" t="s">
        <v>7539</v>
      </c>
      <c r="K635" s="144" t="s">
        <v>9820</v>
      </c>
      <c r="L635" s="145" t="s">
        <v>323</v>
      </c>
      <c r="M635" s="144" t="s">
        <v>9821</v>
      </c>
      <c r="N635" s="144" t="s">
        <v>9822</v>
      </c>
      <c r="O635" s="127"/>
      <c r="P635" s="127"/>
      <c r="Q635" s="127"/>
      <c r="R635" s="127"/>
      <c r="S635" s="127"/>
      <c r="T635" s="127" t="s">
        <v>5122</v>
      </c>
      <c r="U635" s="127" t="s">
        <v>5122</v>
      </c>
      <c r="V635" s="127" t="s">
        <v>5122</v>
      </c>
      <c r="W635" s="127"/>
      <c r="X635" s="127"/>
      <c r="Y635" s="127" t="s">
        <v>5122</v>
      </c>
      <c r="Z635" s="118" t="s">
        <v>72</v>
      </c>
    </row>
    <row r="636" customHeight="1" spans="1:26">
      <c r="A636" s="137" t="s">
        <v>9823</v>
      </c>
      <c r="B636" s="137">
        <v>5</v>
      </c>
      <c r="C636" s="137" t="s">
        <v>339</v>
      </c>
      <c r="D636" s="137"/>
      <c r="E636" s="137"/>
      <c r="F636" s="138" t="s">
        <v>321</v>
      </c>
      <c r="G636" s="137" t="s">
        <v>343</v>
      </c>
      <c r="H636" s="137" t="s">
        <v>7526</v>
      </c>
      <c r="I636" s="137" t="s">
        <v>7527</v>
      </c>
      <c r="J636" s="137" t="s">
        <v>7539</v>
      </c>
      <c r="K636" s="154" t="s">
        <v>9824</v>
      </c>
      <c r="L636" s="155" t="s">
        <v>323</v>
      </c>
      <c r="M636" s="154" t="s">
        <v>9825</v>
      </c>
      <c r="N636" s="154" t="s">
        <v>9826</v>
      </c>
      <c r="O636" s="137"/>
      <c r="P636" s="137"/>
      <c r="Q636" s="137"/>
      <c r="R636" s="137"/>
      <c r="S636" s="137" t="s">
        <v>5122</v>
      </c>
      <c r="T636" s="137" t="s">
        <v>5122</v>
      </c>
      <c r="U636" s="137"/>
      <c r="V636" s="137" t="s">
        <v>5122</v>
      </c>
      <c r="W636" s="137"/>
      <c r="X636" s="137"/>
      <c r="Y636" s="137" t="s">
        <v>5122</v>
      </c>
      <c r="Z636" s="118" t="s">
        <v>72</v>
      </c>
    </row>
    <row r="637" customHeight="1" spans="1:26">
      <c r="A637" s="125" t="s">
        <v>9827</v>
      </c>
      <c r="B637" s="125">
        <v>5</v>
      </c>
      <c r="C637" s="125" t="s">
        <v>328</v>
      </c>
      <c r="D637" s="125"/>
      <c r="E637" s="125" t="s">
        <v>5122</v>
      </c>
      <c r="F637" s="126" t="s">
        <v>321</v>
      </c>
      <c r="G637" s="125" t="s">
        <v>326</v>
      </c>
      <c r="H637" s="125" t="s">
        <v>7526</v>
      </c>
      <c r="I637" s="125" t="s">
        <v>7527</v>
      </c>
      <c r="J637" s="125" t="s">
        <v>7539</v>
      </c>
      <c r="K637" s="142" t="s">
        <v>9828</v>
      </c>
      <c r="L637" s="143" t="s">
        <v>356</v>
      </c>
      <c r="M637" s="142" t="s">
        <v>9829</v>
      </c>
      <c r="N637" s="142" t="s">
        <v>9830</v>
      </c>
      <c r="O637" s="125"/>
      <c r="P637" s="125"/>
      <c r="Q637" s="125" t="s">
        <v>5122</v>
      </c>
      <c r="R637" s="125"/>
      <c r="S637" s="125" t="s">
        <v>5122</v>
      </c>
      <c r="T637" s="125" t="s">
        <v>5122</v>
      </c>
      <c r="U637" s="125"/>
      <c r="V637" s="125"/>
      <c r="W637" s="125"/>
      <c r="X637" s="125"/>
      <c r="Y637" s="125"/>
      <c r="Z637" s="118" t="s">
        <v>9084</v>
      </c>
    </row>
    <row r="638" customHeight="1" spans="1:26">
      <c r="A638" s="137" t="s">
        <v>9831</v>
      </c>
      <c r="B638" s="137">
        <v>5</v>
      </c>
      <c r="C638" s="137" t="s">
        <v>339</v>
      </c>
      <c r="D638" s="137"/>
      <c r="E638" s="137"/>
      <c r="F638" s="138" t="s">
        <v>329</v>
      </c>
      <c r="G638" s="137" t="s">
        <v>7556</v>
      </c>
      <c r="H638" s="137" t="s">
        <v>7526</v>
      </c>
      <c r="I638" s="137" t="s">
        <v>7527</v>
      </c>
      <c r="J638" s="137" t="s">
        <v>7539</v>
      </c>
      <c r="K638" s="154" t="s">
        <v>9832</v>
      </c>
      <c r="L638" s="155" t="s">
        <v>338</v>
      </c>
      <c r="M638" s="154" t="s">
        <v>9833</v>
      </c>
      <c r="N638" s="154" t="s">
        <v>9834</v>
      </c>
      <c r="O638" s="137" t="s">
        <v>5122</v>
      </c>
      <c r="P638" s="137"/>
      <c r="Q638" s="137"/>
      <c r="R638" s="137"/>
      <c r="S638" s="137"/>
      <c r="T638" s="137" t="s">
        <v>5122</v>
      </c>
      <c r="U638" s="137"/>
      <c r="V638" s="137" t="s">
        <v>5122</v>
      </c>
      <c r="W638" s="137"/>
      <c r="X638" s="137"/>
      <c r="Y638" s="137"/>
      <c r="Z638" s="118" t="s">
        <v>95</v>
      </c>
    </row>
    <row r="639" customHeight="1" spans="1:26">
      <c r="A639" s="133" t="s">
        <v>9835</v>
      </c>
      <c r="B639" s="133">
        <v>5</v>
      </c>
      <c r="C639" s="133" t="s">
        <v>342</v>
      </c>
      <c r="D639" s="133"/>
      <c r="E639" s="133" t="s">
        <v>5122</v>
      </c>
      <c r="F639" s="134" t="s">
        <v>321</v>
      </c>
      <c r="G639" s="133" t="s">
        <v>333</v>
      </c>
      <c r="H639" s="133" t="s">
        <v>7526</v>
      </c>
      <c r="I639" s="133" t="s">
        <v>7527</v>
      </c>
      <c r="J639" s="133" t="s">
        <v>7539</v>
      </c>
      <c r="K639" s="150" t="s">
        <v>9836</v>
      </c>
      <c r="L639" s="151" t="s">
        <v>352</v>
      </c>
      <c r="M639" s="150" t="s">
        <v>9837</v>
      </c>
      <c r="N639" s="150" t="s">
        <v>9838</v>
      </c>
      <c r="O639" s="133" t="s">
        <v>5122</v>
      </c>
      <c r="P639" s="133"/>
      <c r="Q639" s="133"/>
      <c r="R639" s="133"/>
      <c r="S639" s="133"/>
      <c r="T639" s="133"/>
      <c r="U639" s="133"/>
      <c r="V639" s="133" t="s">
        <v>5122</v>
      </c>
      <c r="W639" s="133"/>
      <c r="X639" s="133"/>
      <c r="Y639" s="133"/>
      <c r="Z639" s="118" t="s">
        <v>95</v>
      </c>
    </row>
    <row r="640" customHeight="1" spans="1:26">
      <c r="A640" s="131" t="s">
        <v>9839</v>
      </c>
      <c r="B640" s="131">
        <v>5</v>
      </c>
      <c r="C640" s="131" t="s">
        <v>320</v>
      </c>
      <c r="D640" s="131"/>
      <c r="E640" s="131" t="s">
        <v>5122</v>
      </c>
      <c r="F640" s="132" t="s">
        <v>321</v>
      </c>
      <c r="G640" s="131" t="s">
        <v>337</v>
      </c>
      <c r="H640" s="131" t="s">
        <v>7526</v>
      </c>
      <c r="I640" s="131" t="s">
        <v>7527</v>
      </c>
      <c r="J640" s="131" t="s">
        <v>7539</v>
      </c>
      <c r="K640" s="148" t="s">
        <v>9840</v>
      </c>
      <c r="L640" s="149" t="s">
        <v>356</v>
      </c>
      <c r="M640" s="148" t="s">
        <v>9841</v>
      </c>
      <c r="N640" s="148" t="s">
        <v>9842</v>
      </c>
      <c r="O640" s="131"/>
      <c r="P640" s="131"/>
      <c r="Q640" s="131"/>
      <c r="R640" s="131"/>
      <c r="S640" s="131"/>
      <c r="T640" s="131" t="s">
        <v>5122</v>
      </c>
      <c r="U640" s="131"/>
      <c r="V640" s="131" t="s">
        <v>5122</v>
      </c>
      <c r="W640" s="131"/>
      <c r="X640" s="131"/>
      <c r="Y640" s="131"/>
      <c r="Z640" s="118" t="s">
        <v>95</v>
      </c>
    </row>
    <row r="641" customHeight="1" spans="1:26">
      <c r="A641" s="131" t="s">
        <v>9843</v>
      </c>
      <c r="B641" s="131">
        <v>5</v>
      </c>
      <c r="C641" s="131" t="s">
        <v>320</v>
      </c>
      <c r="D641" s="131"/>
      <c r="E641" s="131"/>
      <c r="F641" s="132" t="s">
        <v>321</v>
      </c>
      <c r="G641" s="131" t="s">
        <v>351</v>
      </c>
      <c r="H641" s="131" t="s">
        <v>7526</v>
      </c>
      <c r="I641" s="131" t="s">
        <v>7527</v>
      </c>
      <c r="J641" s="131" t="s">
        <v>7539</v>
      </c>
      <c r="K641" s="148" t="s">
        <v>9844</v>
      </c>
      <c r="L641" s="149" t="s">
        <v>323</v>
      </c>
      <c r="M641" s="148" t="s">
        <v>9845</v>
      </c>
      <c r="N641" s="148" t="s">
        <v>9846</v>
      </c>
      <c r="O641" s="131" t="s">
        <v>5122</v>
      </c>
      <c r="P641" s="131"/>
      <c r="Q641" s="131"/>
      <c r="R641" s="131"/>
      <c r="S641" s="131"/>
      <c r="T641" s="131" t="s">
        <v>5122</v>
      </c>
      <c r="U641" s="131" t="s">
        <v>5122</v>
      </c>
      <c r="V641" s="131" t="s">
        <v>5122</v>
      </c>
      <c r="W641" s="131"/>
      <c r="X641" s="131"/>
      <c r="Y641" s="131"/>
      <c r="Z641" s="118" t="s">
        <v>95</v>
      </c>
    </row>
    <row r="642" customHeight="1" spans="1:26">
      <c r="A642" s="137" t="s">
        <v>9847</v>
      </c>
      <c r="B642" s="137">
        <v>5</v>
      </c>
      <c r="C642" s="137" t="s">
        <v>339</v>
      </c>
      <c r="D642" s="137"/>
      <c r="E642" s="137"/>
      <c r="F642" s="138" t="s">
        <v>321</v>
      </c>
      <c r="G642" s="137" t="s">
        <v>7556</v>
      </c>
      <c r="H642" s="137" t="s">
        <v>7526</v>
      </c>
      <c r="I642" s="137" t="s">
        <v>7527</v>
      </c>
      <c r="J642" s="137"/>
      <c r="K642" s="154"/>
      <c r="L642" s="155" t="s">
        <v>327</v>
      </c>
      <c r="M642" s="154" t="s">
        <v>9848</v>
      </c>
      <c r="N642" s="154" t="s">
        <v>9849</v>
      </c>
      <c r="O642" s="137"/>
      <c r="P642" s="137"/>
      <c r="Q642" s="137" t="s">
        <v>5122</v>
      </c>
      <c r="R642" s="137"/>
      <c r="S642" s="137" t="s">
        <v>5122</v>
      </c>
      <c r="T642" s="137" t="s">
        <v>5122</v>
      </c>
      <c r="U642" s="137" t="s">
        <v>5122</v>
      </c>
      <c r="V642" s="137" t="s">
        <v>5122</v>
      </c>
      <c r="W642" s="137"/>
      <c r="X642" s="137"/>
      <c r="Y642" s="137"/>
      <c r="Z642" s="118" t="s">
        <v>95</v>
      </c>
    </row>
    <row r="643" customHeight="1" spans="1:26">
      <c r="A643" s="137" t="s">
        <v>9850</v>
      </c>
      <c r="B643" s="137">
        <v>5</v>
      </c>
      <c r="C643" s="137" t="s">
        <v>339</v>
      </c>
      <c r="D643" s="137"/>
      <c r="E643" s="137"/>
      <c r="F643" s="138" t="s">
        <v>321</v>
      </c>
      <c r="G643" s="137" t="s">
        <v>337</v>
      </c>
      <c r="H643" s="137" t="s">
        <v>7526</v>
      </c>
      <c r="I643" s="137" t="s">
        <v>7527</v>
      </c>
      <c r="J643" s="137" t="s">
        <v>7539</v>
      </c>
      <c r="K643" s="154" t="s">
        <v>9851</v>
      </c>
      <c r="L643" s="155" t="s">
        <v>323</v>
      </c>
      <c r="M643" s="154" t="s">
        <v>9852</v>
      </c>
      <c r="N643" s="154" t="s">
        <v>9853</v>
      </c>
      <c r="O643" s="137" t="s">
        <v>5122</v>
      </c>
      <c r="P643" s="137"/>
      <c r="Q643" s="137" t="s">
        <v>5122</v>
      </c>
      <c r="R643" s="137"/>
      <c r="S643" s="137" t="s">
        <v>5122</v>
      </c>
      <c r="T643" s="137" t="s">
        <v>5122</v>
      </c>
      <c r="U643" s="137" t="s">
        <v>5122</v>
      </c>
      <c r="V643" s="137"/>
      <c r="W643" s="137"/>
      <c r="X643" s="137"/>
      <c r="Y643" s="137"/>
      <c r="Z643" s="118" t="s">
        <v>95</v>
      </c>
    </row>
    <row r="644" customHeight="1" spans="1:26">
      <c r="A644" s="125" t="s">
        <v>9854</v>
      </c>
      <c r="B644" s="125">
        <v>5</v>
      </c>
      <c r="C644" s="125" t="s">
        <v>328</v>
      </c>
      <c r="D644" s="125"/>
      <c r="E644" s="125"/>
      <c r="F644" s="126" t="s">
        <v>334</v>
      </c>
      <c r="G644" s="125" t="s">
        <v>333</v>
      </c>
      <c r="H644" s="125" t="s">
        <v>7526</v>
      </c>
      <c r="I644" s="125" t="s">
        <v>7527</v>
      </c>
      <c r="J644" s="125" t="s">
        <v>7539</v>
      </c>
      <c r="K644" s="142" t="s">
        <v>9855</v>
      </c>
      <c r="L644" s="143" t="s">
        <v>323</v>
      </c>
      <c r="M644" s="142" t="s">
        <v>9856</v>
      </c>
      <c r="N644" s="142" t="s">
        <v>9857</v>
      </c>
      <c r="O644" s="125" t="s">
        <v>5122</v>
      </c>
      <c r="P644" s="125" t="s">
        <v>5122</v>
      </c>
      <c r="Q644" s="125"/>
      <c r="R644" s="125"/>
      <c r="S644" s="125"/>
      <c r="T644" s="125"/>
      <c r="U644" s="125"/>
      <c r="V644" s="125" t="s">
        <v>5122</v>
      </c>
      <c r="W644" s="125"/>
      <c r="X644" s="125"/>
      <c r="Y644" s="125"/>
      <c r="Z644" s="118" t="s">
        <v>95</v>
      </c>
    </row>
    <row r="645" customHeight="1" spans="1:26">
      <c r="A645" s="127" t="s">
        <v>9858</v>
      </c>
      <c r="B645" s="127">
        <v>5</v>
      </c>
      <c r="C645" s="127" t="s">
        <v>331</v>
      </c>
      <c r="D645" s="127"/>
      <c r="E645" s="127" t="s">
        <v>5122</v>
      </c>
      <c r="F645" s="128" t="s">
        <v>321</v>
      </c>
      <c r="G645" s="127" t="s">
        <v>340</v>
      </c>
      <c r="H645" s="127" t="s">
        <v>7526</v>
      </c>
      <c r="I645" s="127" t="s">
        <v>7527</v>
      </c>
      <c r="J645" s="127" t="s">
        <v>7539</v>
      </c>
      <c r="K645" s="144" t="s">
        <v>9859</v>
      </c>
      <c r="L645" s="145" t="s">
        <v>352</v>
      </c>
      <c r="M645" s="144" t="s">
        <v>9860</v>
      </c>
      <c r="N645" s="144" t="s">
        <v>9861</v>
      </c>
      <c r="O645" s="127"/>
      <c r="P645" s="127" t="s">
        <v>5122</v>
      </c>
      <c r="Q645" s="127" t="s">
        <v>5122</v>
      </c>
      <c r="R645" s="127"/>
      <c r="S645" s="127"/>
      <c r="T645" s="127"/>
      <c r="U645" s="127" t="s">
        <v>5122</v>
      </c>
      <c r="V645" s="127"/>
      <c r="W645" s="127"/>
      <c r="X645" s="127"/>
      <c r="Y645" s="127"/>
      <c r="Z645" s="118" t="s">
        <v>108</v>
      </c>
    </row>
    <row r="646" customHeight="1" spans="1:26">
      <c r="A646" s="131" t="s">
        <v>9862</v>
      </c>
      <c r="B646" s="131">
        <v>5</v>
      </c>
      <c r="C646" s="131" t="s">
        <v>320</v>
      </c>
      <c r="D646" s="131"/>
      <c r="E646" s="131" t="s">
        <v>5122</v>
      </c>
      <c r="F646" s="132" t="s">
        <v>321</v>
      </c>
      <c r="G646" s="131" t="s">
        <v>7535</v>
      </c>
      <c r="H646" s="131" t="s">
        <v>7526</v>
      </c>
      <c r="I646" s="131" t="s">
        <v>7527</v>
      </c>
      <c r="J646" s="131" t="s">
        <v>7539</v>
      </c>
      <c r="K646" s="148" t="s">
        <v>9863</v>
      </c>
      <c r="L646" s="149" t="s">
        <v>359</v>
      </c>
      <c r="M646" s="148" t="s">
        <v>9864</v>
      </c>
      <c r="N646" s="148" t="s">
        <v>9156</v>
      </c>
      <c r="O646" s="131" t="s">
        <v>5122</v>
      </c>
      <c r="P646" s="131"/>
      <c r="Q646" s="131"/>
      <c r="R646" s="131" t="s">
        <v>5122</v>
      </c>
      <c r="S646" s="131" t="s">
        <v>5122</v>
      </c>
      <c r="T646" s="131"/>
      <c r="U646" s="131" t="s">
        <v>5122</v>
      </c>
      <c r="V646" s="131"/>
      <c r="W646" s="131"/>
      <c r="X646" s="131"/>
      <c r="Y646" s="131"/>
      <c r="Z646" s="118" t="s">
        <v>108</v>
      </c>
    </row>
    <row r="647" customHeight="1" spans="1:26">
      <c r="A647" s="125" t="s">
        <v>9865</v>
      </c>
      <c r="B647" s="125">
        <v>5</v>
      </c>
      <c r="C647" s="125" t="s">
        <v>328</v>
      </c>
      <c r="D647" s="125"/>
      <c r="E647" s="125"/>
      <c r="F647" s="126" t="s">
        <v>9866</v>
      </c>
      <c r="G647" s="125" t="s">
        <v>337</v>
      </c>
      <c r="H647" s="125" t="s">
        <v>7526</v>
      </c>
      <c r="I647" s="125" t="s">
        <v>7527</v>
      </c>
      <c r="J647" s="125" t="s">
        <v>7539</v>
      </c>
      <c r="K647" s="142" t="s">
        <v>9867</v>
      </c>
      <c r="L647" s="143" t="s">
        <v>323</v>
      </c>
      <c r="M647" s="142" t="s">
        <v>9868</v>
      </c>
      <c r="N647" s="142" t="s">
        <v>9869</v>
      </c>
      <c r="O647" s="125" t="s">
        <v>5122</v>
      </c>
      <c r="P647" s="125"/>
      <c r="Q647" s="125"/>
      <c r="R647" s="125"/>
      <c r="S647" s="125"/>
      <c r="T647" s="125" t="s">
        <v>5122</v>
      </c>
      <c r="U647" s="125"/>
      <c r="V647" s="125" t="s">
        <v>5122</v>
      </c>
      <c r="W647" s="125"/>
      <c r="X647" s="125"/>
      <c r="Y647" s="125"/>
      <c r="Z647" s="118" t="s">
        <v>108</v>
      </c>
    </row>
    <row r="648" customHeight="1" spans="1:26">
      <c r="A648" s="127" t="s">
        <v>9870</v>
      </c>
      <c r="B648" s="127">
        <v>5</v>
      </c>
      <c r="C648" s="127" t="s">
        <v>331</v>
      </c>
      <c r="D648" s="127"/>
      <c r="E648" s="127" t="s">
        <v>5122</v>
      </c>
      <c r="F648" s="128" t="s">
        <v>321</v>
      </c>
      <c r="G648" s="127" t="s">
        <v>343</v>
      </c>
      <c r="H648" s="127" t="s">
        <v>7526</v>
      </c>
      <c r="I648" s="127" t="s">
        <v>7527</v>
      </c>
      <c r="J648" s="127"/>
      <c r="K648" s="144"/>
      <c r="L648" s="145" t="s">
        <v>352</v>
      </c>
      <c r="M648" s="144" t="s">
        <v>9871</v>
      </c>
      <c r="N648" s="144" t="s">
        <v>9872</v>
      </c>
      <c r="O648" s="127"/>
      <c r="P648" s="127" t="s">
        <v>5122</v>
      </c>
      <c r="Q648" s="127"/>
      <c r="R648" s="127"/>
      <c r="S648" s="127"/>
      <c r="T648" s="127"/>
      <c r="U648" s="127"/>
      <c r="V648" s="127" t="s">
        <v>5122</v>
      </c>
      <c r="W648" s="127"/>
      <c r="X648" s="127"/>
      <c r="Y648" s="127"/>
      <c r="Z648" s="118" t="s">
        <v>65</v>
      </c>
    </row>
    <row r="649" customHeight="1" spans="1:26">
      <c r="A649" s="131" t="s">
        <v>9873</v>
      </c>
      <c r="B649" s="131">
        <v>5</v>
      </c>
      <c r="C649" s="131" t="s">
        <v>320</v>
      </c>
      <c r="D649" s="131"/>
      <c r="E649" s="131" t="s">
        <v>5122</v>
      </c>
      <c r="F649" s="132" t="s">
        <v>321</v>
      </c>
      <c r="G649" s="131" t="s">
        <v>333</v>
      </c>
      <c r="H649" s="131" t="s">
        <v>7526</v>
      </c>
      <c r="I649" s="131"/>
      <c r="J649" s="131" t="s">
        <v>7539</v>
      </c>
      <c r="K649" s="148" t="s">
        <v>9874</v>
      </c>
      <c r="L649" s="149" t="s">
        <v>352</v>
      </c>
      <c r="M649" s="148" t="s">
        <v>9875</v>
      </c>
      <c r="N649" s="148" t="s">
        <v>9876</v>
      </c>
      <c r="O649" s="131" t="s">
        <v>5122</v>
      </c>
      <c r="P649" s="131"/>
      <c r="Q649" s="131"/>
      <c r="R649" s="131"/>
      <c r="S649" s="131"/>
      <c r="T649" s="131" t="s">
        <v>5122</v>
      </c>
      <c r="U649" s="131" t="s">
        <v>5122</v>
      </c>
      <c r="V649" s="131" t="s">
        <v>5122</v>
      </c>
      <c r="W649" s="131"/>
      <c r="X649" s="131"/>
      <c r="Y649" s="131"/>
      <c r="Z649" s="118" t="s">
        <v>7781</v>
      </c>
    </row>
    <row r="650" customHeight="1" spans="1:26">
      <c r="A650" s="133" t="s">
        <v>9877</v>
      </c>
      <c r="B650" s="133">
        <v>5</v>
      </c>
      <c r="C650" s="133" t="s">
        <v>342</v>
      </c>
      <c r="D650" s="133"/>
      <c r="E650" s="133" t="s">
        <v>5122</v>
      </c>
      <c r="F650" s="134" t="s">
        <v>321</v>
      </c>
      <c r="G650" s="133" t="s">
        <v>337</v>
      </c>
      <c r="H650" s="133" t="s">
        <v>7526</v>
      </c>
      <c r="I650" s="133"/>
      <c r="J650" s="133" t="s">
        <v>7539</v>
      </c>
      <c r="K650" s="150" t="s">
        <v>9878</v>
      </c>
      <c r="L650" s="151" t="s">
        <v>352</v>
      </c>
      <c r="M650" s="150" t="s">
        <v>9879</v>
      </c>
      <c r="N650" s="150" t="s">
        <v>9880</v>
      </c>
      <c r="O650" s="133" t="s">
        <v>5122</v>
      </c>
      <c r="P650" s="133" t="s">
        <v>5122</v>
      </c>
      <c r="Q650" s="133"/>
      <c r="R650" s="133" t="s">
        <v>5122</v>
      </c>
      <c r="S650" s="133"/>
      <c r="T650" s="133"/>
      <c r="U650" s="133"/>
      <c r="V650" s="133"/>
      <c r="W650" s="133"/>
      <c r="X650" s="133"/>
      <c r="Y650" s="133"/>
      <c r="Z650" s="118" t="s">
        <v>7781</v>
      </c>
    </row>
    <row r="651" customHeight="1" spans="1:26">
      <c r="A651" s="127" t="s">
        <v>9881</v>
      </c>
      <c r="B651" s="127">
        <v>5</v>
      </c>
      <c r="C651" s="127" t="s">
        <v>331</v>
      </c>
      <c r="D651" s="127"/>
      <c r="E651" s="127" t="s">
        <v>5122</v>
      </c>
      <c r="F651" s="128" t="s">
        <v>321</v>
      </c>
      <c r="G651" s="127" t="s">
        <v>337</v>
      </c>
      <c r="H651" s="127" t="s">
        <v>7526</v>
      </c>
      <c r="I651" s="127" t="s">
        <v>7527</v>
      </c>
      <c r="J651" s="127" t="s">
        <v>7539</v>
      </c>
      <c r="K651" s="144" t="s">
        <v>9882</v>
      </c>
      <c r="L651" s="145" t="s">
        <v>352</v>
      </c>
      <c r="M651" s="144" t="s">
        <v>9883</v>
      </c>
      <c r="N651" s="144" t="s">
        <v>9884</v>
      </c>
      <c r="O651" s="127"/>
      <c r="P651" s="127" t="s">
        <v>5122</v>
      </c>
      <c r="Q651" s="127" t="s">
        <v>5122</v>
      </c>
      <c r="R651" s="127"/>
      <c r="S651" s="127"/>
      <c r="T651" s="127" t="s">
        <v>5122</v>
      </c>
      <c r="U651" s="127"/>
      <c r="V651" s="127" t="s">
        <v>5122</v>
      </c>
      <c r="W651" s="127"/>
      <c r="X651" s="127"/>
      <c r="Y651" s="127"/>
      <c r="Z651" s="118" t="s">
        <v>7781</v>
      </c>
    </row>
    <row r="652" customHeight="1" spans="1:26">
      <c r="A652" s="133" t="s">
        <v>9885</v>
      </c>
      <c r="B652" s="133">
        <v>5</v>
      </c>
      <c r="C652" s="133" t="s">
        <v>342</v>
      </c>
      <c r="D652" s="133"/>
      <c r="E652" s="133" t="s">
        <v>5122</v>
      </c>
      <c r="F652" s="134" t="s">
        <v>321</v>
      </c>
      <c r="G652" s="133" t="s">
        <v>9886</v>
      </c>
      <c r="H652" s="133" t="s">
        <v>7526</v>
      </c>
      <c r="I652" s="133"/>
      <c r="J652" s="133" t="s">
        <v>7539</v>
      </c>
      <c r="K652" s="150" t="s">
        <v>9887</v>
      </c>
      <c r="L652" s="151" t="s">
        <v>356</v>
      </c>
      <c r="M652" s="150" t="s">
        <v>9888</v>
      </c>
      <c r="N652" s="150" t="s">
        <v>9889</v>
      </c>
      <c r="O652" s="133" t="s">
        <v>5122</v>
      </c>
      <c r="P652" s="133"/>
      <c r="Q652" s="133"/>
      <c r="R652" s="133"/>
      <c r="S652" s="133"/>
      <c r="T652" s="133"/>
      <c r="U652" s="133" t="s">
        <v>5122</v>
      </c>
      <c r="V652" s="133"/>
      <c r="W652" s="133"/>
      <c r="X652" s="133"/>
      <c r="Y652" s="133"/>
      <c r="Z652" s="118" t="s">
        <v>7781</v>
      </c>
    </row>
    <row r="653" customHeight="1" spans="1:26">
      <c r="A653" s="133" t="s">
        <v>9890</v>
      </c>
      <c r="B653" s="133">
        <v>5</v>
      </c>
      <c r="C653" s="133" t="s">
        <v>342</v>
      </c>
      <c r="D653" s="133"/>
      <c r="E653" s="133"/>
      <c r="F653" s="134" t="s">
        <v>321</v>
      </c>
      <c r="G653" s="133" t="s">
        <v>333</v>
      </c>
      <c r="H653" s="133" t="s">
        <v>7526</v>
      </c>
      <c r="I653" s="133" t="s">
        <v>7527</v>
      </c>
      <c r="J653" s="133"/>
      <c r="K653" s="150"/>
      <c r="L653" s="151" t="s">
        <v>344</v>
      </c>
      <c r="M653" s="150" t="s">
        <v>9891</v>
      </c>
      <c r="N653" s="150" t="s">
        <v>9892</v>
      </c>
      <c r="O653" s="133" t="s">
        <v>5122</v>
      </c>
      <c r="P653" s="133" t="s">
        <v>5122</v>
      </c>
      <c r="Q653" s="133" t="s">
        <v>5122</v>
      </c>
      <c r="R653" s="133"/>
      <c r="S653" s="133" t="s">
        <v>5122</v>
      </c>
      <c r="T653" s="133"/>
      <c r="U653" s="133"/>
      <c r="V653" s="133"/>
      <c r="W653" s="133"/>
      <c r="X653" s="133"/>
      <c r="Y653" s="133"/>
      <c r="Z653" s="118" t="s">
        <v>7781</v>
      </c>
    </row>
    <row r="654" customHeight="1" spans="1:26">
      <c r="A654" s="123" t="s">
        <v>9893</v>
      </c>
      <c r="B654" s="123">
        <v>5</v>
      </c>
      <c r="C654" s="123" t="s">
        <v>324</v>
      </c>
      <c r="D654" s="123"/>
      <c r="E654" s="123" t="s">
        <v>5122</v>
      </c>
      <c r="F654" s="124" t="s">
        <v>321</v>
      </c>
      <c r="G654" s="123" t="s">
        <v>9894</v>
      </c>
      <c r="H654" s="123" t="s">
        <v>7526</v>
      </c>
      <c r="I654" s="123" t="s">
        <v>7527</v>
      </c>
      <c r="J654" s="123" t="s">
        <v>7539</v>
      </c>
      <c r="K654" s="141" t="s">
        <v>9895</v>
      </c>
      <c r="L654" s="139" t="s">
        <v>352</v>
      </c>
      <c r="M654" s="141" t="s">
        <v>9896</v>
      </c>
      <c r="N654" s="141" t="s">
        <v>9897</v>
      </c>
      <c r="O654" s="123"/>
      <c r="P654" s="123"/>
      <c r="Q654" s="123" t="s">
        <v>5122</v>
      </c>
      <c r="R654" s="123"/>
      <c r="S654" s="123"/>
      <c r="T654" s="123" t="s">
        <v>5122</v>
      </c>
      <c r="U654" s="123"/>
      <c r="V654" s="123" t="s">
        <v>5122</v>
      </c>
      <c r="W654" s="123"/>
      <c r="X654" s="123"/>
      <c r="Y654" s="123"/>
      <c r="Z654" s="118" t="s">
        <v>7781</v>
      </c>
    </row>
    <row r="655" customHeight="1" spans="1:26">
      <c r="A655" s="125" t="s">
        <v>9898</v>
      </c>
      <c r="B655" s="125">
        <v>5</v>
      </c>
      <c r="C655" s="125" t="s">
        <v>328</v>
      </c>
      <c r="D655" s="125"/>
      <c r="E655" s="125" t="s">
        <v>5122</v>
      </c>
      <c r="F655" s="126" t="s">
        <v>321</v>
      </c>
      <c r="G655" s="125" t="s">
        <v>326</v>
      </c>
      <c r="H655" s="125" t="s">
        <v>7526</v>
      </c>
      <c r="I655" s="125" t="s">
        <v>7527</v>
      </c>
      <c r="J655" s="125" t="s">
        <v>7539</v>
      </c>
      <c r="K655" s="142" t="s">
        <v>9899</v>
      </c>
      <c r="L655" s="143" t="s">
        <v>352</v>
      </c>
      <c r="M655" s="142" t="s">
        <v>9900</v>
      </c>
      <c r="N655" s="142" t="s">
        <v>9901</v>
      </c>
      <c r="O655" s="125" t="s">
        <v>5122</v>
      </c>
      <c r="P655" s="125"/>
      <c r="Q655" s="125" t="s">
        <v>5122</v>
      </c>
      <c r="R655" s="125"/>
      <c r="S655" s="125" t="s">
        <v>5122</v>
      </c>
      <c r="T655" s="125"/>
      <c r="U655" s="125"/>
      <c r="V655" s="125" t="s">
        <v>5122</v>
      </c>
      <c r="W655" s="125"/>
      <c r="X655" s="125"/>
      <c r="Y655" s="125"/>
      <c r="Z655" s="118" t="s">
        <v>90</v>
      </c>
    </row>
    <row r="656" customHeight="1" spans="1:26">
      <c r="A656" s="131" t="s">
        <v>9902</v>
      </c>
      <c r="B656" s="131">
        <v>5</v>
      </c>
      <c r="C656" s="131" t="s">
        <v>320</v>
      </c>
      <c r="D656" s="131"/>
      <c r="E656" s="131" t="s">
        <v>5122</v>
      </c>
      <c r="F656" s="132" t="s">
        <v>321</v>
      </c>
      <c r="G656" s="131" t="s">
        <v>326</v>
      </c>
      <c r="H656" s="131" t="s">
        <v>7526</v>
      </c>
      <c r="I656" s="131" t="s">
        <v>7527</v>
      </c>
      <c r="J656" s="131" t="s">
        <v>7539</v>
      </c>
      <c r="K656" s="148" t="s">
        <v>9903</v>
      </c>
      <c r="L656" s="149" t="s">
        <v>352</v>
      </c>
      <c r="M656" s="148" t="s">
        <v>9904</v>
      </c>
      <c r="N656" s="148" t="s">
        <v>9905</v>
      </c>
      <c r="O656" s="131"/>
      <c r="P656" s="131"/>
      <c r="Q656" s="131" t="s">
        <v>5122</v>
      </c>
      <c r="R656" s="131"/>
      <c r="S656" s="131"/>
      <c r="T656" s="131" t="s">
        <v>5122</v>
      </c>
      <c r="U656" s="131"/>
      <c r="V656" s="131" t="s">
        <v>5122</v>
      </c>
      <c r="W656" s="131"/>
      <c r="X656" s="131"/>
      <c r="Y656" s="131"/>
      <c r="Z656" s="118" t="s">
        <v>90</v>
      </c>
    </row>
    <row r="657" customHeight="1" spans="1:26">
      <c r="A657" s="137" t="s">
        <v>9906</v>
      </c>
      <c r="B657" s="137">
        <v>6</v>
      </c>
      <c r="C657" s="137" t="s">
        <v>339</v>
      </c>
      <c r="D657" s="137"/>
      <c r="E657" s="137" t="s">
        <v>5122</v>
      </c>
      <c r="F657" s="138" t="s">
        <v>321</v>
      </c>
      <c r="G657" s="137" t="s">
        <v>9268</v>
      </c>
      <c r="H657" s="137" t="s">
        <v>7526</v>
      </c>
      <c r="I657" s="137" t="s">
        <v>7527</v>
      </c>
      <c r="J657" s="137"/>
      <c r="K657" s="154"/>
      <c r="L657" s="155" t="s">
        <v>356</v>
      </c>
      <c r="M657" s="154" t="s">
        <v>9907</v>
      </c>
      <c r="N657" s="154" t="s">
        <v>9908</v>
      </c>
      <c r="O657" s="137"/>
      <c r="P657" s="137"/>
      <c r="Q657" s="137"/>
      <c r="R657" s="137"/>
      <c r="S657" s="137"/>
      <c r="T657" s="137" t="s">
        <v>5122</v>
      </c>
      <c r="U657" s="137" t="s">
        <v>5122</v>
      </c>
      <c r="V657" s="137" t="s">
        <v>5122</v>
      </c>
      <c r="W657" s="137"/>
      <c r="X657" s="137"/>
      <c r="Y657" s="137"/>
      <c r="Z657" s="118" t="s">
        <v>7530</v>
      </c>
    </row>
    <row r="658" customHeight="1" spans="1:26">
      <c r="A658" s="123" t="s">
        <v>9909</v>
      </c>
      <c r="B658" s="123">
        <v>6</v>
      </c>
      <c r="C658" s="123" t="s">
        <v>324</v>
      </c>
      <c r="D658" s="123"/>
      <c r="E658" s="123" t="s">
        <v>5122</v>
      </c>
      <c r="F658" s="124" t="s">
        <v>321</v>
      </c>
      <c r="G658" s="123" t="s">
        <v>340</v>
      </c>
      <c r="H658" s="123" t="s">
        <v>7526</v>
      </c>
      <c r="I658" s="123" t="s">
        <v>7527</v>
      </c>
      <c r="J658" s="123"/>
      <c r="K658" s="141"/>
      <c r="L658" s="139" t="s">
        <v>356</v>
      </c>
      <c r="M658" s="141" t="s">
        <v>9910</v>
      </c>
      <c r="N658" s="141" t="s">
        <v>9911</v>
      </c>
      <c r="O658" s="123"/>
      <c r="P658" s="123" t="s">
        <v>5122</v>
      </c>
      <c r="Q658" s="123"/>
      <c r="R658" s="123"/>
      <c r="S658" s="123"/>
      <c r="T658" s="123"/>
      <c r="U658" s="123"/>
      <c r="V658" s="123"/>
      <c r="W658" s="123"/>
      <c r="X658" s="123"/>
      <c r="Y658" s="123"/>
      <c r="Z658" s="118" t="s">
        <v>7530</v>
      </c>
    </row>
    <row r="659" customHeight="1" spans="1:26">
      <c r="A659" s="123" t="s">
        <v>9912</v>
      </c>
      <c r="B659" s="123">
        <v>6</v>
      </c>
      <c r="C659" s="123" t="s">
        <v>324</v>
      </c>
      <c r="D659" s="123"/>
      <c r="E659" s="123"/>
      <c r="F659" s="124" t="s">
        <v>321</v>
      </c>
      <c r="G659" s="123" t="s">
        <v>348</v>
      </c>
      <c r="H659" s="123" t="s">
        <v>7526</v>
      </c>
      <c r="I659" s="123" t="s">
        <v>7527</v>
      </c>
      <c r="J659" s="123" t="s">
        <v>7539</v>
      </c>
      <c r="K659" s="141" t="s">
        <v>9913</v>
      </c>
      <c r="L659" s="139" t="s">
        <v>323</v>
      </c>
      <c r="M659" s="141" t="s">
        <v>9914</v>
      </c>
      <c r="N659" s="141" t="s">
        <v>9915</v>
      </c>
      <c r="O659" s="123"/>
      <c r="P659" s="123"/>
      <c r="Q659" s="123"/>
      <c r="R659" s="123"/>
      <c r="S659" s="123"/>
      <c r="T659" s="123" t="s">
        <v>5122</v>
      </c>
      <c r="U659" s="123"/>
      <c r="V659" s="123" t="s">
        <v>5122</v>
      </c>
      <c r="W659" s="123"/>
      <c r="X659" s="123"/>
      <c r="Y659" s="123" t="s">
        <v>5122</v>
      </c>
      <c r="Z659" s="118" t="s">
        <v>7530</v>
      </c>
    </row>
    <row r="660" customHeight="1" spans="1:26">
      <c r="A660" s="127" t="s">
        <v>9916</v>
      </c>
      <c r="B660" s="127">
        <v>6</v>
      </c>
      <c r="C660" s="127" t="s">
        <v>331</v>
      </c>
      <c r="D660" s="127"/>
      <c r="E660" s="127"/>
      <c r="F660" s="128" t="s">
        <v>321</v>
      </c>
      <c r="G660" s="127" t="s">
        <v>348</v>
      </c>
      <c r="H660" s="127" t="s">
        <v>7526</v>
      </c>
      <c r="I660" s="127" t="s">
        <v>7527</v>
      </c>
      <c r="J660" s="127" t="s">
        <v>7539</v>
      </c>
      <c r="K660" s="144" t="s">
        <v>9917</v>
      </c>
      <c r="L660" s="145" t="s">
        <v>323</v>
      </c>
      <c r="M660" s="144" t="s">
        <v>9918</v>
      </c>
      <c r="N660" s="144" t="s">
        <v>9919</v>
      </c>
      <c r="O660" s="127"/>
      <c r="P660" s="127"/>
      <c r="Q660" s="127"/>
      <c r="R660" s="127"/>
      <c r="S660" s="127"/>
      <c r="T660" s="127" t="s">
        <v>5122</v>
      </c>
      <c r="U660" s="127" t="s">
        <v>5122</v>
      </c>
      <c r="V660" s="127" t="s">
        <v>5122</v>
      </c>
      <c r="W660" s="127"/>
      <c r="X660" s="127"/>
      <c r="Y660" s="127" t="s">
        <v>5122</v>
      </c>
      <c r="Z660" s="118" t="s">
        <v>7530</v>
      </c>
    </row>
    <row r="661" customHeight="1" spans="1:26">
      <c r="A661" s="137" t="s">
        <v>9920</v>
      </c>
      <c r="B661" s="137">
        <v>6</v>
      </c>
      <c r="C661" s="137" t="s">
        <v>339</v>
      </c>
      <c r="D661" s="137"/>
      <c r="E661" s="137" t="s">
        <v>5122</v>
      </c>
      <c r="F661" s="138" t="s">
        <v>321</v>
      </c>
      <c r="G661" s="137" t="s">
        <v>337</v>
      </c>
      <c r="H661" s="137" t="s">
        <v>7526</v>
      </c>
      <c r="I661" s="137" t="s">
        <v>7527</v>
      </c>
      <c r="J661" s="137"/>
      <c r="K661" s="154"/>
      <c r="L661" s="155" t="s">
        <v>356</v>
      </c>
      <c r="M661" s="154" t="s">
        <v>9921</v>
      </c>
      <c r="N661" s="154" t="s">
        <v>9922</v>
      </c>
      <c r="O661" s="137"/>
      <c r="P661" s="137"/>
      <c r="Q661" s="137" t="s">
        <v>5122</v>
      </c>
      <c r="R661" s="137"/>
      <c r="S661" s="137"/>
      <c r="T661" s="137"/>
      <c r="U661" s="137"/>
      <c r="V661" s="137"/>
      <c r="W661" s="137"/>
      <c r="X661" s="137"/>
      <c r="Y661" s="137"/>
      <c r="Z661" s="118" t="s">
        <v>7530</v>
      </c>
    </row>
    <row r="662" customHeight="1" spans="1:26">
      <c r="A662" s="125" t="s">
        <v>9923</v>
      </c>
      <c r="B662" s="125">
        <v>6</v>
      </c>
      <c r="C662" s="125" t="s">
        <v>328</v>
      </c>
      <c r="D662" s="125"/>
      <c r="E662" s="125"/>
      <c r="F662" s="126" t="s">
        <v>334</v>
      </c>
      <c r="G662" s="125" t="s">
        <v>326</v>
      </c>
      <c r="H662" s="125" t="s">
        <v>7526</v>
      </c>
      <c r="I662" s="125" t="s">
        <v>7527</v>
      </c>
      <c r="J662" s="125" t="s">
        <v>7539</v>
      </c>
      <c r="K662" s="142" t="s">
        <v>9924</v>
      </c>
      <c r="L662" s="143" t="s">
        <v>361</v>
      </c>
      <c r="M662" s="142" t="s">
        <v>9925</v>
      </c>
      <c r="N662" s="142" t="s">
        <v>9926</v>
      </c>
      <c r="O662" s="125"/>
      <c r="P662" s="125"/>
      <c r="Q662" s="125"/>
      <c r="R662" s="125"/>
      <c r="S662" s="125"/>
      <c r="T662" s="125"/>
      <c r="U662" s="125"/>
      <c r="V662" s="125" t="s">
        <v>5122</v>
      </c>
      <c r="W662" s="125"/>
      <c r="X662" s="125"/>
      <c r="Y662" s="125"/>
      <c r="Z662" s="118" t="s">
        <v>7530</v>
      </c>
    </row>
    <row r="663" customHeight="1" spans="1:26">
      <c r="A663" s="127" t="s">
        <v>9927</v>
      </c>
      <c r="B663" s="127">
        <v>6</v>
      </c>
      <c r="C663" s="127" t="s">
        <v>331</v>
      </c>
      <c r="D663" s="127"/>
      <c r="E663" s="127"/>
      <c r="F663" s="128" t="s">
        <v>329</v>
      </c>
      <c r="G663" s="127" t="s">
        <v>7556</v>
      </c>
      <c r="H663" s="127" t="s">
        <v>7526</v>
      </c>
      <c r="I663" s="127" t="s">
        <v>7527</v>
      </c>
      <c r="J663" s="127" t="s">
        <v>7539</v>
      </c>
      <c r="K663" s="144" t="s">
        <v>9928</v>
      </c>
      <c r="L663" s="145" t="s">
        <v>323</v>
      </c>
      <c r="M663" s="144" t="s">
        <v>9929</v>
      </c>
      <c r="N663" s="144" t="s">
        <v>9930</v>
      </c>
      <c r="O663" s="127"/>
      <c r="P663" s="127" t="s">
        <v>5122</v>
      </c>
      <c r="Q663" s="127"/>
      <c r="R663" s="127"/>
      <c r="S663" s="127"/>
      <c r="T663" s="127"/>
      <c r="U663" s="127" t="s">
        <v>5122</v>
      </c>
      <c r="V663" s="127" t="s">
        <v>5122</v>
      </c>
      <c r="W663" s="127"/>
      <c r="X663" s="127"/>
      <c r="Y663" s="127" t="s">
        <v>5122</v>
      </c>
      <c r="Z663" s="118" t="s">
        <v>7530</v>
      </c>
    </row>
    <row r="664" customHeight="1" spans="1:26">
      <c r="A664" s="131" t="s">
        <v>9931</v>
      </c>
      <c r="B664" s="131">
        <v>6</v>
      </c>
      <c r="C664" s="131" t="s">
        <v>320</v>
      </c>
      <c r="D664" s="131"/>
      <c r="E664" s="131"/>
      <c r="F664" s="132" t="s">
        <v>321</v>
      </c>
      <c r="G664" s="131" t="s">
        <v>337</v>
      </c>
      <c r="H664" s="131" t="s">
        <v>7526</v>
      </c>
      <c r="I664" s="131" t="s">
        <v>7527</v>
      </c>
      <c r="J664" s="131" t="s">
        <v>7539</v>
      </c>
      <c r="K664" s="148" t="s">
        <v>9932</v>
      </c>
      <c r="L664" s="149" t="s">
        <v>323</v>
      </c>
      <c r="M664" s="148" t="s">
        <v>9933</v>
      </c>
      <c r="N664" s="148" t="s">
        <v>9934</v>
      </c>
      <c r="O664" s="131"/>
      <c r="P664" s="131"/>
      <c r="Q664" s="131"/>
      <c r="R664" s="131"/>
      <c r="S664" s="131"/>
      <c r="T664" s="131" t="s">
        <v>5122</v>
      </c>
      <c r="U664" s="131"/>
      <c r="V664" s="131" t="s">
        <v>5122</v>
      </c>
      <c r="W664" s="131"/>
      <c r="X664" s="131"/>
      <c r="Y664" s="131" t="s">
        <v>5122</v>
      </c>
      <c r="Z664" s="118" t="s">
        <v>7530</v>
      </c>
    </row>
    <row r="665" customHeight="1" spans="1:26">
      <c r="A665" s="137" t="s">
        <v>9935</v>
      </c>
      <c r="B665" s="137">
        <v>6</v>
      </c>
      <c r="C665" s="137" t="s">
        <v>339</v>
      </c>
      <c r="D665" s="137" t="s">
        <v>5122</v>
      </c>
      <c r="E665" s="137"/>
      <c r="F665" s="138" t="s">
        <v>336</v>
      </c>
      <c r="G665" s="137" t="s">
        <v>7535</v>
      </c>
      <c r="H665" s="137" t="s">
        <v>7526</v>
      </c>
      <c r="I665" s="137" t="s">
        <v>7527</v>
      </c>
      <c r="J665" s="137" t="s">
        <v>7539</v>
      </c>
      <c r="K665" s="154" t="s">
        <v>9936</v>
      </c>
      <c r="L665" s="155" t="s">
        <v>8298</v>
      </c>
      <c r="M665" s="154" t="s">
        <v>9937</v>
      </c>
      <c r="N665" s="154" t="s">
        <v>9938</v>
      </c>
      <c r="O665" s="137"/>
      <c r="P665" s="137"/>
      <c r="Q665" s="137"/>
      <c r="R665" s="137"/>
      <c r="S665" s="137"/>
      <c r="T665" s="137"/>
      <c r="U665" s="137"/>
      <c r="V665" s="137" t="s">
        <v>5122</v>
      </c>
      <c r="W665" s="137"/>
      <c r="X665" s="137"/>
      <c r="Y665" s="137"/>
      <c r="Z665" s="118" t="s">
        <v>7530</v>
      </c>
    </row>
    <row r="666" customHeight="1" spans="1:26">
      <c r="A666" s="127" t="s">
        <v>9939</v>
      </c>
      <c r="B666" s="127">
        <v>6</v>
      </c>
      <c r="C666" s="127" t="s">
        <v>331</v>
      </c>
      <c r="D666" s="127"/>
      <c r="E666" s="127" t="s">
        <v>5122</v>
      </c>
      <c r="F666" s="128" t="s">
        <v>321</v>
      </c>
      <c r="G666" s="127" t="s">
        <v>326</v>
      </c>
      <c r="H666" s="127" t="s">
        <v>7526</v>
      </c>
      <c r="I666" s="127" t="s">
        <v>7527</v>
      </c>
      <c r="J666" s="127"/>
      <c r="K666" s="144"/>
      <c r="L666" s="145" t="s">
        <v>352</v>
      </c>
      <c r="M666" s="144" t="s">
        <v>9940</v>
      </c>
      <c r="N666" s="144" t="s">
        <v>9941</v>
      </c>
      <c r="O666" s="127" t="s">
        <v>5122</v>
      </c>
      <c r="P666" s="127"/>
      <c r="Q666" s="127"/>
      <c r="R666" s="127"/>
      <c r="S666" s="127"/>
      <c r="T666" s="127" t="s">
        <v>5122</v>
      </c>
      <c r="U666" s="127" t="s">
        <v>5122</v>
      </c>
      <c r="V666" s="127" t="s">
        <v>5122</v>
      </c>
      <c r="W666" s="127"/>
      <c r="X666" s="127"/>
      <c r="Y666" s="127" t="s">
        <v>5122</v>
      </c>
      <c r="Z666" s="118" t="s">
        <v>7530</v>
      </c>
    </row>
    <row r="667" customHeight="1" spans="1:26">
      <c r="A667" s="135" t="s">
        <v>9942</v>
      </c>
      <c r="B667" s="135">
        <v>6</v>
      </c>
      <c r="C667" s="135" t="s">
        <v>335</v>
      </c>
      <c r="D667" s="135"/>
      <c r="E667" s="135" t="s">
        <v>5122</v>
      </c>
      <c r="F667" s="136" t="s">
        <v>329</v>
      </c>
      <c r="G667" s="135" t="s">
        <v>326</v>
      </c>
      <c r="H667" s="135" t="s">
        <v>7526</v>
      </c>
      <c r="I667" s="135" t="s">
        <v>7527</v>
      </c>
      <c r="J667" s="135" t="s">
        <v>7539</v>
      </c>
      <c r="K667" s="152" t="s">
        <v>9943</v>
      </c>
      <c r="L667" s="153" t="s">
        <v>9944</v>
      </c>
      <c r="M667" s="152" t="s">
        <v>9945</v>
      </c>
      <c r="N667" s="152" t="s">
        <v>9946</v>
      </c>
      <c r="O667" s="135" t="s">
        <v>5122</v>
      </c>
      <c r="P667" s="135" t="s">
        <v>5122</v>
      </c>
      <c r="Q667" s="135" t="s">
        <v>5122</v>
      </c>
      <c r="R667" s="135"/>
      <c r="S667" s="135"/>
      <c r="T667" s="135"/>
      <c r="U667" s="135"/>
      <c r="V667" s="135"/>
      <c r="W667" s="135"/>
      <c r="X667" s="135"/>
      <c r="Y667" s="135"/>
      <c r="Z667" s="118" t="s">
        <v>7530</v>
      </c>
    </row>
    <row r="668" customHeight="1" spans="1:26">
      <c r="A668" s="131" t="s">
        <v>9947</v>
      </c>
      <c r="B668" s="131">
        <v>6</v>
      </c>
      <c r="C668" s="131" t="s">
        <v>320</v>
      </c>
      <c r="D668" s="131"/>
      <c r="E668" s="131" t="s">
        <v>5122</v>
      </c>
      <c r="F668" s="132" t="s">
        <v>321</v>
      </c>
      <c r="G668" s="131" t="s">
        <v>337</v>
      </c>
      <c r="H668" s="131" t="s">
        <v>7526</v>
      </c>
      <c r="I668" s="131" t="s">
        <v>7527</v>
      </c>
      <c r="J668" s="131" t="s">
        <v>7539</v>
      </c>
      <c r="K668" s="148" t="s">
        <v>9948</v>
      </c>
      <c r="L668" s="149" t="s">
        <v>352</v>
      </c>
      <c r="M668" s="148" t="s">
        <v>9949</v>
      </c>
      <c r="N668" s="148" t="s">
        <v>9950</v>
      </c>
      <c r="O668" s="131"/>
      <c r="P668" s="131"/>
      <c r="Q668" s="131" t="s">
        <v>5122</v>
      </c>
      <c r="R668" s="131"/>
      <c r="S668" s="131"/>
      <c r="T668" s="131" t="s">
        <v>5122</v>
      </c>
      <c r="U668" s="131"/>
      <c r="V668" s="131" t="s">
        <v>5122</v>
      </c>
      <c r="W668" s="131"/>
      <c r="X668" s="131"/>
      <c r="Y668" s="131" t="s">
        <v>5122</v>
      </c>
      <c r="Z668" s="118" t="s">
        <v>7530</v>
      </c>
    </row>
    <row r="669" customHeight="1" spans="1:26">
      <c r="A669" s="125" t="s">
        <v>9951</v>
      </c>
      <c r="B669" s="125">
        <v>6</v>
      </c>
      <c r="C669" s="125" t="s">
        <v>328</v>
      </c>
      <c r="D669" s="125" t="s">
        <v>5122</v>
      </c>
      <c r="E669" s="125"/>
      <c r="F669" s="126" t="s">
        <v>9952</v>
      </c>
      <c r="G669" s="125" t="s">
        <v>7535</v>
      </c>
      <c r="H669" s="125" t="s">
        <v>7526</v>
      </c>
      <c r="I669" s="125" t="s">
        <v>7527</v>
      </c>
      <c r="J669" s="125" t="s">
        <v>7539</v>
      </c>
      <c r="K669" s="142" t="s">
        <v>9953</v>
      </c>
      <c r="L669" s="143" t="s">
        <v>9954</v>
      </c>
      <c r="M669" s="142" t="s">
        <v>9955</v>
      </c>
      <c r="N669" s="142" t="s">
        <v>9956</v>
      </c>
      <c r="O669" s="125"/>
      <c r="P669" s="125" t="s">
        <v>5122</v>
      </c>
      <c r="Q669" s="125"/>
      <c r="R669" s="125"/>
      <c r="S669" s="125"/>
      <c r="T669" s="125"/>
      <c r="U669" s="125"/>
      <c r="V669" s="125"/>
      <c r="W669" s="125"/>
      <c r="X669" s="125"/>
      <c r="Y669" s="125"/>
      <c r="Z669" s="118" t="s">
        <v>7530</v>
      </c>
    </row>
    <row r="670" customHeight="1" spans="1:26">
      <c r="A670" s="125" t="s">
        <v>9957</v>
      </c>
      <c r="B670" s="125">
        <v>6</v>
      </c>
      <c r="C670" s="125" t="s">
        <v>328</v>
      </c>
      <c r="D670" s="125"/>
      <c r="E670" s="125" t="s">
        <v>5122</v>
      </c>
      <c r="F670" s="126" t="s">
        <v>321</v>
      </c>
      <c r="G670" s="125" t="s">
        <v>326</v>
      </c>
      <c r="H670" s="125" t="s">
        <v>7526</v>
      </c>
      <c r="I670" s="125" t="s">
        <v>7527</v>
      </c>
      <c r="J670" s="125" t="s">
        <v>7539</v>
      </c>
      <c r="K670" s="142" t="s">
        <v>9958</v>
      </c>
      <c r="L670" s="143" t="s">
        <v>352</v>
      </c>
      <c r="M670" s="142" t="s">
        <v>9959</v>
      </c>
      <c r="N670" s="142" t="s">
        <v>9960</v>
      </c>
      <c r="O670" s="125"/>
      <c r="P670" s="125"/>
      <c r="Q670" s="125"/>
      <c r="R670" s="125"/>
      <c r="S670" s="125"/>
      <c r="T670" s="125" t="s">
        <v>5122</v>
      </c>
      <c r="U670" s="125"/>
      <c r="V670" s="125" t="s">
        <v>5122</v>
      </c>
      <c r="W670" s="125"/>
      <c r="X670" s="125"/>
      <c r="Y670" s="125" t="s">
        <v>5122</v>
      </c>
      <c r="Z670" s="118" t="s">
        <v>7530</v>
      </c>
    </row>
    <row r="671" customHeight="1" spans="1:26">
      <c r="A671" s="125" t="s">
        <v>9961</v>
      </c>
      <c r="B671" s="125">
        <v>6</v>
      </c>
      <c r="C671" s="125" t="s">
        <v>328</v>
      </c>
      <c r="D671" s="125"/>
      <c r="E671" s="125"/>
      <c r="F671" s="126" t="s">
        <v>338</v>
      </c>
      <c r="G671" s="125" t="s">
        <v>7535</v>
      </c>
      <c r="H671" s="125" t="s">
        <v>7526</v>
      </c>
      <c r="I671" s="125" t="s">
        <v>7527</v>
      </c>
      <c r="J671" s="125" t="s">
        <v>7539</v>
      </c>
      <c r="K671" s="142" t="s">
        <v>9962</v>
      </c>
      <c r="L671" s="143" t="s">
        <v>344</v>
      </c>
      <c r="M671" s="142" t="s">
        <v>9963</v>
      </c>
      <c r="N671" s="142" t="s">
        <v>9964</v>
      </c>
      <c r="O671" s="125" t="s">
        <v>5122</v>
      </c>
      <c r="P671" s="125"/>
      <c r="Q671" s="125"/>
      <c r="R671" s="125"/>
      <c r="S671" s="125"/>
      <c r="T671" s="125"/>
      <c r="U671" s="125"/>
      <c r="V671" s="125" t="s">
        <v>5122</v>
      </c>
      <c r="W671" s="125"/>
      <c r="X671" s="125"/>
      <c r="Y671" s="125"/>
      <c r="Z671" s="118" t="s">
        <v>7530</v>
      </c>
    </row>
    <row r="672" customHeight="1" spans="1:26">
      <c r="A672" s="127" t="s">
        <v>9965</v>
      </c>
      <c r="B672" s="127">
        <v>6</v>
      </c>
      <c r="C672" s="127" t="s">
        <v>331</v>
      </c>
      <c r="D672" s="127"/>
      <c r="E672" s="127"/>
      <c r="F672" s="128" t="s">
        <v>321</v>
      </c>
      <c r="G672" s="127" t="s">
        <v>337</v>
      </c>
      <c r="H672" s="127" t="s">
        <v>7526</v>
      </c>
      <c r="I672" s="127" t="s">
        <v>7527</v>
      </c>
      <c r="J672" s="127"/>
      <c r="K672" s="144"/>
      <c r="L672" s="145" t="s">
        <v>323</v>
      </c>
      <c r="M672" s="144" t="s">
        <v>9966</v>
      </c>
      <c r="N672" s="144" t="s">
        <v>9967</v>
      </c>
      <c r="O672" s="127"/>
      <c r="P672" s="127" t="s">
        <v>5122</v>
      </c>
      <c r="Q672" s="127"/>
      <c r="R672" s="127"/>
      <c r="S672" s="127"/>
      <c r="T672" s="127"/>
      <c r="U672" s="127"/>
      <c r="V672" s="127"/>
      <c r="W672" s="127"/>
      <c r="X672" s="127"/>
      <c r="Y672" s="127" t="s">
        <v>5122</v>
      </c>
      <c r="Z672" s="118" t="s">
        <v>7530</v>
      </c>
    </row>
    <row r="673" customHeight="1" spans="1:26">
      <c r="A673" s="125" t="s">
        <v>9968</v>
      </c>
      <c r="B673" s="125">
        <v>6</v>
      </c>
      <c r="C673" s="125" t="s">
        <v>328</v>
      </c>
      <c r="D673" s="125"/>
      <c r="E673" s="125"/>
      <c r="F673" s="126" t="s">
        <v>321</v>
      </c>
      <c r="G673" s="125" t="s">
        <v>337</v>
      </c>
      <c r="H673" s="125" t="s">
        <v>7526</v>
      </c>
      <c r="I673" s="125" t="s">
        <v>7527</v>
      </c>
      <c r="J673" s="125"/>
      <c r="K673" s="142"/>
      <c r="L673" s="143" t="s">
        <v>323</v>
      </c>
      <c r="M673" s="142" t="s">
        <v>9969</v>
      </c>
      <c r="N673" s="142" t="s">
        <v>9970</v>
      </c>
      <c r="O673" s="125"/>
      <c r="P673" s="125" t="s">
        <v>5122</v>
      </c>
      <c r="Q673" s="125" t="s">
        <v>5122</v>
      </c>
      <c r="R673" s="125"/>
      <c r="S673" s="125"/>
      <c r="T673" s="125"/>
      <c r="U673" s="125"/>
      <c r="V673" s="125"/>
      <c r="W673" s="125"/>
      <c r="X673" s="125"/>
      <c r="Y673" s="125" t="s">
        <v>5122</v>
      </c>
      <c r="Z673" s="118" t="s">
        <v>7530</v>
      </c>
    </row>
    <row r="674" customHeight="1" spans="1:26">
      <c r="A674" s="137" t="s">
        <v>9971</v>
      </c>
      <c r="B674" s="137">
        <v>6</v>
      </c>
      <c r="C674" s="137" t="s">
        <v>339</v>
      </c>
      <c r="D674" s="137"/>
      <c r="E674" s="137"/>
      <c r="F674" s="138" t="s">
        <v>334</v>
      </c>
      <c r="G674" s="137" t="s">
        <v>326</v>
      </c>
      <c r="H674" s="137" t="s">
        <v>7526</v>
      </c>
      <c r="I674" s="137" t="s">
        <v>7527</v>
      </c>
      <c r="J674" s="137" t="s">
        <v>7539</v>
      </c>
      <c r="K674" s="154" t="s">
        <v>9972</v>
      </c>
      <c r="L674" s="155" t="s">
        <v>323</v>
      </c>
      <c r="M674" s="154" t="s">
        <v>9973</v>
      </c>
      <c r="N674" s="154" t="s">
        <v>9974</v>
      </c>
      <c r="O674" s="137" t="s">
        <v>5122</v>
      </c>
      <c r="P674" s="137" t="s">
        <v>5122</v>
      </c>
      <c r="Q674" s="137" t="s">
        <v>5122</v>
      </c>
      <c r="R674" s="137"/>
      <c r="S674" s="137"/>
      <c r="T674" s="137"/>
      <c r="U674" s="137"/>
      <c r="V674" s="137"/>
      <c r="W674" s="137"/>
      <c r="X674" s="137"/>
      <c r="Y674" s="137"/>
      <c r="Z674" s="118" t="s">
        <v>7530</v>
      </c>
    </row>
    <row r="675" customHeight="1" spans="1:26">
      <c r="A675" s="127" t="s">
        <v>9975</v>
      </c>
      <c r="B675" s="127">
        <v>6</v>
      </c>
      <c r="C675" s="127" t="s">
        <v>331</v>
      </c>
      <c r="D675" s="127"/>
      <c r="E675" s="127"/>
      <c r="F675" s="128" t="s">
        <v>329</v>
      </c>
      <c r="G675" s="127" t="s">
        <v>326</v>
      </c>
      <c r="H675" s="127" t="s">
        <v>7526</v>
      </c>
      <c r="I675" s="127" t="s">
        <v>7527</v>
      </c>
      <c r="J675" s="127" t="s">
        <v>7539</v>
      </c>
      <c r="K675" s="144" t="s">
        <v>9976</v>
      </c>
      <c r="L675" s="145" t="s">
        <v>370</v>
      </c>
      <c r="M675" s="144" t="s">
        <v>9977</v>
      </c>
      <c r="N675" s="144" t="s">
        <v>9978</v>
      </c>
      <c r="O675" s="127"/>
      <c r="P675" s="127"/>
      <c r="Q675" s="127"/>
      <c r="R675" s="127"/>
      <c r="S675" s="127"/>
      <c r="T675" s="127"/>
      <c r="U675" s="127"/>
      <c r="V675" s="127" t="s">
        <v>5122</v>
      </c>
      <c r="W675" s="127"/>
      <c r="X675" s="127"/>
      <c r="Y675" s="127"/>
      <c r="Z675" s="118" t="s">
        <v>7530</v>
      </c>
    </row>
    <row r="676" customHeight="1" spans="1:26">
      <c r="A676" s="133" t="s">
        <v>9979</v>
      </c>
      <c r="B676" s="133">
        <v>6</v>
      </c>
      <c r="C676" s="133" t="s">
        <v>342</v>
      </c>
      <c r="D676" s="133"/>
      <c r="E676" s="133"/>
      <c r="F676" s="134" t="s">
        <v>321</v>
      </c>
      <c r="G676" s="133" t="s">
        <v>337</v>
      </c>
      <c r="H676" s="133" t="s">
        <v>7526</v>
      </c>
      <c r="I676" s="133"/>
      <c r="J676" s="133" t="s">
        <v>7539</v>
      </c>
      <c r="K676" s="150" t="s">
        <v>9980</v>
      </c>
      <c r="L676" s="151" t="s">
        <v>344</v>
      </c>
      <c r="M676" s="150" t="s">
        <v>9981</v>
      </c>
      <c r="N676" s="150" t="s">
        <v>9982</v>
      </c>
      <c r="O676" s="133" t="s">
        <v>5122</v>
      </c>
      <c r="P676" s="133"/>
      <c r="Q676" s="133"/>
      <c r="R676" s="133"/>
      <c r="S676" s="133"/>
      <c r="T676" s="133" t="s">
        <v>5122</v>
      </c>
      <c r="U676" s="133"/>
      <c r="V676" s="133" t="s">
        <v>5122</v>
      </c>
      <c r="W676" s="133"/>
      <c r="X676" s="133"/>
      <c r="Y676" s="133"/>
      <c r="Z676" s="118" t="s">
        <v>7530</v>
      </c>
    </row>
    <row r="677" customHeight="1" spans="1:26">
      <c r="A677" s="131" t="s">
        <v>9983</v>
      </c>
      <c r="B677" s="131">
        <v>6</v>
      </c>
      <c r="C677" s="131" t="s">
        <v>320</v>
      </c>
      <c r="D677" s="131"/>
      <c r="E677" s="131" t="s">
        <v>5122</v>
      </c>
      <c r="F677" s="132" t="s">
        <v>321</v>
      </c>
      <c r="G677" s="131" t="s">
        <v>343</v>
      </c>
      <c r="H677" s="131" t="s">
        <v>7526</v>
      </c>
      <c r="I677" s="131" t="s">
        <v>7527</v>
      </c>
      <c r="J677" s="131" t="s">
        <v>7539</v>
      </c>
      <c r="K677" s="148" t="s">
        <v>9984</v>
      </c>
      <c r="L677" s="149" t="s">
        <v>9985</v>
      </c>
      <c r="M677" s="148" t="s">
        <v>9986</v>
      </c>
      <c r="N677" s="148" t="s">
        <v>9987</v>
      </c>
      <c r="O677" s="131"/>
      <c r="P677" s="131"/>
      <c r="Q677" s="131" t="s">
        <v>5122</v>
      </c>
      <c r="R677" s="131"/>
      <c r="S677" s="131"/>
      <c r="T677" s="131" t="s">
        <v>5122</v>
      </c>
      <c r="U677" s="131"/>
      <c r="V677" s="131" t="s">
        <v>5122</v>
      </c>
      <c r="W677" s="131"/>
      <c r="X677" s="131"/>
      <c r="Y677" s="131"/>
      <c r="Z677" s="118" t="s">
        <v>7530</v>
      </c>
    </row>
    <row r="678" customHeight="1" spans="1:26">
      <c r="A678" s="123" t="s">
        <v>9988</v>
      </c>
      <c r="B678" s="123">
        <v>6</v>
      </c>
      <c r="C678" s="123" t="s">
        <v>324</v>
      </c>
      <c r="D678" s="123"/>
      <c r="E678" s="123"/>
      <c r="F678" s="124" t="s">
        <v>321</v>
      </c>
      <c r="G678" s="123" t="s">
        <v>351</v>
      </c>
      <c r="H678" s="123" t="s">
        <v>7526</v>
      </c>
      <c r="I678" s="123" t="s">
        <v>7527</v>
      </c>
      <c r="J678" s="123" t="s">
        <v>7539</v>
      </c>
      <c r="K678" s="141" t="s">
        <v>9989</v>
      </c>
      <c r="L678" s="139" t="s">
        <v>323</v>
      </c>
      <c r="M678" s="141" t="s">
        <v>9990</v>
      </c>
      <c r="N678" s="141" t="s">
        <v>9991</v>
      </c>
      <c r="O678" s="123"/>
      <c r="P678" s="123"/>
      <c r="Q678" s="123"/>
      <c r="R678" s="123"/>
      <c r="S678" s="123"/>
      <c r="T678" s="123" t="s">
        <v>5122</v>
      </c>
      <c r="U678" s="123"/>
      <c r="V678" s="123" t="s">
        <v>5122</v>
      </c>
      <c r="W678" s="123"/>
      <c r="X678" s="123"/>
      <c r="Y678" s="123"/>
      <c r="Z678" s="118" t="s">
        <v>7530</v>
      </c>
    </row>
    <row r="679" customHeight="1" spans="1:26">
      <c r="A679" s="133" t="s">
        <v>9992</v>
      </c>
      <c r="B679" s="133">
        <v>6</v>
      </c>
      <c r="C679" s="133" t="s">
        <v>342</v>
      </c>
      <c r="D679" s="133"/>
      <c r="E679" s="133" t="s">
        <v>5122</v>
      </c>
      <c r="F679" s="134" t="s">
        <v>321</v>
      </c>
      <c r="G679" s="133" t="s">
        <v>333</v>
      </c>
      <c r="H679" s="133" t="s">
        <v>7526</v>
      </c>
      <c r="I679" s="133"/>
      <c r="J679" s="133"/>
      <c r="K679" s="150"/>
      <c r="L679" s="151" t="s">
        <v>352</v>
      </c>
      <c r="M679" s="150" t="s">
        <v>9993</v>
      </c>
      <c r="N679" s="150" t="s">
        <v>9994</v>
      </c>
      <c r="O679" s="133" t="s">
        <v>5122</v>
      </c>
      <c r="P679" s="133"/>
      <c r="Q679" s="133"/>
      <c r="R679" s="133"/>
      <c r="S679" s="133"/>
      <c r="T679" s="133"/>
      <c r="U679" s="133"/>
      <c r="V679" s="133" t="s">
        <v>5122</v>
      </c>
      <c r="W679" s="133"/>
      <c r="X679" s="133"/>
      <c r="Y679" s="133"/>
      <c r="Z679" s="118" t="s">
        <v>7530</v>
      </c>
    </row>
    <row r="680" customHeight="1" spans="1:26">
      <c r="A680" s="137" t="s">
        <v>9995</v>
      </c>
      <c r="B680" s="137">
        <v>6</v>
      </c>
      <c r="C680" s="137" t="s">
        <v>339</v>
      </c>
      <c r="D680" s="137"/>
      <c r="E680" s="137"/>
      <c r="F680" s="138" t="s">
        <v>334</v>
      </c>
      <c r="G680" s="137" t="s">
        <v>337</v>
      </c>
      <c r="H680" s="137" t="s">
        <v>7526</v>
      </c>
      <c r="I680" s="137" t="s">
        <v>7527</v>
      </c>
      <c r="J680" s="137"/>
      <c r="K680" s="154"/>
      <c r="L680" s="155" t="s">
        <v>323</v>
      </c>
      <c r="M680" s="154" t="s">
        <v>9996</v>
      </c>
      <c r="N680" s="154" t="s">
        <v>9997</v>
      </c>
      <c r="O680" s="137"/>
      <c r="P680" s="137" t="s">
        <v>5122</v>
      </c>
      <c r="Q680" s="137"/>
      <c r="R680" s="137"/>
      <c r="S680" s="137"/>
      <c r="T680" s="137"/>
      <c r="U680" s="137"/>
      <c r="V680" s="137"/>
      <c r="W680" s="137"/>
      <c r="X680" s="137"/>
      <c r="Y680" s="137"/>
      <c r="Z680" s="118" t="s">
        <v>7530</v>
      </c>
    </row>
    <row r="681" customHeight="1" spans="1:26">
      <c r="A681" s="129" t="s">
        <v>9998</v>
      </c>
      <c r="B681" s="129">
        <v>6</v>
      </c>
      <c r="C681" s="129" t="s">
        <v>347</v>
      </c>
      <c r="D681" s="129"/>
      <c r="E681" s="129"/>
      <c r="F681" s="130" t="s">
        <v>321</v>
      </c>
      <c r="G681" s="129" t="s">
        <v>343</v>
      </c>
      <c r="H681" s="129" t="s">
        <v>7526</v>
      </c>
      <c r="I681" s="129" t="s">
        <v>7527</v>
      </c>
      <c r="J681" s="129" t="s">
        <v>7539</v>
      </c>
      <c r="K681" s="146" t="s">
        <v>9999</v>
      </c>
      <c r="L681" s="147" t="s">
        <v>8298</v>
      </c>
      <c r="M681" s="146" t="s">
        <v>10000</v>
      </c>
      <c r="N681" s="146" t="s">
        <v>10001</v>
      </c>
      <c r="O681" s="129" t="s">
        <v>5122</v>
      </c>
      <c r="P681" s="129"/>
      <c r="Q681" s="129"/>
      <c r="R681" s="129"/>
      <c r="S681" s="129"/>
      <c r="T681" s="129"/>
      <c r="U681" s="129"/>
      <c r="V681" s="129" t="s">
        <v>5122</v>
      </c>
      <c r="W681" s="129"/>
      <c r="X681" s="129"/>
      <c r="Y681" s="129"/>
      <c r="Z681" s="118" t="s">
        <v>7530</v>
      </c>
    </row>
    <row r="682" customHeight="1" spans="1:26">
      <c r="A682" s="137" t="s">
        <v>10002</v>
      </c>
      <c r="B682" s="137">
        <v>6</v>
      </c>
      <c r="C682" s="137" t="s">
        <v>339</v>
      </c>
      <c r="D682" s="137"/>
      <c r="E682" s="137" t="s">
        <v>5122</v>
      </c>
      <c r="F682" s="138" t="s">
        <v>321</v>
      </c>
      <c r="G682" s="137" t="s">
        <v>340</v>
      </c>
      <c r="H682" s="137" t="s">
        <v>7526</v>
      </c>
      <c r="I682" s="137" t="s">
        <v>7527</v>
      </c>
      <c r="J682" s="137" t="s">
        <v>7539</v>
      </c>
      <c r="K682" s="154" t="s">
        <v>10003</v>
      </c>
      <c r="L682" s="155" t="s">
        <v>359</v>
      </c>
      <c r="M682" s="154" t="s">
        <v>10004</v>
      </c>
      <c r="N682" s="154" t="s">
        <v>10005</v>
      </c>
      <c r="O682" s="137"/>
      <c r="P682" s="137"/>
      <c r="Q682" s="137"/>
      <c r="R682" s="137"/>
      <c r="S682" s="137"/>
      <c r="T682" s="137"/>
      <c r="U682" s="137" t="s">
        <v>5122</v>
      </c>
      <c r="V682" s="137" t="s">
        <v>5122</v>
      </c>
      <c r="W682" s="137"/>
      <c r="X682" s="137"/>
      <c r="Y682" s="137"/>
      <c r="Z682" s="118" t="s">
        <v>7530</v>
      </c>
    </row>
    <row r="683" customHeight="1" spans="1:26">
      <c r="A683" s="123" t="s">
        <v>10006</v>
      </c>
      <c r="B683" s="123">
        <v>6</v>
      </c>
      <c r="C683" s="123" t="s">
        <v>324</v>
      </c>
      <c r="D683" s="123"/>
      <c r="E683" s="123" t="s">
        <v>5122</v>
      </c>
      <c r="F683" s="124" t="s">
        <v>321</v>
      </c>
      <c r="G683" s="123" t="s">
        <v>326</v>
      </c>
      <c r="H683" s="123" t="s">
        <v>7526</v>
      </c>
      <c r="I683" s="123" t="s">
        <v>7527</v>
      </c>
      <c r="J683" s="123" t="s">
        <v>7539</v>
      </c>
      <c r="K683" s="141" t="s">
        <v>10007</v>
      </c>
      <c r="L683" s="139" t="s">
        <v>352</v>
      </c>
      <c r="M683" s="141" t="s">
        <v>10008</v>
      </c>
      <c r="N683" s="141" t="s">
        <v>10009</v>
      </c>
      <c r="O683" s="123"/>
      <c r="P683" s="123" t="s">
        <v>5122</v>
      </c>
      <c r="Q683" s="123" t="s">
        <v>5122</v>
      </c>
      <c r="R683" s="123"/>
      <c r="S683" s="123"/>
      <c r="T683" s="123" t="s">
        <v>5122</v>
      </c>
      <c r="U683" s="123"/>
      <c r="V683" s="123" t="s">
        <v>5122</v>
      </c>
      <c r="W683" s="123"/>
      <c r="X683" s="123"/>
      <c r="Y683" s="123"/>
      <c r="Z683" s="118" t="s">
        <v>7530</v>
      </c>
    </row>
    <row r="684" customHeight="1" spans="1:26">
      <c r="A684" s="137" t="s">
        <v>10010</v>
      </c>
      <c r="B684" s="137">
        <v>6</v>
      </c>
      <c r="C684" s="137" t="s">
        <v>339</v>
      </c>
      <c r="D684" s="137"/>
      <c r="E684" s="137"/>
      <c r="F684" s="138" t="s">
        <v>321</v>
      </c>
      <c r="G684" s="137" t="s">
        <v>7731</v>
      </c>
      <c r="H684" s="137" t="s">
        <v>7526</v>
      </c>
      <c r="I684" s="137" t="s">
        <v>7527</v>
      </c>
      <c r="J684" s="137" t="s">
        <v>7539</v>
      </c>
      <c r="K684" s="154" t="s">
        <v>10011</v>
      </c>
      <c r="L684" s="155" t="s">
        <v>334</v>
      </c>
      <c r="M684" s="154" t="s">
        <v>10012</v>
      </c>
      <c r="N684" s="154" t="s">
        <v>10013</v>
      </c>
      <c r="O684" s="137"/>
      <c r="P684" s="137"/>
      <c r="Q684" s="137"/>
      <c r="R684" s="137"/>
      <c r="S684" s="137"/>
      <c r="T684" s="137"/>
      <c r="U684" s="137" t="s">
        <v>5122</v>
      </c>
      <c r="V684" s="137" t="s">
        <v>5122</v>
      </c>
      <c r="W684" s="137"/>
      <c r="X684" s="137"/>
      <c r="Y684" s="137"/>
      <c r="Z684" s="118" t="s">
        <v>7530</v>
      </c>
    </row>
    <row r="685" customHeight="1" spans="1:26">
      <c r="A685" s="137" t="s">
        <v>10014</v>
      </c>
      <c r="B685" s="137">
        <v>6</v>
      </c>
      <c r="C685" s="137" t="s">
        <v>339</v>
      </c>
      <c r="D685" s="137"/>
      <c r="E685" s="137"/>
      <c r="F685" s="138" t="s">
        <v>321</v>
      </c>
      <c r="G685" s="137" t="s">
        <v>7556</v>
      </c>
      <c r="H685" s="137" t="s">
        <v>7526</v>
      </c>
      <c r="I685" s="137" t="s">
        <v>7527</v>
      </c>
      <c r="J685" s="137"/>
      <c r="K685" s="154"/>
      <c r="L685" s="155" t="s">
        <v>329</v>
      </c>
      <c r="M685" s="154" t="s">
        <v>10015</v>
      </c>
      <c r="N685" s="154" t="s">
        <v>10016</v>
      </c>
      <c r="O685" s="137"/>
      <c r="P685" s="137"/>
      <c r="Q685" s="137" t="s">
        <v>5122</v>
      </c>
      <c r="R685" s="137"/>
      <c r="S685" s="137"/>
      <c r="T685" s="137"/>
      <c r="U685" s="137"/>
      <c r="V685" s="137"/>
      <c r="W685" s="137"/>
      <c r="X685" s="137"/>
      <c r="Y685" s="137"/>
      <c r="Z685" s="118" t="s">
        <v>7530</v>
      </c>
    </row>
    <row r="686" customHeight="1" spans="1:26">
      <c r="A686" s="135" t="s">
        <v>10017</v>
      </c>
      <c r="B686" s="135">
        <v>6</v>
      </c>
      <c r="C686" s="135" t="s">
        <v>335</v>
      </c>
      <c r="D686" s="135"/>
      <c r="E686" s="135"/>
      <c r="F686" s="136" t="s">
        <v>321</v>
      </c>
      <c r="G686" s="135" t="s">
        <v>7535</v>
      </c>
      <c r="H686" s="135" t="s">
        <v>7526</v>
      </c>
      <c r="I686" s="135" t="s">
        <v>7527</v>
      </c>
      <c r="J686" s="135" t="s">
        <v>7539</v>
      </c>
      <c r="K686" s="152" t="s">
        <v>10018</v>
      </c>
      <c r="L686" s="153" t="s">
        <v>338</v>
      </c>
      <c r="M686" s="152" t="s">
        <v>10019</v>
      </c>
      <c r="N686" s="152" t="s">
        <v>10020</v>
      </c>
      <c r="O686" s="135" t="s">
        <v>5122</v>
      </c>
      <c r="P686" s="135" t="s">
        <v>5122</v>
      </c>
      <c r="Q686" s="135"/>
      <c r="R686" s="135"/>
      <c r="S686" s="135"/>
      <c r="T686" s="135" t="s">
        <v>5122</v>
      </c>
      <c r="U686" s="135" t="s">
        <v>5122</v>
      </c>
      <c r="V686" s="135" t="s">
        <v>5122</v>
      </c>
      <c r="W686" s="135"/>
      <c r="X686" s="135"/>
      <c r="Y686" s="135" t="s">
        <v>5122</v>
      </c>
      <c r="Z686" s="118" t="s">
        <v>7530</v>
      </c>
    </row>
    <row r="687" customHeight="1" spans="1:26">
      <c r="A687" s="123" t="s">
        <v>10021</v>
      </c>
      <c r="B687" s="123">
        <v>6</v>
      </c>
      <c r="C687" s="123" t="s">
        <v>324</v>
      </c>
      <c r="D687" s="123"/>
      <c r="E687" s="123" t="s">
        <v>5122</v>
      </c>
      <c r="F687" s="124" t="s">
        <v>321</v>
      </c>
      <c r="G687" s="123" t="s">
        <v>343</v>
      </c>
      <c r="H687" s="123" t="s">
        <v>7526</v>
      </c>
      <c r="I687" s="123" t="s">
        <v>7527</v>
      </c>
      <c r="J687" s="123" t="s">
        <v>7539</v>
      </c>
      <c r="K687" s="141" t="s">
        <v>10022</v>
      </c>
      <c r="L687" s="139" t="s">
        <v>356</v>
      </c>
      <c r="M687" s="141" t="s">
        <v>10023</v>
      </c>
      <c r="N687" s="141" t="s">
        <v>10024</v>
      </c>
      <c r="O687" s="123"/>
      <c r="P687" s="123"/>
      <c r="Q687" s="123"/>
      <c r="R687" s="123"/>
      <c r="S687" s="123"/>
      <c r="T687" s="123"/>
      <c r="U687" s="123"/>
      <c r="V687" s="123" t="s">
        <v>5122</v>
      </c>
      <c r="W687" s="123"/>
      <c r="X687" s="123"/>
      <c r="Y687" s="123"/>
      <c r="Z687" s="118" t="s">
        <v>7530</v>
      </c>
    </row>
    <row r="688" customHeight="1" spans="1:26">
      <c r="A688" s="137" t="s">
        <v>10025</v>
      </c>
      <c r="B688" s="137">
        <v>6</v>
      </c>
      <c r="C688" s="137" t="s">
        <v>339</v>
      </c>
      <c r="D688" s="137"/>
      <c r="E688" s="137" t="s">
        <v>5122</v>
      </c>
      <c r="F688" s="138" t="s">
        <v>321</v>
      </c>
      <c r="G688" s="137" t="s">
        <v>343</v>
      </c>
      <c r="H688" s="137" t="s">
        <v>7526</v>
      </c>
      <c r="I688" s="137" t="s">
        <v>7527</v>
      </c>
      <c r="J688" s="137" t="s">
        <v>7539</v>
      </c>
      <c r="K688" s="154" t="s">
        <v>10026</v>
      </c>
      <c r="L688" s="155" t="s">
        <v>356</v>
      </c>
      <c r="M688" s="154" t="s">
        <v>10027</v>
      </c>
      <c r="N688" s="154" t="s">
        <v>10028</v>
      </c>
      <c r="O688" s="137"/>
      <c r="P688" s="137"/>
      <c r="Q688" s="137" t="s">
        <v>5122</v>
      </c>
      <c r="R688" s="137"/>
      <c r="S688" s="137"/>
      <c r="T688" s="137"/>
      <c r="U688" s="137"/>
      <c r="V688" s="137"/>
      <c r="W688" s="137"/>
      <c r="X688" s="137"/>
      <c r="Y688" s="137"/>
      <c r="Z688" s="118" t="s">
        <v>7530</v>
      </c>
    </row>
    <row r="689" customHeight="1" spans="1:26">
      <c r="A689" s="131" t="s">
        <v>10029</v>
      </c>
      <c r="B689" s="131">
        <v>6</v>
      </c>
      <c r="C689" s="131" t="s">
        <v>320</v>
      </c>
      <c r="D689" s="131"/>
      <c r="E689" s="131"/>
      <c r="F689" s="132" t="s">
        <v>329</v>
      </c>
      <c r="G689" s="131" t="s">
        <v>333</v>
      </c>
      <c r="H689" s="131" t="s">
        <v>7526</v>
      </c>
      <c r="I689" s="131" t="s">
        <v>7527</v>
      </c>
      <c r="J689" s="131" t="s">
        <v>7539</v>
      </c>
      <c r="K689" s="148" t="s">
        <v>10030</v>
      </c>
      <c r="L689" s="149" t="s">
        <v>341</v>
      </c>
      <c r="M689" s="148" t="s">
        <v>10031</v>
      </c>
      <c r="N689" s="148" t="s">
        <v>10032</v>
      </c>
      <c r="O689" s="131"/>
      <c r="P689" s="131"/>
      <c r="Q689" s="131" t="s">
        <v>5122</v>
      </c>
      <c r="R689" s="131"/>
      <c r="S689" s="131"/>
      <c r="T689" s="131"/>
      <c r="U689" s="131"/>
      <c r="V689" s="131"/>
      <c r="W689" s="131"/>
      <c r="X689" s="131"/>
      <c r="Y689" s="131"/>
      <c r="Z689" s="118" t="s">
        <v>7530</v>
      </c>
    </row>
    <row r="690" customHeight="1" spans="1:26">
      <c r="A690" s="137" t="s">
        <v>10033</v>
      </c>
      <c r="B690" s="137">
        <v>6</v>
      </c>
      <c r="C690" s="137" t="s">
        <v>339</v>
      </c>
      <c r="D690" s="137"/>
      <c r="E690" s="137"/>
      <c r="F690" s="138" t="s">
        <v>321</v>
      </c>
      <c r="G690" s="137" t="s">
        <v>7731</v>
      </c>
      <c r="H690" s="137" t="s">
        <v>7526</v>
      </c>
      <c r="I690" s="137"/>
      <c r="J690" s="137"/>
      <c r="K690" s="154"/>
      <c r="L690" s="155" t="s">
        <v>323</v>
      </c>
      <c r="M690" s="154" t="s">
        <v>10034</v>
      </c>
      <c r="N690" s="154" t="s">
        <v>10035</v>
      </c>
      <c r="O690" s="137"/>
      <c r="P690" s="137" t="s">
        <v>5122</v>
      </c>
      <c r="Q690" s="137"/>
      <c r="R690" s="137"/>
      <c r="S690" s="137"/>
      <c r="T690" s="137"/>
      <c r="U690" s="137"/>
      <c r="V690" s="137"/>
      <c r="W690" s="137"/>
      <c r="X690" s="137"/>
      <c r="Y690" s="137"/>
      <c r="Z690" s="118" t="s">
        <v>7530</v>
      </c>
    </row>
    <row r="691" customHeight="1" spans="1:26">
      <c r="A691" s="131" t="s">
        <v>10036</v>
      </c>
      <c r="B691" s="131">
        <v>6</v>
      </c>
      <c r="C691" s="131" t="s">
        <v>320</v>
      </c>
      <c r="D691" s="131"/>
      <c r="E691" s="131" t="s">
        <v>5122</v>
      </c>
      <c r="F691" s="132" t="s">
        <v>325</v>
      </c>
      <c r="G691" s="131" t="s">
        <v>326</v>
      </c>
      <c r="H691" s="131" t="s">
        <v>7526</v>
      </c>
      <c r="I691" s="131" t="s">
        <v>7527</v>
      </c>
      <c r="J691" s="131" t="s">
        <v>7539</v>
      </c>
      <c r="K691" s="159" t="s">
        <v>10037</v>
      </c>
      <c r="L691" s="149" t="s">
        <v>7661</v>
      </c>
      <c r="M691" s="148" t="s">
        <v>10038</v>
      </c>
      <c r="N691" s="148" t="s">
        <v>10039</v>
      </c>
      <c r="O691" s="131"/>
      <c r="P691" s="131"/>
      <c r="Q691" s="131"/>
      <c r="R691" s="131"/>
      <c r="S691" s="131"/>
      <c r="T691" s="131" t="s">
        <v>5122</v>
      </c>
      <c r="U691" s="131" t="s">
        <v>5122</v>
      </c>
      <c r="V691" s="131" t="s">
        <v>5122</v>
      </c>
      <c r="W691" s="131"/>
      <c r="X691" s="131"/>
      <c r="Y691" s="131"/>
      <c r="Z691" s="118" t="s">
        <v>8030</v>
      </c>
    </row>
    <row r="692" customHeight="1" spans="1:26">
      <c r="A692" s="131" t="s">
        <v>10040</v>
      </c>
      <c r="B692" s="131">
        <v>6</v>
      </c>
      <c r="C692" s="131" t="s">
        <v>320</v>
      </c>
      <c r="D692" s="131"/>
      <c r="E692" s="131"/>
      <c r="F692" s="132" t="s">
        <v>321</v>
      </c>
      <c r="G692" s="131" t="s">
        <v>343</v>
      </c>
      <c r="H692" s="131" t="s">
        <v>7526</v>
      </c>
      <c r="I692" s="131" t="s">
        <v>7527</v>
      </c>
      <c r="J692" s="131"/>
      <c r="K692" s="159"/>
      <c r="L692" s="149" t="s">
        <v>323</v>
      </c>
      <c r="M692" s="148" t="s">
        <v>10041</v>
      </c>
      <c r="N692" s="148" t="s">
        <v>10042</v>
      </c>
      <c r="O692" s="131"/>
      <c r="P692" s="131"/>
      <c r="Q692" s="131" t="s">
        <v>5122</v>
      </c>
      <c r="R692" s="131"/>
      <c r="S692" s="131"/>
      <c r="T692" s="131"/>
      <c r="U692" s="131"/>
      <c r="V692" s="131"/>
      <c r="W692" s="131"/>
      <c r="X692" s="131"/>
      <c r="Y692" s="131"/>
      <c r="Z692" s="162" t="s">
        <v>45</v>
      </c>
    </row>
    <row r="693" customHeight="1" spans="1:26">
      <c r="A693" s="131" t="s">
        <v>10043</v>
      </c>
      <c r="B693" s="131">
        <v>6</v>
      </c>
      <c r="C693" s="131" t="s">
        <v>320</v>
      </c>
      <c r="D693" s="131"/>
      <c r="E693" s="131"/>
      <c r="F693" s="132" t="s">
        <v>338</v>
      </c>
      <c r="G693" s="131" t="s">
        <v>322</v>
      </c>
      <c r="H693" s="131" t="s">
        <v>7526</v>
      </c>
      <c r="I693" s="131" t="s">
        <v>7527</v>
      </c>
      <c r="J693" s="131" t="s">
        <v>7539</v>
      </c>
      <c r="K693" s="159" t="s">
        <v>10044</v>
      </c>
      <c r="L693" s="149" t="s">
        <v>323</v>
      </c>
      <c r="M693" s="148" t="s">
        <v>10045</v>
      </c>
      <c r="N693" s="148" t="s">
        <v>10046</v>
      </c>
      <c r="O693" s="131"/>
      <c r="P693" s="131"/>
      <c r="Q693" s="131"/>
      <c r="R693" s="131"/>
      <c r="S693" s="131"/>
      <c r="T693" s="131"/>
      <c r="U693" s="131"/>
      <c r="V693" s="131" t="s">
        <v>5122</v>
      </c>
      <c r="W693" s="131"/>
      <c r="X693" s="131"/>
      <c r="Y693" s="131"/>
      <c r="Z693" s="162" t="s">
        <v>45</v>
      </c>
    </row>
    <row r="694" customHeight="1" spans="1:26">
      <c r="A694" s="125" t="s">
        <v>10047</v>
      </c>
      <c r="B694" s="125">
        <v>6</v>
      </c>
      <c r="C694" s="125" t="s">
        <v>328</v>
      </c>
      <c r="D694" s="125"/>
      <c r="E694" s="125"/>
      <c r="F694" s="126" t="s">
        <v>334</v>
      </c>
      <c r="G694" s="125" t="s">
        <v>322</v>
      </c>
      <c r="H694" s="125" t="s">
        <v>7526</v>
      </c>
      <c r="I694" s="125" t="s">
        <v>7527</v>
      </c>
      <c r="J694" s="125" t="s">
        <v>7539</v>
      </c>
      <c r="K694" s="163" t="s">
        <v>10048</v>
      </c>
      <c r="L694" s="143" t="s">
        <v>344</v>
      </c>
      <c r="M694" s="142" t="s">
        <v>10049</v>
      </c>
      <c r="N694" s="142" t="s">
        <v>10050</v>
      </c>
      <c r="O694" s="125"/>
      <c r="P694" s="125"/>
      <c r="Q694" s="125" t="s">
        <v>5122</v>
      </c>
      <c r="R694" s="125"/>
      <c r="S694" s="125"/>
      <c r="T694" s="125"/>
      <c r="U694" s="125"/>
      <c r="V694" s="125"/>
      <c r="W694" s="125"/>
      <c r="X694" s="125"/>
      <c r="Y694" s="125"/>
      <c r="Z694" s="162" t="s">
        <v>45</v>
      </c>
    </row>
    <row r="695" customHeight="1" spans="1:26">
      <c r="A695" s="131" t="s">
        <v>10051</v>
      </c>
      <c r="B695" s="131">
        <v>6</v>
      </c>
      <c r="C695" s="131" t="s">
        <v>320</v>
      </c>
      <c r="D695" s="131"/>
      <c r="E695" s="131" t="s">
        <v>5122</v>
      </c>
      <c r="F695" s="132" t="s">
        <v>321</v>
      </c>
      <c r="G695" s="131" t="s">
        <v>326</v>
      </c>
      <c r="H695" s="131" t="s">
        <v>7526</v>
      </c>
      <c r="I695" s="131" t="s">
        <v>7527</v>
      </c>
      <c r="J695" s="131"/>
      <c r="K695" s="159"/>
      <c r="L695" s="149" t="s">
        <v>8037</v>
      </c>
      <c r="M695" s="148" t="s">
        <v>10052</v>
      </c>
      <c r="N695" s="148" t="s">
        <v>10053</v>
      </c>
      <c r="O695" s="131"/>
      <c r="P695" s="131"/>
      <c r="Q695" s="131" t="s">
        <v>5122</v>
      </c>
      <c r="R695" s="131"/>
      <c r="S695" s="131"/>
      <c r="T695" s="131" t="s">
        <v>5122</v>
      </c>
      <c r="U695" s="131" t="s">
        <v>5122</v>
      </c>
      <c r="V695" s="131" t="s">
        <v>5122</v>
      </c>
      <c r="W695" s="131"/>
      <c r="X695" s="131"/>
      <c r="Y695" s="131"/>
      <c r="Z695" s="162" t="s">
        <v>45</v>
      </c>
    </row>
    <row r="696" customHeight="1" spans="1:26">
      <c r="A696" s="131" t="s">
        <v>10054</v>
      </c>
      <c r="B696" s="131">
        <v>6</v>
      </c>
      <c r="C696" s="131" t="s">
        <v>320</v>
      </c>
      <c r="D696" s="131"/>
      <c r="E696" s="131" t="s">
        <v>5122</v>
      </c>
      <c r="F696" s="132" t="s">
        <v>321</v>
      </c>
      <c r="G696" s="131" t="s">
        <v>326</v>
      </c>
      <c r="H696" s="131" t="s">
        <v>7526</v>
      </c>
      <c r="I696" s="131" t="s">
        <v>7527</v>
      </c>
      <c r="J696" s="131"/>
      <c r="K696" s="159"/>
      <c r="L696" s="149" t="s">
        <v>8037</v>
      </c>
      <c r="M696" s="148" t="s">
        <v>10055</v>
      </c>
      <c r="N696" s="148" t="s">
        <v>10056</v>
      </c>
      <c r="O696" s="131"/>
      <c r="P696" s="131"/>
      <c r="Q696" s="131" t="s">
        <v>5122</v>
      </c>
      <c r="R696" s="131"/>
      <c r="S696" s="131"/>
      <c r="T696" s="131" t="s">
        <v>5122</v>
      </c>
      <c r="U696" s="131" t="s">
        <v>5122</v>
      </c>
      <c r="V696" s="131" t="s">
        <v>5122</v>
      </c>
      <c r="W696" s="131"/>
      <c r="X696" s="131"/>
      <c r="Y696" s="131"/>
      <c r="Z696" s="162" t="s">
        <v>45</v>
      </c>
    </row>
    <row r="697" customHeight="1" spans="1:26">
      <c r="A697" s="131" t="s">
        <v>10057</v>
      </c>
      <c r="B697" s="131">
        <v>6</v>
      </c>
      <c r="C697" s="131" t="s">
        <v>320</v>
      </c>
      <c r="D697" s="131"/>
      <c r="E697" s="131" t="s">
        <v>5122</v>
      </c>
      <c r="F697" s="132" t="s">
        <v>321</v>
      </c>
      <c r="G697" s="131" t="s">
        <v>326</v>
      </c>
      <c r="H697" s="131" t="s">
        <v>7526</v>
      </c>
      <c r="I697" s="131" t="s">
        <v>7527</v>
      </c>
      <c r="J697" s="131"/>
      <c r="K697" s="159"/>
      <c r="L697" s="149" t="s">
        <v>8037</v>
      </c>
      <c r="M697" s="148" t="s">
        <v>10058</v>
      </c>
      <c r="N697" s="148" t="s">
        <v>10059</v>
      </c>
      <c r="O697" s="131"/>
      <c r="P697" s="131"/>
      <c r="Q697" s="131" t="s">
        <v>5122</v>
      </c>
      <c r="R697" s="131"/>
      <c r="S697" s="131"/>
      <c r="T697" s="131" t="s">
        <v>5122</v>
      </c>
      <c r="U697" s="131" t="s">
        <v>5122</v>
      </c>
      <c r="V697" s="131" t="s">
        <v>5122</v>
      </c>
      <c r="W697" s="131"/>
      <c r="X697" s="131"/>
      <c r="Y697" s="131"/>
      <c r="Z697" s="162" t="s">
        <v>45</v>
      </c>
    </row>
    <row r="698" customHeight="1" spans="1:26">
      <c r="A698" s="131" t="s">
        <v>10060</v>
      </c>
      <c r="B698" s="131">
        <v>6</v>
      </c>
      <c r="C698" s="131" t="s">
        <v>320</v>
      </c>
      <c r="D698" s="131"/>
      <c r="E698" s="131" t="s">
        <v>5122</v>
      </c>
      <c r="F698" s="132" t="s">
        <v>321</v>
      </c>
      <c r="G698" s="131" t="s">
        <v>326</v>
      </c>
      <c r="H698" s="131" t="s">
        <v>7526</v>
      </c>
      <c r="I698" s="131" t="s">
        <v>7527</v>
      </c>
      <c r="J698" s="131"/>
      <c r="K698" s="159"/>
      <c r="L698" s="149" t="s">
        <v>8037</v>
      </c>
      <c r="M698" s="148" t="s">
        <v>10061</v>
      </c>
      <c r="N698" s="148" t="s">
        <v>10062</v>
      </c>
      <c r="O698" s="131"/>
      <c r="P698" s="131"/>
      <c r="Q698" s="131" t="s">
        <v>5122</v>
      </c>
      <c r="R698" s="131"/>
      <c r="S698" s="131"/>
      <c r="T698" s="131" t="s">
        <v>5122</v>
      </c>
      <c r="U698" s="131" t="s">
        <v>5122</v>
      </c>
      <c r="V698" s="131" t="s">
        <v>5122</v>
      </c>
      <c r="W698" s="131"/>
      <c r="X698" s="131"/>
      <c r="Y698" s="131"/>
      <c r="Z698" s="162" t="s">
        <v>45</v>
      </c>
    </row>
    <row r="699" customHeight="1" spans="1:26">
      <c r="A699" s="129" t="s">
        <v>10063</v>
      </c>
      <c r="B699" s="129">
        <v>6</v>
      </c>
      <c r="C699" s="129" t="s">
        <v>347</v>
      </c>
      <c r="D699" s="129"/>
      <c r="E699" s="129" t="s">
        <v>5122</v>
      </c>
      <c r="F699" s="130" t="s">
        <v>321</v>
      </c>
      <c r="G699" s="129" t="s">
        <v>337</v>
      </c>
      <c r="H699" s="129"/>
      <c r="I699" s="129" t="s">
        <v>7527</v>
      </c>
      <c r="J699" s="129"/>
      <c r="K699" s="166"/>
      <c r="L699" s="147" t="s">
        <v>7661</v>
      </c>
      <c r="M699" s="146" t="s">
        <v>10064</v>
      </c>
      <c r="N699" s="146" t="s">
        <v>10065</v>
      </c>
      <c r="O699" s="129"/>
      <c r="P699" s="129"/>
      <c r="Q699" s="129"/>
      <c r="R699" s="129"/>
      <c r="S699" s="129"/>
      <c r="T699" s="129" t="s">
        <v>5122</v>
      </c>
      <c r="U699" s="129" t="s">
        <v>5122</v>
      </c>
      <c r="V699" s="129" t="s">
        <v>5122</v>
      </c>
      <c r="W699" s="129"/>
      <c r="X699" s="129"/>
      <c r="Y699" s="129"/>
      <c r="Z699" s="162" t="s">
        <v>45</v>
      </c>
    </row>
    <row r="700" customHeight="1" spans="1:26">
      <c r="A700" s="137" t="s">
        <v>10066</v>
      </c>
      <c r="B700" s="137">
        <v>6</v>
      </c>
      <c r="C700" s="137" t="s">
        <v>339</v>
      </c>
      <c r="D700" s="137"/>
      <c r="E700" s="137"/>
      <c r="F700" s="138" t="s">
        <v>321</v>
      </c>
      <c r="G700" s="137" t="s">
        <v>333</v>
      </c>
      <c r="H700" s="137" t="s">
        <v>7526</v>
      </c>
      <c r="I700" s="137"/>
      <c r="J700" s="137"/>
      <c r="K700" s="157"/>
      <c r="L700" s="155" t="s">
        <v>323</v>
      </c>
      <c r="M700" s="154" t="s">
        <v>10067</v>
      </c>
      <c r="N700" s="154" t="s">
        <v>10068</v>
      </c>
      <c r="O700" s="137"/>
      <c r="P700" s="137"/>
      <c r="Q700" s="137"/>
      <c r="R700" s="137"/>
      <c r="S700" s="137"/>
      <c r="T700" s="137" t="s">
        <v>5122</v>
      </c>
      <c r="U700" s="137" t="s">
        <v>5122</v>
      </c>
      <c r="V700" s="137" t="s">
        <v>5122</v>
      </c>
      <c r="W700" s="137"/>
      <c r="X700" s="137"/>
      <c r="Y700" s="137"/>
      <c r="Z700" s="162" t="s">
        <v>45</v>
      </c>
    </row>
    <row r="701" customHeight="1" spans="1:26">
      <c r="A701" s="127" t="s">
        <v>10069</v>
      </c>
      <c r="B701" s="127">
        <v>6</v>
      </c>
      <c r="C701" s="127" t="s">
        <v>331</v>
      </c>
      <c r="D701" s="127"/>
      <c r="E701" s="127"/>
      <c r="F701" s="128" t="s">
        <v>10070</v>
      </c>
      <c r="G701" s="127" t="s">
        <v>337</v>
      </c>
      <c r="H701" s="127" t="s">
        <v>7526</v>
      </c>
      <c r="I701" s="127" t="s">
        <v>7527</v>
      </c>
      <c r="J701" s="127" t="s">
        <v>7539</v>
      </c>
      <c r="K701" s="165" t="s">
        <v>10071</v>
      </c>
      <c r="L701" s="145" t="s">
        <v>341</v>
      </c>
      <c r="M701" s="144" t="s">
        <v>10072</v>
      </c>
      <c r="N701" s="144" t="s">
        <v>10073</v>
      </c>
      <c r="O701" s="127"/>
      <c r="P701" s="127"/>
      <c r="Q701" s="127"/>
      <c r="R701" s="127"/>
      <c r="S701" s="127"/>
      <c r="T701" s="127"/>
      <c r="U701" s="127" t="s">
        <v>5122</v>
      </c>
      <c r="V701" s="127" t="s">
        <v>5122</v>
      </c>
      <c r="W701" s="127"/>
      <c r="X701" s="127"/>
      <c r="Y701" s="127"/>
      <c r="Z701" s="162" t="s">
        <v>45</v>
      </c>
    </row>
    <row r="702" customHeight="1" spans="1:26">
      <c r="A702" s="125" t="s">
        <v>10074</v>
      </c>
      <c r="B702" s="125">
        <v>6</v>
      </c>
      <c r="C702" s="125" t="s">
        <v>328</v>
      </c>
      <c r="D702" s="125"/>
      <c r="E702" s="125" t="s">
        <v>5122</v>
      </c>
      <c r="F702" s="126" t="s">
        <v>325</v>
      </c>
      <c r="G702" s="125" t="s">
        <v>337</v>
      </c>
      <c r="H702" s="125" t="s">
        <v>7526</v>
      </c>
      <c r="I702" s="125" t="s">
        <v>7527</v>
      </c>
      <c r="J702" s="125" t="s">
        <v>7539</v>
      </c>
      <c r="K702" s="163" t="s">
        <v>10075</v>
      </c>
      <c r="L702" s="143" t="s">
        <v>7661</v>
      </c>
      <c r="M702" s="142" t="s">
        <v>10076</v>
      </c>
      <c r="N702" s="142" t="s">
        <v>10077</v>
      </c>
      <c r="O702" s="125"/>
      <c r="P702" s="125"/>
      <c r="Q702" s="125"/>
      <c r="R702" s="125"/>
      <c r="S702" s="125"/>
      <c r="T702" s="125" t="s">
        <v>5122</v>
      </c>
      <c r="U702" s="125"/>
      <c r="V702" s="125" t="s">
        <v>5122</v>
      </c>
      <c r="W702" s="125"/>
      <c r="X702" s="125"/>
      <c r="Y702" s="125"/>
      <c r="Z702" s="162" t="s">
        <v>8534</v>
      </c>
    </row>
    <row r="703" customHeight="1" spans="1:26">
      <c r="A703" s="123" t="s">
        <v>10078</v>
      </c>
      <c r="B703" s="123">
        <v>6</v>
      </c>
      <c r="C703" s="123" t="s">
        <v>324</v>
      </c>
      <c r="D703" s="123"/>
      <c r="E703" s="123"/>
      <c r="F703" s="124" t="s">
        <v>321</v>
      </c>
      <c r="G703" s="123" t="s">
        <v>326</v>
      </c>
      <c r="H703" s="123" t="s">
        <v>7526</v>
      </c>
      <c r="I703" s="123" t="s">
        <v>7527</v>
      </c>
      <c r="J703" s="123" t="s">
        <v>7539</v>
      </c>
      <c r="K703" s="139" t="s">
        <v>10079</v>
      </c>
      <c r="L703" s="139" t="s">
        <v>323</v>
      </c>
      <c r="M703" s="141" t="s">
        <v>10080</v>
      </c>
      <c r="N703" s="158" t="s">
        <v>10081</v>
      </c>
      <c r="O703" s="123"/>
      <c r="P703" s="123"/>
      <c r="Q703" s="123"/>
      <c r="R703" s="123"/>
      <c r="S703" s="123"/>
      <c r="T703" s="123"/>
      <c r="U703" s="123"/>
      <c r="V703" s="123" t="s">
        <v>5122</v>
      </c>
      <c r="W703" s="123"/>
      <c r="X703" s="123"/>
      <c r="Y703" s="123"/>
      <c r="Z703" s="162" t="s">
        <v>7693</v>
      </c>
    </row>
    <row r="704" customHeight="1" spans="1:26">
      <c r="A704" s="123" t="s">
        <v>10082</v>
      </c>
      <c r="B704" s="123">
        <v>6</v>
      </c>
      <c r="C704" s="123" t="s">
        <v>324</v>
      </c>
      <c r="D704" s="123"/>
      <c r="E704" s="123" t="s">
        <v>5122</v>
      </c>
      <c r="F704" s="124" t="s">
        <v>321</v>
      </c>
      <c r="G704" s="123" t="s">
        <v>326</v>
      </c>
      <c r="H704" s="123" t="s">
        <v>7526</v>
      </c>
      <c r="I704" s="123" t="s">
        <v>7527</v>
      </c>
      <c r="J704" s="123"/>
      <c r="K704" s="141"/>
      <c r="L704" s="139" t="s">
        <v>7661</v>
      </c>
      <c r="M704" s="141" t="s">
        <v>10083</v>
      </c>
      <c r="N704" s="141" t="s">
        <v>10084</v>
      </c>
      <c r="O704" s="123"/>
      <c r="P704" s="123"/>
      <c r="Q704" s="123"/>
      <c r="R704" s="123"/>
      <c r="S704" s="123"/>
      <c r="T704" s="123" t="s">
        <v>5122</v>
      </c>
      <c r="U704" s="123" t="s">
        <v>5122</v>
      </c>
      <c r="V704" s="123" t="s">
        <v>5122</v>
      </c>
      <c r="W704" s="123"/>
      <c r="X704" s="123"/>
      <c r="Y704" s="123"/>
      <c r="Z704" s="118" t="s">
        <v>111</v>
      </c>
    </row>
    <row r="705" customHeight="1" spans="1:26">
      <c r="A705" s="137" t="s">
        <v>10085</v>
      </c>
      <c r="B705" s="137">
        <v>6</v>
      </c>
      <c r="C705" s="137" t="s">
        <v>339</v>
      </c>
      <c r="D705" s="137"/>
      <c r="E705" s="137" t="s">
        <v>5122</v>
      </c>
      <c r="F705" s="138" t="s">
        <v>321</v>
      </c>
      <c r="G705" s="137" t="s">
        <v>343</v>
      </c>
      <c r="H705" s="137" t="s">
        <v>7526</v>
      </c>
      <c r="I705" s="137" t="s">
        <v>7527</v>
      </c>
      <c r="J705" s="137" t="s">
        <v>7539</v>
      </c>
      <c r="K705" s="154" t="s">
        <v>10086</v>
      </c>
      <c r="L705" s="155" t="s">
        <v>356</v>
      </c>
      <c r="M705" s="154" t="s">
        <v>10087</v>
      </c>
      <c r="N705" s="154" t="s">
        <v>10088</v>
      </c>
      <c r="O705" s="137"/>
      <c r="P705" s="137"/>
      <c r="Q705" s="137" t="s">
        <v>5122</v>
      </c>
      <c r="R705" s="137"/>
      <c r="S705" s="137"/>
      <c r="T705" s="137" t="s">
        <v>5122</v>
      </c>
      <c r="U705" s="137" t="s">
        <v>5122</v>
      </c>
      <c r="V705" s="137" t="s">
        <v>5122</v>
      </c>
      <c r="W705" s="137"/>
      <c r="X705" s="137"/>
      <c r="Y705" s="137" t="s">
        <v>5122</v>
      </c>
      <c r="Z705" s="118" t="s">
        <v>72</v>
      </c>
    </row>
    <row r="706" customHeight="1" spans="1:26">
      <c r="A706" s="127" t="s">
        <v>10089</v>
      </c>
      <c r="B706" s="127">
        <v>6</v>
      </c>
      <c r="C706" s="127" t="s">
        <v>331</v>
      </c>
      <c r="D706" s="127"/>
      <c r="E706" s="127"/>
      <c r="F706" s="128" t="s">
        <v>321</v>
      </c>
      <c r="G706" s="127" t="s">
        <v>343</v>
      </c>
      <c r="H706" s="127" t="s">
        <v>7526</v>
      </c>
      <c r="I706" s="127" t="s">
        <v>7527</v>
      </c>
      <c r="J706" s="127" t="s">
        <v>7539</v>
      </c>
      <c r="K706" s="144" t="s">
        <v>10090</v>
      </c>
      <c r="L706" s="145" t="s">
        <v>323</v>
      </c>
      <c r="M706" s="144" t="s">
        <v>10091</v>
      </c>
      <c r="N706" s="144" t="s">
        <v>10092</v>
      </c>
      <c r="O706" s="127"/>
      <c r="P706" s="127"/>
      <c r="Q706" s="127"/>
      <c r="R706" s="127"/>
      <c r="S706" s="127"/>
      <c r="T706" s="127" t="s">
        <v>5122</v>
      </c>
      <c r="U706" s="127" t="s">
        <v>5122</v>
      </c>
      <c r="V706" s="127" t="s">
        <v>5122</v>
      </c>
      <c r="W706" s="127"/>
      <c r="X706" s="127"/>
      <c r="Y706" s="127" t="s">
        <v>5122</v>
      </c>
      <c r="Z706" s="118" t="s">
        <v>72</v>
      </c>
    </row>
    <row r="707" customHeight="1" spans="1:26">
      <c r="A707" s="125" t="s">
        <v>10093</v>
      </c>
      <c r="B707" s="125">
        <v>6</v>
      </c>
      <c r="C707" s="125" t="s">
        <v>328</v>
      </c>
      <c r="D707" s="125"/>
      <c r="E707" s="125" t="s">
        <v>5122</v>
      </c>
      <c r="F707" s="126" t="s">
        <v>321</v>
      </c>
      <c r="G707" s="125" t="s">
        <v>326</v>
      </c>
      <c r="H707" s="125" t="s">
        <v>7526</v>
      </c>
      <c r="I707" s="125" t="s">
        <v>7527</v>
      </c>
      <c r="J707" s="125" t="s">
        <v>7539</v>
      </c>
      <c r="K707" s="142" t="s">
        <v>8622</v>
      </c>
      <c r="L707" s="143" t="s">
        <v>356</v>
      </c>
      <c r="M707" s="142" t="s">
        <v>10094</v>
      </c>
      <c r="N707" s="142" t="s">
        <v>10095</v>
      </c>
      <c r="O707" s="125"/>
      <c r="P707" s="125" t="s">
        <v>5122</v>
      </c>
      <c r="Q707" s="125"/>
      <c r="R707" s="125"/>
      <c r="S707" s="125"/>
      <c r="T707" s="125"/>
      <c r="U707" s="125"/>
      <c r="V707" s="125" t="s">
        <v>5122</v>
      </c>
      <c r="W707" s="125"/>
      <c r="X707" s="125"/>
      <c r="Y707" s="125"/>
      <c r="Z707" s="118" t="s">
        <v>103</v>
      </c>
    </row>
    <row r="708" customHeight="1" spans="1:26">
      <c r="A708" s="133" t="s">
        <v>10096</v>
      </c>
      <c r="B708" s="133">
        <v>6</v>
      </c>
      <c r="C708" s="133" t="s">
        <v>342</v>
      </c>
      <c r="D708" s="133" t="s">
        <v>5122</v>
      </c>
      <c r="E708" s="133"/>
      <c r="F708" s="134" t="s">
        <v>332</v>
      </c>
      <c r="G708" s="133" t="s">
        <v>337</v>
      </c>
      <c r="H708" s="133" t="s">
        <v>7526</v>
      </c>
      <c r="I708" s="133" t="s">
        <v>7527</v>
      </c>
      <c r="J708" s="133" t="s">
        <v>7539</v>
      </c>
      <c r="K708" s="150" t="s">
        <v>10097</v>
      </c>
      <c r="L708" s="151" t="s">
        <v>338</v>
      </c>
      <c r="M708" s="150" t="s">
        <v>10098</v>
      </c>
      <c r="N708" s="150" t="s">
        <v>10099</v>
      </c>
      <c r="O708" s="133" t="s">
        <v>5122</v>
      </c>
      <c r="P708" s="133"/>
      <c r="Q708" s="133"/>
      <c r="R708" s="133"/>
      <c r="S708" s="133"/>
      <c r="T708" s="133"/>
      <c r="U708" s="133"/>
      <c r="V708" s="133" t="s">
        <v>5122</v>
      </c>
      <c r="W708" s="133"/>
      <c r="X708" s="133"/>
      <c r="Y708" s="133"/>
      <c r="Z708" s="118" t="s">
        <v>103</v>
      </c>
    </row>
    <row r="709" customHeight="1" spans="1:26">
      <c r="A709" s="125" t="s">
        <v>10100</v>
      </c>
      <c r="B709" s="125">
        <v>6</v>
      </c>
      <c r="C709" s="125" t="s">
        <v>328</v>
      </c>
      <c r="D709" s="125"/>
      <c r="E709" s="125" t="s">
        <v>5122</v>
      </c>
      <c r="F709" s="126" t="s">
        <v>321</v>
      </c>
      <c r="G709" s="125" t="s">
        <v>326</v>
      </c>
      <c r="H709" s="125" t="s">
        <v>7526</v>
      </c>
      <c r="I709" s="125" t="s">
        <v>7527</v>
      </c>
      <c r="J709" s="125" t="s">
        <v>7539</v>
      </c>
      <c r="K709" s="142" t="s">
        <v>10101</v>
      </c>
      <c r="L709" s="143" t="s">
        <v>352</v>
      </c>
      <c r="M709" s="142" t="s">
        <v>10102</v>
      </c>
      <c r="N709" s="142" t="s">
        <v>10103</v>
      </c>
      <c r="O709" s="125"/>
      <c r="P709" s="125"/>
      <c r="Q709" s="125"/>
      <c r="R709" s="125"/>
      <c r="S709" s="125"/>
      <c r="T709" s="125" t="s">
        <v>5122</v>
      </c>
      <c r="U709" s="125"/>
      <c r="V709" s="125" t="s">
        <v>5122</v>
      </c>
      <c r="W709" s="125"/>
      <c r="X709" s="125"/>
      <c r="Y709" s="125"/>
      <c r="Z709" s="118" t="s">
        <v>95</v>
      </c>
    </row>
    <row r="710" customHeight="1" spans="1:26">
      <c r="A710" s="127" t="s">
        <v>10104</v>
      </c>
      <c r="B710" s="127">
        <v>6</v>
      </c>
      <c r="C710" s="127" t="s">
        <v>331</v>
      </c>
      <c r="D710" s="127"/>
      <c r="E710" s="127"/>
      <c r="F710" s="128" t="s">
        <v>321</v>
      </c>
      <c r="G710" s="127" t="s">
        <v>326</v>
      </c>
      <c r="H710" s="127" t="s">
        <v>7526</v>
      </c>
      <c r="I710" s="127" t="s">
        <v>7527</v>
      </c>
      <c r="J710" s="127" t="s">
        <v>7539</v>
      </c>
      <c r="K710" s="144" t="s">
        <v>10105</v>
      </c>
      <c r="L710" s="145" t="s">
        <v>323</v>
      </c>
      <c r="M710" s="144" t="s">
        <v>10106</v>
      </c>
      <c r="N710" s="144" t="s">
        <v>10107</v>
      </c>
      <c r="O710" s="127"/>
      <c r="P710" s="127"/>
      <c r="Q710" s="127"/>
      <c r="R710" s="127"/>
      <c r="S710" s="127"/>
      <c r="T710" s="127" t="s">
        <v>5122</v>
      </c>
      <c r="U710" s="127" t="s">
        <v>5122</v>
      </c>
      <c r="V710" s="127" t="s">
        <v>5122</v>
      </c>
      <c r="W710" s="127"/>
      <c r="X710" s="127"/>
      <c r="Y710" s="127"/>
      <c r="Z710" s="118" t="s">
        <v>108</v>
      </c>
    </row>
    <row r="711" customHeight="1" spans="1:26">
      <c r="A711" s="123" t="s">
        <v>10108</v>
      </c>
      <c r="B711" s="123">
        <v>6</v>
      </c>
      <c r="C711" s="123" t="s">
        <v>324</v>
      </c>
      <c r="D711" s="123"/>
      <c r="E711" s="123"/>
      <c r="F711" s="124" t="s">
        <v>321</v>
      </c>
      <c r="G711" s="123" t="s">
        <v>326</v>
      </c>
      <c r="H711" s="123" t="s">
        <v>7526</v>
      </c>
      <c r="I711" s="123" t="s">
        <v>7527</v>
      </c>
      <c r="J711" s="123"/>
      <c r="K711" s="141"/>
      <c r="L711" s="139" t="s">
        <v>334</v>
      </c>
      <c r="M711" s="141" t="s">
        <v>10109</v>
      </c>
      <c r="N711" s="141" t="s">
        <v>10110</v>
      </c>
      <c r="O711" s="123" t="s">
        <v>5122</v>
      </c>
      <c r="P711" s="123" t="s">
        <v>5122</v>
      </c>
      <c r="Q711" s="123" t="s">
        <v>5122</v>
      </c>
      <c r="R711" s="123"/>
      <c r="S711" s="123"/>
      <c r="T711" s="123"/>
      <c r="U711" s="123"/>
      <c r="V711" s="123"/>
      <c r="W711" s="123"/>
      <c r="X711" s="123"/>
      <c r="Y711" s="123"/>
      <c r="Z711" s="118" t="s">
        <v>65</v>
      </c>
    </row>
    <row r="712" customHeight="1" spans="1:26">
      <c r="A712" s="137" t="s">
        <v>10111</v>
      </c>
      <c r="B712" s="137">
        <v>6</v>
      </c>
      <c r="C712" s="137" t="s">
        <v>339</v>
      </c>
      <c r="D712" s="137"/>
      <c r="E712" s="137" t="s">
        <v>5122</v>
      </c>
      <c r="F712" s="138" t="s">
        <v>321</v>
      </c>
      <c r="G712" s="137" t="s">
        <v>340</v>
      </c>
      <c r="H712" s="137" t="s">
        <v>7526</v>
      </c>
      <c r="I712" s="137" t="s">
        <v>7527</v>
      </c>
      <c r="J712" s="137"/>
      <c r="K712" s="154"/>
      <c r="L712" s="155" t="s">
        <v>359</v>
      </c>
      <c r="M712" s="154" t="s">
        <v>10112</v>
      </c>
      <c r="N712" s="154" t="s">
        <v>10113</v>
      </c>
      <c r="O712" s="137"/>
      <c r="P712" s="137"/>
      <c r="Q712" s="137" t="s">
        <v>5122</v>
      </c>
      <c r="R712" s="137"/>
      <c r="S712" s="137"/>
      <c r="T712" s="137"/>
      <c r="U712" s="137"/>
      <c r="V712" s="137" t="s">
        <v>5122</v>
      </c>
      <c r="W712" s="137"/>
      <c r="X712" s="137"/>
      <c r="Y712" s="137"/>
      <c r="Z712" s="118" t="s">
        <v>7781</v>
      </c>
    </row>
    <row r="713" customHeight="1" spans="1:26">
      <c r="A713" s="131" t="s">
        <v>10114</v>
      </c>
      <c r="B713" s="131">
        <v>6</v>
      </c>
      <c r="C713" s="131" t="s">
        <v>320</v>
      </c>
      <c r="D713" s="131"/>
      <c r="E713" s="131" t="s">
        <v>5122</v>
      </c>
      <c r="F713" s="132" t="s">
        <v>321</v>
      </c>
      <c r="G713" s="131" t="s">
        <v>333</v>
      </c>
      <c r="H713" s="131" t="s">
        <v>7526</v>
      </c>
      <c r="I713" s="131" t="s">
        <v>7527</v>
      </c>
      <c r="J713" s="131" t="s">
        <v>7539</v>
      </c>
      <c r="K713" s="148" t="s">
        <v>10115</v>
      </c>
      <c r="L713" s="149" t="s">
        <v>352</v>
      </c>
      <c r="M713" s="148" t="s">
        <v>10116</v>
      </c>
      <c r="N713" s="148" t="s">
        <v>10117</v>
      </c>
      <c r="O713" s="131"/>
      <c r="P713" s="131"/>
      <c r="Q713" s="131" t="s">
        <v>5122</v>
      </c>
      <c r="R713" s="131"/>
      <c r="S713" s="131"/>
      <c r="T713" s="131" t="s">
        <v>5122</v>
      </c>
      <c r="U713" s="131"/>
      <c r="V713" s="131" t="s">
        <v>5122</v>
      </c>
      <c r="W713" s="131"/>
      <c r="X713" s="131"/>
      <c r="Y713" s="131"/>
      <c r="Z713" s="118" t="s">
        <v>7781</v>
      </c>
    </row>
    <row r="714" customHeight="1" spans="1:26">
      <c r="A714" s="127" t="s">
        <v>10118</v>
      </c>
      <c r="B714" s="127">
        <v>6</v>
      </c>
      <c r="C714" s="127" t="s">
        <v>331</v>
      </c>
      <c r="D714" s="127"/>
      <c r="E714" s="127"/>
      <c r="F714" s="128" t="s">
        <v>325</v>
      </c>
      <c r="G714" s="127" t="s">
        <v>8932</v>
      </c>
      <c r="H714" s="127" t="s">
        <v>7526</v>
      </c>
      <c r="I714" s="127" t="s">
        <v>7527</v>
      </c>
      <c r="J714" s="127" t="s">
        <v>7539</v>
      </c>
      <c r="K714" s="144" t="s">
        <v>10119</v>
      </c>
      <c r="L714" s="145" t="s">
        <v>323</v>
      </c>
      <c r="M714" s="144" t="s">
        <v>10120</v>
      </c>
      <c r="N714" s="144" t="s">
        <v>10121</v>
      </c>
      <c r="O714" s="127"/>
      <c r="P714" s="127" t="s">
        <v>5122</v>
      </c>
      <c r="Q714" s="127" t="s">
        <v>5122</v>
      </c>
      <c r="R714" s="127"/>
      <c r="S714" s="127"/>
      <c r="T714" s="127"/>
      <c r="U714" s="127" t="s">
        <v>5122</v>
      </c>
      <c r="V714" s="127" t="s">
        <v>5122</v>
      </c>
      <c r="W714" s="127"/>
      <c r="X714" s="127"/>
      <c r="Y714" s="127"/>
      <c r="Z714" s="118" t="s">
        <v>7781</v>
      </c>
    </row>
    <row r="715" customHeight="1" spans="1:26">
      <c r="A715" s="133" t="s">
        <v>10122</v>
      </c>
      <c r="B715" s="133">
        <v>6</v>
      </c>
      <c r="C715" s="133" t="s">
        <v>342</v>
      </c>
      <c r="D715" s="133"/>
      <c r="E715" s="133" t="s">
        <v>5122</v>
      </c>
      <c r="F715" s="134" t="s">
        <v>321</v>
      </c>
      <c r="G715" s="133" t="s">
        <v>326</v>
      </c>
      <c r="H715" s="133" t="s">
        <v>7526</v>
      </c>
      <c r="I715" s="133"/>
      <c r="J715" s="133"/>
      <c r="K715" s="150"/>
      <c r="L715" s="151" t="s">
        <v>352</v>
      </c>
      <c r="M715" s="150" t="s">
        <v>10123</v>
      </c>
      <c r="N715" s="150" t="s">
        <v>10124</v>
      </c>
      <c r="O715" s="133" t="s">
        <v>5122</v>
      </c>
      <c r="P715" s="133" t="s">
        <v>5122</v>
      </c>
      <c r="Q715" s="133"/>
      <c r="R715" s="133"/>
      <c r="S715" s="133"/>
      <c r="T715" s="133"/>
      <c r="U715" s="133"/>
      <c r="V715" s="133"/>
      <c r="W715" s="133"/>
      <c r="X715" s="133"/>
      <c r="Y715" s="133"/>
      <c r="Z715" s="118" t="s">
        <v>90</v>
      </c>
    </row>
    <row r="716" customHeight="1" spans="1:26">
      <c r="A716" s="123" t="s">
        <v>10125</v>
      </c>
      <c r="B716" s="123">
        <v>6</v>
      </c>
      <c r="C716" s="123" t="s">
        <v>324</v>
      </c>
      <c r="D716" s="123"/>
      <c r="E716" s="123"/>
      <c r="F716" s="124" t="s">
        <v>321</v>
      </c>
      <c r="G716" s="123" t="s">
        <v>326</v>
      </c>
      <c r="H716" s="123" t="s">
        <v>7526</v>
      </c>
      <c r="I716" s="123" t="s">
        <v>7527</v>
      </c>
      <c r="J716" s="123" t="s">
        <v>7539</v>
      </c>
      <c r="K716" s="141" t="s">
        <v>10126</v>
      </c>
      <c r="L716" s="139" t="s">
        <v>338</v>
      </c>
      <c r="M716" s="141" t="s">
        <v>10127</v>
      </c>
      <c r="N716" s="141" t="s">
        <v>10128</v>
      </c>
      <c r="O716" s="123"/>
      <c r="P716" s="123"/>
      <c r="Q716" s="123" t="s">
        <v>5122</v>
      </c>
      <c r="R716" s="123"/>
      <c r="S716" s="123"/>
      <c r="T716" s="123" t="s">
        <v>5122</v>
      </c>
      <c r="U716" s="123"/>
      <c r="V716" s="123" t="s">
        <v>5122</v>
      </c>
      <c r="W716" s="123"/>
      <c r="X716" s="123"/>
      <c r="Y716" s="123"/>
      <c r="Z716" s="118" t="s">
        <v>90</v>
      </c>
    </row>
    <row r="717" customHeight="1" spans="1:26">
      <c r="A717" s="137" t="s">
        <v>10129</v>
      </c>
      <c r="B717" s="137">
        <v>7</v>
      </c>
      <c r="C717" s="137" t="s">
        <v>339</v>
      </c>
      <c r="D717" s="137"/>
      <c r="E717" s="137" t="s">
        <v>5122</v>
      </c>
      <c r="F717" s="138" t="s">
        <v>321</v>
      </c>
      <c r="G717" s="137" t="s">
        <v>340</v>
      </c>
      <c r="H717" s="137" t="s">
        <v>7526</v>
      </c>
      <c r="I717" s="137" t="s">
        <v>7527</v>
      </c>
      <c r="J717" s="137"/>
      <c r="K717" s="154"/>
      <c r="L717" s="155" t="s">
        <v>356</v>
      </c>
      <c r="M717" s="154" t="s">
        <v>10130</v>
      </c>
      <c r="N717" s="154" t="s">
        <v>10131</v>
      </c>
      <c r="O717" s="137"/>
      <c r="P717" s="137" t="s">
        <v>5122</v>
      </c>
      <c r="Q717" s="137"/>
      <c r="R717" s="137"/>
      <c r="S717" s="137"/>
      <c r="T717" s="137"/>
      <c r="U717" s="137"/>
      <c r="V717" s="137"/>
      <c r="W717" s="137"/>
      <c r="X717" s="137"/>
      <c r="Y717" s="137"/>
      <c r="Z717" s="118" t="s">
        <v>7530</v>
      </c>
    </row>
    <row r="718" customHeight="1" spans="1:26">
      <c r="A718" s="123" t="s">
        <v>10132</v>
      </c>
      <c r="B718" s="123">
        <v>7</v>
      </c>
      <c r="C718" s="123" t="s">
        <v>324</v>
      </c>
      <c r="D718" s="123"/>
      <c r="E718" s="123" t="s">
        <v>5122</v>
      </c>
      <c r="F718" s="124" t="s">
        <v>321</v>
      </c>
      <c r="G718" s="123" t="s">
        <v>348</v>
      </c>
      <c r="H718" s="123" t="s">
        <v>7526</v>
      </c>
      <c r="I718" s="123" t="s">
        <v>7527</v>
      </c>
      <c r="J718" s="123" t="s">
        <v>7539</v>
      </c>
      <c r="K718" s="141" t="s">
        <v>8840</v>
      </c>
      <c r="L718" s="139" t="s">
        <v>352</v>
      </c>
      <c r="M718" s="141" t="s">
        <v>10133</v>
      </c>
      <c r="N718" s="141" t="s">
        <v>10134</v>
      </c>
      <c r="O718" s="123"/>
      <c r="P718" s="123"/>
      <c r="Q718" s="123"/>
      <c r="R718" s="123"/>
      <c r="S718" s="123"/>
      <c r="T718" s="123" t="s">
        <v>5122</v>
      </c>
      <c r="U718" s="123"/>
      <c r="V718" s="123" t="s">
        <v>5122</v>
      </c>
      <c r="W718" s="123"/>
      <c r="X718" s="123"/>
      <c r="Y718" s="123"/>
      <c r="Z718" s="118" t="s">
        <v>7530</v>
      </c>
    </row>
    <row r="719" customHeight="1" spans="1:26">
      <c r="A719" s="123" t="s">
        <v>7765</v>
      </c>
      <c r="B719" s="123">
        <v>7</v>
      </c>
      <c r="C719" s="123" t="s">
        <v>324</v>
      </c>
      <c r="D719" s="123"/>
      <c r="E719" s="123"/>
      <c r="F719" s="124" t="s">
        <v>325</v>
      </c>
      <c r="G719" s="123" t="s">
        <v>333</v>
      </c>
      <c r="H719" s="123" t="s">
        <v>7526</v>
      </c>
      <c r="I719" s="123"/>
      <c r="J719" s="123"/>
      <c r="K719" s="141"/>
      <c r="L719" s="139" t="s">
        <v>323</v>
      </c>
      <c r="M719" s="141" t="s">
        <v>10135</v>
      </c>
      <c r="N719" s="141" t="s">
        <v>10136</v>
      </c>
      <c r="O719" s="123"/>
      <c r="P719" s="123" t="s">
        <v>5122</v>
      </c>
      <c r="Q719" s="123"/>
      <c r="R719" s="123"/>
      <c r="S719" s="123"/>
      <c r="T719" s="123"/>
      <c r="U719" s="123"/>
      <c r="V719" s="123"/>
      <c r="W719" s="123"/>
      <c r="X719" s="123"/>
      <c r="Y719" s="123"/>
      <c r="Z719" s="118" t="s">
        <v>7530</v>
      </c>
    </row>
    <row r="720" customHeight="1" spans="1:26">
      <c r="A720" s="137" t="s">
        <v>10137</v>
      </c>
      <c r="B720" s="137">
        <v>7</v>
      </c>
      <c r="C720" s="137" t="s">
        <v>339</v>
      </c>
      <c r="D720" s="137"/>
      <c r="E720" s="137"/>
      <c r="F720" s="138" t="s">
        <v>321</v>
      </c>
      <c r="G720" s="137" t="s">
        <v>326</v>
      </c>
      <c r="H720" s="137" t="s">
        <v>7526</v>
      </c>
      <c r="I720" s="137" t="s">
        <v>7527</v>
      </c>
      <c r="J720" s="137"/>
      <c r="K720" s="154"/>
      <c r="L720" s="155" t="s">
        <v>10138</v>
      </c>
      <c r="M720" s="154" t="s">
        <v>10139</v>
      </c>
      <c r="N720" s="154" t="s">
        <v>10140</v>
      </c>
      <c r="O720" s="137" t="s">
        <v>5122</v>
      </c>
      <c r="P720" s="137" t="s">
        <v>5122</v>
      </c>
      <c r="Q720" s="137"/>
      <c r="R720" s="137"/>
      <c r="S720" s="137"/>
      <c r="T720" s="137" t="s">
        <v>5122</v>
      </c>
      <c r="U720" s="137" t="s">
        <v>5122</v>
      </c>
      <c r="V720" s="137" t="s">
        <v>5122</v>
      </c>
      <c r="W720" s="137"/>
      <c r="X720" s="137"/>
      <c r="Y720" s="137" t="s">
        <v>5122</v>
      </c>
      <c r="Z720" s="118" t="s">
        <v>7530</v>
      </c>
    </row>
    <row r="721" customHeight="1" spans="1:26">
      <c r="A721" s="127" t="s">
        <v>10141</v>
      </c>
      <c r="B721" s="127">
        <v>7</v>
      </c>
      <c r="C721" s="127" t="s">
        <v>331</v>
      </c>
      <c r="D721" s="127"/>
      <c r="E721" s="127"/>
      <c r="F721" s="128" t="s">
        <v>321</v>
      </c>
      <c r="G721" s="127" t="s">
        <v>337</v>
      </c>
      <c r="H721" s="127" t="s">
        <v>7526</v>
      </c>
      <c r="I721" s="127" t="s">
        <v>7527</v>
      </c>
      <c r="J721" s="127"/>
      <c r="K721" s="144"/>
      <c r="L721" s="145" t="s">
        <v>323</v>
      </c>
      <c r="M721" s="144" t="s">
        <v>10142</v>
      </c>
      <c r="N721" s="144" t="s">
        <v>10143</v>
      </c>
      <c r="O721" s="127"/>
      <c r="P721" s="127"/>
      <c r="Q721" s="127"/>
      <c r="R721" s="127"/>
      <c r="S721" s="127"/>
      <c r="T721" s="127" t="s">
        <v>5122</v>
      </c>
      <c r="U721" s="127" t="s">
        <v>5122</v>
      </c>
      <c r="V721" s="127" t="s">
        <v>5122</v>
      </c>
      <c r="W721" s="127"/>
      <c r="X721" s="127"/>
      <c r="Y721" s="127" t="s">
        <v>5122</v>
      </c>
      <c r="Z721" s="118" t="s">
        <v>7530</v>
      </c>
    </row>
    <row r="722" customHeight="1" spans="1:26">
      <c r="A722" s="123" t="s">
        <v>10144</v>
      </c>
      <c r="B722" s="123">
        <v>7</v>
      </c>
      <c r="C722" s="123" t="s">
        <v>324</v>
      </c>
      <c r="D722" s="123"/>
      <c r="E722" s="123"/>
      <c r="F722" s="124" t="s">
        <v>321</v>
      </c>
      <c r="G722" s="123" t="s">
        <v>348</v>
      </c>
      <c r="H722" s="123" t="s">
        <v>7526</v>
      </c>
      <c r="I722" s="123" t="s">
        <v>7527</v>
      </c>
      <c r="J722" s="123"/>
      <c r="K722" s="141"/>
      <c r="L722" s="139" t="s">
        <v>323</v>
      </c>
      <c r="M722" s="141" t="s">
        <v>10145</v>
      </c>
      <c r="N722" s="141" t="s">
        <v>10146</v>
      </c>
      <c r="O722" s="123"/>
      <c r="P722" s="123" t="s">
        <v>5122</v>
      </c>
      <c r="Q722" s="123" t="s">
        <v>5122</v>
      </c>
      <c r="R722" s="123"/>
      <c r="S722" s="123"/>
      <c r="T722" s="123" t="s">
        <v>5122</v>
      </c>
      <c r="U722" s="123"/>
      <c r="V722" s="123"/>
      <c r="W722" s="123"/>
      <c r="X722" s="123"/>
      <c r="Y722" s="123"/>
      <c r="Z722" s="118" t="s">
        <v>7530</v>
      </c>
    </row>
    <row r="723" customHeight="1" spans="1:26">
      <c r="A723" s="123" t="s">
        <v>10147</v>
      </c>
      <c r="B723" s="123">
        <v>7</v>
      </c>
      <c r="C723" s="123" t="s">
        <v>324</v>
      </c>
      <c r="D723" s="123"/>
      <c r="E723" s="123" t="s">
        <v>5122</v>
      </c>
      <c r="F723" s="124" t="s">
        <v>321</v>
      </c>
      <c r="G723" s="123" t="s">
        <v>10148</v>
      </c>
      <c r="H723" s="123" t="s">
        <v>7526</v>
      </c>
      <c r="I723" s="123" t="s">
        <v>7527</v>
      </c>
      <c r="J723" s="123" t="s">
        <v>7539</v>
      </c>
      <c r="K723" s="141" t="s">
        <v>10149</v>
      </c>
      <c r="L723" s="139" t="s">
        <v>359</v>
      </c>
      <c r="M723" s="141" t="s">
        <v>10150</v>
      </c>
      <c r="N723" s="141" t="s">
        <v>10151</v>
      </c>
      <c r="O723" s="123" t="s">
        <v>5122</v>
      </c>
      <c r="P723" s="123"/>
      <c r="Q723" s="123"/>
      <c r="R723" s="123"/>
      <c r="S723" s="123"/>
      <c r="T723" s="123"/>
      <c r="U723" s="123" t="s">
        <v>5122</v>
      </c>
      <c r="V723" s="123" t="s">
        <v>5122</v>
      </c>
      <c r="W723" s="123"/>
      <c r="X723" s="123"/>
      <c r="Y723" s="123" t="s">
        <v>5122</v>
      </c>
      <c r="Z723" s="118" t="s">
        <v>7530</v>
      </c>
    </row>
    <row r="724" customHeight="1" spans="1:26">
      <c r="A724" s="129" t="s">
        <v>3897</v>
      </c>
      <c r="B724" s="129">
        <v>7</v>
      </c>
      <c r="C724" s="129" t="s">
        <v>347</v>
      </c>
      <c r="D724" s="129"/>
      <c r="E724" s="129"/>
      <c r="F724" s="130" t="s">
        <v>334</v>
      </c>
      <c r="G724" s="129" t="s">
        <v>10152</v>
      </c>
      <c r="H724" s="129" t="s">
        <v>7526</v>
      </c>
      <c r="I724" s="129" t="s">
        <v>7527</v>
      </c>
      <c r="J724" s="129"/>
      <c r="K724" s="146"/>
      <c r="L724" s="147" t="s">
        <v>361</v>
      </c>
      <c r="M724" s="146" t="s">
        <v>10153</v>
      </c>
      <c r="N724" s="146" t="s">
        <v>10154</v>
      </c>
      <c r="O724" s="129" t="s">
        <v>5122</v>
      </c>
      <c r="P724" s="129"/>
      <c r="Q724" s="129" t="s">
        <v>5122</v>
      </c>
      <c r="R724" s="129"/>
      <c r="S724" s="129"/>
      <c r="T724" s="129"/>
      <c r="U724" s="129"/>
      <c r="V724" s="129" t="s">
        <v>5122</v>
      </c>
      <c r="W724" s="129"/>
      <c r="X724" s="129"/>
      <c r="Y724" s="129"/>
      <c r="Z724" s="118" t="s">
        <v>7530</v>
      </c>
    </row>
    <row r="725" customHeight="1" spans="1:26">
      <c r="A725" s="137" t="s">
        <v>10155</v>
      </c>
      <c r="B725" s="137">
        <v>7</v>
      </c>
      <c r="C725" s="137" t="s">
        <v>339</v>
      </c>
      <c r="D725" s="137"/>
      <c r="E725" s="137"/>
      <c r="F725" s="138" t="s">
        <v>329</v>
      </c>
      <c r="G725" s="137" t="s">
        <v>351</v>
      </c>
      <c r="H725" s="137" t="s">
        <v>7526</v>
      </c>
      <c r="I725" s="137" t="s">
        <v>7527</v>
      </c>
      <c r="J725" s="137" t="s">
        <v>7539</v>
      </c>
      <c r="K725" s="154" t="s">
        <v>10156</v>
      </c>
      <c r="L725" s="155" t="s">
        <v>344</v>
      </c>
      <c r="M725" s="154" t="s">
        <v>10157</v>
      </c>
      <c r="N725" s="154" t="s">
        <v>10158</v>
      </c>
      <c r="O725" s="137" t="s">
        <v>5122</v>
      </c>
      <c r="P725" s="137"/>
      <c r="Q725" s="137"/>
      <c r="R725" s="137"/>
      <c r="S725" s="137"/>
      <c r="T725" s="137"/>
      <c r="U725" s="137"/>
      <c r="V725" s="137" t="s">
        <v>5122</v>
      </c>
      <c r="W725" s="137"/>
      <c r="X725" s="137"/>
      <c r="Y725" s="137"/>
      <c r="Z725" s="118" t="s">
        <v>7530</v>
      </c>
    </row>
    <row r="726" customHeight="1" spans="1:26">
      <c r="A726" s="123" t="s">
        <v>10159</v>
      </c>
      <c r="B726" s="123">
        <v>7</v>
      </c>
      <c r="C726" s="123" t="s">
        <v>324</v>
      </c>
      <c r="D726" s="123"/>
      <c r="E726" s="123" t="s">
        <v>5122</v>
      </c>
      <c r="F726" s="124" t="s">
        <v>321</v>
      </c>
      <c r="G726" s="123" t="s">
        <v>340</v>
      </c>
      <c r="H726" s="123" t="s">
        <v>7526</v>
      </c>
      <c r="I726" s="123" t="s">
        <v>7527</v>
      </c>
      <c r="J726" s="123" t="s">
        <v>7539</v>
      </c>
      <c r="K726" s="141" t="s">
        <v>10160</v>
      </c>
      <c r="L726" s="139" t="s">
        <v>352</v>
      </c>
      <c r="M726" s="141" t="s">
        <v>10161</v>
      </c>
      <c r="N726" s="141" t="s">
        <v>10162</v>
      </c>
      <c r="O726" s="123" t="s">
        <v>5122</v>
      </c>
      <c r="P726" s="123"/>
      <c r="Q726" s="123"/>
      <c r="R726" s="123"/>
      <c r="S726" s="123"/>
      <c r="T726" s="123"/>
      <c r="U726" s="123"/>
      <c r="V726" s="123" t="s">
        <v>5122</v>
      </c>
      <c r="W726" s="123"/>
      <c r="X726" s="123"/>
      <c r="Y726" s="123"/>
      <c r="Z726" s="118" t="s">
        <v>7530</v>
      </c>
    </row>
    <row r="727" customHeight="1" spans="1:26">
      <c r="A727" s="137" t="s">
        <v>10163</v>
      </c>
      <c r="B727" s="137">
        <v>7</v>
      </c>
      <c r="C727" s="137" t="s">
        <v>339</v>
      </c>
      <c r="D727" s="137"/>
      <c r="E727" s="137"/>
      <c r="F727" s="138" t="s">
        <v>321</v>
      </c>
      <c r="G727" s="137" t="s">
        <v>7535</v>
      </c>
      <c r="H727" s="137" t="s">
        <v>7526</v>
      </c>
      <c r="I727" s="137" t="s">
        <v>7527</v>
      </c>
      <c r="J727" s="137" t="s">
        <v>7539</v>
      </c>
      <c r="K727" s="154" t="s">
        <v>10164</v>
      </c>
      <c r="L727" s="155" t="s">
        <v>323</v>
      </c>
      <c r="M727" s="154" t="s">
        <v>10165</v>
      </c>
      <c r="N727" s="154" t="s">
        <v>10166</v>
      </c>
      <c r="O727" s="137"/>
      <c r="P727" s="137" t="s">
        <v>5122</v>
      </c>
      <c r="Q727" s="137" t="s">
        <v>5122</v>
      </c>
      <c r="R727" s="137"/>
      <c r="S727" s="137"/>
      <c r="T727" s="137" t="s">
        <v>5122</v>
      </c>
      <c r="U727" s="137" t="s">
        <v>5122</v>
      </c>
      <c r="V727" s="137" t="s">
        <v>5122</v>
      </c>
      <c r="W727" s="137"/>
      <c r="X727" s="137"/>
      <c r="Y727" s="137" t="s">
        <v>5122</v>
      </c>
      <c r="Z727" s="118" t="s">
        <v>7530</v>
      </c>
    </row>
    <row r="728" customHeight="1" spans="1:26">
      <c r="A728" s="133" t="s">
        <v>10167</v>
      </c>
      <c r="B728" s="133">
        <v>7</v>
      </c>
      <c r="C728" s="133" t="s">
        <v>342</v>
      </c>
      <c r="D728" s="133"/>
      <c r="E728" s="133"/>
      <c r="F728" s="134" t="s">
        <v>321</v>
      </c>
      <c r="G728" s="133" t="s">
        <v>337</v>
      </c>
      <c r="H728" s="133" t="s">
        <v>7526</v>
      </c>
      <c r="I728" s="133"/>
      <c r="J728" s="133"/>
      <c r="K728" s="150"/>
      <c r="L728" s="151" t="s">
        <v>323</v>
      </c>
      <c r="M728" s="150" t="s">
        <v>10168</v>
      </c>
      <c r="N728" s="150" t="s">
        <v>10169</v>
      </c>
      <c r="O728" s="133" t="s">
        <v>5122</v>
      </c>
      <c r="P728" s="133" t="s">
        <v>5122</v>
      </c>
      <c r="Q728" s="133"/>
      <c r="R728" s="133"/>
      <c r="S728" s="133"/>
      <c r="T728" s="133"/>
      <c r="U728" s="133"/>
      <c r="V728" s="133"/>
      <c r="W728" s="133"/>
      <c r="X728" s="133"/>
      <c r="Y728" s="133"/>
      <c r="Z728" s="118" t="s">
        <v>7530</v>
      </c>
    </row>
    <row r="729" customHeight="1" spans="1:26">
      <c r="A729" s="123" t="s">
        <v>10170</v>
      </c>
      <c r="B729" s="123">
        <v>7</v>
      </c>
      <c r="C729" s="123" t="s">
        <v>324</v>
      </c>
      <c r="D729" s="123"/>
      <c r="E729" s="123"/>
      <c r="F729" s="124" t="s">
        <v>321</v>
      </c>
      <c r="G729" s="123" t="s">
        <v>326</v>
      </c>
      <c r="H729" s="123" t="s">
        <v>7526</v>
      </c>
      <c r="I729" s="123" t="s">
        <v>7527</v>
      </c>
      <c r="J729" s="123"/>
      <c r="K729" s="141"/>
      <c r="L729" s="139" t="s">
        <v>323</v>
      </c>
      <c r="M729" s="141" t="s">
        <v>10171</v>
      </c>
      <c r="N729" s="141" t="s">
        <v>10172</v>
      </c>
      <c r="O729" s="123" t="s">
        <v>5122</v>
      </c>
      <c r="P729" s="123"/>
      <c r="Q729" s="123"/>
      <c r="R729" s="123"/>
      <c r="S729" s="123"/>
      <c r="T729" s="123" t="s">
        <v>5122</v>
      </c>
      <c r="U729" s="123"/>
      <c r="V729" s="123" t="s">
        <v>5122</v>
      </c>
      <c r="W729" s="123"/>
      <c r="X729" s="123"/>
      <c r="Y729" s="123" t="s">
        <v>5122</v>
      </c>
      <c r="Z729" s="118" t="s">
        <v>7530</v>
      </c>
    </row>
    <row r="730" customHeight="1" spans="1:26">
      <c r="A730" s="129" t="s">
        <v>10173</v>
      </c>
      <c r="B730" s="129">
        <v>7</v>
      </c>
      <c r="C730" s="129" t="s">
        <v>347</v>
      </c>
      <c r="D730" s="129"/>
      <c r="E730" s="129" t="s">
        <v>5122</v>
      </c>
      <c r="F730" s="130" t="s">
        <v>321</v>
      </c>
      <c r="G730" s="129" t="s">
        <v>10174</v>
      </c>
      <c r="H730" s="129" t="s">
        <v>7526</v>
      </c>
      <c r="I730" s="129" t="s">
        <v>7527</v>
      </c>
      <c r="J730" s="129" t="s">
        <v>7539</v>
      </c>
      <c r="K730" s="146" t="s">
        <v>10175</v>
      </c>
      <c r="L730" s="147" t="s">
        <v>9944</v>
      </c>
      <c r="M730" s="146" t="s">
        <v>10176</v>
      </c>
      <c r="N730" s="146" t="s">
        <v>10177</v>
      </c>
      <c r="O730" s="129" t="s">
        <v>5122</v>
      </c>
      <c r="P730" s="129"/>
      <c r="Q730" s="129"/>
      <c r="R730" s="129"/>
      <c r="S730" s="129"/>
      <c r="T730" s="129"/>
      <c r="U730" s="129"/>
      <c r="V730" s="129" t="s">
        <v>5122</v>
      </c>
      <c r="W730" s="129"/>
      <c r="X730" s="129"/>
      <c r="Y730" s="129"/>
      <c r="Z730" s="118" t="s">
        <v>7530</v>
      </c>
    </row>
    <row r="731" customHeight="1" spans="1:26">
      <c r="A731" s="131" t="s">
        <v>10178</v>
      </c>
      <c r="B731" s="131">
        <v>7</v>
      </c>
      <c r="C731" s="131" t="s">
        <v>320</v>
      </c>
      <c r="D731" s="131"/>
      <c r="E731" s="131"/>
      <c r="F731" s="132" t="s">
        <v>329</v>
      </c>
      <c r="G731" s="131" t="s">
        <v>7535</v>
      </c>
      <c r="H731" s="131" t="s">
        <v>7526</v>
      </c>
      <c r="I731" s="131" t="s">
        <v>7527</v>
      </c>
      <c r="J731" s="131" t="s">
        <v>7539</v>
      </c>
      <c r="K731" s="148" t="s">
        <v>10179</v>
      </c>
      <c r="L731" s="149" t="s">
        <v>338</v>
      </c>
      <c r="M731" s="148" t="s">
        <v>10180</v>
      </c>
      <c r="N731" s="148" t="s">
        <v>10181</v>
      </c>
      <c r="O731" s="131" t="s">
        <v>5122</v>
      </c>
      <c r="P731" s="131" t="s">
        <v>5122</v>
      </c>
      <c r="Q731" s="131" t="s">
        <v>5122</v>
      </c>
      <c r="R731" s="131"/>
      <c r="S731" s="131"/>
      <c r="T731" s="131"/>
      <c r="U731" s="131"/>
      <c r="V731" s="131"/>
      <c r="W731" s="131"/>
      <c r="X731" s="131"/>
      <c r="Y731" s="131" t="s">
        <v>5122</v>
      </c>
      <c r="Z731" s="118" t="s">
        <v>7530</v>
      </c>
    </row>
    <row r="732" customHeight="1" spans="1:26">
      <c r="A732" s="127" t="s">
        <v>10182</v>
      </c>
      <c r="B732" s="127">
        <v>7</v>
      </c>
      <c r="C732" s="127" t="s">
        <v>331</v>
      </c>
      <c r="D732" s="127"/>
      <c r="E732" s="127"/>
      <c r="F732" s="128" t="s">
        <v>338</v>
      </c>
      <c r="G732" s="127" t="s">
        <v>7535</v>
      </c>
      <c r="H732" s="127" t="s">
        <v>7526</v>
      </c>
      <c r="I732" s="127" t="s">
        <v>7527</v>
      </c>
      <c r="J732" s="127" t="s">
        <v>7539</v>
      </c>
      <c r="K732" s="144" t="s">
        <v>10183</v>
      </c>
      <c r="L732" s="145" t="s">
        <v>323</v>
      </c>
      <c r="M732" s="144" t="s">
        <v>10184</v>
      </c>
      <c r="N732" s="144" t="s">
        <v>10185</v>
      </c>
      <c r="O732" s="127" t="s">
        <v>5122</v>
      </c>
      <c r="P732" s="127" t="s">
        <v>5122</v>
      </c>
      <c r="Q732" s="127"/>
      <c r="R732" s="127"/>
      <c r="S732" s="127"/>
      <c r="T732" s="127"/>
      <c r="U732" s="127"/>
      <c r="V732" s="127"/>
      <c r="W732" s="127"/>
      <c r="X732" s="127"/>
      <c r="Y732" s="127" t="s">
        <v>5122</v>
      </c>
      <c r="Z732" s="118" t="s">
        <v>7530</v>
      </c>
    </row>
    <row r="733" customHeight="1" spans="1:26">
      <c r="A733" s="131" t="s">
        <v>10186</v>
      </c>
      <c r="B733" s="131">
        <v>7</v>
      </c>
      <c r="C733" s="131" t="s">
        <v>320</v>
      </c>
      <c r="D733" s="131"/>
      <c r="E733" s="131" t="s">
        <v>5122</v>
      </c>
      <c r="F733" s="132" t="s">
        <v>321</v>
      </c>
      <c r="G733" s="131" t="s">
        <v>10148</v>
      </c>
      <c r="H733" s="131" t="s">
        <v>7526</v>
      </c>
      <c r="I733" s="131" t="s">
        <v>7527</v>
      </c>
      <c r="J733" s="131" t="s">
        <v>7539</v>
      </c>
      <c r="K733" s="148" t="s">
        <v>10187</v>
      </c>
      <c r="L733" s="149" t="s">
        <v>352</v>
      </c>
      <c r="M733" s="148" t="s">
        <v>10188</v>
      </c>
      <c r="N733" s="148" t="s">
        <v>10189</v>
      </c>
      <c r="O733" s="131"/>
      <c r="P733" s="131"/>
      <c r="Q733" s="131" t="s">
        <v>5122</v>
      </c>
      <c r="R733" s="131"/>
      <c r="S733" s="131"/>
      <c r="T733" s="131" t="s">
        <v>5122</v>
      </c>
      <c r="U733" s="131"/>
      <c r="V733" s="131" t="s">
        <v>5122</v>
      </c>
      <c r="W733" s="131"/>
      <c r="X733" s="131"/>
      <c r="Y733" s="131"/>
      <c r="Z733" s="118" t="s">
        <v>7530</v>
      </c>
    </row>
    <row r="734" customHeight="1" spans="1:26">
      <c r="A734" s="131" t="s">
        <v>10190</v>
      </c>
      <c r="B734" s="131">
        <v>7</v>
      </c>
      <c r="C734" s="131" t="s">
        <v>320</v>
      </c>
      <c r="D734" s="131"/>
      <c r="E734" s="131"/>
      <c r="F734" s="132" t="s">
        <v>321</v>
      </c>
      <c r="G734" s="131" t="s">
        <v>7535</v>
      </c>
      <c r="H734" s="131" t="s">
        <v>7526</v>
      </c>
      <c r="I734" s="131" t="s">
        <v>7527</v>
      </c>
      <c r="J734" s="131" t="s">
        <v>7539</v>
      </c>
      <c r="K734" s="148" t="s">
        <v>10191</v>
      </c>
      <c r="L734" s="149" t="s">
        <v>8298</v>
      </c>
      <c r="M734" s="148" t="s">
        <v>10192</v>
      </c>
      <c r="N734" s="148" t="s">
        <v>10193</v>
      </c>
      <c r="O734" s="131"/>
      <c r="P734" s="131"/>
      <c r="Q734" s="131"/>
      <c r="R734" s="131"/>
      <c r="S734" s="131"/>
      <c r="T734" s="131"/>
      <c r="U734" s="131"/>
      <c r="V734" s="131" t="s">
        <v>5122</v>
      </c>
      <c r="W734" s="131"/>
      <c r="X734" s="131"/>
      <c r="Y734" s="131"/>
      <c r="Z734" s="118" t="s">
        <v>7530</v>
      </c>
    </row>
    <row r="735" customHeight="1" spans="1:26">
      <c r="A735" s="129" t="s">
        <v>10194</v>
      </c>
      <c r="B735" s="129">
        <v>7</v>
      </c>
      <c r="C735" s="129" t="s">
        <v>347</v>
      </c>
      <c r="D735" s="129"/>
      <c r="E735" s="129"/>
      <c r="F735" s="130" t="s">
        <v>10195</v>
      </c>
      <c r="G735" s="129" t="s">
        <v>7535</v>
      </c>
      <c r="H735" s="129" t="s">
        <v>7526</v>
      </c>
      <c r="I735" s="129" t="s">
        <v>7527</v>
      </c>
      <c r="J735" s="129" t="s">
        <v>7539</v>
      </c>
      <c r="K735" s="146" t="s">
        <v>10196</v>
      </c>
      <c r="L735" s="147" t="s">
        <v>8298</v>
      </c>
      <c r="M735" s="146" t="s">
        <v>10197</v>
      </c>
      <c r="N735" s="146" t="s">
        <v>10198</v>
      </c>
      <c r="O735" s="129"/>
      <c r="P735" s="129"/>
      <c r="Q735" s="129"/>
      <c r="R735" s="129"/>
      <c r="S735" s="129"/>
      <c r="T735" s="129"/>
      <c r="U735" s="129"/>
      <c r="V735" s="129" t="s">
        <v>5122</v>
      </c>
      <c r="W735" s="129"/>
      <c r="X735" s="129"/>
      <c r="Y735" s="129"/>
      <c r="Z735" s="118" t="s">
        <v>7530</v>
      </c>
    </row>
    <row r="736" customHeight="1" spans="1:26">
      <c r="A736" s="125" t="s">
        <v>10199</v>
      </c>
      <c r="B736" s="125">
        <v>7</v>
      </c>
      <c r="C736" s="125" t="s">
        <v>328</v>
      </c>
      <c r="D736" s="125"/>
      <c r="E736" s="125"/>
      <c r="F736" s="126" t="s">
        <v>329</v>
      </c>
      <c r="G736" s="125" t="s">
        <v>7535</v>
      </c>
      <c r="H736" s="125" t="s">
        <v>7526</v>
      </c>
      <c r="I736" s="125" t="s">
        <v>7527</v>
      </c>
      <c r="J736" s="125" t="s">
        <v>7539</v>
      </c>
      <c r="K736" s="142" t="s">
        <v>10200</v>
      </c>
      <c r="L736" s="143" t="s">
        <v>10201</v>
      </c>
      <c r="M736" s="142" t="s">
        <v>10202</v>
      </c>
      <c r="N736" s="142" t="s">
        <v>10203</v>
      </c>
      <c r="O736" s="125" t="s">
        <v>5122</v>
      </c>
      <c r="P736" s="125" t="s">
        <v>5122</v>
      </c>
      <c r="Q736" s="125" t="s">
        <v>5122</v>
      </c>
      <c r="R736" s="125"/>
      <c r="S736" s="125"/>
      <c r="T736" s="125"/>
      <c r="U736" s="125"/>
      <c r="V736" s="125" t="s">
        <v>5122</v>
      </c>
      <c r="W736" s="125"/>
      <c r="X736" s="125"/>
      <c r="Y736" s="125"/>
      <c r="Z736" s="118" t="s">
        <v>7530</v>
      </c>
    </row>
    <row r="737" customHeight="1" spans="1:26">
      <c r="A737" s="137" t="s">
        <v>10204</v>
      </c>
      <c r="B737" s="137">
        <v>7</v>
      </c>
      <c r="C737" s="137" t="s">
        <v>339</v>
      </c>
      <c r="D737" s="137"/>
      <c r="E737" s="137"/>
      <c r="F737" s="138" t="s">
        <v>321</v>
      </c>
      <c r="G737" s="137" t="s">
        <v>7556</v>
      </c>
      <c r="H737" s="137" t="s">
        <v>7526</v>
      </c>
      <c r="I737" s="137"/>
      <c r="J737" s="137"/>
      <c r="K737" s="154"/>
      <c r="L737" s="155" t="s">
        <v>323</v>
      </c>
      <c r="M737" s="154" t="s">
        <v>10205</v>
      </c>
      <c r="N737" s="154" t="s">
        <v>10206</v>
      </c>
      <c r="O737" s="137" t="s">
        <v>5122</v>
      </c>
      <c r="P737" s="137"/>
      <c r="Q737" s="137"/>
      <c r="R737" s="137"/>
      <c r="S737" s="137"/>
      <c r="T737" s="137" t="s">
        <v>5122</v>
      </c>
      <c r="U737" s="137"/>
      <c r="V737" s="137" t="s">
        <v>5122</v>
      </c>
      <c r="W737" s="137"/>
      <c r="X737" s="137"/>
      <c r="Y737" s="137"/>
      <c r="Z737" s="118" t="s">
        <v>7530</v>
      </c>
    </row>
    <row r="738" customHeight="1" spans="1:26">
      <c r="A738" s="137" t="s">
        <v>10207</v>
      </c>
      <c r="B738" s="137">
        <v>7</v>
      </c>
      <c r="C738" s="137" t="s">
        <v>339</v>
      </c>
      <c r="D738" s="137"/>
      <c r="E738" s="137"/>
      <c r="F738" s="138" t="s">
        <v>334</v>
      </c>
      <c r="G738" s="137" t="s">
        <v>7786</v>
      </c>
      <c r="H738" s="137" t="s">
        <v>7526</v>
      </c>
      <c r="I738" s="137" t="s">
        <v>7527</v>
      </c>
      <c r="J738" s="137" t="s">
        <v>7539</v>
      </c>
      <c r="K738" s="157" t="s">
        <v>10208</v>
      </c>
      <c r="L738" s="155" t="s">
        <v>10209</v>
      </c>
      <c r="M738" s="154" t="s">
        <v>10210</v>
      </c>
      <c r="N738" s="154" t="s">
        <v>10211</v>
      </c>
      <c r="O738" s="137" t="s">
        <v>5122</v>
      </c>
      <c r="P738" s="137"/>
      <c r="Q738" s="137"/>
      <c r="R738" s="137"/>
      <c r="S738" s="137"/>
      <c r="T738" s="137" t="s">
        <v>5122</v>
      </c>
      <c r="U738" s="137" t="s">
        <v>5122</v>
      </c>
      <c r="V738" s="137" t="s">
        <v>5122</v>
      </c>
      <c r="W738" s="137"/>
      <c r="X738" s="137"/>
      <c r="Y738" s="137"/>
      <c r="Z738" s="118" t="s">
        <v>8030</v>
      </c>
    </row>
    <row r="739" customHeight="1" spans="1:26">
      <c r="A739" s="123" t="s">
        <v>10212</v>
      </c>
      <c r="B739" s="123">
        <v>7</v>
      </c>
      <c r="C739" s="123" t="s">
        <v>324</v>
      </c>
      <c r="D739" s="123"/>
      <c r="E739" s="123"/>
      <c r="F739" s="124" t="s">
        <v>321</v>
      </c>
      <c r="G739" s="123" t="s">
        <v>326</v>
      </c>
      <c r="H739" s="123" t="s">
        <v>7526</v>
      </c>
      <c r="I739" s="123" t="s">
        <v>7527</v>
      </c>
      <c r="J739" s="123"/>
      <c r="K739" s="156"/>
      <c r="L739" s="139" t="s">
        <v>338</v>
      </c>
      <c r="M739" s="141" t="s">
        <v>10213</v>
      </c>
      <c r="N739" s="141" t="s">
        <v>10214</v>
      </c>
      <c r="O739" s="123"/>
      <c r="P739" s="123"/>
      <c r="Q739" s="123"/>
      <c r="R739" s="123"/>
      <c r="S739" s="123"/>
      <c r="T739" s="123" t="s">
        <v>5122</v>
      </c>
      <c r="U739" s="123" t="s">
        <v>5122</v>
      </c>
      <c r="V739" s="123" t="s">
        <v>5122</v>
      </c>
      <c r="W739" s="123"/>
      <c r="X739" s="123"/>
      <c r="Y739" s="123"/>
      <c r="Z739" s="162" t="s">
        <v>45</v>
      </c>
    </row>
    <row r="740" customHeight="1" spans="1:26">
      <c r="A740" s="133" t="s">
        <v>10215</v>
      </c>
      <c r="B740" s="133">
        <v>7</v>
      </c>
      <c r="C740" s="133" t="s">
        <v>342</v>
      </c>
      <c r="D740" s="133"/>
      <c r="E740" s="133"/>
      <c r="F740" s="134" t="s">
        <v>321</v>
      </c>
      <c r="G740" s="133" t="s">
        <v>337</v>
      </c>
      <c r="H740" s="133" t="s">
        <v>7526</v>
      </c>
      <c r="I740" s="133"/>
      <c r="J740" s="133"/>
      <c r="K740" s="160"/>
      <c r="L740" s="151" t="s">
        <v>323</v>
      </c>
      <c r="M740" s="150" t="s">
        <v>10216</v>
      </c>
      <c r="N740" s="150" t="s">
        <v>10217</v>
      </c>
      <c r="O740" s="133"/>
      <c r="P740" s="133"/>
      <c r="Q740" s="133"/>
      <c r="R740" s="133"/>
      <c r="S740" s="133"/>
      <c r="T740" s="133" t="s">
        <v>5122</v>
      </c>
      <c r="U740" s="133" t="s">
        <v>5122</v>
      </c>
      <c r="V740" s="133" t="s">
        <v>5122</v>
      </c>
      <c r="W740" s="133"/>
      <c r="X740" s="133"/>
      <c r="Y740" s="133"/>
      <c r="Z740" s="162" t="s">
        <v>45</v>
      </c>
    </row>
    <row r="741" customHeight="1" spans="1:26">
      <c r="A741" s="137" t="s">
        <v>10218</v>
      </c>
      <c r="B741" s="137">
        <v>7</v>
      </c>
      <c r="C741" s="137" t="s">
        <v>339</v>
      </c>
      <c r="D741" s="137"/>
      <c r="E741" s="137"/>
      <c r="F741" s="138" t="s">
        <v>338</v>
      </c>
      <c r="G741" s="137" t="s">
        <v>343</v>
      </c>
      <c r="H741" s="137" t="s">
        <v>7526</v>
      </c>
      <c r="I741" s="137" t="s">
        <v>7527</v>
      </c>
      <c r="J741" s="137" t="s">
        <v>7539</v>
      </c>
      <c r="K741" s="157" t="s">
        <v>10219</v>
      </c>
      <c r="L741" s="155" t="s">
        <v>344</v>
      </c>
      <c r="M741" s="154" t="s">
        <v>10220</v>
      </c>
      <c r="N741" s="154" t="s">
        <v>10221</v>
      </c>
      <c r="O741" s="137"/>
      <c r="P741" s="137" t="s">
        <v>5122</v>
      </c>
      <c r="Q741" s="137"/>
      <c r="R741" s="137"/>
      <c r="S741" s="137"/>
      <c r="T741" s="137"/>
      <c r="U741" s="137"/>
      <c r="V741" s="137"/>
      <c r="W741" s="137"/>
      <c r="X741" s="137"/>
      <c r="Y741" s="137"/>
      <c r="Z741" s="162" t="s">
        <v>45</v>
      </c>
    </row>
    <row r="742" customHeight="1" spans="1:26">
      <c r="A742" s="123" t="s">
        <v>10222</v>
      </c>
      <c r="B742" s="123">
        <v>7</v>
      </c>
      <c r="C742" s="123" t="s">
        <v>324</v>
      </c>
      <c r="D742" s="123"/>
      <c r="E742" s="123" t="s">
        <v>5122</v>
      </c>
      <c r="F742" s="124" t="s">
        <v>321</v>
      </c>
      <c r="G742" s="123" t="s">
        <v>351</v>
      </c>
      <c r="H742" s="123" t="s">
        <v>7526</v>
      </c>
      <c r="I742" s="123"/>
      <c r="J742" s="123" t="s">
        <v>7539</v>
      </c>
      <c r="K742" s="156" t="s">
        <v>10223</v>
      </c>
      <c r="L742" s="139" t="s">
        <v>7661</v>
      </c>
      <c r="M742" s="141" t="s">
        <v>10224</v>
      </c>
      <c r="N742" s="141" t="s">
        <v>10225</v>
      </c>
      <c r="O742" s="123"/>
      <c r="P742" s="123"/>
      <c r="Q742" s="123" t="s">
        <v>5122</v>
      </c>
      <c r="R742" s="123"/>
      <c r="S742" s="123"/>
      <c r="T742" s="123" t="s">
        <v>5122</v>
      </c>
      <c r="U742" s="123"/>
      <c r="V742" s="123" t="s">
        <v>5122</v>
      </c>
      <c r="W742" s="123"/>
      <c r="X742" s="123"/>
      <c r="Y742" s="123"/>
      <c r="Z742" s="162" t="s">
        <v>45</v>
      </c>
    </row>
    <row r="743" customHeight="1" spans="1:26">
      <c r="A743" s="131" t="s">
        <v>10226</v>
      </c>
      <c r="B743" s="131">
        <v>7</v>
      </c>
      <c r="C743" s="131" t="s">
        <v>320</v>
      </c>
      <c r="D743" s="131"/>
      <c r="E743" s="131" t="s">
        <v>5122</v>
      </c>
      <c r="F743" s="132" t="s">
        <v>325</v>
      </c>
      <c r="G743" s="131" t="s">
        <v>326</v>
      </c>
      <c r="H743" s="131" t="s">
        <v>7526</v>
      </c>
      <c r="I743" s="131" t="s">
        <v>7527</v>
      </c>
      <c r="J743" s="131" t="s">
        <v>7539</v>
      </c>
      <c r="K743" s="159" t="s">
        <v>10227</v>
      </c>
      <c r="L743" s="149" t="s">
        <v>7661</v>
      </c>
      <c r="M743" s="148" t="s">
        <v>10228</v>
      </c>
      <c r="N743" s="148" t="s">
        <v>10229</v>
      </c>
      <c r="O743" s="131"/>
      <c r="P743" s="131"/>
      <c r="Q743" s="131" t="s">
        <v>5122</v>
      </c>
      <c r="R743" s="131"/>
      <c r="S743" s="131"/>
      <c r="T743" s="131" t="s">
        <v>5122</v>
      </c>
      <c r="U743" s="131"/>
      <c r="V743" s="131" t="s">
        <v>5122</v>
      </c>
      <c r="W743" s="131"/>
      <c r="X743" s="131"/>
      <c r="Y743" s="131"/>
      <c r="Z743" s="162" t="s">
        <v>8534</v>
      </c>
    </row>
    <row r="744" customHeight="1" spans="1:26">
      <c r="A744" s="127" t="s">
        <v>10230</v>
      </c>
      <c r="B744" s="127">
        <v>7</v>
      </c>
      <c r="C744" s="127" t="s">
        <v>331</v>
      </c>
      <c r="D744" s="127"/>
      <c r="E744" s="127" t="s">
        <v>5122</v>
      </c>
      <c r="F744" s="128" t="s">
        <v>321</v>
      </c>
      <c r="G744" s="127" t="s">
        <v>337</v>
      </c>
      <c r="H744" s="127" t="s">
        <v>7526</v>
      </c>
      <c r="I744" s="127" t="s">
        <v>7527</v>
      </c>
      <c r="J744" s="127" t="s">
        <v>7539</v>
      </c>
      <c r="K744" s="145" t="s">
        <v>10231</v>
      </c>
      <c r="L744" s="145" t="s">
        <v>8512</v>
      </c>
      <c r="M744" s="144" t="s">
        <v>10232</v>
      </c>
      <c r="N744" s="161" t="s">
        <v>10233</v>
      </c>
      <c r="O744" s="127"/>
      <c r="P744" s="127"/>
      <c r="Q744" s="127"/>
      <c r="R744" s="127"/>
      <c r="S744" s="127"/>
      <c r="T744" s="127"/>
      <c r="U744" s="127"/>
      <c r="V744" s="127" t="s">
        <v>5122</v>
      </c>
      <c r="W744" s="127"/>
      <c r="X744" s="127"/>
      <c r="Y744" s="127"/>
      <c r="Z744" s="162" t="s">
        <v>7693</v>
      </c>
    </row>
    <row r="745" customHeight="1" spans="1:26">
      <c r="A745" s="123" t="s">
        <v>10234</v>
      </c>
      <c r="B745" s="123">
        <v>7</v>
      </c>
      <c r="C745" s="123" t="s">
        <v>324</v>
      </c>
      <c r="D745" s="123"/>
      <c r="E745" s="123" t="s">
        <v>5122</v>
      </c>
      <c r="F745" s="124" t="s">
        <v>325</v>
      </c>
      <c r="G745" s="123" t="s">
        <v>343</v>
      </c>
      <c r="H745" s="123" t="s">
        <v>7526</v>
      </c>
      <c r="I745" s="123"/>
      <c r="J745" s="123"/>
      <c r="K745" s="141"/>
      <c r="L745" s="139" t="s">
        <v>7661</v>
      </c>
      <c r="M745" s="141" t="s">
        <v>10235</v>
      </c>
      <c r="N745" s="141" t="s">
        <v>10236</v>
      </c>
      <c r="O745" s="123"/>
      <c r="P745" s="123"/>
      <c r="Q745" s="123"/>
      <c r="R745" s="123"/>
      <c r="S745" s="123"/>
      <c r="T745" s="123" t="s">
        <v>5122</v>
      </c>
      <c r="U745" s="123" t="s">
        <v>5122</v>
      </c>
      <c r="V745" s="123" t="s">
        <v>5122</v>
      </c>
      <c r="W745" s="123"/>
      <c r="X745" s="123"/>
      <c r="Y745" s="123"/>
      <c r="Z745" s="118" t="s">
        <v>111</v>
      </c>
    </row>
    <row r="746" customHeight="1" spans="1:26">
      <c r="A746" s="127" t="s">
        <v>10237</v>
      </c>
      <c r="B746" s="127">
        <v>7</v>
      </c>
      <c r="C746" s="127" t="s">
        <v>331</v>
      </c>
      <c r="D746" s="127"/>
      <c r="E746" s="127"/>
      <c r="F746" s="128" t="s">
        <v>321</v>
      </c>
      <c r="G746" s="127" t="s">
        <v>343</v>
      </c>
      <c r="H746" s="127" t="s">
        <v>7526</v>
      </c>
      <c r="I746" s="127" t="s">
        <v>7527</v>
      </c>
      <c r="J746" s="127" t="s">
        <v>7539</v>
      </c>
      <c r="K746" s="144" t="s">
        <v>10238</v>
      </c>
      <c r="L746" s="145" t="s">
        <v>323</v>
      </c>
      <c r="M746" s="144" t="s">
        <v>10239</v>
      </c>
      <c r="N746" s="144" t="s">
        <v>10240</v>
      </c>
      <c r="O746" s="127"/>
      <c r="P746" s="127" t="s">
        <v>5122</v>
      </c>
      <c r="Q746" s="127"/>
      <c r="R746" s="127"/>
      <c r="S746" s="127"/>
      <c r="T746" s="127"/>
      <c r="U746" s="127" t="s">
        <v>5122</v>
      </c>
      <c r="V746" s="127" t="s">
        <v>5122</v>
      </c>
      <c r="W746" s="127"/>
      <c r="X746" s="127"/>
      <c r="Y746" s="127" t="s">
        <v>5122</v>
      </c>
      <c r="Z746" s="118" t="s">
        <v>72</v>
      </c>
    </row>
    <row r="747" customHeight="1" spans="1:26">
      <c r="A747" s="123" t="s">
        <v>10241</v>
      </c>
      <c r="B747" s="123">
        <v>7</v>
      </c>
      <c r="C747" s="123" t="s">
        <v>324</v>
      </c>
      <c r="D747" s="123"/>
      <c r="E747" s="123" t="s">
        <v>5122</v>
      </c>
      <c r="F747" s="124" t="s">
        <v>321</v>
      </c>
      <c r="G747" s="123" t="s">
        <v>343</v>
      </c>
      <c r="H747" s="123" t="s">
        <v>7526</v>
      </c>
      <c r="I747" s="123" t="s">
        <v>7527</v>
      </c>
      <c r="J747" s="123" t="s">
        <v>7539</v>
      </c>
      <c r="K747" s="141" t="s">
        <v>10242</v>
      </c>
      <c r="L747" s="139" t="s">
        <v>8230</v>
      </c>
      <c r="M747" s="141" t="s">
        <v>10243</v>
      </c>
      <c r="N747" s="141" t="s">
        <v>10244</v>
      </c>
      <c r="O747" s="123"/>
      <c r="P747" s="123"/>
      <c r="Q747" s="123"/>
      <c r="R747" s="123"/>
      <c r="S747" s="123"/>
      <c r="T747" s="123" t="s">
        <v>5122</v>
      </c>
      <c r="U747" s="123"/>
      <c r="V747" s="123" t="s">
        <v>5122</v>
      </c>
      <c r="W747" s="123"/>
      <c r="X747" s="123"/>
      <c r="Y747" s="123" t="s">
        <v>5122</v>
      </c>
      <c r="Z747" s="118" t="s">
        <v>72</v>
      </c>
    </row>
    <row r="748" customHeight="1" spans="1:26">
      <c r="A748" s="123" t="s">
        <v>10245</v>
      </c>
      <c r="B748" s="123">
        <v>7</v>
      </c>
      <c r="C748" s="123" t="s">
        <v>324</v>
      </c>
      <c r="D748" s="123"/>
      <c r="E748" s="123" t="s">
        <v>5122</v>
      </c>
      <c r="F748" s="124" t="s">
        <v>321</v>
      </c>
      <c r="G748" s="123" t="s">
        <v>343</v>
      </c>
      <c r="H748" s="123" t="s">
        <v>7526</v>
      </c>
      <c r="I748" s="123" t="s">
        <v>7527</v>
      </c>
      <c r="J748" s="123" t="s">
        <v>7539</v>
      </c>
      <c r="K748" s="141" t="s">
        <v>10246</v>
      </c>
      <c r="L748" s="139" t="s">
        <v>352</v>
      </c>
      <c r="M748" s="141" t="s">
        <v>10247</v>
      </c>
      <c r="N748" s="141" t="s">
        <v>10248</v>
      </c>
      <c r="O748" s="123" t="s">
        <v>5122</v>
      </c>
      <c r="P748" s="123" t="s">
        <v>5122</v>
      </c>
      <c r="Q748" s="123"/>
      <c r="R748" s="123"/>
      <c r="S748" s="123"/>
      <c r="T748" s="123"/>
      <c r="U748" s="123"/>
      <c r="V748" s="123" t="s">
        <v>5122</v>
      </c>
      <c r="W748" s="123"/>
      <c r="X748" s="123"/>
      <c r="Y748" s="123"/>
      <c r="Z748" s="118" t="s">
        <v>95</v>
      </c>
    </row>
    <row r="749" customHeight="1" spans="1:26">
      <c r="A749" s="127" t="s">
        <v>10249</v>
      </c>
      <c r="B749" s="127">
        <v>7</v>
      </c>
      <c r="C749" s="127" t="s">
        <v>331</v>
      </c>
      <c r="D749" s="127" t="s">
        <v>5122</v>
      </c>
      <c r="E749" s="127"/>
      <c r="F749" s="128" t="s">
        <v>334</v>
      </c>
      <c r="G749" s="127" t="s">
        <v>8932</v>
      </c>
      <c r="H749" s="127" t="s">
        <v>7526</v>
      </c>
      <c r="I749" s="127" t="s">
        <v>7527</v>
      </c>
      <c r="J749" s="127" t="s">
        <v>7539</v>
      </c>
      <c r="K749" s="144" t="s">
        <v>10250</v>
      </c>
      <c r="L749" s="145" t="s">
        <v>334</v>
      </c>
      <c r="M749" s="144" t="s">
        <v>10251</v>
      </c>
      <c r="N749" s="144" t="s">
        <v>10252</v>
      </c>
      <c r="O749" s="127" t="s">
        <v>5122</v>
      </c>
      <c r="P749" s="127"/>
      <c r="Q749" s="127"/>
      <c r="R749" s="127"/>
      <c r="S749" s="127"/>
      <c r="T749" s="127" t="s">
        <v>5122</v>
      </c>
      <c r="U749" s="127"/>
      <c r="V749" s="127" t="s">
        <v>5122</v>
      </c>
      <c r="W749" s="127"/>
      <c r="X749" s="127"/>
      <c r="Y749" s="127"/>
      <c r="Z749" s="118" t="s">
        <v>7781</v>
      </c>
    </row>
    <row r="750" customHeight="1" spans="1:26">
      <c r="A750" s="131" t="s">
        <v>10253</v>
      </c>
      <c r="B750" s="131">
        <v>7</v>
      </c>
      <c r="C750" s="131" t="s">
        <v>320</v>
      </c>
      <c r="D750" s="131"/>
      <c r="E750" s="131" t="s">
        <v>5122</v>
      </c>
      <c r="F750" s="132" t="s">
        <v>321</v>
      </c>
      <c r="G750" s="131" t="s">
        <v>333</v>
      </c>
      <c r="H750" s="131" t="s">
        <v>7526</v>
      </c>
      <c r="I750" s="131" t="s">
        <v>7527</v>
      </c>
      <c r="J750" s="131" t="s">
        <v>7539</v>
      </c>
      <c r="K750" s="148" t="s">
        <v>10254</v>
      </c>
      <c r="L750" s="149" t="s">
        <v>352</v>
      </c>
      <c r="M750" s="148" t="s">
        <v>10255</v>
      </c>
      <c r="N750" s="148" t="s">
        <v>10256</v>
      </c>
      <c r="O750" s="131"/>
      <c r="P750" s="131" t="s">
        <v>5122</v>
      </c>
      <c r="Q750" s="131"/>
      <c r="R750" s="131"/>
      <c r="S750" s="131"/>
      <c r="T750" s="131" t="s">
        <v>5122</v>
      </c>
      <c r="U750" s="131"/>
      <c r="V750" s="131" t="s">
        <v>5122</v>
      </c>
      <c r="W750" s="131"/>
      <c r="X750" s="131"/>
      <c r="Y750" s="131"/>
      <c r="Z750" s="118" t="s">
        <v>7781</v>
      </c>
    </row>
    <row r="751" customHeight="1" spans="1:26">
      <c r="A751" s="123" t="s">
        <v>10257</v>
      </c>
      <c r="B751" s="123">
        <v>7</v>
      </c>
      <c r="C751" s="123" t="s">
        <v>324</v>
      </c>
      <c r="D751" s="123"/>
      <c r="E751" s="123" t="s">
        <v>5122</v>
      </c>
      <c r="F751" s="124" t="s">
        <v>321</v>
      </c>
      <c r="G751" s="123" t="s">
        <v>9268</v>
      </c>
      <c r="H751" s="123" t="s">
        <v>7526</v>
      </c>
      <c r="I751" s="123" t="s">
        <v>7527</v>
      </c>
      <c r="J751" s="123" t="s">
        <v>7539</v>
      </c>
      <c r="K751" s="141" t="s">
        <v>10258</v>
      </c>
      <c r="L751" s="139" t="s">
        <v>352</v>
      </c>
      <c r="M751" s="141" t="s">
        <v>10259</v>
      </c>
      <c r="N751" s="141" t="s">
        <v>10260</v>
      </c>
      <c r="O751" s="123"/>
      <c r="P751" s="123" t="s">
        <v>5122</v>
      </c>
      <c r="Q751" s="123" t="s">
        <v>5122</v>
      </c>
      <c r="R751" s="123"/>
      <c r="S751" s="123"/>
      <c r="T751" s="123"/>
      <c r="U751" s="123"/>
      <c r="V751" s="123" t="s">
        <v>5122</v>
      </c>
      <c r="W751" s="123"/>
      <c r="X751" s="123"/>
      <c r="Y751" s="123"/>
      <c r="Z751" s="118" t="s">
        <v>7781</v>
      </c>
    </row>
    <row r="752" customHeight="1" spans="1:26">
      <c r="A752" s="133" t="s">
        <v>10261</v>
      </c>
      <c r="B752" s="133">
        <v>7</v>
      </c>
      <c r="C752" s="133" t="s">
        <v>342</v>
      </c>
      <c r="D752" s="133"/>
      <c r="E752" s="133" t="s">
        <v>5122</v>
      </c>
      <c r="F752" s="134" t="s">
        <v>321</v>
      </c>
      <c r="G752" s="133" t="s">
        <v>9886</v>
      </c>
      <c r="H752" s="133" t="s">
        <v>7526</v>
      </c>
      <c r="I752" s="133"/>
      <c r="J752" s="133" t="s">
        <v>7539</v>
      </c>
      <c r="K752" s="150" t="s">
        <v>10262</v>
      </c>
      <c r="L752" s="151" t="s">
        <v>352</v>
      </c>
      <c r="M752" s="150" t="s">
        <v>10263</v>
      </c>
      <c r="N752" s="150" t="s">
        <v>10264</v>
      </c>
      <c r="O752" s="133" t="s">
        <v>5122</v>
      </c>
      <c r="P752" s="133"/>
      <c r="Q752" s="133"/>
      <c r="R752" s="133"/>
      <c r="S752" s="133"/>
      <c r="T752" s="133"/>
      <c r="U752" s="133" t="s">
        <v>5122</v>
      </c>
      <c r="V752" s="133"/>
      <c r="W752" s="133"/>
      <c r="X752" s="133"/>
      <c r="Y752" s="133"/>
      <c r="Z752" s="118" t="s">
        <v>7781</v>
      </c>
    </row>
    <row r="753" customHeight="1" spans="1:26">
      <c r="A753" s="131" t="s">
        <v>10265</v>
      </c>
      <c r="B753" s="131">
        <v>7</v>
      </c>
      <c r="C753" s="131" t="s">
        <v>320</v>
      </c>
      <c r="D753" s="131"/>
      <c r="E753" s="131"/>
      <c r="F753" s="132" t="s">
        <v>321</v>
      </c>
      <c r="G753" s="131" t="s">
        <v>7535</v>
      </c>
      <c r="H753" s="131" t="s">
        <v>7526</v>
      </c>
      <c r="I753" s="131" t="s">
        <v>7527</v>
      </c>
      <c r="J753" s="131"/>
      <c r="K753" s="148"/>
      <c r="L753" s="149" t="s">
        <v>338</v>
      </c>
      <c r="M753" s="148" t="s">
        <v>10266</v>
      </c>
      <c r="N753" s="148" t="s">
        <v>10267</v>
      </c>
      <c r="O753" s="131"/>
      <c r="P753" s="131"/>
      <c r="Q753" s="131"/>
      <c r="R753" s="131"/>
      <c r="S753" s="131"/>
      <c r="T753" s="131" t="s">
        <v>5122</v>
      </c>
      <c r="U753" s="131"/>
      <c r="V753" s="131" t="s">
        <v>5122</v>
      </c>
      <c r="W753" s="131"/>
      <c r="X753" s="131"/>
      <c r="Y753" s="131"/>
      <c r="Z753" s="118" t="s">
        <v>90</v>
      </c>
    </row>
    <row r="754" customHeight="1" spans="1:26">
      <c r="A754" s="131" t="s">
        <v>10268</v>
      </c>
      <c r="B754" s="131">
        <v>8</v>
      </c>
      <c r="C754" s="131" t="s">
        <v>320</v>
      </c>
      <c r="D754" s="131"/>
      <c r="E754" s="131"/>
      <c r="F754" s="132" t="s">
        <v>321</v>
      </c>
      <c r="G754" s="131" t="s">
        <v>333</v>
      </c>
      <c r="H754" s="131" t="s">
        <v>7526</v>
      </c>
      <c r="I754" s="131" t="s">
        <v>7527</v>
      </c>
      <c r="J754" s="131"/>
      <c r="K754" s="148"/>
      <c r="L754" s="149" t="s">
        <v>344</v>
      </c>
      <c r="M754" s="148" t="s">
        <v>10269</v>
      </c>
      <c r="N754" s="148" t="s">
        <v>10270</v>
      </c>
      <c r="O754" s="131"/>
      <c r="P754" s="131"/>
      <c r="Q754" s="131" t="s">
        <v>5122</v>
      </c>
      <c r="R754" s="131"/>
      <c r="S754" s="131"/>
      <c r="T754" s="131"/>
      <c r="U754" s="131"/>
      <c r="V754" s="131"/>
      <c r="W754" s="131"/>
      <c r="X754" s="131"/>
      <c r="Y754" s="131"/>
      <c r="Z754" s="118" t="s">
        <v>7530</v>
      </c>
    </row>
    <row r="755" customHeight="1" spans="1:26">
      <c r="A755" s="125" t="s">
        <v>10271</v>
      </c>
      <c r="B755" s="125">
        <v>8</v>
      </c>
      <c r="C755" s="125" t="s">
        <v>328</v>
      </c>
      <c r="D755" s="125"/>
      <c r="E755" s="125" t="s">
        <v>5122</v>
      </c>
      <c r="F755" s="126" t="s">
        <v>321</v>
      </c>
      <c r="G755" s="125" t="s">
        <v>326</v>
      </c>
      <c r="H755" s="125" t="s">
        <v>7526</v>
      </c>
      <c r="I755" s="125" t="s">
        <v>7527</v>
      </c>
      <c r="J755" s="125" t="s">
        <v>7539</v>
      </c>
      <c r="K755" s="142" t="s">
        <v>10272</v>
      </c>
      <c r="L755" s="143" t="s">
        <v>359</v>
      </c>
      <c r="M755" s="142" t="s">
        <v>10273</v>
      </c>
      <c r="N755" s="142" t="s">
        <v>10274</v>
      </c>
      <c r="O755" s="125"/>
      <c r="P755" s="125" t="s">
        <v>5122</v>
      </c>
      <c r="Q755" s="125"/>
      <c r="R755" s="125"/>
      <c r="S755" s="125"/>
      <c r="T755" s="125"/>
      <c r="U755" s="125"/>
      <c r="V755" s="125" t="s">
        <v>5122</v>
      </c>
      <c r="W755" s="125"/>
      <c r="X755" s="125"/>
      <c r="Y755" s="125" t="s">
        <v>5122</v>
      </c>
      <c r="Z755" s="118" t="s">
        <v>7530</v>
      </c>
    </row>
    <row r="756" customHeight="1" spans="1:26">
      <c r="A756" s="133" t="s">
        <v>10275</v>
      </c>
      <c r="B756" s="133">
        <v>8</v>
      </c>
      <c r="C756" s="133" t="s">
        <v>342</v>
      </c>
      <c r="D756" s="133"/>
      <c r="E756" s="133"/>
      <c r="F756" s="134" t="s">
        <v>338</v>
      </c>
      <c r="G756" s="133" t="s">
        <v>337</v>
      </c>
      <c r="H756" s="133" t="s">
        <v>7526</v>
      </c>
      <c r="I756" s="133" t="s">
        <v>7527</v>
      </c>
      <c r="J756" s="133" t="s">
        <v>7539</v>
      </c>
      <c r="K756" s="150" t="s">
        <v>10276</v>
      </c>
      <c r="L756" s="151" t="s">
        <v>10277</v>
      </c>
      <c r="M756" s="150" t="s">
        <v>10278</v>
      </c>
      <c r="N756" s="150" t="s">
        <v>10279</v>
      </c>
      <c r="O756" s="133" t="s">
        <v>5122</v>
      </c>
      <c r="P756" s="133"/>
      <c r="Q756" s="133" t="s">
        <v>5122</v>
      </c>
      <c r="R756" s="133"/>
      <c r="S756" s="133"/>
      <c r="T756" s="133"/>
      <c r="U756" s="133"/>
      <c r="V756" s="133" t="s">
        <v>5122</v>
      </c>
      <c r="W756" s="133"/>
      <c r="X756" s="133"/>
      <c r="Y756" s="133" t="s">
        <v>5122</v>
      </c>
      <c r="Z756" s="118" t="s">
        <v>7530</v>
      </c>
    </row>
    <row r="757" customHeight="1" spans="1:26">
      <c r="A757" s="133" t="s">
        <v>10280</v>
      </c>
      <c r="B757" s="133">
        <v>8</v>
      </c>
      <c r="C757" s="133" t="s">
        <v>342</v>
      </c>
      <c r="D757" s="133"/>
      <c r="E757" s="133"/>
      <c r="F757" s="134" t="s">
        <v>321</v>
      </c>
      <c r="G757" s="133" t="s">
        <v>348</v>
      </c>
      <c r="H757" s="133" t="s">
        <v>7526</v>
      </c>
      <c r="I757" s="133" t="s">
        <v>7527</v>
      </c>
      <c r="J757" s="133" t="s">
        <v>7539</v>
      </c>
      <c r="K757" s="150" t="s">
        <v>10281</v>
      </c>
      <c r="L757" s="151" t="s">
        <v>323</v>
      </c>
      <c r="M757" s="150" t="s">
        <v>10282</v>
      </c>
      <c r="N757" s="150" t="s">
        <v>10283</v>
      </c>
      <c r="O757" s="133" t="s">
        <v>5122</v>
      </c>
      <c r="P757" s="133"/>
      <c r="Q757" s="133" t="s">
        <v>5122</v>
      </c>
      <c r="R757" s="133"/>
      <c r="S757" s="133"/>
      <c r="T757" s="133"/>
      <c r="U757" s="133" t="s">
        <v>5122</v>
      </c>
      <c r="V757" s="133" t="s">
        <v>5122</v>
      </c>
      <c r="W757" s="133"/>
      <c r="X757" s="133"/>
      <c r="Y757" s="133" t="s">
        <v>5122</v>
      </c>
      <c r="Z757" s="118" t="s">
        <v>7530</v>
      </c>
    </row>
    <row r="758" customHeight="1" spans="1:26">
      <c r="A758" s="127" t="s">
        <v>10284</v>
      </c>
      <c r="B758" s="127">
        <v>8</v>
      </c>
      <c r="C758" s="127" t="s">
        <v>331</v>
      </c>
      <c r="D758" s="127"/>
      <c r="E758" s="127"/>
      <c r="F758" s="128" t="s">
        <v>338</v>
      </c>
      <c r="G758" s="127" t="s">
        <v>7535</v>
      </c>
      <c r="H758" s="127" t="s">
        <v>7526</v>
      </c>
      <c r="I758" s="127" t="s">
        <v>7527</v>
      </c>
      <c r="J758" s="127" t="s">
        <v>7539</v>
      </c>
      <c r="K758" s="144" t="s">
        <v>10285</v>
      </c>
      <c r="L758" s="145" t="s">
        <v>323</v>
      </c>
      <c r="M758" s="144" t="s">
        <v>10286</v>
      </c>
      <c r="N758" s="144" t="s">
        <v>10287</v>
      </c>
      <c r="O758" s="127"/>
      <c r="P758" s="127"/>
      <c r="Q758" s="127"/>
      <c r="R758" s="127"/>
      <c r="S758" s="127"/>
      <c r="T758" s="127"/>
      <c r="U758" s="127"/>
      <c r="V758" s="127" t="s">
        <v>5122</v>
      </c>
      <c r="W758" s="127"/>
      <c r="X758" s="127"/>
      <c r="Y758" s="127" t="s">
        <v>5122</v>
      </c>
      <c r="Z758" s="118" t="s">
        <v>7530</v>
      </c>
    </row>
    <row r="759" customHeight="1" spans="1:26">
      <c r="A759" s="131" t="s">
        <v>10288</v>
      </c>
      <c r="B759" s="131">
        <v>8</v>
      </c>
      <c r="C759" s="131" t="s">
        <v>320</v>
      </c>
      <c r="D759" s="131"/>
      <c r="E759" s="131" t="s">
        <v>5122</v>
      </c>
      <c r="F759" s="132" t="s">
        <v>334</v>
      </c>
      <c r="G759" s="131" t="s">
        <v>326</v>
      </c>
      <c r="H759" s="131" t="s">
        <v>7526</v>
      </c>
      <c r="I759" s="131" t="s">
        <v>7527</v>
      </c>
      <c r="J759" s="131" t="s">
        <v>7539</v>
      </c>
      <c r="K759" s="148" t="s">
        <v>10289</v>
      </c>
      <c r="L759" s="149" t="s">
        <v>8466</v>
      </c>
      <c r="M759" s="148" t="s">
        <v>10290</v>
      </c>
      <c r="N759" s="148" t="s">
        <v>10291</v>
      </c>
      <c r="O759" s="131"/>
      <c r="P759" s="131" t="s">
        <v>5122</v>
      </c>
      <c r="Q759" s="131" t="s">
        <v>5122</v>
      </c>
      <c r="R759" s="131"/>
      <c r="S759" s="131"/>
      <c r="T759" s="131"/>
      <c r="U759" s="131"/>
      <c r="V759" s="131" t="s">
        <v>5122</v>
      </c>
      <c r="W759" s="131"/>
      <c r="X759" s="131"/>
      <c r="Y759" s="131"/>
      <c r="Z759" s="118" t="s">
        <v>7530</v>
      </c>
    </row>
    <row r="760" customHeight="1" spans="1:26">
      <c r="A760" s="137" t="s">
        <v>6706</v>
      </c>
      <c r="B760" s="137">
        <v>8</v>
      </c>
      <c r="C760" s="137" t="s">
        <v>339</v>
      </c>
      <c r="D760" s="137"/>
      <c r="E760" s="137"/>
      <c r="F760" s="138" t="s">
        <v>321</v>
      </c>
      <c r="G760" s="137" t="s">
        <v>337</v>
      </c>
      <c r="H760" s="137"/>
      <c r="I760" s="137" t="s">
        <v>7527</v>
      </c>
      <c r="J760" s="137"/>
      <c r="K760" s="154"/>
      <c r="L760" s="155" t="s">
        <v>338</v>
      </c>
      <c r="M760" s="154" t="s">
        <v>10292</v>
      </c>
      <c r="N760" s="154" t="s">
        <v>10293</v>
      </c>
      <c r="O760" s="137"/>
      <c r="P760" s="137"/>
      <c r="Q760" s="137"/>
      <c r="R760" s="137"/>
      <c r="S760" s="137"/>
      <c r="T760" s="137" t="s">
        <v>5122</v>
      </c>
      <c r="U760" s="137" t="s">
        <v>5122</v>
      </c>
      <c r="V760" s="137" t="s">
        <v>5122</v>
      </c>
      <c r="W760" s="137"/>
      <c r="X760" s="137"/>
      <c r="Y760" s="137"/>
      <c r="Z760" s="118" t="s">
        <v>7530</v>
      </c>
    </row>
    <row r="761" customHeight="1" spans="1:26">
      <c r="A761" s="133" t="s">
        <v>10294</v>
      </c>
      <c r="B761" s="133">
        <v>8</v>
      </c>
      <c r="C761" s="133" t="s">
        <v>342</v>
      </c>
      <c r="D761" s="133"/>
      <c r="E761" s="133" t="s">
        <v>5122</v>
      </c>
      <c r="F761" s="134" t="s">
        <v>321</v>
      </c>
      <c r="G761" s="133" t="s">
        <v>337</v>
      </c>
      <c r="H761" s="133" t="s">
        <v>7526</v>
      </c>
      <c r="I761" s="133" t="s">
        <v>7527</v>
      </c>
      <c r="J761" s="133"/>
      <c r="K761" s="150"/>
      <c r="L761" s="151" t="s">
        <v>359</v>
      </c>
      <c r="M761" s="150" t="s">
        <v>10295</v>
      </c>
      <c r="N761" s="150" t="s">
        <v>10296</v>
      </c>
      <c r="O761" s="133" t="s">
        <v>5122</v>
      </c>
      <c r="P761" s="133"/>
      <c r="Q761" s="133"/>
      <c r="R761" s="133"/>
      <c r="S761" s="133"/>
      <c r="T761" s="133" t="s">
        <v>5122</v>
      </c>
      <c r="U761" s="133" t="s">
        <v>5122</v>
      </c>
      <c r="V761" s="133" t="s">
        <v>5122</v>
      </c>
      <c r="W761" s="133"/>
      <c r="X761" s="133"/>
      <c r="Y761" s="133" t="s">
        <v>5122</v>
      </c>
      <c r="Z761" s="118" t="s">
        <v>7530</v>
      </c>
    </row>
    <row r="762" customHeight="1" spans="1:26">
      <c r="A762" s="131" t="s">
        <v>10297</v>
      </c>
      <c r="B762" s="131">
        <v>8</v>
      </c>
      <c r="C762" s="131" t="s">
        <v>320</v>
      </c>
      <c r="D762" s="131"/>
      <c r="E762" s="131" t="s">
        <v>5122</v>
      </c>
      <c r="F762" s="132" t="s">
        <v>321</v>
      </c>
      <c r="G762" s="131" t="s">
        <v>9268</v>
      </c>
      <c r="H762" s="131" t="s">
        <v>7526</v>
      </c>
      <c r="I762" s="131" t="s">
        <v>7527</v>
      </c>
      <c r="J762" s="131" t="s">
        <v>7539</v>
      </c>
      <c r="K762" s="148" t="s">
        <v>10298</v>
      </c>
      <c r="L762" s="149" t="s">
        <v>352</v>
      </c>
      <c r="M762" s="148" t="s">
        <v>10299</v>
      </c>
      <c r="N762" s="148" t="s">
        <v>10300</v>
      </c>
      <c r="O762" s="131"/>
      <c r="P762" s="131" t="s">
        <v>5122</v>
      </c>
      <c r="Q762" s="131" t="s">
        <v>5122</v>
      </c>
      <c r="R762" s="131"/>
      <c r="S762" s="131"/>
      <c r="T762" s="131" t="s">
        <v>5122</v>
      </c>
      <c r="U762" s="131"/>
      <c r="V762" s="131"/>
      <c r="W762" s="131"/>
      <c r="X762" s="131"/>
      <c r="Y762" s="131"/>
      <c r="Z762" s="118" t="s">
        <v>7530</v>
      </c>
    </row>
    <row r="763" customHeight="1" spans="1:26">
      <c r="A763" s="133" t="s">
        <v>10301</v>
      </c>
      <c r="B763" s="133">
        <v>8</v>
      </c>
      <c r="C763" s="133" t="s">
        <v>342</v>
      </c>
      <c r="D763" s="133"/>
      <c r="E763" s="133"/>
      <c r="F763" s="134" t="s">
        <v>321</v>
      </c>
      <c r="G763" s="133" t="s">
        <v>326</v>
      </c>
      <c r="H763" s="133" t="s">
        <v>7526</v>
      </c>
      <c r="I763" s="133"/>
      <c r="J763" s="133"/>
      <c r="K763" s="150"/>
      <c r="L763" s="151" t="s">
        <v>338</v>
      </c>
      <c r="M763" s="150" t="s">
        <v>10302</v>
      </c>
      <c r="N763" s="150" t="s">
        <v>10303</v>
      </c>
      <c r="O763" s="133" t="s">
        <v>5122</v>
      </c>
      <c r="P763" s="133"/>
      <c r="Q763" s="133"/>
      <c r="R763" s="133"/>
      <c r="S763" s="133"/>
      <c r="T763" s="133"/>
      <c r="U763" s="133" t="s">
        <v>5122</v>
      </c>
      <c r="V763" s="133"/>
      <c r="W763" s="133"/>
      <c r="X763" s="133"/>
      <c r="Y763" s="133"/>
      <c r="Z763" s="118" t="s">
        <v>7530</v>
      </c>
    </row>
    <row r="764" customHeight="1" spans="1:26">
      <c r="A764" s="125" t="s">
        <v>10304</v>
      </c>
      <c r="B764" s="125">
        <v>8</v>
      </c>
      <c r="C764" s="125" t="s">
        <v>328</v>
      </c>
      <c r="D764" s="125"/>
      <c r="E764" s="125" t="s">
        <v>5122</v>
      </c>
      <c r="F764" s="126" t="s">
        <v>321</v>
      </c>
      <c r="G764" s="125" t="s">
        <v>326</v>
      </c>
      <c r="H764" s="125" t="s">
        <v>7526</v>
      </c>
      <c r="I764" s="125" t="s">
        <v>7527</v>
      </c>
      <c r="J764" s="125" t="s">
        <v>7539</v>
      </c>
      <c r="K764" s="142" t="s">
        <v>10305</v>
      </c>
      <c r="L764" s="143" t="s">
        <v>352</v>
      </c>
      <c r="M764" s="142" t="s">
        <v>10306</v>
      </c>
      <c r="N764" s="142" t="s">
        <v>10307</v>
      </c>
      <c r="O764" s="125"/>
      <c r="P764" s="125" t="s">
        <v>5122</v>
      </c>
      <c r="Q764" s="125"/>
      <c r="R764" s="125"/>
      <c r="S764" s="125"/>
      <c r="T764" s="125"/>
      <c r="U764" s="125"/>
      <c r="V764" s="125"/>
      <c r="W764" s="125"/>
      <c r="X764" s="125"/>
      <c r="Y764" s="125"/>
      <c r="Z764" s="118" t="s">
        <v>7530</v>
      </c>
    </row>
    <row r="765" customHeight="1" spans="1:26">
      <c r="A765" s="137" t="s">
        <v>10308</v>
      </c>
      <c r="B765" s="137">
        <v>8</v>
      </c>
      <c r="C765" s="137" t="s">
        <v>339</v>
      </c>
      <c r="D765" s="137"/>
      <c r="E765" s="137" t="s">
        <v>5122</v>
      </c>
      <c r="F765" s="138" t="s">
        <v>321</v>
      </c>
      <c r="G765" s="137" t="s">
        <v>348</v>
      </c>
      <c r="H765" s="137" t="s">
        <v>7526</v>
      </c>
      <c r="I765" s="137" t="s">
        <v>7527</v>
      </c>
      <c r="J765" s="137"/>
      <c r="K765" s="154"/>
      <c r="L765" s="155" t="s">
        <v>352</v>
      </c>
      <c r="M765" s="154" t="s">
        <v>10309</v>
      </c>
      <c r="N765" s="154" t="s">
        <v>10310</v>
      </c>
      <c r="O765" s="137"/>
      <c r="P765" s="137"/>
      <c r="Q765" s="137" t="s">
        <v>5122</v>
      </c>
      <c r="R765" s="137"/>
      <c r="S765" s="137"/>
      <c r="T765" s="137" t="s">
        <v>5122</v>
      </c>
      <c r="U765" s="137"/>
      <c r="V765" s="137" t="s">
        <v>5122</v>
      </c>
      <c r="W765" s="137"/>
      <c r="X765" s="137"/>
      <c r="Y765" s="137"/>
      <c r="Z765" s="118" t="s">
        <v>7530</v>
      </c>
    </row>
    <row r="766" customHeight="1" spans="1:26">
      <c r="A766" s="137" t="s">
        <v>10311</v>
      </c>
      <c r="B766" s="137">
        <v>8</v>
      </c>
      <c r="C766" s="137" t="s">
        <v>339</v>
      </c>
      <c r="D766" s="137"/>
      <c r="E766" s="137" t="s">
        <v>5122</v>
      </c>
      <c r="F766" s="138" t="s">
        <v>321</v>
      </c>
      <c r="G766" s="137" t="s">
        <v>337</v>
      </c>
      <c r="H766" s="137" t="s">
        <v>7526</v>
      </c>
      <c r="I766" s="137" t="s">
        <v>7527</v>
      </c>
      <c r="J766" s="137"/>
      <c r="K766" s="154"/>
      <c r="L766" s="155" t="s">
        <v>356</v>
      </c>
      <c r="M766" s="154" t="s">
        <v>10312</v>
      </c>
      <c r="N766" s="154" t="s">
        <v>10313</v>
      </c>
      <c r="O766" s="137"/>
      <c r="P766" s="137"/>
      <c r="Q766" s="137"/>
      <c r="R766" s="137"/>
      <c r="S766" s="137"/>
      <c r="T766" s="137"/>
      <c r="U766" s="137"/>
      <c r="V766" s="137" t="s">
        <v>5122</v>
      </c>
      <c r="W766" s="137"/>
      <c r="X766" s="137"/>
      <c r="Y766" s="137"/>
      <c r="Z766" s="118" t="s">
        <v>7530</v>
      </c>
    </row>
    <row r="767" customHeight="1" spans="1:26">
      <c r="A767" s="125" t="s">
        <v>10314</v>
      </c>
      <c r="B767" s="125">
        <v>8</v>
      </c>
      <c r="C767" s="125" t="s">
        <v>328</v>
      </c>
      <c r="D767" s="125"/>
      <c r="E767" s="125"/>
      <c r="F767" s="126" t="s">
        <v>321</v>
      </c>
      <c r="G767" s="125" t="s">
        <v>7535</v>
      </c>
      <c r="H767" s="125" t="s">
        <v>7526</v>
      </c>
      <c r="I767" s="125" t="s">
        <v>7527</v>
      </c>
      <c r="J767" s="125"/>
      <c r="K767" s="142"/>
      <c r="L767" s="143" t="s">
        <v>344</v>
      </c>
      <c r="M767" s="142" t="s">
        <v>10315</v>
      </c>
      <c r="N767" s="142" t="s">
        <v>10316</v>
      </c>
      <c r="O767" s="125" t="s">
        <v>5122</v>
      </c>
      <c r="P767" s="125"/>
      <c r="Q767" s="125"/>
      <c r="R767" s="125"/>
      <c r="S767" s="125"/>
      <c r="T767" s="125"/>
      <c r="U767" s="125"/>
      <c r="V767" s="125" t="s">
        <v>5122</v>
      </c>
      <c r="W767" s="125"/>
      <c r="X767" s="125"/>
      <c r="Y767" s="125" t="s">
        <v>5122</v>
      </c>
      <c r="Z767" s="118" t="s">
        <v>7530</v>
      </c>
    </row>
    <row r="768" customHeight="1" spans="1:26">
      <c r="A768" s="133" t="s">
        <v>10317</v>
      </c>
      <c r="B768" s="133">
        <v>8</v>
      </c>
      <c r="C768" s="133" t="s">
        <v>342</v>
      </c>
      <c r="D768" s="133"/>
      <c r="E768" s="133"/>
      <c r="F768" s="134" t="s">
        <v>321</v>
      </c>
      <c r="G768" s="133" t="s">
        <v>337</v>
      </c>
      <c r="H768" s="133" t="s">
        <v>7526</v>
      </c>
      <c r="I768" s="133"/>
      <c r="J768" s="133"/>
      <c r="K768" s="150"/>
      <c r="L768" s="151" t="s">
        <v>323</v>
      </c>
      <c r="M768" s="150" t="s">
        <v>10318</v>
      </c>
      <c r="N768" s="150" t="s">
        <v>10319</v>
      </c>
      <c r="O768" s="133" t="s">
        <v>5122</v>
      </c>
      <c r="P768" s="133"/>
      <c r="Q768" s="133"/>
      <c r="R768" s="133"/>
      <c r="S768" s="133"/>
      <c r="T768" s="133" t="s">
        <v>5122</v>
      </c>
      <c r="U768" s="133" t="s">
        <v>5122</v>
      </c>
      <c r="V768" s="133" t="s">
        <v>5122</v>
      </c>
      <c r="W768" s="133"/>
      <c r="X768" s="133"/>
      <c r="Y768" s="133" t="s">
        <v>5122</v>
      </c>
      <c r="Z768" s="118" t="s">
        <v>7530</v>
      </c>
    </row>
    <row r="769" customHeight="1" spans="1:26">
      <c r="A769" s="123" t="s">
        <v>10320</v>
      </c>
      <c r="B769" s="123">
        <v>8</v>
      </c>
      <c r="C769" s="123" t="s">
        <v>324</v>
      </c>
      <c r="D769" s="123"/>
      <c r="E769" s="123"/>
      <c r="F769" s="124" t="s">
        <v>321</v>
      </c>
      <c r="G769" s="123" t="s">
        <v>348</v>
      </c>
      <c r="H769" s="123" t="s">
        <v>7526</v>
      </c>
      <c r="I769" s="123" t="s">
        <v>7527</v>
      </c>
      <c r="J769" s="123" t="s">
        <v>7539</v>
      </c>
      <c r="K769" s="141" t="s">
        <v>10321</v>
      </c>
      <c r="L769" s="139" t="s">
        <v>323</v>
      </c>
      <c r="M769" s="141" t="s">
        <v>10322</v>
      </c>
      <c r="N769" s="141" t="s">
        <v>10323</v>
      </c>
      <c r="O769" s="123"/>
      <c r="P769" s="123" t="s">
        <v>5122</v>
      </c>
      <c r="Q769" s="123" t="s">
        <v>5122</v>
      </c>
      <c r="R769" s="123"/>
      <c r="S769" s="123"/>
      <c r="T769" s="123" t="s">
        <v>5122</v>
      </c>
      <c r="U769" s="123"/>
      <c r="V769" s="123" t="s">
        <v>5122</v>
      </c>
      <c r="W769" s="123"/>
      <c r="X769" s="123"/>
      <c r="Y769" s="123"/>
      <c r="Z769" s="118" t="s">
        <v>7530</v>
      </c>
    </row>
    <row r="770" customHeight="1" spans="1:26">
      <c r="A770" s="135" t="s">
        <v>6423</v>
      </c>
      <c r="B770" s="135">
        <v>8</v>
      </c>
      <c r="C770" s="135" t="s">
        <v>335</v>
      </c>
      <c r="D770" s="135"/>
      <c r="E770" s="135"/>
      <c r="F770" s="136" t="s">
        <v>321</v>
      </c>
      <c r="G770" s="135" t="s">
        <v>8915</v>
      </c>
      <c r="H770" s="135" t="s">
        <v>7526</v>
      </c>
      <c r="I770" s="135" t="s">
        <v>7527</v>
      </c>
      <c r="J770" s="135" t="s">
        <v>7539</v>
      </c>
      <c r="K770" s="152" t="s">
        <v>10324</v>
      </c>
      <c r="L770" s="153" t="s">
        <v>344</v>
      </c>
      <c r="M770" s="152" t="s">
        <v>10325</v>
      </c>
      <c r="N770" s="152" t="s">
        <v>10326</v>
      </c>
      <c r="O770" s="135"/>
      <c r="P770" s="135"/>
      <c r="Q770" s="135"/>
      <c r="R770" s="135"/>
      <c r="S770" s="135"/>
      <c r="T770" s="135"/>
      <c r="U770" s="135"/>
      <c r="V770" s="135" t="s">
        <v>5122</v>
      </c>
      <c r="W770" s="135"/>
      <c r="X770" s="135"/>
      <c r="Y770" s="135"/>
      <c r="Z770" s="118" t="s">
        <v>7530</v>
      </c>
    </row>
    <row r="771" customHeight="1" spans="1:26">
      <c r="A771" s="137" t="s">
        <v>10327</v>
      </c>
      <c r="B771" s="137">
        <v>8</v>
      </c>
      <c r="C771" s="137" t="s">
        <v>339</v>
      </c>
      <c r="D771" s="137"/>
      <c r="E771" s="137" t="s">
        <v>5122</v>
      </c>
      <c r="F771" s="138" t="s">
        <v>329</v>
      </c>
      <c r="G771" s="137" t="s">
        <v>367</v>
      </c>
      <c r="H771" s="137" t="s">
        <v>7526</v>
      </c>
      <c r="I771" s="137" t="s">
        <v>7527</v>
      </c>
      <c r="J771" s="137"/>
      <c r="K771" s="154"/>
      <c r="L771" s="155" t="s">
        <v>10328</v>
      </c>
      <c r="M771" s="154" t="s">
        <v>10329</v>
      </c>
      <c r="N771" s="154" t="s">
        <v>10330</v>
      </c>
      <c r="O771" s="137"/>
      <c r="P771" s="137"/>
      <c r="Q771" s="137" t="s">
        <v>5122</v>
      </c>
      <c r="R771" s="137"/>
      <c r="S771" s="137"/>
      <c r="T771" s="137"/>
      <c r="U771" s="137"/>
      <c r="V771" s="137"/>
      <c r="W771" s="137"/>
      <c r="X771" s="137"/>
      <c r="Y771" s="137"/>
      <c r="Z771" s="118" t="s">
        <v>7530</v>
      </c>
    </row>
    <row r="772" customHeight="1" spans="1:26">
      <c r="A772" s="127" t="s">
        <v>10331</v>
      </c>
      <c r="B772" s="127">
        <v>8</v>
      </c>
      <c r="C772" s="127" t="s">
        <v>331</v>
      </c>
      <c r="D772" s="127"/>
      <c r="E772" s="127"/>
      <c r="F772" s="128" t="s">
        <v>321</v>
      </c>
      <c r="G772" s="127" t="s">
        <v>348</v>
      </c>
      <c r="H772" s="127" t="s">
        <v>7526</v>
      </c>
      <c r="I772" s="127" t="s">
        <v>7527</v>
      </c>
      <c r="J772" s="127" t="s">
        <v>7539</v>
      </c>
      <c r="K772" s="165" t="s">
        <v>10332</v>
      </c>
      <c r="L772" s="145" t="s">
        <v>323</v>
      </c>
      <c r="M772" s="144" t="s">
        <v>10333</v>
      </c>
      <c r="N772" s="144" t="s">
        <v>10334</v>
      </c>
      <c r="O772" s="127"/>
      <c r="P772" s="127"/>
      <c r="Q772" s="127"/>
      <c r="R772" s="127"/>
      <c r="S772" s="127"/>
      <c r="T772" s="127" t="s">
        <v>5122</v>
      </c>
      <c r="U772" s="127"/>
      <c r="V772" s="127" t="s">
        <v>5122</v>
      </c>
      <c r="W772" s="127"/>
      <c r="X772" s="127"/>
      <c r="Y772" s="127"/>
      <c r="Z772" s="162" t="s">
        <v>45</v>
      </c>
    </row>
    <row r="773" customHeight="1" spans="1:26">
      <c r="A773" s="129" t="s">
        <v>10335</v>
      </c>
      <c r="B773" s="129">
        <v>8</v>
      </c>
      <c r="C773" s="129" t="s">
        <v>347</v>
      </c>
      <c r="D773" s="129"/>
      <c r="E773" s="129" t="s">
        <v>5122</v>
      </c>
      <c r="F773" s="130" t="s">
        <v>321</v>
      </c>
      <c r="G773" s="129" t="s">
        <v>343</v>
      </c>
      <c r="H773" s="129"/>
      <c r="I773" s="129" t="s">
        <v>7527</v>
      </c>
      <c r="J773" s="129"/>
      <c r="K773" s="166"/>
      <c r="L773" s="147" t="s">
        <v>7661</v>
      </c>
      <c r="M773" s="146" t="s">
        <v>10336</v>
      </c>
      <c r="N773" s="146" t="s">
        <v>10337</v>
      </c>
      <c r="O773" s="129"/>
      <c r="P773" s="129"/>
      <c r="Q773" s="129"/>
      <c r="R773" s="129"/>
      <c r="S773" s="129"/>
      <c r="T773" s="129"/>
      <c r="U773" s="129"/>
      <c r="V773" s="129" t="s">
        <v>5122</v>
      </c>
      <c r="W773" s="129"/>
      <c r="X773" s="129"/>
      <c r="Y773" s="129"/>
      <c r="Z773" s="162" t="s">
        <v>45</v>
      </c>
    </row>
    <row r="774" customHeight="1" spans="1:26">
      <c r="A774" s="123" t="s">
        <v>10338</v>
      </c>
      <c r="B774" s="123">
        <v>8</v>
      </c>
      <c r="C774" s="123" t="s">
        <v>324</v>
      </c>
      <c r="D774" s="123"/>
      <c r="E774" s="123" t="s">
        <v>5122</v>
      </c>
      <c r="F774" s="124" t="s">
        <v>321</v>
      </c>
      <c r="G774" s="123" t="s">
        <v>348</v>
      </c>
      <c r="H774" s="123" t="s">
        <v>7526</v>
      </c>
      <c r="I774" s="123"/>
      <c r="J774" s="123" t="s">
        <v>7539</v>
      </c>
      <c r="K774" s="156" t="s">
        <v>10339</v>
      </c>
      <c r="L774" s="139" t="s">
        <v>8037</v>
      </c>
      <c r="M774" s="141" t="s">
        <v>10340</v>
      </c>
      <c r="N774" s="141" t="s">
        <v>10341</v>
      </c>
      <c r="O774" s="123"/>
      <c r="P774" s="123"/>
      <c r="Q774" s="123"/>
      <c r="R774" s="123"/>
      <c r="S774" s="123"/>
      <c r="T774" s="123"/>
      <c r="U774" s="123" t="s">
        <v>5122</v>
      </c>
      <c r="V774" s="123" t="s">
        <v>5122</v>
      </c>
      <c r="W774" s="123"/>
      <c r="X774" s="123"/>
      <c r="Y774" s="123"/>
      <c r="Z774" s="162" t="s">
        <v>45</v>
      </c>
    </row>
    <row r="775" customHeight="1" spans="1:26">
      <c r="A775" s="137" t="s">
        <v>10342</v>
      </c>
      <c r="B775" s="137">
        <v>8</v>
      </c>
      <c r="C775" s="137" t="s">
        <v>339</v>
      </c>
      <c r="D775" s="137"/>
      <c r="E775" s="137"/>
      <c r="F775" s="138" t="s">
        <v>329</v>
      </c>
      <c r="G775" s="137" t="s">
        <v>367</v>
      </c>
      <c r="H775" s="137" t="s">
        <v>7526</v>
      </c>
      <c r="I775" s="137" t="s">
        <v>7527</v>
      </c>
      <c r="J775" s="137" t="s">
        <v>7539</v>
      </c>
      <c r="K775" s="157" t="s">
        <v>10343</v>
      </c>
      <c r="L775" s="155" t="s">
        <v>323</v>
      </c>
      <c r="M775" s="154" t="s">
        <v>10344</v>
      </c>
      <c r="N775" s="154" t="s">
        <v>10345</v>
      </c>
      <c r="O775" s="137"/>
      <c r="P775" s="137"/>
      <c r="Q775" s="137"/>
      <c r="R775" s="137"/>
      <c r="S775" s="137"/>
      <c r="T775" s="137"/>
      <c r="U775" s="137"/>
      <c r="V775" s="137" t="s">
        <v>5122</v>
      </c>
      <c r="W775" s="137"/>
      <c r="X775" s="137"/>
      <c r="Y775" s="137"/>
      <c r="Z775" s="162" t="s">
        <v>45</v>
      </c>
    </row>
    <row r="776" customHeight="1" spans="1:26">
      <c r="A776" s="123" t="s">
        <v>10346</v>
      </c>
      <c r="B776" s="123">
        <v>8</v>
      </c>
      <c r="C776" s="123" t="s">
        <v>324</v>
      </c>
      <c r="D776" s="123"/>
      <c r="E776" s="123" t="s">
        <v>5122</v>
      </c>
      <c r="F776" s="124" t="s">
        <v>321</v>
      </c>
      <c r="G776" s="123" t="s">
        <v>348</v>
      </c>
      <c r="H776" s="123" t="s">
        <v>7526</v>
      </c>
      <c r="I776" s="123" t="s">
        <v>7527</v>
      </c>
      <c r="J776" s="123" t="s">
        <v>7539</v>
      </c>
      <c r="K776" s="139" t="s">
        <v>10347</v>
      </c>
      <c r="L776" s="139" t="s">
        <v>7661</v>
      </c>
      <c r="M776" s="141" t="s">
        <v>10348</v>
      </c>
      <c r="N776" s="158" t="s">
        <v>10349</v>
      </c>
      <c r="O776" s="123"/>
      <c r="P776" s="123"/>
      <c r="Q776" s="123"/>
      <c r="R776" s="123"/>
      <c r="S776" s="123"/>
      <c r="T776" s="123"/>
      <c r="U776" s="123"/>
      <c r="V776" s="123" t="s">
        <v>5122</v>
      </c>
      <c r="W776" s="123"/>
      <c r="X776" s="123"/>
      <c r="Y776" s="123"/>
      <c r="Z776" s="162" t="s">
        <v>7693</v>
      </c>
    </row>
    <row r="777" customHeight="1" spans="1:26">
      <c r="A777" s="137" t="s">
        <v>10350</v>
      </c>
      <c r="B777" s="137">
        <v>8</v>
      </c>
      <c r="C777" s="137" t="s">
        <v>339</v>
      </c>
      <c r="D777" s="137"/>
      <c r="E777" s="137" t="s">
        <v>5122</v>
      </c>
      <c r="F777" s="138" t="s">
        <v>321</v>
      </c>
      <c r="G777" s="137" t="s">
        <v>337</v>
      </c>
      <c r="H777" s="137" t="s">
        <v>7526</v>
      </c>
      <c r="I777" s="137" t="s">
        <v>7527</v>
      </c>
      <c r="J777" s="137" t="s">
        <v>7539</v>
      </c>
      <c r="K777" s="155" t="s">
        <v>10351</v>
      </c>
      <c r="L777" s="155" t="s">
        <v>7661</v>
      </c>
      <c r="M777" s="154" t="s">
        <v>10352</v>
      </c>
      <c r="N777" s="170" t="s">
        <v>10353</v>
      </c>
      <c r="O777" s="137"/>
      <c r="P777" s="137"/>
      <c r="Q777" s="137"/>
      <c r="R777" s="137"/>
      <c r="S777" s="137"/>
      <c r="T777" s="137"/>
      <c r="U777" s="137"/>
      <c r="V777" s="137" t="s">
        <v>5122</v>
      </c>
      <c r="W777" s="137"/>
      <c r="X777" s="137"/>
      <c r="Y777" s="137"/>
      <c r="Z777" s="162" t="s">
        <v>7693</v>
      </c>
    </row>
    <row r="778" customHeight="1" spans="1:26">
      <c r="A778" s="137" t="s">
        <v>10354</v>
      </c>
      <c r="B778" s="137">
        <v>8</v>
      </c>
      <c r="C778" s="137" t="s">
        <v>339</v>
      </c>
      <c r="D778" s="137"/>
      <c r="E778" s="137"/>
      <c r="F778" s="138" t="s">
        <v>321</v>
      </c>
      <c r="G778" s="137" t="s">
        <v>326</v>
      </c>
      <c r="H778" s="137" t="s">
        <v>7526</v>
      </c>
      <c r="I778" s="137" t="s">
        <v>7527</v>
      </c>
      <c r="J778" s="137"/>
      <c r="K778" s="154"/>
      <c r="L778" s="155" t="s">
        <v>338</v>
      </c>
      <c r="M778" s="154" t="s">
        <v>10355</v>
      </c>
      <c r="N778" s="154" t="s">
        <v>10356</v>
      </c>
      <c r="O778" s="137" t="s">
        <v>5122</v>
      </c>
      <c r="P778" s="137" t="s">
        <v>5122</v>
      </c>
      <c r="Q778" s="137" t="s">
        <v>5122</v>
      </c>
      <c r="R778" s="137"/>
      <c r="S778" s="137"/>
      <c r="T778" s="137" t="s">
        <v>5122</v>
      </c>
      <c r="U778" s="137" t="s">
        <v>5122</v>
      </c>
      <c r="V778" s="137" t="s">
        <v>5122</v>
      </c>
      <c r="W778" s="137"/>
      <c r="X778" s="137"/>
      <c r="Y778" s="137"/>
      <c r="Z778" s="118" t="s">
        <v>111</v>
      </c>
    </row>
    <row r="779" customHeight="1" spans="1:26">
      <c r="A779" s="137" t="s">
        <v>10357</v>
      </c>
      <c r="B779" s="137">
        <v>8</v>
      </c>
      <c r="C779" s="137" t="s">
        <v>339</v>
      </c>
      <c r="D779" s="137"/>
      <c r="E779" s="137"/>
      <c r="F779" s="138" t="s">
        <v>321</v>
      </c>
      <c r="G779" s="137" t="s">
        <v>326</v>
      </c>
      <c r="H779" s="137" t="s">
        <v>7526</v>
      </c>
      <c r="I779" s="137" t="s">
        <v>7527</v>
      </c>
      <c r="J779" s="137" t="s">
        <v>7539</v>
      </c>
      <c r="K779" s="154" t="s">
        <v>10358</v>
      </c>
      <c r="L779" s="155" t="s">
        <v>323</v>
      </c>
      <c r="M779" s="154" t="s">
        <v>10359</v>
      </c>
      <c r="N779" s="154" t="s">
        <v>10360</v>
      </c>
      <c r="O779" s="137" t="s">
        <v>5122</v>
      </c>
      <c r="P779" s="137"/>
      <c r="Q779" s="137"/>
      <c r="R779" s="137"/>
      <c r="S779" s="137"/>
      <c r="T779" s="137"/>
      <c r="U779" s="137" t="s">
        <v>5122</v>
      </c>
      <c r="V779" s="137" t="s">
        <v>5122</v>
      </c>
      <c r="W779" s="137"/>
      <c r="X779" s="137"/>
      <c r="Y779" s="137"/>
      <c r="Z779" s="118" t="s">
        <v>72</v>
      </c>
    </row>
    <row r="780" customHeight="1" spans="1:26">
      <c r="A780" s="137" t="s">
        <v>10361</v>
      </c>
      <c r="B780" s="137">
        <v>8</v>
      </c>
      <c r="C780" s="137" t="s">
        <v>339</v>
      </c>
      <c r="D780" s="137"/>
      <c r="E780" s="137"/>
      <c r="F780" s="138" t="s">
        <v>321</v>
      </c>
      <c r="G780" s="137" t="s">
        <v>326</v>
      </c>
      <c r="H780" s="137" t="s">
        <v>7526</v>
      </c>
      <c r="I780" s="137" t="s">
        <v>7527</v>
      </c>
      <c r="J780" s="137" t="s">
        <v>7539</v>
      </c>
      <c r="K780" s="154" t="s">
        <v>10362</v>
      </c>
      <c r="L780" s="155" t="s">
        <v>323</v>
      </c>
      <c r="M780" s="154" t="s">
        <v>10363</v>
      </c>
      <c r="N780" s="154" t="s">
        <v>10364</v>
      </c>
      <c r="O780" s="137"/>
      <c r="P780" s="137"/>
      <c r="Q780" s="137" t="s">
        <v>5122</v>
      </c>
      <c r="R780" s="137"/>
      <c r="S780" s="137"/>
      <c r="T780" s="137" t="s">
        <v>5122</v>
      </c>
      <c r="U780" s="137"/>
      <c r="V780" s="137" t="s">
        <v>5122</v>
      </c>
      <c r="W780" s="137"/>
      <c r="X780" s="137"/>
      <c r="Y780" s="137" t="s">
        <v>5122</v>
      </c>
      <c r="Z780" s="118" t="s">
        <v>72</v>
      </c>
    </row>
    <row r="781" customHeight="1" spans="1:26">
      <c r="A781" s="127" t="s">
        <v>10365</v>
      </c>
      <c r="B781" s="127">
        <v>8</v>
      </c>
      <c r="C781" s="127" t="s">
        <v>331</v>
      </c>
      <c r="D781" s="127"/>
      <c r="E781" s="127" t="s">
        <v>5122</v>
      </c>
      <c r="F781" s="128" t="s">
        <v>321</v>
      </c>
      <c r="G781" s="127" t="s">
        <v>337</v>
      </c>
      <c r="H781" s="127" t="s">
        <v>7526</v>
      </c>
      <c r="I781" s="127" t="s">
        <v>7527</v>
      </c>
      <c r="J781" s="127" t="s">
        <v>7539</v>
      </c>
      <c r="K781" s="144" t="s">
        <v>10366</v>
      </c>
      <c r="L781" s="145" t="s">
        <v>356</v>
      </c>
      <c r="M781" s="144" t="s">
        <v>10367</v>
      </c>
      <c r="N781" s="144" t="s">
        <v>10368</v>
      </c>
      <c r="O781" s="127"/>
      <c r="P781" s="127" t="s">
        <v>5122</v>
      </c>
      <c r="Q781" s="127"/>
      <c r="R781" s="127"/>
      <c r="S781" s="127"/>
      <c r="T781" s="127"/>
      <c r="U781" s="127"/>
      <c r="V781" s="127" t="s">
        <v>5122</v>
      </c>
      <c r="W781" s="127"/>
      <c r="X781" s="127"/>
      <c r="Y781" s="127"/>
      <c r="Z781" s="118" t="s">
        <v>65</v>
      </c>
    </row>
    <row r="782" customHeight="1" spans="1:26">
      <c r="A782" s="131" t="s">
        <v>10369</v>
      </c>
      <c r="B782" s="131">
        <v>8</v>
      </c>
      <c r="C782" s="131" t="s">
        <v>320</v>
      </c>
      <c r="D782" s="131"/>
      <c r="E782" s="131"/>
      <c r="F782" s="132" t="s">
        <v>321</v>
      </c>
      <c r="G782" s="131" t="s">
        <v>326</v>
      </c>
      <c r="H782" s="131" t="s">
        <v>7526</v>
      </c>
      <c r="I782" s="131" t="s">
        <v>7527</v>
      </c>
      <c r="J782" s="131" t="s">
        <v>7539</v>
      </c>
      <c r="K782" s="148" t="s">
        <v>10370</v>
      </c>
      <c r="L782" s="149" t="s">
        <v>329</v>
      </c>
      <c r="M782" s="148" t="s">
        <v>10371</v>
      </c>
      <c r="N782" s="148" t="s">
        <v>10372</v>
      </c>
      <c r="O782" s="131" t="s">
        <v>5122</v>
      </c>
      <c r="P782" s="131"/>
      <c r="Q782" s="131"/>
      <c r="R782" s="131"/>
      <c r="S782" s="131"/>
      <c r="T782" s="131" t="s">
        <v>5122</v>
      </c>
      <c r="U782" s="131"/>
      <c r="V782" s="131" t="s">
        <v>5122</v>
      </c>
      <c r="W782" s="131"/>
      <c r="X782" s="131"/>
      <c r="Y782" s="131"/>
      <c r="Z782" s="118" t="s">
        <v>7781</v>
      </c>
    </row>
    <row r="783" customHeight="1" spans="1:26">
      <c r="A783" s="133" t="s">
        <v>10373</v>
      </c>
      <c r="B783" s="133">
        <v>8</v>
      </c>
      <c r="C783" s="133" t="s">
        <v>342</v>
      </c>
      <c r="D783" s="133"/>
      <c r="E783" s="133" t="s">
        <v>5122</v>
      </c>
      <c r="F783" s="134" t="s">
        <v>321</v>
      </c>
      <c r="G783" s="133" t="s">
        <v>337</v>
      </c>
      <c r="H783" s="133" t="s">
        <v>7526</v>
      </c>
      <c r="I783" s="133" t="s">
        <v>7527</v>
      </c>
      <c r="J783" s="133" t="s">
        <v>7539</v>
      </c>
      <c r="K783" s="150" t="s">
        <v>10374</v>
      </c>
      <c r="L783" s="151" t="s">
        <v>352</v>
      </c>
      <c r="M783" s="150" t="s">
        <v>10375</v>
      </c>
      <c r="N783" s="150" t="s">
        <v>10376</v>
      </c>
      <c r="O783" s="133" t="s">
        <v>5122</v>
      </c>
      <c r="P783" s="133"/>
      <c r="Q783" s="133"/>
      <c r="R783" s="133"/>
      <c r="S783" s="133"/>
      <c r="T783" s="133" t="s">
        <v>5122</v>
      </c>
      <c r="U783" s="133"/>
      <c r="V783" s="133" t="s">
        <v>5122</v>
      </c>
      <c r="W783" s="133"/>
      <c r="X783" s="133"/>
      <c r="Y783" s="133"/>
      <c r="Z783" s="118" t="s">
        <v>7781</v>
      </c>
    </row>
    <row r="784" customHeight="1" spans="1:26">
      <c r="A784" s="123" t="s">
        <v>10377</v>
      </c>
      <c r="B784" s="123">
        <v>8</v>
      </c>
      <c r="C784" s="123" t="s">
        <v>324</v>
      </c>
      <c r="D784" s="123"/>
      <c r="E784" s="123" t="s">
        <v>5122</v>
      </c>
      <c r="F784" s="124" t="s">
        <v>325</v>
      </c>
      <c r="G784" s="123" t="s">
        <v>326</v>
      </c>
      <c r="H784" s="123" t="s">
        <v>7526</v>
      </c>
      <c r="I784" s="123" t="s">
        <v>7527</v>
      </c>
      <c r="J784" s="123"/>
      <c r="K784" s="141"/>
      <c r="L784" s="139" t="s">
        <v>352</v>
      </c>
      <c r="M784" s="141" t="s">
        <v>10378</v>
      </c>
      <c r="N784" s="141" t="s">
        <v>10379</v>
      </c>
      <c r="O784" s="123"/>
      <c r="P784" s="123" t="s">
        <v>5122</v>
      </c>
      <c r="Q784" s="123"/>
      <c r="R784" s="123"/>
      <c r="S784" s="123"/>
      <c r="T784" s="123"/>
      <c r="U784" s="123"/>
      <c r="V784" s="123" t="s">
        <v>5122</v>
      </c>
      <c r="W784" s="123"/>
      <c r="X784" s="123"/>
      <c r="Y784" s="123"/>
      <c r="Z784" s="118" t="s">
        <v>90</v>
      </c>
    </row>
    <row r="785" customHeight="1" spans="1:26">
      <c r="A785" s="127" t="s">
        <v>10380</v>
      </c>
      <c r="B785" s="127">
        <v>9</v>
      </c>
      <c r="C785" s="127" t="s">
        <v>331</v>
      </c>
      <c r="D785" s="127"/>
      <c r="E785" s="127"/>
      <c r="F785" s="128" t="s">
        <v>338</v>
      </c>
      <c r="G785" s="127" t="s">
        <v>7556</v>
      </c>
      <c r="H785" s="127" t="s">
        <v>7526</v>
      </c>
      <c r="I785" s="127" t="s">
        <v>7527</v>
      </c>
      <c r="J785" s="127" t="s">
        <v>7539</v>
      </c>
      <c r="K785" s="144" t="s">
        <v>10381</v>
      </c>
      <c r="L785" s="145" t="s">
        <v>370</v>
      </c>
      <c r="M785" s="144" t="s">
        <v>10382</v>
      </c>
      <c r="N785" s="144" t="s">
        <v>10383</v>
      </c>
      <c r="O785" s="127"/>
      <c r="P785" s="127" t="s">
        <v>5122</v>
      </c>
      <c r="Q785" s="127"/>
      <c r="R785" s="127"/>
      <c r="S785" s="127"/>
      <c r="T785" s="127"/>
      <c r="U785" s="127" t="s">
        <v>5122</v>
      </c>
      <c r="V785" s="127" t="s">
        <v>5122</v>
      </c>
      <c r="W785" s="127"/>
      <c r="X785" s="127"/>
      <c r="Y785" s="127" t="s">
        <v>5122</v>
      </c>
      <c r="Z785" s="118" t="s">
        <v>7530</v>
      </c>
    </row>
    <row r="786" customHeight="1" spans="1:26">
      <c r="A786" s="135" t="s">
        <v>10384</v>
      </c>
      <c r="B786" s="135">
        <v>9</v>
      </c>
      <c r="C786" s="135" t="s">
        <v>335</v>
      </c>
      <c r="D786" s="135"/>
      <c r="E786" s="135"/>
      <c r="F786" s="136" t="s">
        <v>329</v>
      </c>
      <c r="G786" s="135" t="s">
        <v>7535</v>
      </c>
      <c r="H786" s="135" t="s">
        <v>7526</v>
      </c>
      <c r="I786" s="135" t="s">
        <v>7527</v>
      </c>
      <c r="J786" s="135" t="s">
        <v>7539</v>
      </c>
      <c r="K786" s="152" t="s">
        <v>10385</v>
      </c>
      <c r="L786" s="153" t="s">
        <v>341</v>
      </c>
      <c r="M786" s="152" t="s">
        <v>10386</v>
      </c>
      <c r="N786" s="152" t="s">
        <v>10387</v>
      </c>
      <c r="O786" s="135" t="s">
        <v>5122</v>
      </c>
      <c r="P786" s="135"/>
      <c r="Q786" s="135" t="s">
        <v>5122</v>
      </c>
      <c r="R786" s="135"/>
      <c r="S786" s="135"/>
      <c r="T786" s="135"/>
      <c r="U786" s="135" t="s">
        <v>5122</v>
      </c>
      <c r="V786" s="135" t="s">
        <v>5122</v>
      </c>
      <c r="W786" s="135"/>
      <c r="X786" s="135"/>
      <c r="Y786" s="135" t="s">
        <v>5122</v>
      </c>
      <c r="Z786" s="118" t="s">
        <v>7530</v>
      </c>
    </row>
    <row r="787" customHeight="1" spans="1:26">
      <c r="A787" s="137" t="s">
        <v>10388</v>
      </c>
      <c r="B787" s="137">
        <v>9</v>
      </c>
      <c r="C787" s="137" t="s">
        <v>339</v>
      </c>
      <c r="D787" s="137"/>
      <c r="E787" s="137" t="s">
        <v>5122</v>
      </c>
      <c r="F787" s="138" t="s">
        <v>321</v>
      </c>
      <c r="G787" s="137" t="s">
        <v>337</v>
      </c>
      <c r="H787" s="137" t="s">
        <v>7526</v>
      </c>
      <c r="I787" s="137" t="s">
        <v>7527</v>
      </c>
      <c r="J787" s="137" t="s">
        <v>7539</v>
      </c>
      <c r="K787" s="154" t="s">
        <v>10389</v>
      </c>
      <c r="L787" s="155" t="s">
        <v>352</v>
      </c>
      <c r="M787" s="154" t="s">
        <v>10390</v>
      </c>
      <c r="N787" s="154" t="s">
        <v>10391</v>
      </c>
      <c r="O787" s="137"/>
      <c r="P787" s="137" t="s">
        <v>5122</v>
      </c>
      <c r="Q787" s="137"/>
      <c r="R787" s="137"/>
      <c r="S787" s="137"/>
      <c r="T787" s="137" t="s">
        <v>5122</v>
      </c>
      <c r="U787" s="137" t="s">
        <v>5122</v>
      </c>
      <c r="V787" s="137" t="s">
        <v>5122</v>
      </c>
      <c r="W787" s="137"/>
      <c r="X787" s="137"/>
      <c r="Y787" s="137"/>
      <c r="Z787" s="118" t="s">
        <v>7530</v>
      </c>
    </row>
    <row r="788" customHeight="1" spans="1:26">
      <c r="A788" s="125" t="s">
        <v>10392</v>
      </c>
      <c r="B788" s="125">
        <v>9</v>
      </c>
      <c r="C788" s="125" t="s">
        <v>328</v>
      </c>
      <c r="D788" s="125"/>
      <c r="E788" s="125"/>
      <c r="F788" s="126" t="s">
        <v>329</v>
      </c>
      <c r="G788" s="125" t="s">
        <v>333</v>
      </c>
      <c r="H788" s="125" t="s">
        <v>7526</v>
      </c>
      <c r="I788" s="125" t="s">
        <v>7527</v>
      </c>
      <c r="J788" s="125" t="s">
        <v>7539</v>
      </c>
      <c r="K788" s="142" t="s">
        <v>10393</v>
      </c>
      <c r="L788" s="143" t="s">
        <v>9318</v>
      </c>
      <c r="M788" s="142" t="s">
        <v>10394</v>
      </c>
      <c r="N788" s="142" t="s">
        <v>10395</v>
      </c>
      <c r="O788" s="125"/>
      <c r="P788" s="125"/>
      <c r="Q788" s="125"/>
      <c r="R788" s="125"/>
      <c r="S788" s="125"/>
      <c r="T788" s="125"/>
      <c r="U788" s="125" t="s">
        <v>5122</v>
      </c>
      <c r="V788" s="125" t="s">
        <v>5122</v>
      </c>
      <c r="W788" s="125"/>
      <c r="X788" s="125"/>
      <c r="Y788" s="125"/>
      <c r="Z788" s="118" t="s">
        <v>7530</v>
      </c>
    </row>
    <row r="789" customHeight="1" spans="1:26">
      <c r="A789" s="125" t="s">
        <v>10396</v>
      </c>
      <c r="B789" s="125">
        <v>9</v>
      </c>
      <c r="C789" s="125" t="s">
        <v>328</v>
      </c>
      <c r="D789" s="125"/>
      <c r="E789" s="125"/>
      <c r="F789" s="126" t="s">
        <v>321</v>
      </c>
      <c r="G789" s="125" t="s">
        <v>337</v>
      </c>
      <c r="H789" s="125" t="s">
        <v>7526</v>
      </c>
      <c r="I789" s="125" t="s">
        <v>7527</v>
      </c>
      <c r="J789" s="125"/>
      <c r="K789" s="142"/>
      <c r="L789" s="143" t="s">
        <v>323</v>
      </c>
      <c r="M789" s="142" t="s">
        <v>10397</v>
      </c>
      <c r="N789" s="142" t="s">
        <v>10398</v>
      </c>
      <c r="O789" s="125"/>
      <c r="P789" s="125" t="s">
        <v>5122</v>
      </c>
      <c r="Q789" s="125"/>
      <c r="R789" s="125"/>
      <c r="S789" s="125"/>
      <c r="T789" s="125"/>
      <c r="U789" s="125"/>
      <c r="V789" s="125"/>
      <c r="W789" s="125"/>
      <c r="X789" s="125"/>
      <c r="Y789" s="125" t="s">
        <v>5122</v>
      </c>
      <c r="Z789" s="118" t="s">
        <v>7530</v>
      </c>
    </row>
    <row r="790" customHeight="1" spans="1:26">
      <c r="A790" s="123" t="s">
        <v>10399</v>
      </c>
      <c r="B790" s="123">
        <v>9</v>
      </c>
      <c r="C790" s="123" t="s">
        <v>324</v>
      </c>
      <c r="D790" s="123"/>
      <c r="E790" s="123"/>
      <c r="F790" s="124" t="s">
        <v>321</v>
      </c>
      <c r="G790" s="123" t="s">
        <v>367</v>
      </c>
      <c r="H790" s="123" t="s">
        <v>7526</v>
      </c>
      <c r="I790" s="123" t="s">
        <v>7527</v>
      </c>
      <c r="J790" s="123"/>
      <c r="K790" s="141"/>
      <c r="L790" s="139" t="s">
        <v>323</v>
      </c>
      <c r="M790" s="141" t="s">
        <v>10400</v>
      </c>
      <c r="N790" s="141" t="s">
        <v>10401</v>
      </c>
      <c r="O790" s="123"/>
      <c r="P790" s="123"/>
      <c r="Q790" s="123"/>
      <c r="R790" s="123"/>
      <c r="S790" s="123"/>
      <c r="T790" s="123" t="s">
        <v>5122</v>
      </c>
      <c r="U790" s="123"/>
      <c r="V790" s="123" t="s">
        <v>5122</v>
      </c>
      <c r="W790" s="123"/>
      <c r="X790" s="123"/>
      <c r="Y790" s="123"/>
      <c r="Z790" s="118" t="s">
        <v>7530</v>
      </c>
    </row>
    <row r="791" customHeight="1" spans="1:26">
      <c r="A791" s="133" t="s">
        <v>10402</v>
      </c>
      <c r="B791" s="133">
        <v>9</v>
      </c>
      <c r="C791" s="133" t="s">
        <v>342</v>
      </c>
      <c r="D791" s="133"/>
      <c r="E791" s="133"/>
      <c r="F791" s="134" t="s">
        <v>321</v>
      </c>
      <c r="G791" s="133" t="s">
        <v>337</v>
      </c>
      <c r="H791" s="133" t="s">
        <v>7526</v>
      </c>
      <c r="I791" s="133"/>
      <c r="J791" s="133"/>
      <c r="K791" s="150"/>
      <c r="L791" s="151" t="s">
        <v>323</v>
      </c>
      <c r="M791" s="150" t="s">
        <v>10403</v>
      </c>
      <c r="N791" s="150" t="s">
        <v>10404</v>
      </c>
      <c r="O791" s="133" t="s">
        <v>5122</v>
      </c>
      <c r="P791" s="133" t="s">
        <v>5122</v>
      </c>
      <c r="Q791" s="133"/>
      <c r="R791" s="133"/>
      <c r="S791" s="133"/>
      <c r="T791" s="133"/>
      <c r="U791" s="133"/>
      <c r="V791" s="133"/>
      <c r="W791" s="133"/>
      <c r="X791" s="133"/>
      <c r="Y791" s="133"/>
      <c r="Z791" s="118" t="s">
        <v>7530</v>
      </c>
    </row>
    <row r="792" customHeight="1" spans="1:26">
      <c r="A792" s="133" t="s">
        <v>10405</v>
      </c>
      <c r="B792" s="133">
        <v>9</v>
      </c>
      <c r="C792" s="133" t="s">
        <v>342</v>
      </c>
      <c r="D792" s="133"/>
      <c r="E792" s="133"/>
      <c r="F792" s="134" t="s">
        <v>321</v>
      </c>
      <c r="G792" s="133" t="s">
        <v>337</v>
      </c>
      <c r="H792" s="133" t="s">
        <v>7526</v>
      </c>
      <c r="I792" s="133"/>
      <c r="J792" s="133"/>
      <c r="K792" s="150"/>
      <c r="L792" s="151" t="s">
        <v>323</v>
      </c>
      <c r="M792" s="150" t="s">
        <v>10406</v>
      </c>
      <c r="N792" s="150" t="s">
        <v>10407</v>
      </c>
      <c r="O792" s="133" t="s">
        <v>5122</v>
      </c>
      <c r="P792" s="133"/>
      <c r="Q792" s="133"/>
      <c r="R792" s="133"/>
      <c r="S792" s="133"/>
      <c r="T792" s="133" t="s">
        <v>5122</v>
      </c>
      <c r="U792" s="133" t="s">
        <v>5122</v>
      </c>
      <c r="V792" s="133" t="s">
        <v>5122</v>
      </c>
      <c r="W792" s="133"/>
      <c r="X792" s="133"/>
      <c r="Y792" s="133" t="s">
        <v>5122</v>
      </c>
      <c r="Z792" s="118" t="s">
        <v>7530</v>
      </c>
    </row>
    <row r="793" customHeight="1" spans="1:26">
      <c r="A793" s="125" t="s">
        <v>10408</v>
      </c>
      <c r="B793" s="125">
        <v>9</v>
      </c>
      <c r="C793" s="125" t="s">
        <v>328</v>
      </c>
      <c r="D793" s="125"/>
      <c r="E793" s="125"/>
      <c r="F793" s="126" t="s">
        <v>321</v>
      </c>
      <c r="G793" s="125" t="s">
        <v>337</v>
      </c>
      <c r="H793" s="125" t="s">
        <v>7526</v>
      </c>
      <c r="I793" s="125" t="s">
        <v>7527</v>
      </c>
      <c r="J793" s="125"/>
      <c r="K793" s="142"/>
      <c r="L793" s="143" t="s">
        <v>334</v>
      </c>
      <c r="M793" s="142" t="s">
        <v>10409</v>
      </c>
      <c r="N793" s="142" t="s">
        <v>10410</v>
      </c>
      <c r="O793" s="125" t="s">
        <v>5122</v>
      </c>
      <c r="P793" s="125"/>
      <c r="Q793" s="125"/>
      <c r="R793" s="125"/>
      <c r="S793" s="125"/>
      <c r="T793" s="125"/>
      <c r="U793" s="125"/>
      <c r="V793" s="125" t="s">
        <v>5122</v>
      </c>
      <c r="W793" s="125"/>
      <c r="X793" s="125"/>
      <c r="Y793" s="125"/>
      <c r="Z793" s="118" t="s">
        <v>7530</v>
      </c>
    </row>
    <row r="794" customHeight="1" spans="1:26">
      <c r="A794" s="131" t="s">
        <v>10411</v>
      </c>
      <c r="B794" s="131">
        <v>9</v>
      </c>
      <c r="C794" s="131" t="s">
        <v>320</v>
      </c>
      <c r="D794" s="131"/>
      <c r="E794" s="131" t="s">
        <v>5122</v>
      </c>
      <c r="F794" s="132" t="s">
        <v>321</v>
      </c>
      <c r="G794" s="131" t="s">
        <v>326</v>
      </c>
      <c r="H794" s="131" t="s">
        <v>7526</v>
      </c>
      <c r="I794" s="131" t="s">
        <v>7527</v>
      </c>
      <c r="J794" s="131" t="s">
        <v>7539</v>
      </c>
      <c r="K794" s="148" t="s">
        <v>10412</v>
      </c>
      <c r="L794" s="149" t="s">
        <v>359</v>
      </c>
      <c r="M794" s="148" t="s">
        <v>10413</v>
      </c>
      <c r="N794" s="148" t="s">
        <v>10414</v>
      </c>
      <c r="O794" s="131"/>
      <c r="P794" s="131"/>
      <c r="Q794" s="131" t="s">
        <v>5122</v>
      </c>
      <c r="R794" s="131"/>
      <c r="S794" s="131"/>
      <c r="T794" s="131"/>
      <c r="U794" s="131"/>
      <c r="V794" s="131" t="s">
        <v>5122</v>
      </c>
      <c r="W794" s="131"/>
      <c r="X794" s="131"/>
      <c r="Y794" s="131"/>
      <c r="Z794" s="118" t="s">
        <v>7530</v>
      </c>
    </row>
    <row r="795" customHeight="1" spans="1:26">
      <c r="A795" s="137" t="s">
        <v>10415</v>
      </c>
      <c r="B795" s="137">
        <v>9</v>
      </c>
      <c r="C795" s="137" t="s">
        <v>339</v>
      </c>
      <c r="D795" s="137"/>
      <c r="E795" s="137" t="s">
        <v>5122</v>
      </c>
      <c r="F795" s="138" t="s">
        <v>321</v>
      </c>
      <c r="G795" s="137" t="s">
        <v>367</v>
      </c>
      <c r="H795" s="137" t="s">
        <v>7526</v>
      </c>
      <c r="I795" s="137" t="s">
        <v>7527</v>
      </c>
      <c r="J795" s="137"/>
      <c r="K795" s="154"/>
      <c r="L795" s="155" t="s">
        <v>352</v>
      </c>
      <c r="M795" s="154" t="s">
        <v>10416</v>
      </c>
      <c r="N795" s="154" t="s">
        <v>10417</v>
      </c>
      <c r="O795" s="137"/>
      <c r="P795" s="137"/>
      <c r="Q795" s="137" t="s">
        <v>5122</v>
      </c>
      <c r="R795" s="137"/>
      <c r="S795" s="137"/>
      <c r="T795" s="137"/>
      <c r="U795" s="137"/>
      <c r="V795" s="137"/>
      <c r="W795" s="137"/>
      <c r="X795" s="137"/>
      <c r="Y795" s="137"/>
      <c r="Z795" s="118" t="s">
        <v>7530</v>
      </c>
    </row>
    <row r="796" customHeight="1" spans="1:26">
      <c r="A796" s="131" t="s">
        <v>10418</v>
      </c>
      <c r="B796" s="131">
        <v>9</v>
      </c>
      <c r="C796" s="131" t="s">
        <v>320</v>
      </c>
      <c r="D796" s="131"/>
      <c r="E796" s="131"/>
      <c r="F796" s="132" t="s">
        <v>321</v>
      </c>
      <c r="G796" s="131" t="s">
        <v>326</v>
      </c>
      <c r="H796" s="131" t="s">
        <v>7526</v>
      </c>
      <c r="I796" s="131"/>
      <c r="J796" s="131"/>
      <c r="K796" s="148"/>
      <c r="L796" s="149" t="s">
        <v>323</v>
      </c>
      <c r="M796" s="148" t="s">
        <v>10419</v>
      </c>
      <c r="N796" s="148" t="s">
        <v>10420</v>
      </c>
      <c r="O796" s="131"/>
      <c r="P796" s="131"/>
      <c r="Q796" s="131"/>
      <c r="R796" s="131"/>
      <c r="S796" s="131"/>
      <c r="T796" s="131" t="s">
        <v>5122</v>
      </c>
      <c r="U796" s="131"/>
      <c r="V796" s="131" t="s">
        <v>5122</v>
      </c>
      <c r="W796" s="131"/>
      <c r="X796" s="131"/>
      <c r="Y796" s="131" t="s">
        <v>5122</v>
      </c>
      <c r="Z796" s="118" t="s">
        <v>7530</v>
      </c>
    </row>
    <row r="797" customHeight="1" spans="1:26">
      <c r="A797" s="131" t="s">
        <v>10421</v>
      </c>
      <c r="B797" s="131">
        <v>9</v>
      </c>
      <c r="C797" s="131" t="s">
        <v>320</v>
      </c>
      <c r="D797" s="131"/>
      <c r="E797" s="131" t="s">
        <v>5122</v>
      </c>
      <c r="F797" s="132" t="s">
        <v>321</v>
      </c>
      <c r="G797" s="131" t="s">
        <v>333</v>
      </c>
      <c r="H797" s="131" t="s">
        <v>7526</v>
      </c>
      <c r="I797" s="131" t="s">
        <v>7527</v>
      </c>
      <c r="J797" s="131" t="s">
        <v>7539</v>
      </c>
      <c r="K797" s="148" t="s">
        <v>10422</v>
      </c>
      <c r="L797" s="149" t="s">
        <v>359</v>
      </c>
      <c r="M797" s="148" t="s">
        <v>10423</v>
      </c>
      <c r="N797" s="148" t="s">
        <v>10424</v>
      </c>
      <c r="O797" s="131" t="s">
        <v>5122</v>
      </c>
      <c r="P797" s="131"/>
      <c r="Q797" s="131"/>
      <c r="R797" s="131"/>
      <c r="S797" s="131"/>
      <c r="T797" s="131"/>
      <c r="U797" s="131" t="s">
        <v>5122</v>
      </c>
      <c r="V797" s="131" t="s">
        <v>5122</v>
      </c>
      <c r="W797" s="131"/>
      <c r="X797" s="131"/>
      <c r="Y797" s="131" t="s">
        <v>5122</v>
      </c>
      <c r="Z797" s="118" t="s">
        <v>7530</v>
      </c>
    </row>
    <row r="798" customHeight="1" spans="1:26">
      <c r="A798" s="127" t="s">
        <v>10425</v>
      </c>
      <c r="B798" s="127">
        <v>9</v>
      </c>
      <c r="C798" s="127" t="s">
        <v>331</v>
      </c>
      <c r="D798" s="127"/>
      <c r="E798" s="127"/>
      <c r="F798" s="128" t="s">
        <v>338</v>
      </c>
      <c r="G798" s="127" t="s">
        <v>7535</v>
      </c>
      <c r="H798" s="127" t="s">
        <v>7526</v>
      </c>
      <c r="I798" s="127" t="s">
        <v>7527</v>
      </c>
      <c r="J798" s="127" t="s">
        <v>7539</v>
      </c>
      <c r="K798" s="144" t="s">
        <v>10426</v>
      </c>
      <c r="L798" s="145" t="s">
        <v>323</v>
      </c>
      <c r="M798" s="144" t="s">
        <v>10427</v>
      </c>
      <c r="N798" s="144" t="s">
        <v>10428</v>
      </c>
      <c r="O798" s="127"/>
      <c r="P798" s="127" t="s">
        <v>5122</v>
      </c>
      <c r="Q798" s="127" t="s">
        <v>5122</v>
      </c>
      <c r="R798" s="127"/>
      <c r="S798" s="127"/>
      <c r="T798" s="127"/>
      <c r="U798" s="127"/>
      <c r="V798" s="127"/>
      <c r="W798" s="127"/>
      <c r="X798" s="127"/>
      <c r="Y798" s="127" t="s">
        <v>5122</v>
      </c>
      <c r="Z798" s="118" t="s">
        <v>7530</v>
      </c>
    </row>
    <row r="799" customHeight="1" spans="1:26">
      <c r="A799" s="129" t="s">
        <v>10429</v>
      </c>
      <c r="B799" s="129">
        <v>9</v>
      </c>
      <c r="C799" s="129" t="s">
        <v>347</v>
      </c>
      <c r="D799" s="129"/>
      <c r="E799" s="129" t="s">
        <v>5122</v>
      </c>
      <c r="F799" s="130" t="s">
        <v>321</v>
      </c>
      <c r="G799" s="129" t="s">
        <v>343</v>
      </c>
      <c r="H799" s="129" t="s">
        <v>7526</v>
      </c>
      <c r="I799" s="129" t="s">
        <v>7527</v>
      </c>
      <c r="J799" s="129"/>
      <c r="K799" s="146"/>
      <c r="L799" s="147" t="s">
        <v>352</v>
      </c>
      <c r="M799" s="146" t="s">
        <v>10430</v>
      </c>
      <c r="N799" s="146" t="s">
        <v>10431</v>
      </c>
      <c r="O799" s="129"/>
      <c r="P799" s="129"/>
      <c r="Q799" s="129"/>
      <c r="R799" s="129"/>
      <c r="S799" s="129"/>
      <c r="T799" s="129"/>
      <c r="U799" s="129" t="s">
        <v>5122</v>
      </c>
      <c r="V799" s="129" t="s">
        <v>5122</v>
      </c>
      <c r="W799" s="129"/>
      <c r="X799" s="129"/>
      <c r="Y799" s="129"/>
      <c r="Z799" s="118" t="s">
        <v>7530</v>
      </c>
    </row>
    <row r="800" customHeight="1" spans="1:26">
      <c r="A800" s="137" t="s">
        <v>10432</v>
      </c>
      <c r="B800" s="137">
        <v>9</v>
      </c>
      <c r="C800" s="137" t="s">
        <v>339</v>
      </c>
      <c r="D800" s="137"/>
      <c r="E800" s="137"/>
      <c r="F800" s="138" t="s">
        <v>321</v>
      </c>
      <c r="G800" s="137" t="s">
        <v>326</v>
      </c>
      <c r="H800" s="137" t="s">
        <v>7526</v>
      </c>
      <c r="I800" s="137"/>
      <c r="J800" s="137"/>
      <c r="K800" s="154"/>
      <c r="L800" s="155" t="s">
        <v>323</v>
      </c>
      <c r="M800" s="154" t="s">
        <v>10433</v>
      </c>
      <c r="N800" s="154" t="s">
        <v>10434</v>
      </c>
      <c r="O800" s="137"/>
      <c r="P800" s="137"/>
      <c r="Q800" s="137"/>
      <c r="R800" s="137"/>
      <c r="S800" s="137"/>
      <c r="T800" s="137" t="s">
        <v>5122</v>
      </c>
      <c r="U800" s="137"/>
      <c r="V800" s="137" t="s">
        <v>5122</v>
      </c>
      <c r="W800" s="137"/>
      <c r="X800" s="137"/>
      <c r="Y800" s="137"/>
      <c r="Z800" s="118" t="s">
        <v>7530</v>
      </c>
    </row>
    <row r="801" customHeight="1" spans="1:26">
      <c r="A801" s="125" t="s">
        <v>10435</v>
      </c>
      <c r="B801" s="125">
        <v>9</v>
      </c>
      <c r="C801" s="125" t="s">
        <v>328</v>
      </c>
      <c r="D801" s="125"/>
      <c r="E801" s="125" t="s">
        <v>5122</v>
      </c>
      <c r="F801" s="126" t="s">
        <v>321</v>
      </c>
      <c r="G801" s="125" t="s">
        <v>326</v>
      </c>
      <c r="H801" s="125" t="s">
        <v>7526</v>
      </c>
      <c r="I801" s="125" t="s">
        <v>7527</v>
      </c>
      <c r="J801" s="125" t="s">
        <v>7539</v>
      </c>
      <c r="K801" s="163" t="s">
        <v>10436</v>
      </c>
      <c r="L801" s="143" t="s">
        <v>8037</v>
      </c>
      <c r="M801" s="142" t="s">
        <v>10437</v>
      </c>
      <c r="N801" s="142" t="s">
        <v>10438</v>
      </c>
      <c r="O801" s="125"/>
      <c r="P801" s="125"/>
      <c r="Q801" s="125"/>
      <c r="R801" s="125"/>
      <c r="S801" s="125"/>
      <c r="T801" s="125"/>
      <c r="U801" s="125"/>
      <c r="V801" s="125" t="s">
        <v>5122</v>
      </c>
      <c r="W801" s="125"/>
      <c r="X801" s="125"/>
      <c r="Y801" s="125"/>
      <c r="Z801" s="162" t="s">
        <v>45</v>
      </c>
    </row>
    <row r="802" customHeight="1" spans="1:26">
      <c r="A802" s="131" t="s">
        <v>10439</v>
      </c>
      <c r="B802" s="131">
        <v>9</v>
      </c>
      <c r="C802" s="131" t="s">
        <v>320</v>
      </c>
      <c r="D802" s="131"/>
      <c r="E802" s="131" t="s">
        <v>5122</v>
      </c>
      <c r="F802" s="132" t="s">
        <v>321</v>
      </c>
      <c r="G802" s="131" t="s">
        <v>343</v>
      </c>
      <c r="H802" s="131" t="s">
        <v>7526</v>
      </c>
      <c r="I802" s="131" t="s">
        <v>7527</v>
      </c>
      <c r="J802" s="131" t="s">
        <v>7539</v>
      </c>
      <c r="K802" s="159" t="s">
        <v>10440</v>
      </c>
      <c r="L802" s="149" t="s">
        <v>8512</v>
      </c>
      <c r="M802" s="148" t="s">
        <v>10441</v>
      </c>
      <c r="N802" s="148" t="s">
        <v>10442</v>
      </c>
      <c r="O802" s="131" t="s">
        <v>5122</v>
      </c>
      <c r="P802" s="131"/>
      <c r="Q802" s="131"/>
      <c r="R802" s="131"/>
      <c r="S802" s="131"/>
      <c r="T802" s="131" t="s">
        <v>5122</v>
      </c>
      <c r="U802" s="131"/>
      <c r="V802" s="131" t="s">
        <v>5122</v>
      </c>
      <c r="W802" s="131"/>
      <c r="X802" s="131"/>
      <c r="Y802" s="131"/>
      <c r="Z802" s="162" t="s">
        <v>45</v>
      </c>
    </row>
    <row r="803" customHeight="1" spans="1:26">
      <c r="A803" s="133" t="s">
        <v>10443</v>
      </c>
      <c r="B803" s="133">
        <v>9</v>
      </c>
      <c r="C803" s="133" t="s">
        <v>342</v>
      </c>
      <c r="D803" s="133"/>
      <c r="E803" s="133"/>
      <c r="F803" s="134" t="s">
        <v>321</v>
      </c>
      <c r="G803" s="133" t="s">
        <v>340</v>
      </c>
      <c r="H803" s="133"/>
      <c r="I803" s="133" t="s">
        <v>7527</v>
      </c>
      <c r="J803" s="133"/>
      <c r="K803" s="160"/>
      <c r="L803" s="151" t="s">
        <v>323</v>
      </c>
      <c r="M803" s="150" t="s">
        <v>10444</v>
      </c>
      <c r="N803" s="150" t="s">
        <v>10445</v>
      </c>
      <c r="O803" s="133" t="s">
        <v>5122</v>
      </c>
      <c r="P803" s="133"/>
      <c r="Q803" s="133"/>
      <c r="R803" s="133"/>
      <c r="S803" s="133"/>
      <c r="T803" s="133" t="s">
        <v>5122</v>
      </c>
      <c r="U803" s="133" t="s">
        <v>5122</v>
      </c>
      <c r="V803" s="133" t="s">
        <v>5122</v>
      </c>
      <c r="W803" s="133"/>
      <c r="X803" s="133"/>
      <c r="Y803" s="133"/>
      <c r="Z803" s="162" t="s">
        <v>45</v>
      </c>
    </row>
    <row r="804" customHeight="1" spans="1:26">
      <c r="A804" s="123" t="s">
        <v>10446</v>
      </c>
      <c r="B804" s="123">
        <v>9</v>
      </c>
      <c r="C804" s="123" t="s">
        <v>324</v>
      </c>
      <c r="D804" s="123"/>
      <c r="E804" s="123" t="s">
        <v>5122</v>
      </c>
      <c r="F804" s="124" t="s">
        <v>321</v>
      </c>
      <c r="G804" s="123" t="s">
        <v>10447</v>
      </c>
      <c r="H804" s="123" t="s">
        <v>7526</v>
      </c>
      <c r="I804" s="123" t="s">
        <v>7527</v>
      </c>
      <c r="J804" s="123" t="s">
        <v>7539</v>
      </c>
      <c r="K804" s="139" t="s">
        <v>10448</v>
      </c>
      <c r="L804" s="139" t="s">
        <v>7661</v>
      </c>
      <c r="M804" s="141" t="s">
        <v>10449</v>
      </c>
      <c r="N804" s="158" t="s">
        <v>10450</v>
      </c>
      <c r="O804" s="123"/>
      <c r="P804" s="123"/>
      <c r="Q804" s="123"/>
      <c r="R804" s="123"/>
      <c r="S804" s="123"/>
      <c r="T804" s="123"/>
      <c r="U804" s="123"/>
      <c r="V804" s="123" t="s">
        <v>5122</v>
      </c>
      <c r="W804" s="123"/>
      <c r="X804" s="123"/>
      <c r="Y804" s="123"/>
      <c r="Z804" s="162" t="s">
        <v>7693</v>
      </c>
    </row>
    <row r="805" customHeight="1" spans="1:26">
      <c r="A805" s="127" t="s">
        <v>10451</v>
      </c>
      <c r="B805" s="127">
        <v>9</v>
      </c>
      <c r="C805" s="127" t="s">
        <v>331</v>
      </c>
      <c r="D805" s="127"/>
      <c r="E805" s="127"/>
      <c r="F805" s="128" t="s">
        <v>321</v>
      </c>
      <c r="G805" s="127" t="s">
        <v>340</v>
      </c>
      <c r="H805" s="127" t="s">
        <v>7526</v>
      </c>
      <c r="I805" s="127" t="s">
        <v>7527</v>
      </c>
      <c r="J805" s="127" t="s">
        <v>7539</v>
      </c>
      <c r="K805" s="145" t="s">
        <v>10452</v>
      </c>
      <c r="L805" s="145" t="s">
        <v>323</v>
      </c>
      <c r="M805" s="144" t="s">
        <v>10453</v>
      </c>
      <c r="N805" s="161" t="s">
        <v>10454</v>
      </c>
      <c r="O805" s="127"/>
      <c r="P805" s="127"/>
      <c r="Q805" s="127"/>
      <c r="R805" s="127"/>
      <c r="S805" s="127"/>
      <c r="T805" s="127"/>
      <c r="U805" s="127"/>
      <c r="V805" s="127" t="s">
        <v>5122</v>
      </c>
      <c r="W805" s="127"/>
      <c r="X805" s="127"/>
      <c r="Y805" s="127"/>
      <c r="Z805" s="162" t="s">
        <v>7693</v>
      </c>
    </row>
    <row r="806" customHeight="1" spans="1:26">
      <c r="A806" s="123" t="s">
        <v>10455</v>
      </c>
      <c r="B806" s="123">
        <v>9</v>
      </c>
      <c r="C806" s="123" t="s">
        <v>324</v>
      </c>
      <c r="D806" s="123"/>
      <c r="E806" s="123"/>
      <c r="F806" s="124" t="s">
        <v>321</v>
      </c>
      <c r="G806" s="123" t="s">
        <v>326</v>
      </c>
      <c r="H806" s="123"/>
      <c r="I806" s="123" t="s">
        <v>7527</v>
      </c>
      <c r="J806" s="123"/>
      <c r="K806" s="141"/>
      <c r="L806" s="139" t="s">
        <v>323</v>
      </c>
      <c r="M806" s="141" t="s">
        <v>10456</v>
      </c>
      <c r="N806" s="141" t="s">
        <v>10457</v>
      </c>
      <c r="O806" s="123"/>
      <c r="P806" s="123"/>
      <c r="Q806" s="123"/>
      <c r="R806" s="123"/>
      <c r="S806" s="123"/>
      <c r="T806" s="123" t="s">
        <v>5122</v>
      </c>
      <c r="U806" s="123" t="s">
        <v>5122</v>
      </c>
      <c r="V806" s="123" t="s">
        <v>5122</v>
      </c>
      <c r="W806" s="123"/>
      <c r="X806" s="123"/>
      <c r="Y806" s="123"/>
      <c r="Z806" s="118" t="s">
        <v>111</v>
      </c>
    </row>
    <row r="807" customHeight="1" spans="1:26">
      <c r="A807" s="137" t="s">
        <v>10458</v>
      </c>
      <c r="B807" s="137">
        <v>9</v>
      </c>
      <c r="C807" s="137" t="s">
        <v>339</v>
      </c>
      <c r="D807" s="137"/>
      <c r="E807" s="137"/>
      <c r="F807" s="138" t="s">
        <v>321</v>
      </c>
      <c r="G807" s="137" t="s">
        <v>337</v>
      </c>
      <c r="H807" s="137" t="s">
        <v>7526</v>
      </c>
      <c r="I807" s="137" t="s">
        <v>7527</v>
      </c>
      <c r="J807" s="137" t="s">
        <v>7539</v>
      </c>
      <c r="K807" s="154" t="s">
        <v>10459</v>
      </c>
      <c r="L807" s="155" t="s">
        <v>323</v>
      </c>
      <c r="M807" s="154" t="s">
        <v>10460</v>
      </c>
      <c r="N807" s="154" t="s">
        <v>10461</v>
      </c>
      <c r="O807" s="137"/>
      <c r="P807" s="137"/>
      <c r="Q807" s="137" t="s">
        <v>5122</v>
      </c>
      <c r="R807" s="137"/>
      <c r="S807" s="137"/>
      <c r="T807" s="137"/>
      <c r="U807" s="137"/>
      <c r="V807" s="137" t="s">
        <v>5122</v>
      </c>
      <c r="W807" s="137"/>
      <c r="X807" s="137"/>
      <c r="Y807" s="137" t="s">
        <v>5122</v>
      </c>
      <c r="Z807" s="118" t="s">
        <v>72</v>
      </c>
    </row>
    <row r="808" customHeight="1" spans="1:26">
      <c r="A808" s="127" t="s">
        <v>10462</v>
      </c>
      <c r="B808" s="127">
        <v>9</v>
      </c>
      <c r="C808" s="127" t="s">
        <v>331</v>
      </c>
      <c r="D808" s="127"/>
      <c r="E808" s="127"/>
      <c r="F808" s="128" t="s">
        <v>321</v>
      </c>
      <c r="G808" s="127" t="s">
        <v>322</v>
      </c>
      <c r="H808" s="127" t="s">
        <v>7526</v>
      </c>
      <c r="I808" s="127" t="s">
        <v>7527</v>
      </c>
      <c r="J808" s="127" t="s">
        <v>7539</v>
      </c>
      <c r="K808" s="144" t="s">
        <v>10463</v>
      </c>
      <c r="L808" s="145" t="s">
        <v>323</v>
      </c>
      <c r="M808" s="144" t="s">
        <v>10464</v>
      </c>
      <c r="N808" s="144" t="s">
        <v>10465</v>
      </c>
      <c r="O808" s="127"/>
      <c r="P808" s="127" t="s">
        <v>5122</v>
      </c>
      <c r="Q808" s="127"/>
      <c r="R808" s="127"/>
      <c r="S808" s="127"/>
      <c r="T808" s="127" t="s">
        <v>5122</v>
      </c>
      <c r="U808" s="127" t="s">
        <v>5122</v>
      </c>
      <c r="V808" s="127" t="s">
        <v>5122</v>
      </c>
      <c r="W808" s="127"/>
      <c r="X808" s="127"/>
      <c r="Y808" s="127" t="s">
        <v>5122</v>
      </c>
      <c r="Z808" s="118" t="s">
        <v>72</v>
      </c>
    </row>
    <row r="809" customHeight="1" spans="1:26">
      <c r="A809" s="131" t="s">
        <v>10466</v>
      </c>
      <c r="B809" s="131">
        <v>9</v>
      </c>
      <c r="C809" s="131" t="s">
        <v>320</v>
      </c>
      <c r="D809" s="131"/>
      <c r="E809" s="131"/>
      <c r="F809" s="132" t="s">
        <v>321</v>
      </c>
      <c r="G809" s="131" t="s">
        <v>337</v>
      </c>
      <c r="H809" s="131" t="s">
        <v>7526</v>
      </c>
      <c r="I809" s="131" t="s">
        <v>7527</v>
      </c>
      <c r="J809" s="131"/>
      <c r="K809" s="148"/>
      <c r="L809" s="149" t="s">
        <v>323</v>
      </c>
      <c r="M809" s="148" t="s">
        <v>10467</v>
      </c>
      <c r="N809" s="148" t="s">
        <v>10468</v>
      </c>
      <c r="O809" s="131"/>
      <c r="P809" s="131"/>
      <c r="Q809" s="131"/>
      <c r="R809" s="131"/>
      <c r="S809" s="131"/>
      <c r="T809" s="131" t="s">
        <v>5122</v>
      </c>
      <c r="U809" s="131" t="s">
        <v>5122</v>
      </c>
      <c r="V809" s="131" t="s">
        <v>5122</v>
      </c>
      <c r="W809" s="131"/>
      <c r="X809" s="131"/>
      <c r="Y809" s="131"/>
      <c r="Z809" s="118" t="s">
        <v>103</v>
      </c>
    </row>
    <row r="810" customHeight="1" spans="1:26">
      <c r="A810" s="123" t="s">
        <v>10469</v>
      </c>
      <c r="B810" s="123">
        <v>9</v>
      </c>
      <c r="C810" s="123" t="s">
        <v>324</v>
      </c>
      <c r="D810" s="123"/>
      <c r="E810" s="123"/>
      <c r="F810" s="124" t="s">
        <v>321</v>
      </c>
      <c r="G810" s="123" t="s">
        <v>326</v>
      </c>
      <c r="H810" s="123" t="s">
        <v>7526</v>
      </c>
      <c r="I810" s="123" t="s">
        <v>7527</v>
      </c>
      <c r="J810" s="123"/>
      <c r="K810" s="141"/>
      <c r="L810" s="139" t="s">
        <v>323</v>
      </c>
      <c r="M810" s="141" t="s">
        <v>10470</v>
      </c>
      <c r="N810" s="141" t="s">
        <v>10471</v>
      </c>
      <c r="O810" s="123"/>
      <c r="P810" s="123" t="s">
        <v>5122</v>
      </c>
      <c r="Q810" s="123" t="s">
        <v>5122</v>
      </c>
      <c r="R810" s="123"/>
      <c r="S810" s="123"/>
      <c r="T810" s="123" t="s">
        <v>5122</v>
      </c>
      <c r="U810" s="123"/>
      <c r="V810" s="123"/>
      <c r="W810" s="123"/>
      <c r="X810" s="123"/>
      <c r="Y810" s="123"/>
      <c r="Z810" s="118" t="s">
        <v>65</v>
      </c>
    </row>
    <row r="811" customHeight="1" spans="1:26">
      <c r="A811" s="137" t="s">
        <v>10472</v>
      </c>
      <c r="B811" s="137">
        <v>9</v>
      </c>
      <c r="C811" s="137" t="s">
        <v>339</v>
      </c>
      <c r="D811" s="137"/>
      <c r="E811" s="137" t="s">
        <v>5122</v>
      </c>
      <c r="F811" s="138" t="s">
        <v>325</v>
      </c>
      <c r="G811" s="137" t="s">
        <v>337</v>
      </c>
      <c r="H811" s="137" t="s">
        <v>7526</v>
      </c>
      <c r="I811" s="137" t="s">
        <v>7527</v>
      </c>
      <c r="J811" s="137"/>
      <c r="K811" s="154"/>
      <c r="L811" s="155" t="s">
        <v>352</v>
      </c>
      <c r="M811" s="154" t="s">
        <v>10473</v>
      </c>
      <c r="N811" s="154" t="s">
        <v>10474</v>
      </c>
      <c r="O811" s="137"/>
      <c r="P811" s="137"/>
      <c r="Q811" s="137"/>
      <c r="R811" s="137"/>
      <c r="S811" s="137"/>
      <c r="T811" s="137" t="s">
        <v>5122</v>
      </c>
      <c r="U811" s="137" t="s">
        <v>5122</v>
      </c>
      <c r="V811" s="137" t="s">
        <v>5122</v>
      </c>
      <c r="W811" s="137"/>
      <c r="X811" s="137"/>
      <c r="Y811" s="137"/>
      <c r="Z811" s="118" t="s">
        <v>90</v>
      </c>
    </row>
    <row r="812" ht="16.8" customHeight="1" spans="11:14">
      <c r="K812" s="122"/>
      <c r="L812" s="118"/>
      <c r="N812" s="122"/>
    </row>
    <row r="813" customHeight="1" spans="11:14">
      <c r="K813" s="122"/>
      <c r="L813" s="118"/>
      <c r="N813" s="122"/>
    </row>
    <row r="814" customHeight="1" spans="1:26">
      <c r="A814" s="179"/>
      <c r="B814" s="179"/>
      <c r="C814" s="179"/>
      <c r="D814" s="179"/>
      <c r="E814" s="179"/>
      <c r="F814" s="180"/>
      <c r="G814" s="179"/>
      <c r="H814" s="179"/>
      <c r="I814" s="179"/>
      <c r="J814" s="179"/>
      <c r="K814" s="185"/>
      <c r="L814" s="186"/>
      <c r="M814" s="185"/>
      <c r="N814" s="185"/>
      <c r="O814" s="179"/>
      <c r="P814" s="179"/>
      <c r="Q814" s="179"/>
      <c r="R814" s="179"/>
      <c r="S814" s="179"/>
      <c r="T814" s="179"/>
      <c r="U814" s="179"/>
      <c r="V814" s="179"/>
      <c r="W814" s="179"/>
      <c r="X814" s="179"/>
      <c r="Y814" s="179"/>
      <c r="Z814" s="186"/>
    </row>
    <row r="815" customHeight="1" spans="1:27">
      <c r="A815" s="181" t="str">
        <f>IF(自定义调整栏!C3="","",自定义调整栏!C3)</f>
        <v/>
      </c>
      <c r="B815" s="182" t="str">
        <f>IF(自定义调整栏!C3="","",IF(自定义调整栏!B3="戏法",0,自定义调整栏!B3))</f>
        <v/>
      </c>
      <c r="C815" s="182" t="str">
        <f>IF(自定义调整栏!C3="","",自定义调整栏!E3)</f>
        <v/>
      </c>
      <c r="D815" s="182" t="str">
        <f>IF(自定义调整栏!N3="","",自定义调整栏!N3)</f>
        <v/>
      </c>
      <c r="E815" s="182" t="str">
        <f>IF(自定义调整栏!M3="","",自定义调整栏!M3)</f>
        <v/>
      </c>
      <c r="F815" s="183" t="str">
        <f>IF(自定义调整栏!F3="","",自定义调整栏!F3)</f>
        <v/>
      </c>
      <c r="G815" s="182" t="str">
        <f>IF(自定义调整栏!D3="","",自定义调整栏!D3)</f>
        <v/>
      </c>
      <c r="H815" s="182" t="str">
        <f>IF(自定义调整栏!G3="","",自定义调整栏!G3)</f>
        <v/>
      </c>
      <c r="I815" s="182" t="str">
        <f>IF(自定义调整栏!H3="","",自定义调整栏!H3)</f>
        <v/>
      </c>
      <c r="J815" s="182" t="str">
        <f>IF(自定义调整栏!I3="","",自定义调整栏!I3)</f>
        <v/>
      </c>
      <c r="K815" s="187" t="str">
        <f>IF(自定义调整栏!J3="","",自定义调整栏!J3)</f>
        <v/>
      </c>
      <c r="L815" s="188" t="str">
        <f>IF(自定义调整栏!K3="","",自定义调整栏!K3)</f>
        <v/>
      </c>
      <c r="M815" s="189" t="str">
        <f>IF(自定义调整栏!L3="","",自定义调整栏!L3)</f>
        <v/>
      </c>
      <c r="N815" s="187" t="s">
        <v>10475</v>
      </c>
      <c r="O815" s="182"/>
      <c r="P815" s="182"/>
      <c r="Q815" s="182"/>
      <c r="R815" s="182"/>
      <c r="S815" s="182"/>
      <c r="T815" s="182"/>
      <c r="U815" s="182"/>
      <c r="V815" s="182"/>
      <c r="W815" s="182"/>
      <c r="X815" s="182"/>
      <c r="Y815" s="182"/>
      <c r="Z815" s="190" t="s">
        <v>10476</v>
      </c>
      <c r="AA815" s="191"/>
    </row>
    <row r="816" customHeight="1" spans="1:27">
      <c r="A816" s="184" t="str">
        <f>IF(自定义调整栏!C4="","",自定义调整栏!C4)</f>
        <v/>
      </c>
      <c r="B816" s="117" t="str">
        <f>IF(自定义调整栏!C4="","",IF(自定义调整栏!B4="戏法",0,自定义调整栏!B4))</f>
        <v/>
      </c>
      <c r="C816" s="117" t="str">
        <f>IF(自定义调整栏!C4="","",自定义调整栏!E4)</f>
        <v/>
      </c>
      <c r="D816" s="117" t="str">
        <f>IF(自定义调整栏!N4="","",自定义调整栏!N4)</f>
        <v/>
      </c>
      <c r="E816" s="117" t="str">
        <f>IF(自定义调整栏!M4="","",自定义调整栏!M4)</f>
        <v/>
      </c>
      <c r="F816" s="119" t="str">
        <f>IF(自定义调整栏!F4="","",自定义调整栏!F4)</f>
        <v/>
      </c>
      <c r="G816" s="117" t="str">
        <f>IF(自定义调整栏!D4="","",自定义调整栏!D4)</f>
        <v/>
      </c>
      <c r="H816" s="117" t="str">
        <f>IF(自定义调整栏!G4="","",自定义调整栏!G4)</f>
        <v/>
      </c>
      <c r="I816" s="117" t="str">
        <f>IF(自定义调整栏!H4="","",自定义调整栏!H4)</f>
        <v/>
      </c>
      <c r="J816" s="117" t="str">
        <f>IF(自定义调整栏!I4="","",自定义调整栏!I4)</f>
        <v/>
      </c>
      <c r="K816" s="120" t="str">
        <f>IF(自定义调整栏!J4="","",自定义调整栏!J4)</f>
        <v/>
      </c>
      <c r="L816" s="121" t="str">
        <f>IF(自定义调整栏!K4="","",自定义调整栏!K4)</f>
        <v/>
      </c>
      <c r="M816" s="122" t="str">
        <f>IF(自定义调整栏!L4="","",自定义调整栏!L4)</f>
        <v/>
      </c>
      <c r="N816" s="120" t="s">
        <v>10475</v>
      </c>
      <c r="Z816" s="192" t="s">
        <v>10476</v>
      </c>
      <c r="AA816" s="191"/>
    </row>
    <row r="817" customHeight="1" spans="1:27">
      <c r="A817" s="184" t="str">
        <f>IF(自定义调整栏!C5="","",自定义调整栏!C5)</f>
        <v/>
      </c>
      <c r="B817" s="117" t="str">
        <f>IF(自定义调整栏!C5="","",IF(自定义调整栏!B5="戏法",0,自定义调整栏!B5))</f>
        <v/>
      </c>
      <c r="C817" s="117" t="str">
        <f>IF(自定义调整栏!C5="","",自定义调整栏!E5)</f>
        <v/>
      </c>
      <c r="D817" s="117" t="str">
        <f>IF(自定义调整栏!N5="","",自定义调整栏!N5)</f>
        <v/>
      </c>
      <c r="E817" s="117" t="str">
        <f>IF(自定义调整栏!M5="","",自定义调整栏!M5)</f>
        <v/>
      </c>
      <c r="F817" s="119" t="str">
        <f>IF(自定义调整栏!F5="","",自定义调整栏!F5)</f>
        <v/>
      </c>
      <c r="G817" s="117" t="str">
        <f>IF(自定义调整栏!D5="","",自定义调整栏!D5)</f>
        <v/>
      </c>
      <c r="H817" s="117" t="str">
        <f>IF(自定义调整栏!G5="","",自定义调整栏!G5)</f>
        <v/>
      </c>
      <c r="I817" s="117" t="str">
        <f>IF(自定义调整栏!H5="","",自定义调整栏!H5)</f>
        <v/>
      </c>
      <c r="J817" s="117" t="str">
        <f>IF(自定义调整栏!I5="","",自定义调整栏!I5)</f>
        <v/>
      </c>
      <c r="K817" s="120" t="str">
        <f>IF(自定义调整栏!J5="","",自定义调整栏!J5)</f>
        <v/>
      </c>
      <c r="L817" s="121" t="str">
        <f>IF(自定义调整栏!K5="","",自定义调整栏!K5)</f>
        <v/>
      </c>
      <c r="M817" s="122" t="str">
        <f>IF(自定义调整栏!L5="","",自定义调整栏!L5)</f>
        <v/>
      </c>
      <c r="N817" s="120" t="s">
        <v>10475</v>
      </c>
      <c r="Z817" s="192" t="s">
        <v>10476</v>
      </c>
      <c r="AA817" s="191"/>
    </row>
    <row r="818" customHeight="1" spans="1:27">
      <c r="A818" s="184" t="str">
        <f>IF(自定义调整栏!C6="","",自定义调整栏!C6)</f>
        <v/>
      </c>
      <c r="B818" s="117" t="str">
        <f>IF(自定义调整栏!C6="","",IF(自定义调整栏!B6="戏法",0,自定义调整栏!B6))</f>
        <v/>
      </c>
      <c r="C818" s="117" t="str">
        <f>IF(自定义调整栏!C6="","",自定义调整栏!E6)</f>
        <v/>
      </c>
      <c r="D818" s="117" t="str">
        <f>IF(自定义调整栏!N6="","",自定义调整栏!N6)</f>
        <v/>
      </c>
      <c r="E818" s="117" t="str">
        <f>IF(自定义调整栏!M6="","",自定义调整栏!M6)</f>
        <v/>
      </c>
      <c r="F818" s="119" t="str">
        <f>IF(自定义调整栏!F6="","",自定义调整栏!F6)</f>
        <v/>
      </c>
      <c r="G818" s="117" t="str">
        <f>IF(自定义调整栏!D6="","",自定义调整栏!D6)</f>
        <v/>
      </c>
      <c r="H818" s="117" t="str">
        <f>IF(自定义调整栏!G6="","",自定义调整栏!G6)</f>
        <v/>
      </c>
      <c r="I818" s="117" t="str">
        <f>IF(自定义调整栏!H6="","",自定义调整栏!H6)</f>
        <v/>
      </c>
      <c r="J818" s="117" t="str">
        <f>IF(自定义调整栏!I6="","",自定义调整栏!I6)</f>
        <v/>
      </c>
      <c r="K818" s="120" t="str">
        <f>IF(自定义调整栏!J6="","",自定义调整栏!J6)</f>
        <v/>
      </c>
      <c r="L818" s="121" t="str">
        <f>IF(自定义调整栏!K6="","",自定义调整栏!K6)</f>
        <v/>
      </c>
      <c r="M818" s="122" t="str">
        <f>IF(自定义调整栏!L6="","",自定义调整栏!L6)</f>
        <v/>
      </c>
      <c r="N818" s="120" t="s">
        <v>10475</v>
      </c>
      <c r="Z818" s="192" t="s">
        <v>10476</v>
      </c>
      <c r="AA818" s="191"/>
    </row>
    <row r="819" customHeight="1" spans="1:27">
      <c r="A819" s="184" t="str">
        <f>IF(自定义调整栏!C7="","",自定义调整栏!C7)</f>
        <v/>
      </c>
      <c r="B819" s="117" t="str">
        <f>IF(自定义调整栏!C7="","",IF(自定义调整栏!B7="戏法",0,自定义调整栏!B7))</f>
        <v/>
      </c>
      <c r="C819" s="117" t="str">
        <f>IF(自定义调整栏!C7="","",自定义调整栏!E7)</f>
        <v/>
      </c>
      <c r="D819" s="117" t="str">
        <f>IF(自定义调整栏!N7="","",自定义调整栏!N7)</f>
        <v/>
      </c>
      <c r="E819" s="117" t="str">
        <f>IF(自定义调整栏!M7="","",自定义调整栏!M7)</f>
        <v/>
      </c>
      <c r="F819" s="119" t="str">
        <f>IF(自定义调整栏!F7="","",自定义调整栏!F7)</f>
        <v/>
      </c>
      <c r="G819" s="117" t="str">
        <f>IF(自定义调整栏!D7="","",自定义调整栏!D7)</f>
        <v/>
      </c>
      <c r="H819" s="117" t="str">
        <f>IF(自定义调整栏!G7="","",自定义调整栏!G7)</f>
        <v/>
      </c>
      <c r="I819" s="117" t="str">
        <f>IF(自定义调整栏!H7="","",自定义调整栏!H7)</f>
        <v/>
      </c>
      <c r="J819" s="117" t="str">
        <f>IF(自定义调整栏!I7="","",自定义调整栏!I7)</f>
        <v/>
      </c>
      <c r="K819" s="120" t="str">
        <f>IF(自定义调整栏!J7="","",自定义调整栏!J7)</f>
        <v/>
      </c>
      <c r="L819" s="121" t="str">
        <f>IF(自定义调整栏!K7="","",自定义调整栏!K7)</f>
        <v/>
      </c>
      <c r="M819" s="122" t="str">
        <f>IF(自定义调整栏!L7="","",自定义调整栏!L7)</f>
        <v/>
      </c>
      <c r="N819" s="120" t="s">
        <v>10475</v>
      </c>
      <c r="Z819" s="192" t="s">
        <v>10476</v>
      </c>
      <c r="AA819" s="191"/>
    </row>
    <row r="820" customHeight="1" spans="1:27">
      <c r="A820" s="184" t="str">
        <f>IF(自定义调整栏!C8="","",自定义调整栏!C8)</f>
        <v/>
      </c>
      <c r="B820" s="117" t="str">
        <f>IF(自定义调整栏!C8="","",IF(自定义调整栏!B8="戏法",0,自定义调整栏!B8))</f>
        <v/>
      </c>
      <c r="C820" s="117" t="str">
        <f>IF(自定义调整栏!C8="","",自定义调整栏!E8)</f>
        <v/>
      </c>
      <c r="D820" s="117" t="str">
        <f>IF(自定义调整栏!N8="","",自定义调整栏!N8)</f>
        <v/>
      </c>
      <c r="E820" s="117" t="str">
        <f>IF(自定义调整栏!M8="","",自定义调整栏!M8)</f>
        <v/>
      </c>
      <c r="F820" s="119" t="str">
        <f>IF(自定义调整栏!F8="","",自定义调整栏!F8)</f>
        <v/>
      </c>
      <c r="G820" s="117" t="str">
        <f>IF(自定义调整栏!D8="","",自定义调整栏!D8)</f>
        <v/>
      </c>
      <c r="H820" s="117" t="str">
        <f>IF(自定义调整栏!G8="","",自定义调整栏!G8)</f>
        <v/>
      </c>
      <c r="I820" s="117" t="str">
        <f>IF(自定义调整栏!H8="","",自定义调整栏!H8)</f>
        <v/>
      </c>
      <c r="J820" s="117" t="str">
        <f>IF(自定义调整栏!I8="","",自定义调整栏!I8)</f>
        <v/>
      </c>
      <c r="K820" s="120" t="str">
        <f>IF(自定义调整栏!J8="","",自定义调整栏!J8)</f>
        <v/>
      </c>
      <c r="L820" s="121" t="str">
        <f>IF(自定义调整栏!K8="","",自定义调整栏!K8)</f>
        <v/>
      </c>
      <c r="M820" s="122" t="str">
        <f>IF(自定义调整栏!L8="","",自定义调整栏!L8)</f>
        <v/>
      </c>
      <c r="N820" s="120" t="s">
        <v>10475</v>
      </c>
      <c r="Z820" s="192" t="s">
        <v>10476</v>
      </c>
      <c r="AA820" s="191"/>
    </row>
    <row r="821" customHeight="1" spans="1:27">
      <c r="A821" s="184" t="str">
        <f>IF(自定义调整栏!C9="","",自定义调整栏!C9)</f>
        <v/>
      </c>
      <c r="B821" s="117" t="str">
        <f>IF(自定义调整栏!C9="","",IF(自定义调整栏!B9="戏法",0,自定义调整栏!B9))</f>
        <v/>
      </c>
      <c r="C821" s="117" t="str">
        <f>IF(自定义调整栏!C9="","",自定义调整栏!E9)</f>
        <v/>
      </c>
      <c r="D821" s="117" t="str">
        <f>IF(自定义调整栏!N9="","",自定义调整栏!N9)</f>
        <v/>
      </c>
      <c r="E821" s="117" t="str">
        <f>IF(自定义调整栏!M9="","",自定义调整栏!M9)</f>
        <v/>
      </c>
      <c r="F821" s="119" t="str">
        <f>IF(自定义调整栏!F9="","",自定义调整栏!F9)</f>
        <v/>
      </c>
      <c r="G821" s="117" t="str">
        <f>IF(自定义调整栏!D9="","",自定义调整栏!D9)</f>
        <v/>
      </c>
      <c r="H821" s="117" t="str">
        <f>IF(自定义调整栏!G9="","",自定义调整栏!G9)</f>
        <v/>
      </c>
      <c r="I821" s="117" t="str">
        <f>IF(自定义调整栏!H9="","",自定义调整栏!H9)</f>
        <v/>
      </c>
      <c r="J821" s="117" t="str">
        <f>IF(自定义调整栏!I9="","",自定义调整栏!I9)</f>
        <v/>
      </c>
      <c r="K821" s="120" t="str">
        <f>IF(自定义调整栏!J9="","",自定义调整栏!J9)</f>
        <v/>
      </c>
      <c r="L821" s="121" t="str">
        <f>IF(自定义调整栏!K9="","",自定义调整栏!K9)</f>
        <v/>
      </c>
      <c r="M821" s="122" t="str">
        <f>IF(自定义调整栏!L9="","",自定义调整栏!L9)</f>
        <v/>
      </c>
      <c r="N821" s="120" t="s">
        <v>10475</v>
      </c>
      <c r="Z821" s="192" t="s">
        <v>10476</v>
      </c>
      <c r="AA821" s="191"/>
    </row>
    <row r="822" customHeight="1" spans="1:27">
      <c r="A822" s="184" t="str">
        <f>IF(自定义调整栏!C10="","",自定义调整栏!C10)</f>
        <v/>
      </c>
      <c r="B822" s="117" t="str">
        <f>IF(自定义调整栏!C10="","",IF(自定义调整栏!B10="戏法",0,自定义调整栏!B10))</f>
        <v/>
      </c>
      <c r="C822" s="117" t="str">
        <f>IF(自定义调整栏!C10="","",自定义调整栏!E10)</f>
        <v/>
      </c>
      <c r="D822" s="117" t="str">
        <f>IF(自定义调整栏!N10="","",自定义调整栏!N10)</f>
        <v/>
      </c>
      <c r="E822" s="117" t="str">
        <f>IF(自定义调整栏!M10="","",自定义调整栏!M10)</f>
        <v/>
      </c>
      <c r="F822" s="119" t="str">
        <f>IF(自定义调整栏!F10="","",自定义调整栏!F10)</f>
        <v/>
      </c>
      <c r="G822" s="117" t="str">
        <f>IF(自定义调整栏!D10="","",自定义调整栏!D10)</f>
        <v/>
      </c>
      <c r="H822" s="117" t="str">
        <f>IF(自定义调整栏!G10="","",自定义调整栏!G10)</f>
        <v/>
      </c>
      <c r="I822" s="117" t="str">
        <f>IF(自定义调整栏!H10="","",自定义调整栏!H10)</f>
        <v/>
      </c>
      <c r="J822" s="117" t="str">
        <f>IF(自定义调整栏!I10="","",自定义调整栏!I10)</f>
        <v/>
      </c>
      <c r="K822" s="120" t="str">
        <f>IF(自定义调整栏!J10="","",自定义调整栏!J10)</f>
        <v/>
      </c>
      <c r="L822" s="121" t="str">
        <f>IF(自定义调整栏!K10="","",自定义调整栏!K10)</f>
        <v/>
      </c>
      <c r="M822" s="122" t="str">
        <f>IF(自定义调整栏!L10="","",自定义调整栏!L10)</f>
        <v/>
      </c>
      <c r="N822" s="120" t="s">
        <v>10475</v>
      </c>
      <c r="Z822" s="192" t="s">
        <v>10476</v>
      </c>
      <c r="AA822" s="191"/>
    </row>
    <row r="823" customHeight="1" spans="1:27">
      <c r="A823" s="184" t="str">
        <f>IF(自定义调整栏!C11="","",自定义调整栏!C11)</f>
        <v/>
      </c>
      <c r="B823" s="117" t="str">
        <f>IF(自定义调整栏!C11="","",IF(自定义调整栏!B11="戏法",0,自定义调整栏!B11))</f>
        <v/>
      </c>
      <c r="C823" s="117" t="str">
        <f>IF(自定义调整栏!C11="","",自定义调整栏!E11)</f>
        <v/>
      </c>
      <c r="D823" s="117" t="str">
        <f>IF(自定义调整栏!N11="","",自定义调整栏!N11)</f>
        <v/>
      </c>
      <c r="E823" s="117" t="str">
        <f>IF(自定义调整栏!M11="","",自定义调整栏!M11)</f>
        <v/>
      </c>
      <c r="F823" s="119" t="str">
        <f>IF(自定义调整栏!F11="","",自定义调整栏!F11)</f>
        <v/>
      </c>
      <c r="G823" s="117" t="str">
        <f>IF(自定义调整栏!D11="","",自定义调整栏!D11)</f>
        <v/>
      </c>
      <c r="H823" s="117" t="str">
        <f>IF(自定义调整栏!G11="","",自定义调整栏!G11)</f>
        <v/>
      </c>
      <c r="I823" s="117" t="str">
        <f>IF(自定义调整栏!H11="","",自定义调整栏!H11)</f>
        <v/>
      </c>
      <c r="J823" s="117" t="str">
        <f>IF(自定义调整栏!I11="","",自定义调整栏!I11)</f>
        <v/>
      </c>
      <c r="K823" s="120" t="str">
        <f>IF(自定义调整栏!J11="","",自定义调整栏!J11)</f>
        <v/>
      </c>
      <c r="L823" s="121" t="str">
        <f>IF(自定义调整栏!K11="","",自定义调整栏!K11)</f>
        <v/>
      </c>
      <c r="M823" s="122" t="str">
        <f>IF(自定义调整栏!L11="","",自定义调整栏!L11)</f>
        <v/>
      </c>
      <c r="N823" s="120" t="s">
        <v>10475</v>
      </c>
      <c r="Z823" s="192" t="s">
        <v>10476</v>
      </c>
      <c r="AA823" s="191"/>
    </row>
    <row r="824" customHeight="1" spans="1:27">
      <c r="A824" s="184" t="str">
        <f>IF(自定义调整栏!C12="","",自定义调整栏!C12)</f>
        <v/>
      </c>
      <c r="B824" s="117" t="str">
        <f>IF(自定义调整栏!C12="","",IF(自定义调整栏!B12="戏法",0,自定义调整栏!B12))</f>
        <v/>
      </c>
      <c r="C824" s="117" t="str">
        <f>IF(自定义调整栏!C12="","",自定义调整栏!E12)</f>
        <v/>
      </c>
      <c r="D824" s="117" t="str">
        <f>IF(自定义调整栏!N12="","",自定义调整栏!N12)</f>
        <v/>
      </c>
      <c r="E824" s="117" t="str">
        <f>IF(自定义调整栏!M12="","",自定义调整栏!M12)</f>
        <v/>
      </c>
      <c r="F824" s="119" t="str">
        <f>IF(自定义调整栏!F12="","",自定义调整栏!F12)</f>
        <v/>
      </c>
      <c r="G824" s="117" t="str">
        <f>IF(自定义调整栏!D12="","",自定义调整栏!D12)</f>
        <v/>
      </c>
      <c r="H824" s="117" t="str">
        <f>IF(自定义调整栏!G12="","",自定义调整栏!G12)</f>
        <v/>
      </c>
      <c r="I824" s="117" t="str">
        <f>IF(自定义调整栏!H12="","",自定义调整栏!H12)</f>
        <v/>
      </c>
      <c r="J824" s="117" t="str">
        <f>IF(自定义调整栏!I12="","",自定义调整栏!I12)</f>
        <v/>
      </c>
      <c r="K824" s="120" t="str">
        <f>IF(自定义调整栏!J12="","",自定义调整栏!J12)</f>
        <v/>
      </c>
      <c r="L824" s="121" t="str">
        <f>IF(自定义调整栏!K12="","",自定义调整栏!K12)</f>
        <v/>
      </c>
      <c r="M824" s="122" t="str">
        <f>IF(自定义调整栏!L12="","",自定义调整栏!L12)</f>
        <v/>
      </c>
      <c r="N824" s="120" t="s">
        <v>10475</v>
      </c>
      <c r="Z824" s="192" t="s">
        <v>10476</v>
      </c>
      <c r="AA824" s="191"/>
    </row>
    <row r="825" customHeight="1" spans="1:27">
      <c r="A825" s="184" t="str">
        <f>IF(自定义调整栏!C13="","",自定义调整栏!C13)</f>
        <v/>
      </c>
      <c r="B825" s="117" t="str">
        <f>IF(自定义调整栏!C13="","",IF(自定义调整栏!B13="戏法",0,自定义调整栏!B13))</f>
        <v/>
      </c>
      <c r="C825" s="117" t="str">
        <f>IF(自定义调整栏!C13="","",自定义调整栏!E13)</f>
        <v/>
      </c>
      <c r="D825" s="117" t="str">
        <f>IF(自定义调整栏!N13="","",自定义调整栏!N13)</f>
        <v/>
      </c>
      <c r="E825" s="117" t="str">
        <f>IF(自定义调整栏!M13="","",自定义调整栏!M13)</f>
        <v/>
      </c>
      <c r="F825" s="119" t="str">
        <f>IF(自定义调整栏!F13="","",自定义调整栏!F13)</f>
        <v/>
      </c>
      <c r="G825" s="117" t="str">
        <f>IF(自定义调整栏!D13="","",自定义调整栏!D13)</f>
        <v/>
      </c>
      <c r="H825" s="117" t="str">
        <f>IF(自定义调整栏!G13="","",自定义调整栏!G13)</f>
        <v/>
      </c>
      <c r="I825" s="117" t="str">
        <f>IF(自定义调整栏!H13="","",自定义调整栏!H13)</f>
        <v/>
      </c>
      <c r="J825" s="117" t="str">
        <f>IF(自定义调整栏!I13="","",自定义调整栏!I13)</f>
        <v/>
      </c>
      <c r="K825" s="120" t="str">
        <f>IF(自定义调整栏!J13="","",自定义调整栏!J13)</f>
        <v/>
      </c>
      <c r="L825" s="121" t="str">
        <f>IF(自定义调整栏!K13="","",自定义调整栏!K13)</f>
        <v/>
      </c>
      <c r="M825" s="122" t="str">
        <f>IF(自定义调整栏!L13="","",自定义调整栏!L13)</f>
        <v/>
      </c>
      <c r="N825" s="120" t="s">
        <v>10475</v>
      </c>
      <c r="Z825" s="192" t="s">
        <v>10476</v>
      </c>
      <c r="AA825" s="191"/>
    </row>
    <row r="826" customHeight="1" spans="1:27">
      <c r="A826" s="184" t="str">
        <f>IF(自定义调整栏!C14="","",自定义调整栏!C14)</f>
        <v/>
      </c>
      <c r="B826" s="117" t="str">
        <f>IF(自定义调整栏!C14="","",IF(自定义调整栏!B14="戏法",0,自定义调整栏!B14))</f>
        <v/>
      </c>
      <c r="C826" s="117" t="str">
        <f>IF(自定义调整栏!C14="","",自定义调整栏!E14)</f>
        <v/>
      </c>
      <c r="D826" s="117" t="str">
        <f>IF(自定义调整栏!N14="","",自定义调整栏!N14)</f>
        <v/>
      </c>
      <c r="E826" s="117" t="str">
        <f>IF(自定义调整栏!M14="","",自定义调整栏!M14)</f>
        <v/>
      </c>
      <c r="F826" s="119" t="str">
        <f>IF(自定义调整栏!F14="","",自定义调整栏!F14)</f>
        <v/>
      </c>
      <c r="G826" s="117" t="str">
        <f>IF(自定义调整栏!D14="","",自定义调整栏!D14)</f>
        <v/>
      </c>
      <c r="H826" s="117" t="str">
        <f>IF(自定义调整栏!G14="","",自定义调整栏!G14)</f>
        <v/>
      </c>
      <c r="I826" s="117" t="str">
        <f>IF(自定义调整栏!H14="","",自定义调整栏!H14)</f>
        <v/>
      </c>
      <c r="J826" s="117" t="str">
        <f>IF(自定义调整栏!I14="","",自定义调整栏!I14)</f>
        <v/>
      </c>
      <c r="K826" s="120" t="str">
        <f>IF(自定义调整栏!J14="","",自定义调整栏!J14)</f>
        <v/>
      </c>
      <c r="L826" s="121" t="str">
        <f>IF(自定义调整栏!K14="","",自定义调整栏!K14)</f>
        <v/>
      </c>
      <c r="M826" s="122" t="str">
        <f>IF(自定义调整栏!L14="","",自定义调整栏!L14)</f>
        <v/>
      </c>
      <c r="N826" s="120" t="s">
        <v>10475</v>
      </c>
      <c r="Z826" s="192" t="s">
        <v>10476</v>
      </c>
      <c r="AA826" s="191"/>
    </row>
    <row r="827" customHeight="1" spans="1:27">
      <c r="A827" s="184" t="str">
        <f>IF(自定义调整栏!C15="","",自定义调整栏!C15)</f>
        <v/>
      </c>
      <c r="B827" s="117" t="str">
        <f>IF(自定义调整栏!C15="","",IF(自定义调整栏!B15="戏法",0,自定义调整栏!B15))</f>
        <v/>
      </c>
      <c r="C827" s="117" t="str">
        <f>IF(自定义调整栏!C15="","",自定义调整栏!E15)</f>
        <v/>
      </c>
      <c r="D827" s="117" t="str">
        <f>IF(自定义调整栏!N15="","",自定义调整栏!N15)</f>
        <v/>
      </c>
      <c r="E827" s="117" t="str">
        <f>IF(自定义调整栏!M15="","",自定义调整栏!M15)</f>
        <v/>
      </c>
      <c r="F827" s="119" t="str">
        <f>IF(自定义调整栏!F15="","",自定义调整栏!F15)</f>
        <v/>
      </c>
      <c r="G827" s="117" t="str">
        <f>IF(自定义调整栏!D15="","",自定义调整栏!D15)</f>
        <v/>
      </c>
      <c r="H827" s="117" t="str">
        <f>IF(自定义调整栏!G15="","",自定义调整栏!G15)</f>
        <v/>
      </c>
      <c r="I827" s="117" t="str">
        <f>IF(自定义调整栏!H15="","",自定义调整栏!H15)</f>
        <v/>
      </c>
      <c r="J827" s="117" t="str">
        <f>IF(自定义调整栏!I15="","",自定义调整栏!I15)</f>
        <v/>
      </c>
      <c r="K827" s="120" t="str">
        <f>IF(自定义调整栏!J15="","",自定义调整栏!J15)</f>
        <v/>
      </c>
      <c r="L827" s="121" t="str">
        <f>IF(自定义调整栏!K15="","",自定义调整栏!K15)</f>
        <v/>
      </c>
      <c r="M827" s="122" t="str">
        <f>IF(自定义调整栏!L15="","",自定义调整栏!L15)</f>
        <v/>
      </c>
      <c r="N827" s="120" t="s">
        <v>10475</v>
      </c>
      <c r="Z827" s="192" t="s">
        <v>10476</v>
      </c>
      <c r="AA827" s="191"/>
    </row>
    <row r="828" customHeight="1" spans="1:27">
      <c r="A828" s="184" t="str">
        <f>IF(自定义调整栏!C16="","",自定义调整栏!C16)</f>
        <v/>
      </c>
      <c r="B828" s="117" t="str">
        <f>IF(自定义调整栏!C16="","",IF(自定义调整栏!B16="戏法",0,自定义调整栏!B16))</f>
        <v/>
      </c>
      <c r="C828" s="117" t="str">
        <f>IF(自定义调整栏!C16="","",自定义调整栏!E16)</f>
        <v/>
      </c>
      <c r="D828" s="117" t="str">
        <f>IF(自定义调整栏!N16="","",自定义调整栏!N16)</f>
        <v/>
      </c>
      <c r="E828" s="117" t="str">
        <f>IF(自定义调整栏!M16="","",自定义调整栏!M16)</f>
        <v/>
      </c>
      <c r="F828" s="119" t="str">
        <f>IF(自定义调整栏!F16="","",自定义调整栏!F16)</f>
        <v/>
      </c>
      <c r="G828" s="117" t="str">
        <f>IF(自定义调整栏!D16="","",自定义调整栏!D16)</f>
        <v/>
      </c>
      <c r="H828" s="117" t="str">
        <f>IF(自定义调整栏!G16="","",自定义调整栏!G16)</f>
        <v/>
      </c>
      <c r="I828" s="117" t="str">
        <f>IF(自定义调整栏!H16="","",自定义调整栏!H16)</f>
        <v/>
      </c>
      <c r="J828" s="117" t="str">
        <f>IF(自定义调整栏!I16="","",自定义调整栏!I16)</f>
        <v/>
      </c>
      <c r="K828" s="120" t="str">
        <f>IF(自定义调整栏!J16="","",自定义调整栏!J16)</f>
        <v/>
      </c>
      <c r="L828" s="121" t="str">
        <f>IF(自定义调整栏!K16="","",自定义调整栏!K16)</f>
        <v/>
      </c>
      <c r="M828" s="122" t="str">
        <f>IF(自定义调整栏!L16="","",自定义调整栏!L16)</f>
        <v/>
      </c>
      <c r="N828" s="120" t="s">
        <v>10475</v>
      </c>
      <c r="Z828" s="192" t="s">
        <v>10476</v>
      </c>
      <c r="AA828" s="191"/>
    </row>
    <row r="829" customHeight="1" spans="1:27">
      <c r="A829" s="184" t="str">
        <f>IF(自定义调整栏!C17="","",自定义调整栏!C17)</f>
        <v/>
      </c>
      <c r="B829" s="117" t="str">
        <f>IF(自定义调整栏!C17="","",IF(自定义调整栏!B17="戏法",0,自定义调整栏!B17))</f>
        <v/>
      </c>
      <c r="C829" s="117" t="str">
        <f>IF(自定义调整栏!C17="","",自定义调整栏!E17)</f>
        <v/>
      </c>
      <c r="D829" s="117" t="str">
        <f>IF(自定义调整栏!N17="","",自定义调整栏!N17)</f>
        <v/>
      </c>
      <c r="E829" s="117" t="str">
        <f>IF(自定义调整栏!M17="","",自定义调整栏!M17)</f>
        <v/>
      </c>
      <c r="F829" s="119" t="str">
        <f>IF(自定义调整栏!F17="","",自定义调整栏!F17)</f>
        <v/>
      </c>
      <c r="G829" s="117" t="str">
        <f>IF(自定义调整栏!D17="","",自定义调整栏!D17)</f>
        <v/>
      </c>
      <c r="H829" s="117" t="str">
        <f>IF(自定义调整栏!G17="","",自定义调整栏!G17)</f>
        <v/>
      </c>
      <c r="I829" s="117" t="str">
        <f>IF(自定义调整栏!H17="","",自定义调整栏!H17)</f>
        <v/>
      </c>
      <c r="J829" s="117" t="str">
        <f>IF(自定义调整栏!I17="","",自定义调整栏!I17)</f>
        <v/>
      </c>
      <c r="K829" s="120" t="str">
        <f>IF(自定义调整栏!J17="","",自定义调整栏!J17)</f>
        <v/>
      </c>
      <c r="L829" s="121" t="str">
        <f>IF(自定义调整栏!K17="","",自定义调整栏!K17)</f>
        <v/>
      </c>
      <c r="M829" s="122" t="str">
        <f>IF(自定义调整栏!L17="","",自定义调整栏!L17)</f>
        <v/>
      </c>
      <c r="N829" s="120" t="s">
        <v>10475</v>
      </c>
      <c r="Z829" s="192" t="s">
        <v>10476</v>
      </c>
      <c r="AA829" s="191"/>
    </row>
    <row r="830" customHeight="1" spans="1:27">
      <c r="A830" s="184" t="str">
        <f>IF(自定义调整栏!C18="","",自定义调整栏!C18)</f>
        <v/>
      </c>
      <c r="B830" s="117" t="str">
        <f>IF(自定义调整栏!C18="","",IF(自定义调整栏!B18="戏法",0,自定义调整栏!B18))</f>
        <v/>
      </c>
      <c r="C830" s="117" t="str">
        <f>IF(自定义调整栏!C18="","",自定义调整栏!E18)</f>
        <v/>
      </c>
      <c r="D830" s="117" t="str">
        <f>IF(自定义调整栏!N18="","",自定义调整栏!N18)</f>
        <v/>
      </c>
      <c r="E830" s="117" t="str">
        <f>IF(自定义调整栏!M18="","",自定义调整栏!M18)</f>
        <v/>
      </c>
      <c r="F830" s="119" t="str">
        <f>IF(自定义调整栏!F18="","",自定义调整栏!F18)</f>
        <v/>
      </c>
      <c r="G830" s="117" t="str">
        <f>IF(自定义调整栏!D18="","",自定义调整栏!D18)</f>
        <v/>
      </c>
      <c r="H830" s="117" t="str">
        <f>IF(自定义调整栏!G18="","",自定义调整栏!G18)</f>
        <v/>
      </c>
      <c r="I830" s="117" t="str">
        <f>IF(自定义调整栏!H18="","",自定义调整栏!H18)</f>
        <v/>
      </c>
      <c r="J830" s="117" t="str">
        <f>IF(自定义调整栏!I18="","",自定义调整栏!I18)</f>
        <v/>
      </c>
      <c r="K830" s="120" t="str">
        <f>IF(自定义调整栏!J18="","",自定义调整栏!J18)</f>
        <v/>
      </c>
      <c r="L830" s="121" t="str">
        <f>IF(自定义调整栏!K18="","",自定义调整栏!K18)</f>
        <v/>
      </c>
      <c r="M830" s="122" t="str">
        <f>IF(自定义调整栏!L18="","",自定义调整栏!L18)</f>
        <v/>
      </c>
      <c r="N830" s="120" t="s">
        <v>10475</v>
      </c>
      <c r="Z830" s="192" t="s">
        <v>10476</v>
      </c>
      <c r="AA830" s="191"/>
    </row>
    <row r="831" customHeight="1" spans="1:27">
      <c r="A831" s="184" t="str">
        <f>IF(自定义调整栏!C19="","",自定义调整栏!C19)</f>
        <v/>
      </c>
      <c r="B831" s="117" t="str">
        <f>IF(自定义调整栏!C19="","",IF(自定义调整栏!B19="戏法",0,自定义调整栏!B19))</f>
        <v/>
      </c>
      <c r="C831" s="117" t="str">
        <f>IF(自定义调整栏!C19="","",自定义调整栏!E19)</f>
        <v/>
      </c>
      <c r="D831" s="117" t="str">
        <f>IF(自定义调整栏!N19="","",自定义调整栏!N19)</f>
        <v/>
      </c>
      <c r="E831" s="117" t="str">
        <f>IF(自定义调整栏!M19="","",自定义调整栏!M19)</f>
        <v/>
      </c>
      <c r="F831" s="119" t="str">
        <f>IF(自定义调整栏!F19="","",自定义调整栏!F19)</f>
        <v/>
      </c>
      <c r="G831" s="117" t="str">
        <f>IF(自定义调整栏!D19="","",自定义调整栏!D19)</f>
        <v/>
      </c>
      <c r="H831" s="117" t="str">
        <f>IF(自定义调整栏!G19="","",自定义调整栏!G19)</f>
        <v/>
      </c>
      <c r="I831" s="117" t="str">
        <f>IF(自定义调整栏!H19="","",自定义调整栏!H19)</f>
        <v/>
      </c>
      <c r="J831" s="117" t="str">
        <f>IF(自定义调整栏!I19="","",自定义调整栏!I19)</f>
        <v/>
      </c>
      <c r="K831" s="120" t="str">
        <f>IF(自定义调整栏!J19="","",自定义调整栏!J19)</f>
        <v/>
      </c>
      <c r="L831" s="121" t="str">
        <f>IF(自定义调整栏!K19="","",自定义调整栏!K19)</f>
        <v/>
      </c>
      <c r="M831" s="122" t="str">
        <f>IF(自定义调整栏!L19="","",自定义调整栏!L19)</f>
        <v/>
      </c>
      <c r="N831" s="120" t="s">
        <v>10475</v>
      </c>
      <c r="Z831" s="192" t="s">
        <v>10476</v>
      </c>
      <c r="AA831" s="191"/>
    </row>
    <row r="832" customHeight="1" spans="1:27">
      <c r="A832" s="184" t="str">
        <f>IF(自定义调整栏!C20="","",自定义调整栏!C20)</f>
        <v/>
      </c>
      <c r="B832" s="117" t="str">
        <f>IF(自定义调整栏!C20="","",IF(自定义调整栏!B20="戏法",0,自定义调整栏!B20))</f>
        <v/>
      </c>
      <c r="C832" s="117" t="str">
        <f>IF(自定义调整栏!C20="","",自定义调整栏!E20)</f>
        <v/>
      </c>
      <c r="D832" s="117" t="str">
        <f>IF(自定义调整栏!N20="","",自定义调整栏!N20)</f>
        <v/>
      </c>
      <c r="E832" s="117" t="str">
        <f>IF(自定义调整栏!M20="","",自定义调整栏!M20)</f>
        <v/>
      </c>
      <c r="F832" s="119" t="str">
        <f>IF(自定义调整栏!F20="","",自定义调整栏!F20)</f>
        <v/>
      </c>
      <c r="G832" s="117" t="str">
        <f>IF(自定义调整栏!D20="","",自定义调整栏!D20)</f>
        <v/>
      </c>
      <c r="H832" s="117" t="str">
        <f>IF(自定义调整栏!G20="","",自定义调整栏!G20)</f>
        <v/>
      </c>
      <c r="I832" s="117" t="str">
        <f>IF(自定义调整栏!H20="","",自定义调整栏!H20)</f>
        <v/>
      </c>
      <c r="J832" s="117" t="str">
        <f>IF(自定义调整栏!I20="","",自定义调整栏!I20)</f>
        <v/>
      </c>
      <c r="K832" s="120" t="str">
        <f>IF(自定义调整栏!J20="","",自定义调整栏!J20)</f>
        <v/>
      </c>
      <c r="L832" s="121" t="str">
        <f>IF(自定义调整栏!K20="","",自定义调整栏!K20)</f>
        <v/>
      </c>
      <c r="M832" s="122" t="str">
        <f>IF(自定义调整栏!L20="","",自定义调整栏!L20)</f>
        <v/>
      </c>
      <c r="N832" s="120" t="s">
        <v>10475</v>
      </c>
      <c r="Z832" s="192" t="s">
        <v>10476</v>
      </c>
      <c r="AA832" s="191"/>
    </row>
    <row r="833" customHeight="1" spans="1:27">
      <c r="A833" s="184" t="str">
        <f>IF(自定义调整栏!C21="","",自定义调整栏!C21)</f>
        <v/>
      </c>
      <c r="B833" s="117" t="str">
        <f>IF(自定义调整栏!C21="","",IF(自定义调整栏!B21="戏法",0,自定义调整栏!B21))</f>
        <v/>
      </c>
      <c r="C833" s="117" t="str">
        <f>IF(自定义调整栏!C21="","",自定义调整栏!E21)</f>
        <v/>
      </c>
      <c r="D833" s="117" t="str">
        <f>IF(自定义调整栏!N21="","",自定义调整栏!N21)</f>
        <v/>
      </c>
      <c r="E833" s="117" t="str">
        <f>IF(自定义调整栏!M21="","",自定义调整栏!M21)</f>
        <v/>
      </c>
      <c r="F833" s="119" t="str">
        <f>IF(自定义调整栏!F21="","",自定义调整栏!F21)</f>
        <v/>
      </c>
      <c r="G833" s="117" t="str">
        <f>IF(自定义调整栏!D21="","",自定义调整栏!D21)</f>
        <v/>
      </c>
      <c r="H833" s="117" t="str">
        <f>IF(自定义调整栏!G21="","",自定义调整栏!G21)</f>
        <v/>
      </c>
      <c r="I833" s="117" t="str">
        <f>IF(自定义调整栏!H21="","",自定义调整栏!H21)</f>
        <v/>
      </c>
      <c r="J833" s="117" t="str">
        <f>IF(自定义调整栏!I21="","",自定义调整栏!I21)</f>
        <v/>
      </c>
      <c r="K833" s="120" t="str">
        <f>IF(自定义调整栏!J21="","",自定义调整栏!J21)</f>
        <v/>
      </c>
      <c r="L833" s="121" t="str">
        <f>IF(自定义调整栏!K21="","",自定义调整栏!K21)</f>
        <v/>
      </c>
      <c r="M833" s="122" t="str">
        <f>IF(自定义调整栏!L21="","",自定义调整栏!L21)</f>
        <v/>
      </c>
      <c r="N833" s="120" t="s">
        <v>10475</v>
      </c>
      <c r="Z833" s="192" t="s">
        <v>10476</v>
      </c>
      <c r="AA833" s="191"/>
    </row>
    <row r="834" customHeight="1" spans="1:27">
      <c r="A834" s="184" t="str">
        <f>IF(自定义调整栏!C22="","",自定义调整栏!C22)</f>
        <v/>
      </c>
      <c r="B834" s="117" t="str">
        <f>IF(自定义调整栏!C22="","",IF(自定义调整栏!B22="戏法",0,自定义调整栏!B22))</f>
        <v/>
      </c>
      <c r="C834" s="117" t="str">
        <f>IF(自定义调整栏!C22="","",自定义调整栏!E22)</f>
        <v/>
      </c>
      <c r="D834" s="117" t="str">
        <f>IF(自定义调整栏!N22="","",自定义调整栏!N22)</f>
        <v/>
      </c>
      <c r="E834" s="117" t="str">
        <f>IF(自定义调整栏!M22="","",自定义调整栏!M22)</f>
        <v/>
      </c>
      <c r="F834" s="119" t="str">
        <f>IF(自定义调整栏!F22="","",自定义调整栏!F22)</f>
        <v/>
      </c>
      <c r="G834" s="117" t="str">
        <f>IF(自定义调整栏!D22="","",自定义调整栏!D22)</f>
        <v/>
      </c>
      <c r="H834" s="117" t="str">
        <f>IF(自定义调整栏!G22="","",自定义调整栏!G22)</f>
        <v/>
      </c>
      <c r="I834" s="117" t="str">
        <f>IF(自定义调整栏!H22="","",自定义调整栏!H22)</f>
        <v/>
      </c>
      <c r="J834" s="117" t="str">
        <f>IF(自定义调整栏!I22="","",自定义调整栏!I22)</f>
        <v/>
      </c>
      <c r="K834" s="120" t="str">
        <f>IF(自定义调整栏!J22="","",自定义调整栏!J22)</f>
        <v/>
      </c>
      <c r="L834" s="121" t="str">
        <f>IF(自定义调整栏!K22="","",自定义调整栏!K22)</f>
        <v/>
      </c>
      <c r="M834" s="122" t="str">
        <f>IF(自定义调整栏!L22="","",自定义调整栏!L22)</f>
        <v/>
      </c>
      <c r="N834" s="120" t="s">
        <v>10475</v>
      </c>
      <c r="Z834" s="192" t="s">
        <v>10476</v>
      </c>
      <c r="AA834" s="191"/>
    </row>
    <row r="835" customHeight="1" spans="1:27">
      <c r="A835" s="184" t="str">
        <f>IF(自定义调整栏!C23="","",自定义调整栏!C23)</f>
        <v/>
      </c>
      <c r="B835" s="117" t="str">
        <f>IF(自定义调整栏!C23="","",IF(自定义调整栏!B23="戏法",0,自定义调整栏!B23))</f>
        <v/>
      </c>
      <c r="C835" s="117" t="str">
        <f>IF(自定义调整栏!C23="","",自定义调整栏!E23)</f>
        <v/>
      </c>
      <c r="D835" s="117" t="str">
        <f>IF(自定义调整栏!N23="","",自定义调整栏!N23)</f>
        <v/>
      </c>
      <c r="E835" s="117" t="str">
        <f>IF(自定义调整栏!M23="","",自定义调整栏!M23)</f>
        <v/>
      </c>
      <c r="F835" s="119" t="str">
        <f>IF(自定义调整栏!F23="","",自定义调整栏!F23)</f>
        <v/>
      </c>
      <c r="G835" s="117" t="str">
        <f>IF(自定义调整栏!D23="","",自定义调整栏!D23)</f>
        <v/>
      </c>
      <c r="H835" s="117" t="str">
        <f>IF(自定义调整栏!G23="","",自定义调整栏!G23)</f>
        <v/>
      </c>
      <c r="I835" s="117" t="str">
        <f>IF(自定义调整栏!H23="","",自定义调整栏!H23)</f>
        <v/>
      </c>
      <c r="J835" s="117" t="str">
        <f>IF(自定义调整栏!I23="","",自定义调整栏!I23)</f>
        <v/>
      </c>
      <c r="K835" s="120" t="str">
        <f>IF(自定义调整栏!J23="","",自定义调整栏!J23)</f>
        <v/>
      </c>
      <c r="L835" s="121" t="str">
        <f>IF(自定义调整栏!K23="","",自定义调整栏!K23)</f>
        <v/>
      </c>
      <c r="M835" s="122" t="str">
        <f>IF(自定义调整栏!L23="","",自定义调整栏!L23)</f>
        <v/>
      </c>
      <c r="N835" s="120" t="s">
        <v>10475</v>
      </c>
      <c r="Z835" s="192" t="s">
        <v>10476</v>
      </c>
      <c r="AA835" s="191"/>
    </row>
    <row r="836" customHeight="1" spans="1:27">
      <c r="A836" s="184" t="str">
        <f>IF(自定义调整栏!C24="","",自定义调整栏!C24)</f>
        <v/>
      </c>
      <c r="B836" s="117" t="str">
        <f>IF(自定义调整栏!C24="","",IF(自定义调整栏!B24="戏法",0,自定义调整栏!B24))</f>
        <v/>
      </c>
      <c r="C836" s="117" t="str">
        <f>IF(自定义调整栏!C24="","",自定义调整栏!E24)</f>
        <v/>
      </c>
      <c r="D836" s="117" t="str">
        <f>IF(自定义调整栏!N24="","",自定义调整栏!N24)</f>
        <v/>
      </c>
      <c r="E836" s="117" t="str">
        <f>IF(自定义调整栏!M24="","",自定义调整栏!M24)</f>
        <v/>
      </c>
      <c r="F836" s="119" t="str">
        <f>IF(自定义调整栏!F24="","",自定义调整栏!F24)</f>
        <v/>
      </c>
      <c r="G836" s="117" t="str">
        <f>IF(自定义调整栏!D24="","",自定义调整栏!D24)</f>
        <v/>
      </c>
      <c r="H836" s="117" t="str">
        <f>IF(自定义调整栏!G24="","",自定义调整栏!G24)</f>
        <v/>
      </c>
      <c r="I836" s="117" t="str">
        <f>IF(自定义调整栏!H24="","",自定义调整栏!H24)</f>
        <v/>
      </c>
      <c r="J836" s="117" t="str">
        <f>IF(自定义调整栏!I24="","",自定义调整栏!I24)</f>
        <v/>
      </c>
      <c r="K836" s="120" t="str">
        <f>IF(自定义调整栏!J24="","",自定义调整栏!J24)</f>
        <v/>
      </c>
      <c r="L836" s="121" t="str">
        <f>IF(自定义调整栏!K24="","",自定义调整栏!K24)</f>
        <v/>
      </c>
      <c r="M836" s="122" t="str">
        <f>IF(自定义调整栏!L24="","",自定义调整栏!L24)</f>
        <v/>
      </c>
      <c r="N836" s="120" t="s">
        <v>10475</v>
      </c>
      <c r="Z836" s="192" t="s">
        <v>10476</v>
      </c>
      <c r="AA836" s="191"/>
    </row>
    <row r="837" customHeight="1" spans="1:27">
      <c r="A837" s="184" t="str">
        <f>IF(自定义调整栏!C25="","",自定义调整栏!C25)</f>
        <v/>
      </c>
      <c r="B837" s="117" t="str">
        <f>IF(自定义调整栏!C25="","",IF(自定义调整栏!B25="戏法",0,自定义调整栏!B25))</f>
        <v/>
      </c>
      <c r="C837" s="117" t="str">
        <f>IF(自定义调整栏!C25="","",自定义调整栏!E25)</f>
        <v/>
      </c>
      <c r="D837" s="117" t="str">
        <f>IF(自定义调整栏!N25="","",自定义调整栏!N25)</f>
        <v/>
      </c>
      <c r="E837" s="117" t="str">
        <f>IF(自定义调整栏!M25="","",自定义调整栏!M25)</f>
        <v/>
      </c>
      <c r="F837" s="119" t="str">
        <f>IF(自定义调整栏!F25="","",自定义调整栏!F25)</f>
        <v/>
      </c>
      <c r="G837" s="117" t="str">
        <f>IF(自定义调整栏!D25="","",自定义调整栏!D25)</f>
        <v/>
      </c>
      <c r="H837" s="117" t="str">
        <f>IF(自定义调整栏!G25="","",自定义调整栏!G25)</f>
        <v/>
      </c>
      <c r="I837" s="117" t="str">
        <f>IF(自定义调整栏!H25="","",自定义调整栏!H25)</f>
        <v/>
      </c>
      <c r="J837" s="117" t="str">
        <f>IF(自定义调整栏!I25="","",自定义调整栏!I25)</f>
        <v/>
      </c>
      <c r="K837" s="120" t="str">
        <f>IF(自定义调整栏!J25="","",自定义调整栏!J25)</f>
        <v/>
      </c>
      <c r="L837" s="121" t="str">
        <f>IF(自定义调整栏!K25="","",自定义调整栏!K25)</f>
        <v/>
      </c>
      <c r="M837" s="122" t="str">
        <f>IF(自定义调整栏!L25="","",自定义调整栏!L25)</f>
        <v/>
      </c>
      <c r="N837" s="120" t="s">
        <v>10475</v>
      </c>
      <c r="Z837" s="192" t="s">
        <v>10476</v>
      </c>
      <c r="AA837" s="191"/>
    </row>
    <row r="838" customHeight="1" spans="1:27">
      <c r="A838" s="184" t="str">
        <f>IF(自定义调整栏!C26="","",自定义调整栏!C26)</f>
        <v/>
      </c>
      <c r="B838" s="117" t="str">
        <f>IF(自定义调整栏!C26="","",IF(自定义调整栏!B26="戏法",0,自定义调整栏!B26))</f>
        <v/>
      </c>
      <c r="C838" s="117" t="str">
        <f>IF(自定义调整栏!C26="","",自定义调整栏!E26)</f>
        <v/>
      </c>
      <c r="D838" s="117" t="str">
        <f>IF(自定义调整栏!N26="","",自定义调整栏!N26)</f>
        <v/>
      </c>
      <c r="E838" s="117" t="str">
        <f>IF(自定义调整栏!M26="","",自定义调整栏!M26)</f>
        <v/>
      </c>
      <c r="F838" s="119" t="str">
        <f>IF(自定义调整栏!F26="","",自定义调整栏!F26)</f>
        <v/>
      </c>
      <c r="G838" s="117" t="str">
        <f>IF(自定义调整栏!D26="","",自定义调整栏!D26)</f>
        <v/>
      </c>
      <c r="H838" s="117" t="str">
        <f>IF(自定义调整栏!G26="","",自定义调整栏!G26)</f>
        <v/>
      </c>
      <c r="I838" s="117" t="str">
        <f>IF(自定义调整栏!H26="","",自定义调整栏!H26)</f>
        <v/>
      </c>
      <c r="J838" s="117" t="str">
        <f>IF(自定义调整栏!I26="","",自定义调整栏!I26)</f>
        <v/>
      </c>
      <c r="K838" s="120" t="str">
        <f>IF(自定义调整栏!J26="","",自定义调整栏!J26)</f>
        <v/>
      </c>
      <c r="L838" s="121" t="str">
        <f>IF(自定义调整栏!K26="","",自定义调整栏!K26)</f>
        <v/>
      </c>
      <c r="M838" s="122" t="str">
        <f>IF(自定义调整栏!L26="","",自定义调整栏!L26)</f>
        <v/>
      </c>
      <c r="N838" s="120" t="s">
        <v>10475</v>
      </c>
      <c r="Z838" s="192" t="s">
        <v>10476</v>
      </c>
      <c r="AA838" s="191"/>
    </row>
    <row r="839" customHeight="1" spans="1:27">
      <c r="A839" s="184" t="str">
        <f>IF(自定义调整栏!C27="","",自定义调整栏!C27)</f>
        <v/>
      </c>
      <c r="B839" s="117" t="str">
        <f>IF(自定义调整栏!C27="","",IF(自定义调整栏!B27="戏法",0,自定义调整栏!B27))</f>
        <v/>
      </c>
      <c r="C839" s="117" t="str">
        <f>IF(自定义调整栏!C27="","",自定义调整栏!E27)</f>
        <v/>
      </c>
      <c r="D839" s="117" t="str">
        <f>IF(自定义调整栏!N27="","",自定义调整栏!N27)</f>
        <v/>
      </c>
      <c r="E839" s="117" t="str">
        <f>IF(自定义调整栏!M27="","",自定义调整栏!M27)</f>
        <v/>
      </c>
      <c r="F839" s="119" t="str">
        <f>IF(自定义调整栏!F27="","",自定义调整栏!F27)</f>
        <v/>
      </c>
      <c r="G839" s="117" t="str">
        <f>IF(自定义调整栏!D27="","",自定义调整栏!D27)</f>
        <v/>
      </c>
      <c r="H839" s="117" t="str">
        <f>IF(自定义调整栏!G27="","",自定义调整栏!G27)</f>
        <v/>
      </c>
      <c r="I839" s="117" t="str">
        <f>IF(自定义调整栏!H27="","",自定义调整栏!H27)</f>
        <v/>
      </c>
      <c r="J839" s="117" t="str">
        <f>IF(自定义调整栏!I27="","",自定义调整栏!I27)</f>
        <v/>
      </c>
      <c r="K839" s="120" t="str">
        <f>IF(自定义调整栏!J27="","",自定义调整栏!J27)</f>
        <v/>
      </c>
      <c r="L839" s="121" t="str">
        <f>IF(自定义调整栏!K27="","",自定义调整栏!K27)</f>
        <v/>
      </c>
      <c r="M839" s="122" t="str">
        <f>IF(自定义调整栏!L27="","",自定义调整栏!L27)</f>
        <v/>
      </c>
      <c r="N839" s="120" t="s">
        <v>10475</v>
      </c>
      <c r="Z839" s="192" t="s">
        <v>10476</v>
      </c>
      <c r="AA839" s="191"/>
    </row>
    <row r="840" customHeight="1" spans="1:27">
      <c r="A840" s="184" t="str">
        <f>IF(自定义调整栏!C28="","",自定义调整栏!C28)</f>
        <v/>
      </c>
      <c r="B840" s="117" t="str">
        <f>IF(自定义调整栏!C28="","",IF(自定义调整栏!B28="戏法",0,自定义调整栏!B28))</f>
        <v/>
      </c>
      <c r="C840" s="117" t="str">
        <f>IF(自定义调整栏!C28="","",自定义调整栏!E28)</f>
        <v/>
      </c>
      <c r="D840" s="117" t="str">
        <f>IF(自定义调整栏!N28="","",自定义调整栏!N28)</f>
        <v/>
      </c>
      <c r="E840" s="117" t="str">
        <f>IF(自定义调整栏!M28="","",自定义调整栏!M28)</f>
        <v/>
      </c>
      <c r="F840" s="119" t="str">
        <f>IF(自定义调整栏!F28="","",自定义调整栏!F28)</f>
        <v/>
      </c>
      <c r="G840" s="117" t="str">
        <f>IF(自定义调整栏!D28="","",自定义调整栏!D28)</f>
        <v/>
      </c>
      <c r="H840" s="117" t="str">
        <f>IF(自定义调整栏!G28="","",自定义调整栏!G28)</f>
        <v/>
      </c>
      <c r="I840" s="117" t="str">
        <f>IF(自定义调整栏!H28="","",自定义调整栏!H28)</f>
        <v/>
      </c>
      <c r="J840" s="117" t="str">
        <f>IF(自定义调整栏!I28="","",自定义调整栏!I28)</f>
        <v/>
      </c>
      <c r="K840" s="120" t="str">
        <f>IF(自定义调整栏!J28="","",自定义调整栏!J28)</f>
        <v/>
      </c>
      <c r="L840" s="121" t="str">
        <f>IF(自定义调整栏!K28="","",自定义调整栏!K28)</f>
        <v/>
      </c>
      <c r="M840" s="122" t="str">
        <f>IF(自定义调整栏!L28="","",自定义调整栏!L28)</f>
        <v/>
      </c>
      <c r="N840" s="120" t="s">
        <v>10475</v>
      </c>
      <c r="Z840" s="192" t="s">
        <v>10476</v>
      </c>
      <c r="AA840" s="191"/>
    </row>
    <row r="841" customHeight="1" spans="1:27">
      <c r="A841" s="184" t="str">
        <f>IF(自定义调整栏!C29="","",自定义调整栏!C29)</f>
        <v/>
      </c>
      <c r="B841" s="117" t="str">
        <f>IF(自定义调整栏!C29="","",IF(自定义调整栏!B29="戏法",0,自定义调整栏!B29))</f>
        <v/>
      </c>
      <c r="C841" s="117" t="str">
        <f>IF(自定义调整栏!C29="","",自定义调整栏!E29)</f>
        <v/>
      </c>
      <c r="D841" s="117" t="str">
        <f>IF(自定义调整栏!N29="","",自定义调整栏!N29)</f>
        <v/>
      </c>
      <c r="E841" s="117" t="str">
        <f>IF(自定义调整栏!M29="","",自定义调整栏!M29)</f>
        <v/>
      </c>
      <c r="F841" s="119" t="str">
        <f>IF(自定义调整栏!F29="","",自定义调整栏!F29)</f>
        <v/>
      </c>
      <c r="G841" s="117" t="str">
        <f>IF(自定义调整栏!D29="","",自定义调整栏!D29)</f>
        <v/>
      </c>
      <c r="H841" s="117" t="str">
        <f>IF(自定义调整栏!G29="","",自定义调整栏!G29)</f>
        <v/>
      </c>
      <c r="I841" s="117" t="str">
        <f>IF(自定义调整栏!H29="","",自定义调整栏!H29)</f>
        <v/>
      </c>
      <c r="J841" s="117" t="str">
        <f>IF(自定义调整栏!I29="","",自定义调整栏!I29)</f>
        <v/>
      </c>
      <c r="K841" s="120" t="str">
        <f>IF(自定义调整栏!J29="","",自定义调整栏!J29)</f>
        <v/>
      </c>
      <c r="L841" s="121" t="str">
        <f>IF(自定义调整栏!K29="","",自定义调整栏!K29)</f>
        <v/>
      </c>
      <c r="M841" s="122" t="str">
        <f>IF(自定义调整栏!L29="","",自定义调整栏!L29)</f>
        <v/>
      </c>
      <c r="N841" s="120" t="s">
        <v>10475</v>
      </c>
      <c r="Z841" s="192" t="s">
        <v>10476</v>
      </c>
      <c r="AA841" s="191"/>
    </row>
    <row r="842" customHeight="1" spans="1:27">
      <c r="A842" s="184" t="str">
        <f>IF(自定义调整栏!C30="","",自定义调整栏!C30)</f>
        <v/>
      </c>
      <c r="B842" s="117" t="str">
        <f>IF(自定义调整栏!C30="","",IF(自定义调整栏!B30="戏法",0,自定义调整栏!B30))</f>
        <v/>
      </c>
      <c r="C842" s="117" t="str">
        <f>IF(自定义调整栏!C30="","",自定义调整栏!E30)</f>
        <v/>
      </c>
      <c r="D842" s="117" t="str">
        <f>IF(自定义调整栏!N30="","",自定义调整栏!N30)</f>
        <v/>
      </c>
      <c r="E842" s="117" t="str">
        <f>IF(自定义调整栏!M30="","",自定义调整栏!M30)</f>
        <v/>
      </c>
      <c r="F842" s="119" t="str">
        <f>IF(自定义调整栏!F30="","",自定义调整栏!F30)</f>
        <v/>
      </c>
      <c r="G842" s="117" t="str">
        <f>IF(自定义调整栏!D30="","",自定义调整栏!D30)</f>
        <v/>
      </c>
      <c r="H842" s="117" t="str">
        <f>IF(自定义调整栏!G30="","",自定义调整栏!G30)</f>
        <v/>
      </c>
      <c r="I842" s="117" t="str">
        <f>IF(自定义调整栏!H30="","",自定义调整栏!H30)</f>
        <v/>
      </c>
      <c r="J842" s="117" t="str">
        <f>IF(自定义调整栏!I30="","",自定义调整栏!I30)</f>
        <v/>
      </c>
      <c r="K842" s="120" t="str">
        <f>IF(自定义调整栏!J30="","",自定义调整栏!J30)</f>
        <v/>
      </c>
      <c r="L842" s="121" t="str">
        <f>IF(自定义调整栏!K30="","",自定义调整栏!K30)</f>
        <v/>
      </c>
      <c r="M842" s="122" t="str">
        <f>IF(自定义调整栏!L30="","",自定义调整栏!L30)</f>
        <v/>
      </c>
      <c r="N842" s="120" t="s">
        <v>10475</v>
      </c>
      <c r="Z842" s="192" t="s">
        <v>10476</v>
      </c>
      <c r="AA842" s="191"/>
    </row>
    <row r="843" customHeight="1" spans="1:27">
      <c r="A843" s="184" t="str">
        <f>IF(自定义调整栏!C31="","",自定义调整栏!C31)</f>
        <v/>
      </c>
      <c r="B843" s="117" t="str">
        <f>IF(自定义调整栏!C31="","",IF(自定义调整栏!B31="戏法",0,自定义调整栏!B31))</f>
        <v/>
      </c>
      <c r="C843" s="117" t="str">
        <f>IF(自定义调整栏!C31="","",自定义调整栏!E31)</f>
        <v/>
      </c>
      <c r="D843" s="117" t="str">
        <f>IF(自定义调整栏!N31="","",自定义调整栏!N31)</f>
        <v/>
      </c>
      <c r="E843" s="117" t="str">
        <f>IF(自定义调整栏!M31="","",自定义调整栏!M31)</f>
        <v/>
      </c>
      <c r="F843" s="119" t="str">
        <f>IF(自定义调整栏!F31="","",自定义调整栏!F31)</f>
        <v/>
      </c>
      <c r="G843" s="117" t="str">
        <f>IF(自定义调整栏!D31="","",自定义调整栏!D31)</f>
        <v/>
      </c>
      <c r="H843" s="117" t="str">
        <f>IF(自定义调整栏!G31="","",自定义调整栏!G31)</f>
        <v/>
      </c>
      <c r="I843" s="117" t="str">
        <f>IF(自定义调整栏!H31="","",自定义调整栏!H31)</f>
        <v/>
      </c>
      <c r="J843" s="117" t="str">
        <f>IF(自定义调整栏!I31="","",自定义调整栏!I31)</f>
        <v/>
      </c>
      <c r="K843" s="120" t="str">
        <f>IF(自定义调整栏!J31="","",自定义调整栏!J31)</f>
        <v/>
      </c>
      <c r="L843" s="121" t="str">
        <f>IF(自定义调整栏!K31="","",自定义调整栏!K31)</f>
        <v/>
      </c>
      <c r="M843" s="122" t="str">
        <f>IF(自定义调整栏!L31="","",自定义调整栏!L31)</f>
        <v/>
      </c>
      <c r="N843" s="120" t="s">
        <v>10475</v>
      </c>
      <c r="Z843" s="192" t="s">
        <v>10476</v>
      </c>
      <c r="AA843" s="191"/>
    </row>
    <row r="844" customHeight="1" spans="1:27">
      <c r="A844" s="184" t="str">
        <f>IF(自定义调整栏!C32="","",自定义调整栏!C32)</f>
        <v/>
      </c>
      <c r="B844" s="117" t="str">
        <f>IF(自定义调整栏!C32="","",IF(自定义调整栏!B32="戏法",0,自定义调整栏!B32))</f>
        <v/>
      </c>
      <c r="C844" s="117" t="str">
        <f>IF(自定义调整栏!C32="","",自定义调整栏!E32)</f>
        <v/>
      </c>
      <c r="D844" s="117" t="str">
        <f>IF(自定义调整栏!N32="","",自定义调整栏!N32)</f>
        <v/>
      </c>
      <c r="E844" s="117" t="str">
        <f>IF(自定义调整栏!M32="","",自定义调整栏!M32)</f>
        <v/>
      </c>
      <c r="F844" s="119" t="str">
        <f>IF(自定义调整栏!F32="","",自定义调整栏!F32)</f>
        <v/>
      </c>
      <c r="G844" s="117" t="str">
        <f>IF(自定义调整栏!D32="","",自定义调整栏!D32)</f>
        <v/>
      </c>
      <c r="H844" s="117" t="str">
        <f>IF(自定义调整栏!G32="","",自定义调整栏!G32)</f>
        <v/>
      </c>
      <c r="I844" s="117" t="str">
        <f>IF(自定义调整栏!H32="","",自定义调整栏!H32)</f>
        <v/>
      </c>
      <c r="J844" s="117" t="str">
        <f>IF(自定义调整栏!I32="","",自定义调整栏!I32)</f>
        <v/>
      </c>
      <c r="K844" s="120" t="str">
        <f>IF(自定义调整栏!J32="","",自定义调整栏!J32)</f>
        <v/>
      </c>
      <c r="L844" s="121" t="str">
        <f>IF(自定义调整栏!K32="","",自定义调整栏!K32)</f>
        <v/>
      </c>
      <c r="M844" s="122" t="str">
        <f>IF(自定义调整栏!L32="","",自定义调整栏!L32)</f>
        <v/>
      </c>
      <c r="N844" s="120" t="s">
        <v>10475</v>
      </c>
      <c r="Z844" s="192" t="s">
        <v>10476</v>
      </c>
      <c r="AA844" s="191"/>
    </row>
    <row r="845" customHeight="1" spans="1:27">
      <c r="A845" s="184" t="str">
        <f>IF(自定义调整栏!C33="","",自定义调整栏!C33)</f>
        <v/>
      </c>
      <c r="B845" s="117" t="str">
        <f>IF(自定义调整栏!C33="","",IF(自定义调整栏!B33="戏法",0,自定义调整栏!B33))</f>
        <v/>
      </c>
      <c r="C845" s="117" t="str">
        <f>IF(自定义调整栏!C33="","",自定义调整栏!E33)</f>
        <v/>
      </c>
      <c r="D845" s="117" t="str">
        <f>IF(自定义调整栏!N33="","",自定义调整栏!N33)</f>
        <v/>
      </c>
      <c r="E845" s="117" t="str">
        <f>IF(自定义调整栏!M33="","",自定义调整栏!M33)</f>
        <v/>
      </c>
      <c r="F845" s="119" t="str">
        <f>IF(自定义调整栏!F33="","",自定义调整栏!F33)</f>
        <v/>
      </c>
      <c r="G845" s="117" t="str">
        <f>IF(自定义调整栏!D33="","",自定义调整栏!D33)</f>
        <v/>
      </c>
      <c r="H845" s="117" t="str">
        <f>IF(自定义调整栏!G33="","",自定义调整栏!G33)</f>
        <v/>
      </c>
      <c r="I845" s="117" t="str">
        <f>IF(自定义调整栏!H33="","",自定义调整栏!H33)</f>
        <v/>
      </c>
      <c r="J845" s="117" t="str">
        <f>IF(自定义调整栏!I33="","",自定义调整栏!I33)</f>
        <v/>
      </c>
      <c r="K845" s="120" t="str">
        <f>IF(自定义调整栏!J33="","",自定义调整栏!J33)</f>
        <v/>
      </c>
      <c r="L845" s="121" t="str">
        <f>IF(自定义调整栏!K33="","",自定义调整栏!K33)</f>
        <v/>
      </c>
      <c r="M845" s="122" t="str">
        <f>IF(自定义调整栏!L33="","",自定义调整栏!L33)</f>
        <v/>
      </c>
      <c r="N845" s="120" t="s">
        <v>10475</v>
      </c>
      <c r="Z845" s="192" t="s">
        <v>10476</v>
      </c>
      <c r="AA845" s="191"/>
    </row>
    <row r="846" customHeight="1" spans="1:27">
      <c r="A846" s="184" t="str">
        <f>IF(自定义调整栏!C34="","",自定义调整栏!C34)</f>
        <v/>
      </c>
      <c r="B846" s="117" t="str">
        <f>IF(自定义调整栏!C34="","",IF(自定义调整栏!B34="戏法",0,自定义调整栏!B34))</f>
        <v/>
      </c>
      <c r="C846" s="117" t="str">
        <f>IF(自定义调整栏!C34="","",自定义调整栏!E34)</f>
        <v/>
      </c>
      <c r="D846" s="117" t="str">
        <f>IF(自定义调整栏!N34="","",自定义调整栏!N34)</f>
        <v/>
      </c>
      <c r="E846" s="117" t="str">
        <f>IF(自定义调整栏!M34="","",自定义调整栏!M34)</f>
        <v/>
      </c>
      <c r="F846" s="119" t="str">
        <f>IF(自定义调整栏!F34="","",自定义调整栏!F34)</f>
        <v/>
      </c>
      <c r="G846" s="117" t="str">
        <f>IF(自定义调整栏!D34="","",自定义调整栏!D34)</f>
        <v/>
      </c>
      <c r="H846" s="117" t="str">
        <f>IF(自定义调整栏!G34="","",自定义调整栏!G34)</f>
        <v/>
      </c>
      <c r="I846" s="117" t="str">
        <f>IF(自定义调整栏!H34="","",自定义调整栏!H34)</f>
        <v/>
      </c>
      <c r="J846" s="117" t="str">
        <f>IF(自定义调整栏!I34="","",自定义调整栏!I34)</f>
        <v/>
      </c>
      <c r="K846" s="120" t="str">
        <f>IF(自定义调整栏!J34="","",自定义调整栏!J34)</f>
        <v/>
      </c>
      <c r="L846" s="121" t="str">
        <f>IF(自定义调整栏!K34="","",自定义调整栏!K34)</f>
        <v/>
      </c>
      <c r="M846" s="122" t="str">
        <f>IF(自定义调整栏!L34="","",自定义调整栏!L34)</f>
        <v/>
      </c>
      <c r="N846" s="120" t="s">
        <v>10475</v>
      </c>
      <c r="Z846" s="192" t="s">
        <v>10476</v>
      </c>
      <c r="AA846" s="191"/>
    </row>
    <row r="847" customHeight="1" spans="1:27">
      <c r="A847" s="184" t="str">
        <f>IF(自定义调整栏!C35="","",自定义调整栏!C35)</f>
        <v/>
      </c>
      <c r="B847" s="117" t="str">
        <f>IF(自定义调整栏!C35="","",IF(自定义调整栏!B35="戏法",0,自定义调整栏!B35))</f>
        <v/>
      </c>
      <c r="C847" s="117" t="str">
        <f>IF(自定义调整栏!C35="","",自定义调整栏!E35)</f>
        <v/>
      </c>
      <c r="D847" s="117" t="str">
        <f>IF(自定义调整栏!N35="","",自定义调整栏!N35)</f>
        <v/>
      </c>
      <c r="E847" s="117" t="str">
        <f>IF(自定义调整栏!M35="","",自定义调整栏!M35)</f>
        <v/>
      </c>
      <c r="F847" s="119" t="str">
        <f>IF(自定义调整栏!F35="","",自定义调整栏!F35)</f>
        <v/>
      </c>
      <c r="G847" s="117" t="str">
        <f>IF(自定义调整栏!D35="","",自定义调整栏!D35)</f>
        <v/>
      </c>
      <c r="H847" s="117" t="str">
        <f>IF(自定义调整栏!G35="","",自定义调整栏!G35)</f>
        <v/>
      </c>
      <c r="I847" s="117" t="str">
        <f>IF(自定义调整栏!H35="","",自定义调整栏!H35)</f>
        <v/>
      </c>
      <c r="J847" s="117" t="str">
        <f>IF(自定义调整栏!I35="","",自定义调整栏!I35)</f>
        <v/>
      </c>
      <c r="K847" s="120" t="str">
        <f>IF(自定义调整栏!J35="","",自定义调整栏!J35)</f>
        <v/>
      </c>
      <c r="L847" s="121" t="str">
        <f>IF(自定义调整栏!K35="","",自定义调整栏!K35)</f>
        <v/>
      </c>
      <c r="M847" s="122" t="str">
        <f>IF(自定义调整栏!L35="","",自定义调整栏!L35)</f>
        <v/>
      </c>
      <c r="N847" s="120" t="s">
        <v>10475</v>
      </c>
      <c r="Z847" s="192" t="s">
        <v>10476</v>
      </c>
      <c r="AA847" s="191"/>
    </row>
    <row r="848" customHeight="1" spans="1:27">
      <c r="A848" s="184" t="str">
        <f>IF(自定义调整栏!C36="","",自定义调整栏!C36)</f>
        <v/>
      </c>
      <c r="B848" s="117" t="str">
        <f>IF(自定义调整栏!C36="","",IF(自定义调整栏!B36="戏法",0,自定义调整栏!B36))</f>
        <v/>
      </c>
      <c r="C848" s="117" t="str">
        <f>IF(自定义调整栏!C36="","",自定义调整栏!E36)</f>
        <v/>
      </c>
      <c r="D848" s="117" t="str">
        <f>IF(自定义调整栏!N36="","",自定义调整栏!N36)</f>
        <v/>
      </c>
      <c r="E848" s="117" t="str">
        <f>IF(自定义调整栏!M36="","",自定义调整栏!M36)</f>
        <v/>
      </c>
      <c r="F848" s="119" t="str">
        <f>IF(自定义调整栏!F36="","",自定义调整栏!F36)</f>
        <v/>
      </c>
      <c r="G848" s="117" t="str">
        <f>IF(自定义调整栏!D36="","",自定义调整栏!D36)</f>
        <v/>
      </c>
      <c r="H848" s="117" t="str">
        <f>IF(自定义调整栏!G36="","",自定义调整栏!G36)</f>
        <v/>
      </c>
      <c r="I848" s="117" t="str">
        <f>IF(自定义调整栏!H36="","",自定义调整栏!H36)</f>
        <v/>
      </c>
      <c r="J848" s="117" t="str">
        <f>IF(自定义调整栏!I36="","",自定义调整栏!I36)</f>
        <v/>
      </c>
      <c r="K848" s="120" t="str">
        <f>IF(自定义调整栏!J36="","",自定义调整栏!J36)</f>
        <v/>
      </c>
      <c r="L848" s="121" t="str">
        <f>IF(自定义调整栏!K36="","",自定义调整栏!K36)</f>
        <v/>
      </c>
      <c r="M848" s="122" t="str">
        <f>IF(自定义调整栏!L36="","",自定义调整栏!L36)</f>
        <v/>
      </c>
      <c r="N848" s="120" t="s">
        <v>10475</v>
      </c>
      <c r="Z848" s="192" t="s">
        <v>10476</v>
      </c>
      <c r="AA848" s="191"/>
    </row>
    <row r="849" customHeight="1" spans="1:27">
      <c r="A849" s="184" t="str">
        <f>IF(自定义调整栏!C37="","",自定义调整栏!C37)</f>
        <v/>
      </c>
      <c r="B849" s="117" t="str">
        <f>IF(自定义调整栏!C37="","",IF(自定义调整栏!B37="戏法",0,自定义调整栏!B37))</f>
        <v/>
      </c>
      <c r="C849" s="117" t="str">
        <f>IF(自定义调整栏!C37="","",自定义调整栏!E37)</f>
        <v/>
      </c>
      <c r="D849" s="117" t="str">
        <f>IF(自定义调整栏!N37="","",自定义调整栏!N37)</f>
        <v/>
      </c>
      <c r="E849" s="117" t="str">
        <f>IF(自定义调整栏!M37="","",自定义调整栏!M37)</f>
        <v/>
      </c>
      <c r="F849" s="119" t="str">
        <f>IF(自定义调整栏!F37="","",自定义调整栏!F37)</f>
        <v/>
      </c>
      <c r="G849" s="117" t="str">
        <f>IF(自定义调整栏!D37="","",自定义调整栏!D37)</f>
        <v/>
      </c>
      <c r="H849" s="117" t="str">
        <f>IF(自定义调整栏!G37="","",自定义调整栏!G37)</f>
        <v/>
      </c>
      <c r="I849" s="117" t="str">
        <f>IF(自定义调整栏!H37="","",自定义调整栏!H37)</f>
        <v/>
      </c>
      <c r="J849" s="117" t="str">
        <f>IF(自定义调整栏!I37="","",自定义调整栏!I37)</f>
        <v/>
      </c>
      <c r="K849" s="120" t="str">
        <f>IF(自定义调整栏!J37="","",自定义调整栏!J37)</f>
        <v/>
      </c>
      <c r="L849" s="121" t="str">
        <f>IF(自定义调整栏!K37="","",自定义调整栏!K37)</f>
        <v/>
      </c>
      <c r="M849" s="122" t="str">
        <f>IF(自定义调整栏!L37="","",自定义调整栏!L37)</f>
        <v/>
      </c>
      <c r="N849" s="120" t="s">
        <v>10475</v>
      </c>
      <c r="Z849" s="192" t="s">
        <v>10476</v>
      </c>
      <c r="AA849" s="191"/>
    </row>
    <row r="850" customHeight="1" spans="1:27">
      <c r="A850" s="184" t="str">
        <f>IF(自定义调整栏!C38="","",自定义调整栏!C38)</f>
        <v/>
      </c>
      <c r="B850" s="117" t="str">
        <f>IF(自定义调整栏!C38="","",IF(自定义调整栏!B38="戏法",0,自定义调整栏!B38))</f>
        <v/>
      </c>
      <c r="C850" s="117" t="str">
        <f>IF(自定义调整栏!C38="","",自定义调整栏!E38)</f>
        <v/>
      </c>
      <c r="D850" s="117" t="str">
        <f>IF(自定义调整栏!N38="","",自定义调整栏!N38)</f>
        <v/>
      </c>
      <c r="E850" s="117" t="str">
        <f>IF(自定义调整栏!M38="","",自定义调整栏!M38)</f>
        <v/>
      </c>
      <c r="F850" s="119" t="str">
        <f>IF(自定义调整栏!F38="","",自定义调整栏!F38)</f>
        <v/>
      </c>
      <c r="G850" s="117" t="str">
        <f>IF(自定义调整栏!D38="","",自定义调整栏!D38)</f>
        <v/>
      </c>
      <c r="H850" s="117" t="str">
        <f>IF(自定义调整栏!G38="","",自定义调整栏!G38)</f>
        <v/>
      </c>
      <c r="I850" s="117" t="str">
        <f>IF(自定义调整栏!H38="","",自定义调整栏!H38)</f>
        <v/>
      </c>
      <c r="J850" s="117" t="str">
        <f>IF(自定义调整栏!I38="","",自定义调整栏!I38)</f>
        <v/>
      </c>
      <c r="K850" s="120" t="str">
        <f>IF(自定义调整栏!J38="","",自定义调整栏!J38)</f>
        <v/>
      </c>
      <c r="L850" s="121" t="str">
        <f>IF(自定义调整栏!K38="","",自定义调整栏!K38)</f>
        <v/>
      </c>
      <c r="M850" s="122" t="str">
        <f>IF(自定义调整栏!L38="","",自定义调整栏!L38)</f>
        <v/>
      </c>
      <c r="N850" s="120" t="s">
        <v>10475</v>
      </c>
      <c r="Z850" s="192" t="s">
        <v>10476</v>
      </c>
      <c r="AA850" s="191"/>
    </row>
    <row r="851" customHeight="1" spans="1:27">
      <c r="A851" s="184" t="str">
        <f>IF(自定义调整栏!C39="","",自定义调整栏!C39)</f>
        <v/>
      </c>
      <c r="B851" s="117" t="str">
        <f>IF(自定义调整栏!C39="","",IF(自定义调整栏!B39="戏法",0,自定义调整栏!B39))</f>
        <v/>
      </c>
      <c r="C851" s="117" t="str">
        <f>IF(自定义调整栏!C39="","",自定义调整栏!E39)</f>
        <v/>
      </c>
      <c r="D851" s="117" t="str">
        <f>IF(自定义调整栏!N39="","",自定义调整栏!N39)</f>
        <v/>
      </c>
      <c r="E851" s="117" t="str">
        <f>IF(自定义调整栏!M39="","",自定义调整栏!M39)</f>
        <v/>
      </c>
      <c r="F851" s="119" t="str">
        <f>IF(自定义调整栏!F39="","",自定义调整栏!F39)</f>
        <v/>
      </c>
      <c r="G851" s="117" t="str">
        <f>IF(自定义调整栏!D39="","",自定义调整栏!D39)</f>
        <v/>
      </c>
      <c r="H851" s="117" t="str">
        <f>IF(自定义调整栏!G39="","",自定义调整栏!G39)</f>
        <v/>
      </c>
      <c r="I851" s="117" t="str">
        <f>IF(自定义调整栏!H39="","",自定义调整栏!H39)</f>
        <v/>
      </c>
      <c r="J851" s="117" t="str">
        <f>IF(自定义调整栏!I39="","",自定义调整栏!I39)</f>
        <v/>
      </c>
      <c r="K851" s="120" t="str">
        <f>IF(自定义调整栏!J39="","",自定义调整栏!J39)</f>
        <v/>
      </c>
      <c r="L851" s="121" t="str">
        <f>IF(自定义调整栏!K39="","",自定义调整栏!K39)</f>
        <v/>
      </c>
      <c r="M851" s="122" t="str">
        <f>IF(自定义调整栏!L39="","",自定义调整栏!L39)</f>
        <v/>
      </c>
      <c r="N851" s="120" t="s">
        <v>10475</v>
      </c>
      <c r="Z851" s="192" t="s">
        <v>10476</v>
      </c>
      <c r="AA851" s="191"/>
    </row>
    <row r="852" customHeight="1" spans="1:27">
      <c r="A852" s="184" t="str">
        <f>IF(自定义调整栏!C40="","",自定义调整栏!C40)</f>
        <v/>
      </c>
      <c r="B852" s="117" t="str">
        <f>IF(自定义调整栏!C40="","",IF(自定义调整栏!B40="戏法",0,自定义调整栏!B40))</f>
        <v/>
      </c>
      <c r="C852" s="117" t="str">
        <f>IF(自定义调整栏!C40="","",自定义调整栏!E40)</f>
        <v/>
      </c>
      <c r="D852" s="117" t="str">
        <f>IF(自定义调整栏!N40="","",自定义调整栏!N40)</f>
        <v/>
      </c>
      <c r="E852" s="117" t="str">
        <f>IF(自定义调整栏!M40="","",自定义调整栏!M40)</f>
        <v/>
      </c>
      <c r="F852" s="119" t="str">
        <f>IF(自定义调整栏!F40="","",自定义调整栏!F40)</f>
        <v/>
      </c>
      <c r="G852" s="117" t="str">
        <f>IF(自定义调整栏!D40="","",自定义调整栏!D40)</f>
        <v/>
      </c>
      <c r="H852" s="117" t="str">
        <f>IF(自定义调整栏!G40="","",自定义调整栏!G40)</f>
        <v/>
      </c>
      <c r="I852" s="117" t="str">
        <f>IF(自定义调整栏!H40="","",自定义调整栏!H40)</f>
        <v/>
      </c>
      <c r="J852" s="117" t="str">
        <f>IF(自定义调整栏!I40="","",自定义调整栏!I40)</f>
        <v/>
      </c>
      <c r="K852" s="120" t="str">
        <f>IF(自定义调整栏!J40="","",自定义调整栏!J40)</f>
        <v/>
      </c>
      <c r="L852" s="121" t="str">
        <f>IF(自定义调整栏!K40="","",自定义调整栏!K40)</f>
        <v/>
      </c>
      <c r="M852" s="122" t="str">
        <f>IF(自定义调整栏!L40="","",自定义调整栏!L40)</f>
        <v/>
      </c>
      <c r="N852" s="120" t="s">
        <v>10475</v>
      </c>
      <c r="Z852" s="192" t="s">
        <v>10476</v>
      </c>
      <c r="AA852" s="191"/>
    </row>
    <row r="853" customHeight="1" spans="1:27">
      <c r="A853" s="184" t="str">
        <f>IF(自定义调整栏!C41="","",自定义调整栏!C41)</f>
        <v/>
      </c>
      <c r="B853" s="117" t="str">
        <f>IF(自定义调整栏!C41="","",IF(自定义调整栏!B41="戏法",0,自定义调整栏!B41))</f>
        <v/>
      </c>
      <c r="C853" s="117" t="str">
        <f>IF(自定义调整栏!C41="","",自定义调整栏!E41)</f>
        <v/>
      </c>
      <c r="D853" s="117" t="str">
        <f>IF(自定义调整栏!N41="","",自定义调整栏!N41)</f>
        <v/>
      </c>
      <c r="E853" s="117" t="str">
        <f>IF(自定义调整栏!M41="","",自定义调整栏!M41)</f>
        <v/>
      </c>
      <c r="F853" s="119" t="str">
        <f>IF(自定义调整栏!F41="","",自定义调整栏!F41)</f>
        <v/>
      </c>
      <c r="G853" s="117" t="str">
        <f>IF(自定义调整栏!D41="","",自定义调整栏!D41)</f>
        <v/>
      </c>
      <c r="H853" s="117" t="str">
        <f>IF(自定义调整栏!G41="","",自定义调整栏!G41)</f>
        <v/>
      </c>
      <c r="I853" s="117" t="str">
        <f>IF(自定义调整栏!H41="","",自定义调整栏!H41)</f>
        <v/>
      </c>
      <c r="J853" s="117" t="str">
        <f>IF(自定义调整栏!I41="","",自定义调整栏!I41)</f>
        <v/>
      </c>
      <c r="K853" s="120" t="str">
        <f>IF(自定义调整栏!J41="","",自定义调整栏!J41)</f>
        <v/>
      </c>
      <c r="L853" s="121" t="str">
        <f>IF(自定义调整栏!K41="","",自定义调整栏!K41)</f>
        <v/>
      </c>
      <c r="M853" s="122" t="str">
        <f>IF(自定义调整栏!L41="","",自定义调整栏!L41)</f>
        <v/>
      </c>
      <c r="N853" s="120" t="s">
        <v>10475</v>
      </c>
      <c r="Z853" s="192" t="s">
        <v>10476</v>
      </c>
      <c r="AA853" s="191"/>
    </row>
    <row r="854" customHeight="1" spans="1:27">
      <c r="A854" s="184" t="str">
        <f>IF(自定义调整栏!C42="","",自定义调整栏!C42)</f>
        <v/>
      </c>
      <c r="B854" s="117" t="str">
        <f>IF(自定义调整栏!C42="","",IF(自定义调整栏!B42="戏法",0,自定义调整栏!B42))</f>
        <v/>
      </c>
      <c r="C854" s="117" t="str">
        <f>IF(自定义调整栏!C42="","",自定义调整栏!E42)</f>
        <v/>
      </c>
      <c r="D854" s="117" t="str">
        <f>IF(自定义调整栏!N42="","",自定义调整栏!N42)</f>
        <v/>
      </c>
      <c r="E854" s="117" t="str">
        <f>IF(自定义调整栏!M42="","",自定义调整栏!M42)</f>
        <v/>
      </c>
      <c r="F854" s="119" t="str">
        <f>IF(自定义调整栏!F42="","",自定义调整栏!F42)</f>
        <v/>
      </c>
      <c r="G854" s="117" t="str">
        <f>IF(自定义调整栏!D42="","",自定义调整栏!D42)</f>
        <v/>
      </c>
      <c r="H854" s="117" t="str">
        <f>IF(自定义调整栏!G42="","",自定义调整栏!G42)</f>
        <v/>
      </c>
      <c r="I854" s="117" t="str">
        <f>IF(自定义调整栏!H42="","",自定义调整栏!H42)</f>
        <v/>
      </c>
      <c r="J854" s="117" t="str">
        <f>IF(自定义调整栏!I42="","",自定义调整栏!I42)</f>
        <v/>
      </c>
      <c r="K854" s="120" t="str">
        <f>IF(自定义调整栏!J42="","",自定义调整栏!J42)</f>
        <v/>
      </c>
      <c r="L854" s="121" t="str">
        <f>IF(自定义调整栏!K42="","",自定义调整栏!K42)</f>
        <v/>
      </c>
      <c r="M854" s="122" t="str">
        <f>IF(自定义调整栏!L42="","",自定义调整栏!L42)</f>
        <v/>
      </c>
      <c r="N854" s="120" t="s">
        <v>10475</v>
      </c>
      <c r="Z854" s="192" t="s">
        <v>10476</v>
      </c>
      <c r="AA854" s="191"/>
    </row>
    <row r="855" customHeight="1" spans="1:27">
      <c r="A855" s="184" t="str">
        <f>IF(自定义调整栏!C43="","",自定义调整栏!C43)</f>
        <v/>
      </c>
      <c r="B855" s="117" t="str">
        <f>IF(自定义调整栏!C43="","",IF(自定义调整栏!B43="戏法",0,自定义调整栏!B43))</f>
        <v/>
      </c>
      <c r="C855" s="117" t="str">
        <f>IF(自定义调整栏!C43="","",自定义调整栏!E43)</f>
        <v/>
      </c>
      <c r="D855" s="117" t="str">
        <f>IF(自定义调整栏!N43="","",自定义调整栏!N43)</f>
        <v/>
      </c>
      <c r="E855" s="117" t="str">
        <f>IF(自定义调整栏!M43="","",自定义调整栏!M43)</f>
        <v/>
      </c>
      <c r="F855" s="119" t="str">
        <f>IF(自定义调整栏!F43="","",自定义调整栏!F43)</f>
        <v/>
      </c>
      <c r="G855" s="117" t="str">
        <f>IF(自定义调整栏!D43="","",自定义调整栏!D43)</f>
        <v/>
      </c>
      <c r="H855" s="117" t="str">
        <f>IF(自定义调整栏!G43="","",自定义调整栏!G43)</f>
        <v/>
      </c>
      <c r="I855" s="117" t="str">
        <f>IF(自定义调整栏!H43="","",自定义调整栏!H43)</f>
        <v/>
      </c>
      <c r="J855" s="117" t="str">
        <f>IF(自定义调整栏!I43="","",自定义调整栏!I43)</f>
        <v/>
      </c>
      <c r="K855" s="120" t="str">
        <f>IF(自定义调整栏!J43="","",自定义调整栏!J43)</f>
        <v/>
      </c>
      <c r="L855" s="121" t="str">
        <f>IF(自定义调整栏!K43="","",自定义调整栏!K43)</f>
        <v/>
      </c>
      <c r="M855" s="122" t="str">
        <f>IF(自定义调整栏!L43="","",自定义调整栏!L43)</f>
        <v/>
      </c>
      <c r="N855" s="120" t="s">
        <v>10475</v>
      </c>
      <c r="Z855" s="192" t="s">
        <v>10476</v>
      </c>
      <c r="AA855" s="191"/>
    </row>
    <row r="856" customHeight="1" spans="1:27">
      <c r="A856" s="184" t="str">
        <f>IF(自定义调整栏!C44="","",自定义调整栏!C44)</f>
        <v/>
      </c>
      <c r="B856" s="117" t="str">
        <f>IF(自定义调整栏!C44="","",IF(自定义调整栏!B44="戏法",0,自定义调整栏!B44))</f>
        <v/>
      </c>
      <c r="C856" s="117" t="str">
        <f>IF(自定义调整栏!C44="","",自定义调整栏!E44)</f>
        <v/>
      </c>
      <c r="D856" s="117" t="str">
        <f>IF(自定义调整栏!N44="","",自定义调整栏!N44)</f>
        <v/>
      </c>
      <c r="E856" s="117" t="str">
        <f>IF(自定义调整栏!M44="","",自定义调整栏!M44)</f>
        <v/>
      </c>
      <c r="F856" s="119" t="str">
        <f>IF(自定义调整栏!F44="","",自定义调整栏!F44)</f>
        <v/>
      </c>
      <c r="G856" s="117" t="str">
        <f>IF(自定义调整栏!D44="","",自定义调整栏!D44)</f>
        <v/>
      </c>
      <c r="H856" s="117" t="str">
        <f>IF(自定义调整栏!G44="","",自定义调整栏!G44)</f>
        <v/>
      </c>
      <c r="I856" s="117" t="str">
        <f>IF(自定义调整栏!H44="","",自定义调整栏!H44)</f>
        <v/>
      </c>
      <c r="J856" s="117" t="str">
        <f>IF(自定义调整栏!I44="","",自定义调整栏!I44)</f>
        <v/>
      </c>
      <c r="K856" s="120" t="str">
        <f>IF(自定义调整栏!J44="","",自定义调整栏!J44)</f>
        <v/>
      </c>
      <c r="L856" s="121" t="str">
        <f>IF(自定义调整栏!K44="","",自定义调整栏!K44)</f>
        <v/>
      </c>
      <c r="M856" s="122" t="str">
        <f>IF(自定义调整栏!L44="","",自定义调整栏!L44)</f>
        <v/>
      </c>
      <c r="N856" s="120" t="s">
        <v>10475</v>
      </c>
      <c r="Z856" s="192" t="s">
        <v>10476</v>
      </c>
      <c r="AA856" s="191"/>
    </row>
    <row r="857" customHeight="1" spans="1:27">
      <c r="A857" s="184" t="str">
        <f>IF(自定义调整栏!C45="","",自定义调整栏!C45)</f>
        <v/>
      </c>
      <c r="B857" s="117" t="str">
        <f>IF(自定义调整栏!C45="","",IF(自定义调整栏!B45="戏法",0,自定义调整栏!B45))</f>
        <v/>
      </c>
      <c r="C857" s="117" t="str">
        <f>IF(自定义调整栏!C45="","",自定义调整栏!E45)</f>
        <v/>
      </c>
      <c r="D857" s="117" t="str">
        <f>IF(自定义调整栏!N45="","",自定义调整栏!N45)</f>
        <v/>
      </c>
      <c r="E857" s="117" t="str">
        <f>IF(自定义调整栏!M45="","",自定义调整栏!M45)</f>
        <v/>
      </c>
      <c r="F857" s="119" t="str">
        <f>IF(自定义调整栏!F45="","",自定义调整栏!F45)</f>
        <v/>
      </c>
      <c r="G857" s="117" t="str">
        <f>IF(自定义调整栏!D45="","",自定义调整栏!D45)</f>
        <v/>
      </c>
      <c r="H857" s="117" t="str">
        <f>IF(自定义调整栏!G45="","",自定义调整栏!G45)</f>
        <v/>
      </c>
      <c r="I857" s="117" t="str">
        <f>IF(自定义调整栏!H45="","",自定义调整栏!H45)</f>
        <v/>
      </c>
      <c r="J857" s="117" t="str">
        <f>IF(自定义调整栏!I45="","",自定义调整栏!I45)</f>
        <v/>
      </c>
      <c r="K857" s="120" t="str">
        <f>IF(自定义调整栏!J45="","",自定义调整栏!J45)</f>
        <v/>
      </c>
      <c r="L857" s="121" t="str">
        <f>IF(自定义调整栏!K45="","",自定义调整栏!K45)</f>
        <v/>
      </c>
      <c r="M857" s="122" t="str">
        <f>IF(自定义调整栏!L45="","",自定义调整栏!L45)</f>
        <v/>
      </c>
      <c r="N857" s="120" t="s">
        <v>10475</v>
      </c>
      <c r="Z857" s="192" t="s">
        <v>10476</v>
      </c>
      <c r="AA857" s="191"/>
    </row>
    <row r="858" customHeight="1" spans="1:27">
      <c r="A858" s="184" t="str">
        <f>IF(自定义调整栏!C46="","",自定义调整栏!C46)</f>
        <v/>
      </c>
      <c r="B858" s="117" t="str">
        <f>IF(自定义调整栏!C46="","",IF(自定义调整栏!B46="戏法",0,自定义调整栏!B46))</f>
        <v/>
      </c>
      <c r="C858" s="117" t="str">
        <f>IF(自定义调整栏!C46="","",自定义调整栏!E46)</f>
        <v/>
      </c>
      <c r="D858" s="117" t="str">
        <f>IF(自定义调整栏!N46="","",自定义调整栏!N46)</f>
        <v/>
      </c>
      <c r="E858" s="117" t="str">
        <f>IF(自定义调整栏!M46="","",自定义调整栏!M46)</f>
        <v/>
      </c>
      <c r="F858" s="119" t="str">
        <f>IF(自定义调整栏!F46="","",自定义调整栏!F46)</f>
        <v/>
      </c>
      <c r="G858" s="117" t="str">
        <f>IF(自定义调整栏!D46="","",自定义调整栏!D46)</f>
        <v/>
      </c>
      <c r="H858" s="117" t="str">
        <f>IF(自定义调整栏!G46="","",自定义调整栏!G46)</f>
        <v/>
      </c>
      <c r="I858" s="117" t="str">
        <f>IF(自定义调整栏!H46="","",自定义调整栏!H46)</f>
        <v/>
      </c>
      <c r="J858" s="117" t="str">
        <f>IF(自定义调整栏!I46="","",自定义调整栏!I46)</f>
        <v/>
      </c>
      <c r="K858" s="120" t="str">
        <f>IF(自定义调整栏!J46="","",自定义调整栏!J46)</f>
        <v/>
      </c>
      <c r="L858" s="121" t="str">
        <f>IF(自定义调整栏!K46="","",自定义调整栏!K46)</f>
        <v/>
      </c>
      <c r="M858" s="122" t="str">
        <f>IF(自定义调整栏!L46="","",自定义调整栏!L46)</f>
        <v/>
      </c>
      <c r="N858" s="120" t="s">
        <v>10475</v>
      </c>
      <c r="Z858" s="192" t="s">
        <v>10476</v>
      </c>
      <c r="AA858" s="191"/>
    </row>
    <row r="859" customHeight="1" spans="1:27">
      <c r="A859" s="184" t="str">
        <f>IF(自定义调整栏!C47="","",自定义调整栏!C47)</f>
        <v/>
      </c>
      <c r="B859" s="117" t="str">
        <f>IF(自定义调整栏!C47="","",IF(自定义调整栏!B47="戏法",0,自定义调整栏!B47))</f>
        <v/>
      </c>
      <c r="C859" s="117" t="str">
        <f>IF(自定义调整栏!C47="","",自定义调整栏!E47)</f>
        <v/>
      </c>
      <c r="D859" s="117" t="str">
        <f>IF(自定义调整栏!N47="","",自定义调整栏!N47)</f>
        <v/>
      </c>
      <c r="E859" s="117" t="str">
        <f>IF(自定义调整栏!M47="","",自定义调整栏!M47)</f>
        <v/>
      </c>
      <c r="F859" s="119" t="str">
        <f>IF(自定义调整栏!F47="","",自定义调整栏!F47)</f>
        <v/>
      </c>
      <c r="G859" s="117" t="str">
        <f>IF(自定义调整栏!D47="","",自定义调整栏!D47)</f>
        <v/>
      </c>
      <c r="H859" s="117" t="str">
        <f>IF(自定义调整栏!G47="","",自定义调整栏!G47)</f>
        <v/>
      </c>
      <c r="I859" s="117" t="str">
        <f>IF(自定义调整栏!H47="","",自定义调整栏!H47)</f>
        <v/>
      </c>
      <c r="J859" s="117" t="str">
        <f>IF(自定义调整栏!I47="","",自定义调整栏!I47)</f>
        <v/>
      </c>
      <c r="K859" s="120" t="str">
        <f>IF(自定义调整栏!J47="","",自定义调整栏!J47)</f>
        <v/>
      </c>
      <c r="L859" s="121" t="str">
        <f>IF(自定义调整栏!K47="","",自定义调整栏!K47)</f>
        <v/>
      </c>
      <c r="M859" s="122" t="str">
        <f>IF(自定义调整栏!L47="","",自定义调整栏!L47)</f>
        <v/>
      </c>
      <c r="N859" s="120" t="s">
        <v>10475</v>
      </c>
      <c r="Z859" s="192" t="s">
        <v>10476</v>
      </c>
      <c r="AA859" s="191"/>
    </row>
    <row r="860" customHeight="1" spans="1:27">
      <c r="A860" s="184" t="str">
        <f>IF(自定义调整栏!C48="","",自定义调整栏!C48)</f>
        <v/>
      </c>
      <c r="B860" s="117" t="str">
        <f>IF(自定义调整栏!C48="","",IF(自定义调整栏!B48="戏法",0,自定义调整栏!B48))</f>
        <v/>
      </c>
      <c r="C860" s="117" t="str">
        <f>IF(自定义调整栏!C48="","",自定义调整栏!E48)</f>
        <v/>
      </c>
      <c r="D860" s="117" t="str">
        <f>IF(自定义调整栏!N48="","",自定义调整栏!N48)</f>
        <v/>
      </c>
      <c r="E860" s="117" t="str">
        <f>IF(自定义调整栏!M48="","",自定义调整栏!M48)</f>
        <v/>
      </c>
      <c r="F860" s="119" t="str">
        <f>IF(自定义调整栏!F48="","",自定义调整栏!F48)</f>
        <v/>
      </c>
      <c r="G860" s="117" t="str">
        <f>IF(自定义调整栏!D48="","",自定义调整栏!D48)</f>
        <v/>
      </c>
      <c r="H860" s="117" t="str">
        <f>IF(自定义调整栏!G48="","",自定义调整栏!G48)</f>
        <v/>
      </c>
      <c r="I860" s="117" t="str">
        <f>IF(自定义调整栏!H48="","",自定义调整栏!H48)</f>
        <v/>
      </c>
      <c r="J860" s="117" t="str">
        <f>IF(自定义调整栏!I48="","",自定义调整栏!I48)</f>
        <v/>
      </c>
      <c r="K860" s="120" t="str">
        <f>IF(自定义调整栏!J48="","",自定义调整栏!J48)</f>
        <v/>
      </c>
      <c r="L860" s="121" t="str">
        <f>IF(自定义调整栏!K48="","",自定义调整栏!K48)</f>
        <v/>
      </c>
      <c r="M860" s="122" t="str">
        <f>IF(自定义调整栏!L48="","",自定义调整栏!L48)</f>
        <v/>
      </c>
      <c r="N860" s="120" t="s">
        <v>10475</v>
      </c>
      <c r="Z860" s="192" t="s">
        <v>10476</v>
      </c>
      <c r="AA860" s="191"/>
    </row>
    <row r="861" customHeight="1" spans="1:27">
      <c r="A861" s="184" t="str">
        <f>IF(自定义调整栏!C49="","",自定义调整栏!C49)</f>
        <v/>
      </c>
      <c r="B861" s="117" t="str">
        <f>IF(自定义调整栏!C49="","",IF(自定义调整栏!B49="戏法",0,自定义调整栏!B49))</f>
        <v/>
      </c>
      <c r="C861" s="117" t="str">
        <f>IF(自定义调整栏!C49="","",自定义调整栏!E49)</f>
        <v/>
      </c>
      <c r="D861" s="117" t="str">
        <f>IF(自定义调整栏!N49="","",自定义调整栏!N49)</f>
        <v/>
      </c>
      <c r="E861" s="117" t="str">
        <f>IF(自定义调整栏!M49="","",自定义调整栏!M49)</f>
        <v/>
      </c>
      <c r="F861" s="119" t="str">
        <f>IF(自定义调整栏!F49="","",自定义调整栏!F49)</f>
        <v/>
      </c>
      <c r="G861" s="117" t="str">
        <f>IF(自定义调整栏!D49="","",自定义调整栏!D49)</f>
        <v/>
      </c>
      <c r="H861" s="117" t="str">
        <f>IF(自定义调整栏!G49="","",自定义调整栏!G49)</f>
        <v/>
      </c>
      <c r="I861" s="117" t="str">
        <f>IF(自定义调整栏!H49="","",自定义调整栏!H49)</f>
        <v/>
      </c>
      <c r="J861" s="117" t="str">
        <f>IF(自定义调整栏!I49="","",自定义调整栏!I49)</f>
        <v/>
      </c>
      <c r="K861" s="120" t="str">
        <f>IF(自定义调整栏!J49="","",自定义调整栏!J49)</f>
        <v/>
      </c>
      <c r="L861" s="121" t="str">
        <f>IF(自定义调整栏!K49="","",自定义调整栏!K49)</f>
        <v/>
      </c>
      <c r="M861" s="122" t="str">
        <f>IF(自定义调整栏!L49="","",自定义调整栏!L49)</f>
        <v/>
      </c>
      <c r="N861" s="120" t="s">
        <v>10475</v>
      </c>
      <c r="Z861" s="192" t="s">
        <v>10476</v>
      </c>
      <c r="AA861" s="191"/>
    </row>
    <row r="862" customHeight="1" spans="1:27">
      <c r="A862" s="184" t="str">
        <f>IF(自定义调整栏!C50="","",自定义调整栏!C50)</f>
        <v/>
      </c>
      <c r="B862" s="117" t="str">
        <f>IF(自定义调整栏!C50="","",IF(自定义调整栏!B50="戏法",0,自定义调整栏!B50))</f>
        <v/>
      </c>
      <c r="C862" s="117" t="str">
        <f>IF(自定义调整栏!C50="","",自定义调整栏!E50)</f>
        <v/>
      </c>
      <c r="D862" s="117" t="str">
        <f>IF(自定义调整栏!N50="","",自定义调整栏!N50)</f>
        <v/>
      </c>
      <c r="E862" s="117" t="str">
        <f>IF(自定义调整栏!M50="","",自定义调整栏!M50)</f>
        <v/>
      </c>
      <c r="F862" s="119" t="str">
        <f>IF(自定义调整栏!F50="","",自定义调整栏!F50)</f>
        <v/>
      </c>
      <c r="G862" s="117" t="str">
        <f>IF(自定义调整栏!D50="","",自定义调整栏!D50)</f>
        <v/>
      </c>
      <c r="H862" s="117" t="str">
        <f>IF(自定义调整栏!G50="","",自定义调整栏!G50)</f>
        <v/>
      </c>
      <c r="I862" s="117" t="str">
        <f>IF(自定义调整栏!H50="","",自定义调整栏!H50)</f>
        <v/>
      </c>
      <c r="J862" s="117" t="str">
        <f>IF(自定义调整栏!I50="","",自定义调整栏!I50)</f>
        <v/>
      </c>
      <c r="K862" s="120" t="str">
        <f>IF(自定义调整栏!J50="","",自定义调整栏!J50)</f>
        <v/>
      </c>
      <c r="L862" s="121" t="str">
        <f>IF(自定义调整栏!K50="","",自定义调整栏!K50)</f>
        <v/>
      </c>
      <c r="M862" s="122" t="str">
        <f>IF(自定义调整栏!L50="","",自定义调整栏!L50)</f>
        <v/>
      </c>
      <c r="N862" s="120" t="s">
        <v>10475</v>
      </c>
      <c r="Z862" s="192" t="s">
        <v>10476</v>
      </c>
      <c r="AA862" s="191"/>
    </row>
    <row r="863" customHeight="1" spans="1:27">
      <c r="A863" s="184" t="str">
        <f>IF(自定义调整栏!C51="","",自定义调整栏!C51)</f>
        <v/>
      </c>
      <c r="B863" s="117" t="str">
        <f>IF(自定义调整栏!C51="","",IF(自定义调整栏!B51="戏法",0,自定义调整栏!B51))</f>
        <v/>
      </c>
      <c r="C863" s="117" t="str">
        <f>IF(自定义调整栏!C51="","",自定义调整栏!E51)</f>
        <v/>
      </c>
      <c r="D863" s="117" t="str">
        <f>IF(自定义调整栏!N51="","",自定义调整栏!N51)</f>
        <v/>
      </c>
      <c r="E863" s="117" t="str">
        <f>IF(自定义调整栏!M51="","",自定义调整栏!M51)</f>
        <v/>
      </c>
      <c r="F863" s="119" t="str">
        <f>IF(自定义调整栏!F51="","",自定义调整栏!F51)</f>
        <v/>
      </c>
      <c r="G863" s="117" t="str">
        <f>IF(自定义调整栏!D51="","",自定义调整栏!D51)</f>
        <v/>
      </c>
      <c r="H863" s="117" t="str">
        <f>IF(自定义调整栏!G51="","",自定义调整栏!G51)</f>
        <v/>
      </c>
      <c r="I863" s="117" t="str">
        <f>IF(自定义调整栏!H51="","",自定义调整栏!H51)</f>
        <v/>
      </c>
      <c r="J863" s="117" t="str">
        <f>IF(自定义调整栏!I51="","",自定义调整栏!I51)</f>
        <v/>
      </c>
      <c r="K863" s="120" t="str">
        <f>IF(自定义调整栏!J51="","",自定义调整栏!J51)</f>
        <v/>
      </c>
      <c r="L863" s="121" t="str">
        <f>IF(自定义调整栏!K51="","",自定义调整栏!K51)</f>
        <v/>
      </c>
      <c r="M863" s="122" t="str">
        <f>IF(自定义调整栏!L51="","",自定义调整栏!L51)</f>
        <v/>
      </c>
      <c r="N863" s="120" t="s">
        <v>10475</v>
      </c>
      <c r="Z863" s="192" t="s">
        <v>10476</v>
      </c>
      <c r="AA863" s="191"/>
    </row>
    <row r="864" customHeight="1" spans="1:27">
      <c r="A864" s="193" t="str">
        <f>IF(自定义调整栏!C52="","",自定义调整栏!C52)</f>
        <v/>
      </c>
      <c r="B864" s="194" t="str">
        <f>IF(自定义调整栏!C52="","",IF(自定义调整栏!B52="戏法",0,自定义调整栏!B52))</f>
        <v/>
      </c>
      <c r="C864" s="194" t="str">
        <f>IF(自定义调整栏!C52="","",自定义调整栏!E52)</f>
        <v/>
      </c>
      <c r="D864" s="194" t="str">
        <f>IF(自定义调整栏!N52="","",自定义调整栏!N52)</f>
        <v/>
      </c>
      <c r="E864" s="194" t="str">
        <f>IF(自定义调整栏!M52="","",自定义调整栏!M52)</f>
        <v/>
      </c>
      <c r="F864" s="195" t="str">
        <f>IF(自定义调整栏!F52="","",自定义调整栏!F52)</f>
        <v/>
      </c>
      <c r="G864" s="194" t="str">
        <f>IF(自定义调整栏!D52="","",自定义调整栏!D52)</f>
        <v/>
      </c>
      <c r="H864" s="194" t="str">
        <f>IF(自定义调整栏!G52="","",自定义调整栏!G52)</f>
        <v/>
      </c>
      <c r="I864" s="194" t="str">
        <f>IF(自定义调整栏!H52="","",自定义调整栏!H52)</f>
        <v/>
      </c>
      <c r="J864" s="194" t="str">
        <f>IF(自定义调整栏!I52="","",自定义调整栏!I52)</f>
        <v/>
      </c>
      <c r="K864" s="198" t="str">
        <f>IF(自定义调整栏!J52="","",自定义调整栏!J52)</f>
        <v/>
      </c>
      <c r="L864" s="199" t="str">
        <f>IF(自定义调整栏!K52="","",自定义调整栏!K52)</f>
        <v/>
      </c>
      <c r="M864" s="200" t="str">
        <f>IF(自定义调整栏!L52="","",自定义调整栏!L52)</f>
        <v/>
      </c>
      <c r="N864" s="198" t="s">
        <v>10475</v>
      </c>
      <c r="O864" s="194"/>
      <c r="P864" s="194"/>
      <c r="Q864" s="194"/>
      <c r="R864" s="194"/>
      <c r="S864" s="194"/>
      <c r="T864" s="194"/>
      <c r="U864" s="194"/>
      <c r="V864" s="194"/>
      <c r="W864" s="194"/>
      <c r="X864" s="194"/>
      <c r="Y864" s="194"/>
      <c r="Z864" s="204" t="s">
        <v>10476</v>
      </c>
      <c r="AA864" s="191"/>
    </row>
    <row r="865" customHeight="1" spans="1:26">
      <c r="A865" s="196"/>
      <c r="B865" s="196"/>
      <c r="C865" s="196"/>
      <c r="D865" s="196"/>
      <c r="E865" s="196"/>
      <c r="F865" s="197"/>
      <c r="G865" s="196"/>
      <c r="H865" s="196"/>
      <c r="I865" s="196"/>
      <c r="J865" s="196"/>
      <c r="K865" s="201"/>
      <c r="L865" s="202"/>
      <c r="M865" s="203"/>
      <c r="N865" s="201"/>
      <c r="O865" s="196"/>
      <c r="P865" s="196"/>
      <c r="Q865" s="196"/>
      <c r="R865" s="196"/>
      <c r="S865" s="196"/>
      <c r="T865" s="196"/>
      <c r="U865" s="196"/>
      <c r="V865" s="196"/>
      <c r="W865" s="196"/>
      <c r="X865" s="196"/>
      <c r="Y865" s="196"/>
      <c r="Z865" s="205"/>
    </row>
  </sheetData>
  <autoFilter xmlns:etc="http://www.wps.cn/officeDocument/2017/etCustomData" ref="A2:Z865" etc:filterBottomFollowUsedRange="0">
    <extLst/>
  </autoFilter>
  <pageMargins left="0.7" right="0.7"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FFFFCC"/>
  </sheetPr>
  <dimension ref="A1:BI71"/>
  <sheetViews>
    <sheetView zoomScale="85" zoomScaleNormal="85" workbookViewId="0">
      <selection activeCell="G2" sqref="G2:J5"/>
    </sheetView>
  </sheetViews>
  <sheetFormatPr defaultColWidth="3.89090909090909" defaultRowHeight="21" customHeight="1"/>
  <cols>
    <col min="1" max="16384" width="3.89090909090909" style="106"/>
  </cols>
  <sheetData>
    <row r="1" customHeight="1" spans="1:61">
      <c r="A1" s="106" t="s">
        <v>10477</v>
      </c>
      <c r="L1" s="106" t="s">
        <v>10478</v>
      </c>
      <c r="AA1" s="106" t="s">
        <v>10479</v>
      </c>
      <c r="AI1" s="106" t="s">
        <v>10480</v>
      </c>
      <c r="AT1" s="106" t="s">
        <v>330</v>
      </c>
      <c r="AW1" s="110" t="s">
        <v>333</v>
      </c>
      <c r="AX1" s="110"/>
      <c r="AY1" s="110"/>
      <c r="AZ1" s="110" t="s">
        <v>10481</v>
      </c>
      <c r="BA1" s="110"/>
      <c r="BC1" s="106" t="s">
        <v>337</v>
      </c>
      <c r="BF1" s="106" t="s">
        <v>10482</v>
      </c>
      <c r="BI1" s="106" t="s">
        <v>340</v>
      </c>
    </row>
    <row r="2" customHeight="1" spans="2:61">
      <c r="B2" s="107"/>
      <c r="C2" s="107"/>
      <c r="D2" s="107"/>
      <c r="G2" s="108" t="s">
        <v>10483</v>
      </c>
      <c r="H2" s="108"/>
      <c r="I2" s="108"/>
      <c r="J2" s="108"/>
      <c r="N2" s="107"/>
      <c r="O2" s="107"/>
      <c r="P2" s="107"/>
      <c r="Q2" s="110"/>
      <c r="R2" s="110"/>
      <c r="AA2" s="107"/>
      <c r="AB2" s="107"/>
      <c r="AI2" s="106" t="s">
        <v>10484</v>
      </c>
      <c r="AQ2" s="111"/>
      <c r="AR2" s="112"/>
      <c r="AS2" s="112"/>
      <c r="AT2" s="112"/>
      <c r="AU2" s="113"/>
      <c r="AV2" s="113"/>
      <c r="AW2" s="113"/>
      <c r="AX2" s="114"/>
      <c r="AY2" s="114"/>
      <c r="AZ2" s="114"/>
      <c r="BA2" s="115"/>
      <c r="BB2" s="115"/>
      <c r="BC2" s="115"/>
      <c r="BD2" s="116"/>
      <c r="BE2" s="116"/>
      <c r="BF2" s="116"/>
      <c r="BG2" s="107"/>
      <c r="BH2" s="107"/>
      <c r="BI2" s="107"/>
    </row>
    <row r="3" customHeight="1" spans="1:61">
      <c r="A3" s="107"/>
      <c r="B3" s="107"/>
      <c r="C3" s="107"/>
      <c r="D3" s="107"/>
      <c r="E3" s="107"/>
      <c r="G3" s="108"/>
      <c r="H3" s="108"/>
      <c r="I3" s="108"/>
      <c r="J3" s="108"/>
      <c r="M3" s="107"/>
      <c r="N3" s="107"/>
      <c r="O3" s="107"/>
      <c r="P3" s="107"/>
      <c r="Q3" s="107"/>
      <c r="AA3" s="107"/>
      <c r="AB3" s="107"/>
      <c r="AL3" s="110"/>
      <c r="AR3" s="112"/>
      <c r="AS3" s="112"/>
      <c r="AT3" s="112"/>
      <c r="AU3" s="113"/>
      <c r="AV3" s="113"/>
      <c r="AW3" s="113"/>
      <c r="AX3" s="114"/>
      <c r="AY3" s="114"/>
      <c r="AZ3" s="114"/>
      <c r="BA3" s="115"/>
      <c r="BB3" s="115"/>
      <c r="BC3" s="115"/>
      <c r="BD3" s="116"/>
      <c r="BE3" s="116"/>
      <c r="BF3" s="116"/>
      <c r="BG3" s="107"/>
      <c r="BH3" s="107"/>
      <c r="BI3" s="107"/>
    </row>
    <row r="4" customHeight="1" spans="1:60">
      <c r="A4" s="107"/>
      <c r="B4" s="107"/>
      <c r="C4" s="109" t="s">
        <v>10485</v>
      </c>
      <c r="D4" s="107"/>
      <c r="E4" s="107"/>
      <c r="G4" s="108"/>
      <c r="H4" s="108"/>
      <c r="I4" s="108"/>
      <c r="J4" s="108"/>
      <c r="L4" s="107"/>
      <c r="M4" s="107"/>
      <c r="N4" s="107"/>
      <c r="O4" s="107"/>
      <c r="P4" s="107"/>
      <c r="Q4" s="107"/>
      <c r="R4" s="107"/>
      <c r="AI4" s="106" t="s">
        <v>10486</v>
      </c>
      <c r="AR4" s="110"/>
      <c r="AS4" s="112"/>
      <c r="AT4" s="113"/>
      <c r="AU4" s="113"/>
      <c r="AV4" s="113"/>
      <c r="AW4" s="114"/>
      <c r="AX4" s="114"/>
      <c r="AY4" s="114"/>
      <c r="AZ4" s="115"/>
      <c r="BA4" s="115"/>
      <c r="BB4" s="115"/>
      <c r="BC4" s="116"/>
      <c r="BD4" s="116"/>
      <c r="BE4" s="116"/>
      <c r="BF4" s="107"/>
      <c r="BG4" s="107"/>
      <c r="BH4" s="107"/>
    </row>
    <row r="5" customHeight="1" spans="1:60">
      <c r="A5" s="107"/>
      <c r="B5" s="107"/>
      <c r="C5" s="107"/>
      <c r="D5" s="107"/>
      <c r="E5" s="107"/>
      <c r="G5" s="108"/>
      <c r="H5" s="108"/>
      <c r="I5" s="108"/>
      <c r="J5" s="108"/>
      <c r="L5" s="107"/>
      <c r="M5" s="107"/>
      <c r="N5" s="107"/>
      <c r="O5" s="109" t="s">
        <v>10485</v>
      </c>
      <c r="P5" s="107"/>
      <c r="Q5" s="107"/>
      <c r="R5" s="107"/>
      <c r="AA5" s="106" t="s">
        <v>10487</v>
      </c>
      <c r="AI5" s="106" t="s">
        <v>10484</v>
      </c>
      <c r="AR5" s="110"/>
      <c r="AS5" s="110"/>
      <c r="AT5" s="113"/>
      <c r="AU5" s="113"/>
      <c r="AV5" s="113"/>
      <c r="AW5" s="114"/>
      <c r="AX5" s="114"/>
      <c r="AY5" s="114"/>
      <c r="AZ5" s="115"/>
      <c r="BA5" s="115"/>
      <c r="BB5" s="115"/>
      <c r="BC5" s="116"/>
      <c r="BD5" s="116"/>
      <c r="BE5" s="116"/>
      <c r="BF5" s="107"/>
      <c r="BG5" s="107"/>
      <c r="BH5" s="107"/>
    </row>
    <row r="6" customHeight="1" spans="2:59">
      <c r="B6" s="107"/>
      <c r="C6" s="107"/>
      <c r="D6" s="107"/>
      <c r="L6" s="107"/>
      <c r="M6" s="107"/>
      <c r="N6" s="107"/>
      <c r="O6" s="107"/>
      <c r="P6" s="107"/>
      <c r="Q6" s="107"/>
      <c r="R6" s="107"/>
      <c r="AB6" s="107"/>
      <c r="AC6" s="107"/>
      <c r="AR6" s="110"/>
      <c r="AS6" s="110"/>
      <c r="AT6" s="110"/>
      <c r="AU6" s="113"/>
      <c r="AV6" s="114"/>
      <c r="AW6" s="114"/>
      <c r="AX6" s="114"/>
      <c r="AY6" s="115"/>
      <c r="AZ6" s="115"/>
      <c r="BA6" s="115"/>
      <c r="BB6" s="116"/>
      <c r="BC6" s="116"/>
      <c r="BD6" s="116"/>
      <c r="BE6" s="107"/>
      <c r="BF6" s="107"/>
      <c r="BG6" s="107"/>
    </row>
    <row r="7" customHeight="1" spans="13:59">
      <c r="M7" s="107"/>
      <c r="N7" s="107"/>
      <c r="O7" s="107"/>
      <c r="P7" s="107"/>
      <c r="Q7" s="107"/>
      <c r="R7" s="110"/>
      <c r="AA7" s="107"/>
      <c r="AB7" s="107"/>
      <c r="AC7" s="107"/>
      <c r="AD7" s="107"/>
      <c r="AR7" s="110"/>
      <c r="AS7" s="110"/>
      <c r="AT7" s="110"/>
      <c r="AU7" s="110"/>
      <c r="AV7" s="114"/>
      <c r="AW7" s="114"/>
      <c r="AX7" s="114"/>
      <c r="AY7" s="115"/>
      <c r="AZ7" s="115"/>
      <c r="BA7" s="115"/>
      <c r="BB7" s="116"/>
      <c r="BC7" s="116"/>
      <c r="BD7" s="116"/>
      <c r="BE7" s="107"/>
      <c r="BF7" s="107"/>
      <c r="BG7" s="107"/>
    </row>
    <row r="8" customHeight="1" spans="1:58">
      <c r="A8" s="106" t="s">
        <v>10488</v>
      </c>
      <c r="N8" s="107"/>
      <c r="O8" s="107"/>
      <c r="P8" s="107"/>
      <c r="Q8" s="110"/>
      <c r="R8" s="110"/>
      <c r="AA8" s="107"/>
      <c r="AB8" s="107"/>
      <c r="AC8" s="107"/>
      <c r="AD8" s="107"/>
      <c r="AJ8" s="106" t="s">
        <v>10489</v>
      </c>
      <c r="AR8" s="110"/>
      <c r="AS8" s="110"/>
      <c r="AT8" s="110"/>
      <c r="AU8" s="110"/>
      <c r="AV8" s="110"/>
      <c r="AW8" s="114"/>
      <c r="AX8" s="115"/>
      <c r="AY8" s="115"/>
      <c r="AZ8" s="115"/>
      <c r="BA8" s="116"/>
      <c r="BB8" s="116"/>
      <c r="BC8" s="116"/>
      <c r="BD8" s="107"/>
      <c r="BE8" s="107"/>
      <c r="BF8" s="107"/>
    </row>
    <row r="9" customHeight="1" spans="2:58">
      <c r="B9" s="107"/>
      <c r="C9" s="107"/>
      <c r="D9" s="107"/>
      <c r="E9" s="107"/>
      <c r="AB9" s="107"/>
      <c r="AC9" s="107"/>
      <c r="AL9" s="107"/>
      <c r="AM9" s="107"/>
      <c r="AN9" s="107"/>
      <c r="AO9" s="107"/>
      <c r="AR9" s="110"/>
      <c r="AS9" s="110"/>
      <c r="AT9" s="110"/>
      <c r="AU9" s="110"/>
      <c r="AV9" s="110"/>
      <c r="AW9" s="110"/>
      <c r="AX9" s="115"/>
      <c r="AY9" s="115"/>
      <c r="AZ9" s="115"/>
      <c r="BA9" s="116"/>
      <c r="BB9" s="116"/>
      <c r="BC9" s="116"/>
      <c r="BD9" s="107"/>
      <c r="BE9" s="107"/>
      <c r="BF9" s="107"/>
    </row>
    <row r="10" customHeight="1" spans="1:57">
      <c r="A10" s="107"/>
      <c r="B10" s="107"/>
      <c r="C10" s="107"/>
      <c r="D10" s="107"/>
      <c r="E10" s="107"/>
      <c r="F10" s="107"/>
      <c r="L10" s="106" t="s">
        <v>10490</v>
      </c>
      <c r="AK10" s="107"/>
      <c r="AL10" s="107"/>
      <c r="AM10" s="107"/>
      <c r="AN10" s="107"/>
      <c r="AO10" s="107"/>
      <c r="AP10" s="107"/>
      <c r="AR10" s="110"/>
      <c r="AS10" s="110"/>
      <c r="AT10" s="110"/>
      <c r="AU10" s="110"/>
      <c r="AV10" s="110"/>
      <c r="AW10" s="110"/>
      <c r="AX10" s="110"/>
      <c r="AY10" s="115"/>
      <c r="AZ10" s="116"/>
      <c r="BA10" s="116"/>
      <c r="BB10" s="116"/>
      <c r="BC10" s="107"/>
      <c r="BD10" s="107"/>
      <c r="BE10" s="107"/>
    </row>
    <row r="11" customHeight="1" spans="1:57">
      <c r="A11" s="107"/>
      <c r="B11" s="107"/>
      <c r="C11" s="109" t="s">
        <v>10485</v>
      </c>
      <c r="D11" s="109" t="s">
        <v>10485</v>
      </c>
      <c r="E11" s="107"/>
      <c r="F11" s="107"/>
      <c r="P11" s="107"/>
      <c r="Q11" s="107"/>
      <c r="R11" s="107"/>
      <c r="S11" s="107"/>
      <c r="T11" s="107"/>
      <c r="AA11" s="106" t="s">
        <v>10491</v>
      </c>
      <c r="AJ11" s="107"/>
      <c r="AK11" s="107"/>
      <c r="AL11" s="107"/>
      <c r="AM11" s="107"/>
      <c r="AN11" s="107"/>
      <c r="AO11" s="107"/>
      <c r="AP11" s="107"/>
      <c r="AQ11" s="107"/>
      <c r="AR11" s="110"/>
      <c r="AS11" s="110"/>
      <c r="AT11" s="110"/>
      <c r="AU11" s="110"/>
      <c r="AV11" s="110"/>
      <c r="AW11" s="110"/>
      <c r="AX11" s="110"/>
      <c r="AY11" s="110"/>
      <c r="AZ11" s="116"/>
      <c r="BA11" s="116"/>
      <c r="BB11" s="116"/>
      <c r="BC11" s="107"/>
      <c r="BD11" s="107"/>
      <c r="BE11" s="107"/>
    </row>
    <row r="12" customHeight="1" spans="1:56">
      <c r="A12" s="107"/>
      <c r="B12" s="107"/>
      <c r="C12" s="109" t="s">
        <v>10485</v>
      </c>
      <c r="D12" s="109" t="s">
        <v>10485</v>
      </c>
      <c r="E12" s="107"/>
      <c r="F12" s="107"/>
      <c r="N12" s="107"/>
      <c r="O12" s="107"/>
      <c r="P12" s="107"/>
      <c r="Q12" s="107"/>
      <c r="R12" s="107"/>
      <c r="S12" s="107"/>
      <c r="T12" s="107"/>
      <c r="U12" s="107"/>
      <c r="V12" s="107"/>
      <c r="AB12" s="107"/>
      <c r="AC12" s="107"/>
      <c r="AD12" s="107"/>
      <c r="AE12" s="107"/>
      <c r="AJ12" s="107"/>
      <c r="AK12" s="107"/>
      <c r="AL12" s="107"/>
      <c r="AM12" s="107"/>
      <c r="AN12" s="107"/>
      <c r="AO12" s="107"/>
      <c r="AP12" s="107"/>
      <c r="AQ12" s="107"/>
      <c r="AR12" s="110"/>
      <c r="AS12" s="110"/>
      <c r="AT12" s="110"/>
      <c r="AU12" s="110"/>
      <c r="AV12" s="110"/>
      <c r="AW12" s="110"/>
      <c r="AX12" s="110"/>
      <c r="AY12" s="110"/>
      <c r="AZ12" s="110"/>
      <c r="BA12" s="116"/>
      <c r="BB12" s="107"/>
      <c r="BC12" s="107"/>
      <c r="BD12" s="107"/>
    </row>
    <row r="13" customHeight="1" spans="1:56">
      <c r="A13" s="107"/>
      <c r="B13" s="107"/>
      <c r="C13" s="107"/>
      <c r="D13" s="107"/>
      <c r="E13" s="107"/>
      <c r="F13" s="107"/>
      <c r="M13" s="107"/>
      <c r="N13" s="107"/>
      <c r="O13" s="107"/>
      <c r="P13" s="107"/>
      <c r="Q13" s="107"/>
      <c r="R13" s="107"/>
      <c r="S13" s="107"/>
      <c r="T13" s="107"/>
      <c r="U13" s="107"/>
      <c r="V13" s="107"/>
      <c r="W13" s="107"/>
      <c r="AA13" s="107"/>
      <c r="AB13" s="107"/>
      <c r="AC13" s="107"/>
      <c r="AD13" s="107"/>
      <c r="AE13" s="107"/>
      <c r="AF13" s="107"/>
      <c r="AJ13" s="107"/>
      <c r="AK13" s="107"/>
      <c r="AL13" s="107"/>
      <c r="AM13" s="107"/>
      <c r="AN13" s="107"/>
      <c r="AO13" s="107"/>
      <c r="AP13" s="107"/>
      <c r="AQ13" s="107"/>
      <c r="AR13" s="110"/>
      <c r="AS13" s="110"/>
      <c r="AT13" s="110"/>
      <c r="AU13" s="110"/>
      <c r="AV13" s="110"/>
      <c r="AW13" s="110"/>
      <c r="AX13" s="110"/>
      <c r="AY13" s="110"/>
      <c r="BB13" s="107"/>
      <c r="BC13" s="107"/>
      <c r="BD13" s="107"/>
    </row>
    <row r="14" customHeight="1" spans="2:55">
      <c r="B14" s="107"/>
      <c r="C14" s="107"/>
      <c r="D14" s="107"/>
      <c r="E14" s="107"/>
      <c r="M14" s="107"/>
      <c r="N14" s="107"/>
      <c r="O14" s="107"/>
      <c r="P14" s="107"/>
      <c r="Q14" s="107"/>
      <c r="R14" s="107"/>
      <c r="S14" s="107"/>
      <c r="T14" s="107"/>
      <c r="U14" s="107"/>
      <c r="V14" s="107"/>
      <c r="W14" s="107"/>
      <c r="AA14" s="107"/>
      <c r="AB14" s="107"/>
      <c r="AC14" s="107"/>
      <c r="AD14" s="107"/>
      <c r="AE14" s="107"/>
      <c r="AF14" s="107"/>
      <c r="AJ14" s="107"/>
      <c r="AK14" s="107"/>
      <c r="AL14" s="107"/>
      <c r="AM14" s="107"/>
      <c r="AN14" s="107"/>
      <c r="AO14" s="107"/>
      <c r="AP14" s="107"/>
      <c r="AQ14" s="107"/>
      <c r="AR14" s="110"/>
      <c r="AS14" s="110"/>
      <c r="AT14" s="110"/>
      <c r="AU14" s="110"/>
      <c r="AV14" s="110"/>
      <c r="AW14" s="110"/>
      <c r="AX14" s="110"/>
      <c r="AY14" s="110"/>
      <c r="BC14" s="107"/>
    </row>
    <row r="15" customHeight="1" spans="12:42">
      <c r="L15" s="107"/>
      <c r="M15" s="107"/>
      <c r="N15" s="107"/>
      <c r="O15" s="107"/>
      <c r="P15" s="107"/>
      <c r="Q15" s="107"/>
      <c r="R15" s="107"/>
      <c r="S15" s="107"/>
      <c r="T15" s="107"/>
      <c r="U15" s="107"/>
      <c r="V15" s="107"/>
      <c r="W15" s="107"/>
      <c r="X15" s="107"/>
      <c r="AA15" s="107"/>
      <c r="AB15" s="107"/>
      <c r="AC15" s="107"/>
      <c r="AD15" s="107"/>
      <c r="AE15" s="107"/>
      <c r="AF15" s="107"/>
      <c r="AK15" s="107"/>
      <c r="AL15" s="107"/>
      <c r="AM15" s="107"/>
      <c r="AN15" s="107"/>
      <c r="AO15" s="107"/>
      <c r="AP15" s="107"/>
    </row>
    <row r="16" customHeight="1" spans="1:41">
      <c r="A16" s="106" t="s">
        <v>10492</v>
      </c>
      <c r="L16" s="107"/>
      <c r="M16" s="107"/>
      <c r="N16" s="107"/>
      <c r="O16" s="107"/>
      <c r="P16" s="107"/>
      <c r="Q16" s="107"/>
      <c r="R16" s="107"/>
      <c r="S16" s="107"/>
      <c r="T16" s="107"/>
      <c r="U16" s="107"/>
      <c r="V16" s="107"/>
      <c r="W16" s="107"/>
      <c r="X16" s="107"/>
      <c r="AA16" s="107"/>
      <c r="AB16" s="107"/>
      <c r="AC16" s="107"/>
      <c r="AD16" s="107"/>
      <c r="AE16" s="107"/>
      <c r="AF16" s="107"/>
      <c r="AL16" s="107"/>
      <c r="AM16" s="107"/>
      <c r="AN16" s="107"/>
      <c r="AO16" s="107"/>
    </row>
    <row r="17" customHeight="1" spans="2:31">
      <c r="B17" s="107"/>
      <c r="C17" s="107"/>
      <c r="D17" s="107"/>
      <c r="E17" s="107"/>
      <c r="F17" s="107"/>
      <c r="L17" s="107"/>
      <c r="M17" s="107"/>
      <c r="N17" s="107"/>
      <c r="O17" s="107"/>
      <c r="P17" s="107"/>
      <c r="Q17" s="107"/>
      <c r="R17" s="109" t="s">
        <v>10485</v>
      </c>
      <c r="S17" s="107"/>
      <c r="T17" s="107"/>
      <c r="U17" s="107"/>
      <c r="V17" s="107"/>
      <c r="W17" s="107"/>
      <c r="X17" s="107"/>
      <c r="AB17" s="107"/>
      <c r="AC17" s="107"/>
      <c r="AD17" s="107"/>
      <c r="AE17" s="107"/>
    </row>
    <row r="18" customHeight="1" spans="1:24">
      <c r="A18" s="107"/>
      <c r="B18" s="107"/>
      <c r="C18" s="107"/>
      <c r="D18" s="107"/>
      <c r="E18" s="107"/>
      <c r="F18" s="107"/>
      <c r="G18" s="107"/>
      <c r="L18" s="107"/>
      <c r="M18" s="107"/>
      <c r="N18" s="107"/>
      <c r="O18" s="107"/>
      <c r="P18" s="107"/>
      <c r="Q18" s="107"/>
      <c r="R18" s="107"/>
      <c r="S18" s="107"/>
      <c r="T18" s="107"/>
      <c r="U18" s="107"/>
      <c r="V18" s="107"/>
      <c r="W18" s="107"/>
      <c r="X18" s="107"/>
    </row>
    <row r="19" customHeight="1" spans="1:24">
      <c r="A19" s="107"/>
      <c r="B19" s="107"/>
      <c r="C19" s="109" t="s">
        <v>10485</v>
      </c>
      <c r="D19" s="109"/>
      <c r="E19" s="109" t="s">
        <v>10485</v>
      </c>
      <c r="F19" s="107"/>
      <c r="G19" s="107"/>
      <c r="L19" s="107"/>
      <c r="M19" s="107"/>
      <c r="N19" s="107"/>
      <c r="O19" s="107"/>
      <c r="P19" s="107"/>
      <c r="Q19" s="107"/>
      <c r="R19" s="107"/>
      <c r="S19" s="107"/>
      <c r="T19" s="107"/>
      <c r="U19" s="107"/>
      <c r="V19" s="107"/>
      <c r="W19" s="107"/>
      <c r="X19" s="107"/>
    </row>
    <row r="20" customHeight="1" spans="1:23">
      <c r="A20" s="107"/>
      <c r="B20" s="107"/>
      <c r="C20" s="109"/>
      <c r="D20" s="109"/>
      <c r="E20" s="109"/>
      <c r="F20" s="107"/>
      <c r="G20" s="107"/>
      <c r="M20" s="107"/>
      <c r="N20" s="107"/>
      <c r="O20" s="107"/>
      <c r="P20" s="107"/>
      <c r="Q20" s="107"/>
      <c r="R20" s="107"/>
      <c r="S20" s="107"/>
      <c r="T20" s="107"/>
      <c r="U20" s="107"/>
      <c r="V20" s="107"/>
      <c r="W20" s="107"/>
    </row>
    <row r="21" customHeight="1" spans="1:23">
      <c r="A21" s="107"/>
      <c r="B21" s="107"/>
      <c r="C21" s="109" t="s">
        <v>10485</v>
      </c>
      <c r="D21" s="109"/>
      <c r="E21" s="109" t="s">
        <v>10485</v>
      </c>
      <c r="F21" s="107"/>
      <c r="G21" s="107"/>
      <c r="M21" s="107"/>
      <c r="N21" s="107"/>
      <c r="O21" s="107"/>
      <c r="P21" s="107"/>
      <c r="Q21" s="107"/>
      <c r="R21" s="107"/>
      <c r="S21" s="107"/>
      <c r="T21" s="107"/>
      <c r="U21" s="107"/>
      <c r="V21" s="107"/>
      <c r="W21" s="107"/>
    </row>
    <row r="22" customHeight="1" spans="1:22">
      <c r="A22" s="107"/>
      <c r="B22" s="107"/>
      <c r="C22" s="107"/>
      <c r="D22" s="107"/>
      <c r="E22" s="107"/>
      <c r="F22" s="107"/>
      <c r="G22" s="107"/>
      <c r="N22" s="107"/>
      <c r="O22" s="107"/>
      <c r="P22" s="107"/>
      <c r="Q22" s="107"/>
      <c r="R22" s="107"/>
      <c r="S22" s="107"/>
      <c r="T22" s="107"/>
      <c r="U22" s="107"/>
      <c r="V22" s="107"/>
    </row>
    <row r="23" customHeight="1" spans="2:20">
      <c r="B23" s="107"/>
      <c r="C23" s="107"/>
      <c r="D23" s="107"/>
      <c r="E23" s="107"/>
      <c r="F23" s="107"/>
      <c r="P23" s="107"/>
      <c r="Q23" s="107"/>
      <c r="R23" s="107"/>
      <c r="S23" s="107"/>
      <c r="T23" s="107"/>
    </row>
    <row r="28" customHeight="1" spans="42:53">
      <c r="AP28" s="110"/>
      <c r="AQ28" s="110"/>
      <c r="AR28" s="110"/>
      <c r="AS28" s="110"/>
      <c r="AT28" s="110"/>
      <c r="AU28" s="110"/>
      <c r="AV28" s="110"/>
      <c r="AW28" s="110"/>
      <c r="AX28" s="110"/>
      <c r="AY28" s="110"/>
      <c r="AZ28" s="110"/>
      <c r="BA28" s="110"/>
    </row>
    <row r="29" customHeight="1" spans="42:53">
      <c r="AP29" s="110"/>
      <c r="AQ29" s="110"/>
      <c r="AR29" s="110"/>
      <c r="AS29" s="110"/>
      <c r="AT29" s="110"/>
      <c r="AU29" s="110"/>
      <c r="AV29" s="110"/>
      <c r="AW29" s="110"/>
      <c r="AX29" s="110"/>
      <c r="AY29" s="110"/>
      <c r="AZ29" s="110"/>
      <c r="BA29" s="110"/>
    </row>
    <row r="30" customHeight="1" spans="46:53">
      <c r="AT30" s="110"/>
      <c r="AU30" s="110"/>
      <c r="AV30" s="110"/>
      <c r="AW30" s="110"/>
      <c r="AX30" s="110"/>
      <c r="AY30" s="110"/>
      <c r="AZ30" s="110"/>
      <c r="BA30" s="110"/>
    </row>
    <row r="31" customHeight="1" spans="46:53">
      <c r="AT31" s="110"/>
      <c r="AU31" s="110"/>
      <c r="AV31" s="110"/>
      <c r="AW31" s="110"/>
      <c r="AX31" s="110"/>
      <c r="AY31" s="110"/>
      <c r="AZ31" s="110"/>
      <c r="BA31" s="110"/>
    </row>
    <row r="32" customHeight="1" spans="46:53">
      <c r="AT32" s="110"/>
      <c r="AU32" s="110"/>
      <c r="AV32" s="110"/>
      <c r="AW32" s="110"/>
      <c r="AX32" s="110"/>
      <c r="AY32" s="110"/>
      <c r="AZ32" s="110"/>
      <c r="BA32" s="110"/>
    </row>
    <row r="33" customHeight="1" spans="30:40">
      <c r="AD33" s="110"/>
      <c r="AE33" s="110"/>
      <c r="AF33" s="110"/>
      <c r="AG33" s="110"/>
      <c r="AH33" s="110"/>
      <c r="AI33" s="110"/>
      <c r="AJ33" s="110"/>
      <c r="AK33" s="110"/>
      <c r="AL33" s="110"/>
      <c r="AM33" s="110"/>
      <c r="AN33" s="110"/>
    </row>
    <row r="34" customHeight="1" spans="30:40">
      <c r="AD34" s="110"/>
      <c r="AE34" s="110"/>
      <c r="AF34" s="110"/>
      <c r="AG34" s="110"/>
      <c r="AH34" s="110"/>
      <c r="AI34" s="110"/>
      <c r="AJ34" s="110"/>
      <c r="AK34" s="110"/>
      <c r="AL34" s="110"/>
      <c r="AM34" s="110"/>
      <c r="AN34" s="110"/>
    </row>
    <row r="35" customHeight="1" spans="30:45">
      <c r="AD35" s="110"/>
      <c r="AE35" s="110"/>
      <c r="AF35" s="110"/>
      <c r="AG35" s="110"/>
      <c r="AH35" s="110"/>
      <c r="AI35" s="110"/>
      <c r="AJ35" s="110"/>
      <c r="AK35" s="110"/>
      <c r="AL35" s="110"/>
      <c r="AM35" s="110"/>
      <c r="AP35" s="110"/>
      <c r="AQ35" s="110"/>
      <c r="AR35" s="110"/>
      <c r="AS35" s="110"/>
    </row>
    <row r="36" customHeight="1" spans="30:45">
      <c r="AD36" s="110"/>
      <c r="AE36" s="110"/>
      <c r="AF36" s="110"/>
      <c r="AG36" s="110"/>
      <c r="AH36" s="110"/>
      <c r="AI36" s="110"/>
      <c r="AJ36" s="110"/>
      <c r="AK36" s="110"/>
      <c r="AL36" s="110"/>
      <c r="AM36" s="110"/>
      <c r="AP36" s="110"/>
      <c r="AQ36" s="110"/>
      <c r="AR36" s="110"/>
      <c r="AS36" s="110"/>
    </row>
    <row r="37" customHeight="1" spans="30:45">
      <c r="AD37" s="110"/>
      <c r="AE37" s="110"/>
      <c r="AF37" s="110"/>
      <c r="AG37" s="110"/>
      <c r="AH37" s="110"/>
      <c r="AI37" s="110"/>
      <c r="AJ37" s="110"/>
      <c r="AK37" s="110"/>
      <c r="AL37" s="110"/>
      <c r="AM37" s="110"/>
      <c r="AP37" s="110"/>
      <c r="AQ37" s="110"/>
      <c r="AR37" s="110"/>
      <c r="AS37" s="110"/>
    </row>
    <row r="38" customHeight="1" spans="22:45">
      <c r="V38" s="110"/>
      <c r="AD38" s="110"/>
      <c r="AE38" s="110"/>
      <c r="AF38" s="110"/>
      <c r="AG38" s="110"/>
      <c r="AH38" s="110"/>
      <c r="AI38" s="110"/>
      <c r="AJ38" s="110"/>
      <c r="AK38" s="110"/>
      <c r="AL38" s="110"/>
      <c r="AM38" s="110"/>
      <c r="AP38" s="110"/>
      <c r="AQ38" s="110"/>
      <c r="AR38" s="110"/>
      <c r="AS38" s="110"/>
    </row>
    <row r="39" customHeight="1" spans="30:55">
      <c r="AD39" s="110"/>
      <c r="AE39" s="110"/>
      <c r="AF39" s="110"/>
      <c r="AG39" s="110"/>
      <c r="AH39" s="110"/>
      <c r="AI39" s="110"/>
      <c r="AJ39" s="110"/>
      <c r="AK39" s="110"/>
      <c r="AL39" s="110"/>
      <c r="AM39" s="110"/>
      <c r="AS39" s="110"/>
      <c r="AV39" s="110"/>
      <c r="AW39" s="110"/>
      <c r="AX39" s="110"/>
      <c r="AY39" s="110"/>
      <c r="AZ39" s="110"/>
      <c r="BA39" s="110"/>
      <c r="BB39" s="110"/>
      <c r="BC39" s="110"/>
    </row>
    <row r="40" customHeight="1" spans="30:45">
      <c r="AD40" s="110"/>
      <c r="AE40" s="110"/>
      <c r="AF40" s="110"/>
      <c r="AG40" s="110"/>
      <c r="AH40" s="110"/>
      <c r="AI40" s="110"/>
      <c r="AJ40" s="110"/>
      <c r="AK40" s="110"/>
      <c r="AL40" s="110"/>
      <c r="AM40" s="110"/>
      <c r="AS40" s="110"/>
    </row>
    <row r="41" customHeight="1" spans="30:45">
      <c r="AD41" s="110"/>
      <c r="AE41" s="110"/>
      <c r="AF41" s="110"/>
      <c r="AG41" s="110"/>
      <c r="AH41" s="110"/>
      <c r="AI41" s="110"/>
      <c r="AJ41" s="110"/>
      <c r="AK41" s="110"/>
      <c r="AL41" s="110"/>
      <c r="AM41" s="110"/>
      <c r="AS41" s="110"/>
    </row>
    <row r="42" customHeight="1" spans="30:45">
      <c r="AD42" s="110"/>
      <c r="AE42" s="110"/>
      <c r="AF42" s="110"/>
      <c r="AG42" s="110"/>
      <c r="AH42" s="110"/>
      <c r="AI42" s="110"/>
      <c r="AJ42" s="110"/>
      <c r="AK42" s="110"/>
      <c r="AL42" s="110"/>
      <c r="AM42" s="110"/>
      <c r="AR42" s="110"/>
      <c r="AS42" s="110"/>
    </row>
    <row r="43" customHeight="1" spans="30:45">
      <c r="AD43" s="110"/>
      <c r="AE43" s="110"/>
      <c r="AF43" s="110"/>
      <c r="AG43" s="110"/>
      <c r="AH43" s="110"/>
      <c r="AI43" s="110"/>
      <c r="AJ43" s="110"/>
      <c r="AK43" s="110"/>
      <c r="AL43" s="110"/>
      <c r="AM43" s="110"/>
      <c r="AR43" s="110"/>
      <c r="AS43" s="110"/>
    </row>
    <row r="44" customHeight="1" spans="30:45">
      <c r="AD44" s="110"/>
      <c r="AE44" s="110"/>
      <c r="AF44" s="110"/>
      <c r="AG44" s="110"/>
      <c r="AH44" s="110"/>
      <c r="AI44" s="110"/>
      <c r="AJ44" s="110"/>
      <c r="AK44" s="110"/>
      <c r="AL44" s="110"/>
      <c r="AM44" s="110"/>
      <c r="AR44" s="110"/>
      <c r="AS44" s="110"/>
    </row>
    <row r="45" customHeight="1" spans="30:45">
      <c r="AD45" s="110"/>
      <c r="AE45" s="110"/>
      <c r="AF45" s="110"/>
      <c r="AG45" s="110"/>
      <c r="AH45" s="110"/>
      <c r="AI45" s="110"/>
      <c r="AJ45" s="110"/>
      <c r="AK45" s="110"/>
      <c r="AL45" s="110"/>
      <c r="AM45" s="110"/>
      <c r="AR45" s="110"/>
      <c r="AS45" s="110"/>
    </row>
    <row r="46" customHeight="1" spans="30:45">
      <c r="AD46" s="110"/>
      <c r="AE46" s="110"/>
      <c r="AF46" s="110"/>
      <c r="AG46" s="110"/>
      <c r="AH46" s="110"/>
      <c r="AI46" s="110"/>
      <c r="AJ46" s="110"/>
      <c r="AK46" s="110"/>
      <c r="AL46" s="110"/>
      <c r="AM46" s="110"/>
      <c r="AR46" s="110"/>
      <c r="AS46" s="110"/>
    </row>
    <row r="47" customHeight="1" spans="30:45">
      <c r="AD47" s="110"/>
      <c r="AE47" s="110"/>
      <c r="AF47" s="110"/>
      <c r="AG47" s="110"/>
      <c r="AH47" s="110"/>
      <c r="AI47" s="110"/>
      <c r="AJ47" s="110"/>
      <c r="AK47" s="110"/>
      <c r="AL47" s="110"/>
      <c r="AM47" s="110"/>
      <c r="AR47" s="110"/>
      <c r="AS47" s="110"/>
    </row>
    <row r="48" customHeight="1" spans="30:45">
      <c r="AD48" s="110"/>
      <c r="AE48" s="110"/>
      <c r="AF48" s="110"/>
      <c r="AG48" s="110"/>
      <c r="AH48" s="110"/>
      <c r="AI48" s="110"/>
      <c r="AJ48" s="110"/>
      <c r="AK48" s="110"/>
      <c r="AL48" s="110"/>
      <c r="AM48" s="110"/>
      <c r="AR48" s="110"/>
      <c r="AS48" s="110"/>
    </row>
    <row r="49" customHeight="1" spans="30:45">
      <c r="AD49" s="110"/>
      <c r="AE49" s="110"/>
      <c r="AF49" s="110"/>
      <c r="AG49" s="110"/>
      <c r="AH49" s="110"/>
      <c r="AI49" s="110"/>
      <c r="AJ49" s="110"/>
      <c r="AK49" s="110"/>
      <c r="AL49" s="110"/>
      <c r="AM49" s="110"/>
      <c r="AQ49" s="110"/>
      <c r="AR49" s="110"/>
      <c r="AS49" s="110"/>
    </row>
    <row r="50" customHeight="1" spans="29:45">
      <c r="AC50" s="110"/>
      <c r="AD50" s="110"/>
      <c r="AE50" s="110"/>
      <c r="AF50" s="110"/>
      <c r="AG50" s="110"/>
      <c r="AH50" s="110"/>
      <c r="AI50" s="110"/>
      <c r="AJ50" s="110"/>
      <c r="AK50" s="110"/>
      <c r="AL50" s="110"/>
      <c r="AM50" s="110"/>
      <c r="AQ50" s="110"/>
      <c r="AR50" s="110"/>
      <c r="AS50" s="110"/>
    </row>
    <row r="51" customHeight="1" spans="29:45">
      <c r="AC51" s="110"/>
      <c r="AD51" s="110"/>
      <c r="AE51" s="110"/>
      <c r="AF51" s="110"/>
      <c r="AG51" s="110"/>
      <c r="AH51" s="110"/>
      <c r="AI51" s="110"/>
      <c r="AJ51" s="110"/>
      <c r="AK51" s="110"/>
      <c r="AL51" s="110"/>
      <c r="AM51" s="110"/>
      <c r="AQ51" s="110"/>
      <c r="AR51" s="110"/>
      <c r="AS51" s="110"/>
    </row>
    <row r="52" customHeight="1" spans="29:45">
      <c r="AC52" s="110"/>
      <c r="AD52" s="110"/>
      <c r="AE52" s="110"/>
      <c r="AF52" s="110"/>
      <c r="AG52" s="110"/>
      <c r="AH52" s="110"/>
      <c r="AI52" s="110"/>
      <c r="AJ52" s="110"/>
      <c r="AK52" s="110"/>
      <c r="AL52" s="110"/>
      <c r="AM52" s="110"/>
      <c r="AQ52" s="110"/>
      <c r="AR52" s="110"/>
      <c r="AS52" s="110"/>
    </row>
    <row r="53" customHeight="1" spans="29:45">
      <c r="AC53" s="110"/>
      <c r="AD53" s="110"/>
      <c r="AE53" s="110"/>
      <c r="AF53" s="110"/>
      <c r="AG53" s="110"/>
      <c r="AH53" s="110"/>
      <c r="AI53" s="110"/>
      <c r="AJ53" s="110"/>
      <c r="AK53" s="110"/>
      <c r="AL53" s="110"/>
      <c r="AM53" s="110"/>
      <c r="AQ53" s="110"/>
      <c r="AR53" s="110"/>
      <c r="AS53" s="110"/>
    </row>
    <row r="54" customHeight="1" spans="30:39">
      <c r="AD54" s="110"/>
      <c r="AE54" s="110"/>
      <c r="AF54" s="110"/>
      <c r="AG54" s="110"/>
      <c r="AH54" s="110"/>
      <c r="AI54" s="110"/>
      <c r="AJ54" s="110"/>
      <c r="AK54" s="110"/>
      <c r="AL54" s="110"/>
      <c r="AM54" s="110"/>
    </row>
    <row r="55" customHeight="1" spans="30:39">
      <c r="AD55" s="110"/>
      <c r="AE55" s="110"/>
      <c r="AF55" s="110"/>
      <c r="AG55" s="110"/>
      <c r="AH55" s="110"/>
      <c r="AI55" s="110"/>
      <c r="AJ55" s="110"/>
      <c r="AK55" s="110"/>
      <c r="AL55" s="110"/>
      <c r="AM55" s="110"/>
    </row>
    <row r="56" customHeight="1" spans="30:39">
      <c r="AD56" s="110"/>
      <c r="AE56" s="110"/>
      <c r="AF56" s="110"/>
      <c r="AG56" s="110"/>
      <c r="AH56" s="110"/>
      <c r="AI56" s="110"/>
      <c r="AJ56" s="110"/>
      <c r="AK56" s="110"/>
      <c r="AL56" s="110"/>
      <c r="AM56" s="110"/>
    </row>
    <row r="57" customHeight="1" spans="30:39">
      <c r="AD57" s="110"/>
      <c r="AE57" s="110"/>
      <c r="AF57" s="110"/>
      <c r="AG57" s="110"/>
      <c r="AH57" s="110"/>
      <c r="AI57" s="110"/>
      <c r="AJ57" s="110"/>
      <c r="AK57" s="110"/>
      <c r="AL57" s="110"/>
      <c r="AM57" s="110"/>
    </row>
    <row r="58" customHeight="1" spans="30:39">
      <c r="AD58" s="110"/>
      <c r="AE58" s="110"/>
      <c r="AF58" s="110"/>
      <c r="AG58" s="110"/>
      <c r="AH58" s="110"/>
      <c r="AI58" s="110"/>
      <c r="AJ58" s="110"/>
      <c r="AK58" s="110"/>
      <c r="AL58" s="110"/>
      <c r="AM58" s="110"/>
    </row>
    <row r="59" customHeight="1" spans="30:39">
      <c r="AD59" s="110"/>
      <c r="AE59" s="110"/>
      <c r="AF59" s="110"/>
      <c r="AG59" s="110"/>
      <c r="AH59" s="110"/>
      <c r="AI59" s="110"/>
      <c r="AJ59" s="110"/>
      <c r="AK59" s="110"/>
      <c r="AL59" s="110"/>
      <c r="AM59" s="110"/>
    </row>
    <row r="60" customHeight="1" spans="30:39">
      <c r="AD60" s="110"/>
      <c r="AE60" s="110"/>
      <c r="AF60" s="110"/>
      <c r="AG60" s="110"/>
      <c r="AH60" s="110"/>
      <c r="AI60" s="110"/>
      <c r="AJ60" s="110"/>
      <c r="AK60" s="110"/>
      <c r="AL60" s="110"/>
      <c r="AM60" s="110"/>
    </row>
    <row r="61" customHeight="1" spans="30:39">
      <c r="AD61" s="110"/>
      <c r="AE61" s="110"/>
      <c r="AF61" s="110"/>
      <c r="AG61" s="110"/>
      <c r="AH61" s="110"/>
      <c r="AI61" s="110"/>
      <c r="AJ61" s="110"/>
      <c r="AK61" s="110"/>
      <c r="AL61" s="110"/>
      <c r="AM61" s="110"/>
    </row>
    <row r="62" customHeight="1" spans="30:39">
      <c r="AD62" s="110"/>
      <c r="AE62" s="110"/>
      <c r="AF62" s="110"/>
      <c r="AG62" s="110"/>
      <c r="AH62" s="110"/>
      <c r="AI62" s="110"/>
      <c r="AJ62" s="110"/>
      <c r="AK62" s="110"/>
      <c r="AL62" s="110"/>
      <c r="AM62" s="110"/>
    </row>
    <row r="63" customHeight="1" spans="30:39">
      <c r="AD63" s="110"/>
      <c r="AE63" s="110"/>
      <c r="AF63" s="110"/>
      <c r="AG63" s="110"/>
      <c r="AH63" s="110"/>
      <c r="AI63" s="110"/>
      <c r="AJ63" s="110"/>
      <c r="AK63" s="110"/>
      <c r="AL63" s="110"/>
      <c r="AM63" s="110"/>
    </row>
    <row r="64" customHeight="1" spans="30:39">
      <c r="AD64" s="110"/>
      <c r="AE64" s="110"/>
      <c r="AF64" s="110"/>
      <c r="AG64" s="110"/>
      <c r="AH64" s="110"/>
      <c r="AI64" s="110"/>
      <c r="AJ64" s="110"/>
      <c r="AK64" s="110"/>
      <c r="AL64" s="110"/>
      <c r="AM64" s="110"/>
    </row>
    <row r="65" customHeight="1" spans="30:39">
      <c r="AD65" s="110"/>
      <c r="AE65" s="110"/>
      <c r="AF65" s="110"/>
      <c r="AG65" s="110"/>
      <c r="AH65" s="110"/>
      <c r="AI65" s="110"/>
      <c r="AJ65" s="110"/>
      <c r="AK65" s="110"/>
      <c r="AL65" s="110"/>
      <c r="AM65" s="110"/>
    </row>
    <row r="66" customHeight="1" spans="30:39">
      <c r="AD66" s="110"/>
      <c r="AE66" s="110"/>
      <c r="AF66" s="110"/>
      <c r="AG66" s="110"/>
      <c r="AH66" s="110"/>
      <c r="AI66" s="110"/>
      <c r="AJ66" s="110"/>
      <c r="AK66" s="110"/>
      <c r="AL66" s="110"/>
      <c r="AM66" s="110"/>
    </row>
    <row r="67" customHeight="1" spans="30:39">
      <c r="AD67" s="110"/>
      <c r="AE67" s="110"/>
      <c r="AF67" s="110"/>
      <c r="AG67" s="110"/>
      <c r="AH67" s="110"/>
      <c r="AI67" s="110"/>
      <c r="AJ67" s="110"/>
      <c r="AK67" s="110"/>
      <c r="AL67" s="110"/>
      <c r="AM67" s="110"/>
    </row>
    <row r="68" customHeight="1" spans="30:39">
      <c r="AD68" s="110"/>
      <c r="AE68" s="110"/>
      <c r="AF68" s="110"/>
      <c r="AG68" s="110"/>
      <c r="AH68" s="110"/>
      <c r="AI68" s="110"/>
      <c r="AJ68" s="110"/>
      <c r="AK68" s="110"/>
      <c r="AL68" s="110"/>
      <c r="AM68" s="110"/>
    </row>
    <row r="69" customHeight="1" spans="30:39">
      <c r="AD69" s="110"/>
      <c r="AE69" s="110"/>
      <c r="AF69" s="110"/>
      <c r="AG69" s="110"/>
      <c r="AH69" s="110"/>
      <c r="AI69" s="110"/>
      <c r="AJ69" s="110"/>
      <c r="AK69" s="110"/>
      <c r="AL69" s="110"/>
      <c r="AM69" s="110"/>
    </row>
    <row r="70" customHeight="1" spans="30:39">
      <c r="AD70" s="110"/>
      <c r="AE70" s="110"/>
      <c r="AF70" s="110"/>
      <c r="AG70" s="110"/>
      <c r="AH70" s="110"/>
      <c r="AI70" s="110"/>
      <c r="AJ70" s="110"/>
      <c r="AK70" s="110"/>
      <c r="AL70" s="110"/>
      <c r="AM70" s="110"/>
    </row>
    <row r="71" customHeight="1" spans="30:39">
      <c r="AD71" s="110"/>
      <c r="AE71" s="110"/>
      <c r="AF71" s="110"/>
      <c r="AG71" s="110"/>
      <c r="AH71" s="110"/>
      <c r="AI71" s="110"/>
      <c r="AJ71" s="110"/>
      <c r="AK71" s="110"/>
      <c r="AL71" s="110"/>
      <c r="AM71" s="110"/>
    </row>
  </sheetData>
  <mergeCells count="14">
    <mergeCell ref="A1:J1"/>
    <mergeCell ref="L1:S1"/>
    <mergeCell ref="AA1:AG1"/>
    <mergeCell ref="AI1:AM1"/>
    <mergeCell ref="AI2:AM2"/>
    <mergeCell ref="AI4:AP4"/>
    <mergeCell ref="AA5:AG5"/>
    <mergeCell ref="AI5:AM5"/>
    <mergeCell ref="A8:F8"/>
    <mergeCell ref="AJ8:AQ8"/>
    <mergeCell ref="L10:X10"/>
    <mergeCell ref="AA11:AF11"/>
    <mergeCell ref="A16:G16"/>
    <mergeCell ref="G2:J5"/>
  </mergeCells>
  <pageMargins left="0.7" right="0.7" top="0.75" bottom="0.75" header="0.3" footer="0.3"/>
  <pageSetup paperSize="9" orientation="portrait"/>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theme="4" tint="0.599993896298105"/>
  </sheetPr>
  <dimension ref="B2:P28"/>
  <sheetViews>
    <sheetView workbookViewId="0">
      <selection activeCell="B8" sqref="B8:H13"/>
    </sheetView>
  </sheetViews>
  <sheetFormatPr defaultColWidth="8.89090909090909" defaultRowHeight="14"/>
  <cols>
    <col min="1" max="16384" width="8.89090909090909" style="82"/>
  </cols>
  <sheetData>
    <row r="2" spans="2:16">
      <c r="B2" s="83" t="s">
        <v>10493</v>
      </c>
      <c r="C2" s="83"/>
      <c r="D2" s="83"/>
      <c r="E2" s="83"/>
      <c r="F2" s="83"/>
      <c r="G2" s="83"/>
      <c r="H2" s="83"/>
      <c r="I2" s="95" t="s">
        <v>10494</v>
      </c>
      <c r="J2" s="96" t="s">
        <v>10495</v>
      </c>
      <c r="K2" s="96"/>
      <c r="L2" s="96"/>
      <c r="N2" s="97" t="s">
        <v>10496</v>
      </c>
      <c r="O2" s="98"/>
      <c r="P2" s="99"/>
    </row>
    <row r="3" ht="14.4" customHeight="1" spans="2:16">
      <c r="B3" s="84" t="s">
        <v>10497</v>
      </c>
      <c r="C3" s="84"/>
      <c r="D3" s="84"/>
      <c r="E3" s="84"/>
      <c r="F3" s="84"/>
      <c r="G3" s="84"/>
      <c r="H3" s="84"/>
      <c r="I3" s="95"/>
      <c r="J3" s="96"/>
      <c r="K3" s="96"/>
      <c r="L3" s="96"/>
      <c r="N3" s="84" t="s">
        <v>10498</v>
      </c>
      <c r="O3" s="84"/>
      <c r="P3" s="84"/>
    </row>
    <row r="4" ht="14.4" customHeight="1" spans="2:16">
      <c r="B4" s="84"/>
      <c r="C4" s="84"/>
      <c r="D4" s="84"/>
      <c r="E4" s="84"/>
      <c r="F4" s="84"/>
      <c r="G4" s="84"/>
      <c r="H4" s="84"/>
      <c r="I4" s="95"/>
      <c r="J4" s="96"/>
      <c r="K4" s="96"/>
      <c r="L4" s="96"/>
      <c r="N4" s="100" t="str">
        <f>".nn"&amp;" "&amp;主要!$E$3</f>
        <v>.nn </v>
      </c>
      <c r="O4" s="101"/>
      <c r="P4" s="102"/>
    </row>
    <row r="5" ht="14.4" customHeight="1" spans="2:16">
      <c r="B5" s="84"/>
      <c r="C5" s="84"/>
      <c r="D5" s="84"/>
      <c r="E5" s="84"/>
      <c r="F5" s="84"/>
      <c r="G5" s="84"/>
      <c r="H5" s="84"/>
      <c r="I5" s="95"/>
      <c r="J5" s="96"/>
      <c r="K5" s="96"/>
      <c r="L5" s="96"/>
      <c r="N5" s="103"/>
      <c r="O5" s="104"/>
      <c r="P5" s="105"/>
    </row>
    <row r="6" ht="14.4" customHeight="1" spans="2:12">
      <c r="B6" s="84"/>
      <c r="C6" s="84"/>
      <c r="D6" s="84"/>
      <c r="E6" s="84"/>
      <c r="F6" s="84"/>
      <c r="G6" s="84"/>
      <c r="H6" s="84"/>
      <c r="I6" s="95"/>
      <c r="J6" s="96"/>
      <c r="K6" s="96"/>
      <c r="L6" s="96"/>
    </row>
    <row r="7" ht="14.4" customHeight="1" spans="2:12">
      <c r="B7" s="84"/>
      <c r="C7" s="84"/>
      <c r="D7" s="84"/>
      <c r="E7" s="84"/>
      <c r="F7" s="84"/>
      <c r="G7" s="84"/>
      <c r="H7" s="84"/>
      <c r="I7" s="95"/>
      <c r="J7" s="96"/>
      <c r="K7" s="96"/>
      <c r="L7" s="96"/>
    </row>
    <row r="8" spans="2:12">
      <c r="B8" s="85" t="str">
        <f>主要!$AV$1</f>
        <v>.st 力量:10 敏捷:10 体质:10 智力:10 感知:10 魅力:10 hp:0 hpmax:0 先攻:0 ac:10 dc:10 pp:10 熟练:2 运动:0 特技:0 巧手:0 隐匿:0 调查:0 奥秘:0 历史:0 自然:0 宗教:0 察觉:0 洞悉:0 驯兽:0 医疗:0 求生:0 游说:0 欺瞒:0 威吓:0 表演:0</v>
      </c>
      <c r="C8" s="86"/>
      <c r="D8" s="86"/>
      <c r="E8" s="86"/>
      <c r="F8" s="86"/>
      <c r="G8" s="86"/>
      <c r="H8" s="87"/>
      <c r="J8" s="96"/>
      <c r="K8" s="96"/>
      <c r="L8" s="96"/>
    </row>
    <row r="9" spans="2:12">
      <c r="B9" s="88"/>
      <c r="C9" s="89"/>
      <c r="D9" s="89"/>
      <c r="E9" s="89"/>
      <c r="F9" s="89"/>
      <c r="G9" s="89"/>
      <c r="H9" s="90"/>
      <c r="J9" s="96"/>
      <c r="K9" s="96"/>
      <c r="L9" s="96"/>
    </row>
    <row r="10" spans="2:12">
      <c r="B10" s="88"/>
      <c r="C10" s="89"/>
      <c r="D10" s="89"/>
      <c r="E10" s="89"/>
      <c r="F10" s="89"/>
      <c r="G10" s="89"/>
      <c r="H10" s="90"/>
      <c r="J10" s="96"/>
      <c r="K10" s="96"/>
      <c r="L10" s="96"/>
    </row>
    <row r="11" spans="2:12">
      <c r="B11" s="88"/>
      <c r="C11" s="89"/>
      <c r="D11" s="89"/>
      <c r="E11" s="89"/>
      <c r="F11" s="89"/>
      <c r="G11" s="89"/>
      <c r="H11" s="90"/>
      <c r="J11" s="96"/>
      <c r="K11" s="96"/>
      <c r="L11" s="96"/>
    </row>
    <row r="12" spans="2:12">
      <c r="B12" s="88"/>
      <c r="C12" s="89"/>
      <c r="D12" s="89"/>
      <c r="E12" s="89"/>
      <c r="F12" s="89"/>
      <c r="G12" s="89"/>
      <c r="H12" s="90"/>
      <c r="J12" s="96"/>
      <c r="K12" s="96"/>
      <c r="L12" s="96"/>
    </row>
    <row r="13" spans="2:12">
      <c r="B13" s="91"/>
      <c r="C13" s="92"/>
      <c r="D13" s="92"/>
      <c r="E13" s="92"/>
      <c r="F13" s="92"/>
      <c r="G13" s="92"/>
      <c r="H13" s="93"/>
      <c r="J13" s="96"/>
      <c r="K13" s="96"/>
      <c r="L13" s="96"/>
    </row>
    <row r="15" spans="2:12">
      <c r="B15" s="94"/>
      <c r="C15" s="94"/>
      <c r="D15" s="94"/>
      <c r="E15" s="94"/>
      <c r="F15" s="94"/>
      <c r="G15" s="94"/>
      <c r="H15" s="94"/>
      <c r="I15" s="94"/>
      <c r="J15" s="94"/>
      <c r="K15" s="94"/>
      <c r="L15" s="94"/>
    </row>
    <row r="16" spans="2:12">
      <c r="B16" s="94"/>
      <c r="C16" s="94"/>
      <c r="D16" s="94"/>
      <c r="E16" s="94"/>
      <c r="F16" s="94"/>
      <c r="G16" s="94"/>
      <c r="H16" s="94"/>
      <c r="I16" s="94"/>
      <c r="J16" s="94"/>
      <c r="K16" s="94"/>
      <c r="L16" s="94"/>
    </row>
    <row r="17" spans="2:12">
      <c r="B17" s="94"/>
      <c r="C17" s="94"/>
      <c r="D17" s="94"/>
      <c r="E17" s="94"/>
      <c r="F17" s="94"/>
      <c r="G17" s="94"/>
      <c r="H17" s="94"/>
      <c r="I17" s="94"/>
      <c r="J17" s="94"/>
      <c r="K17" s="94"/>
      <c r="L17" s="94"/>
    </row>
    <row r="18" spans="2:12">
      <c r="B18" s="94"/>
      <c r="C18" s="94"/>
      <c r="D18" s="94"/>
      <c r="E18" s="94"/>
      <c r="F18" s="94"/>
      <c r="G18" s="94"/>
      <c r="H18" s="94"/>
      <c r="I18" s="94"/>
      <c r="J18" s="94"/>
      <c r="K18" s="94"/>
      <c r="L18" s="94"/>
    </row>
    <row r="19" spans="2:12">
      <c r="B19" s="94"/>
      <c r="C19" s="94"/>
      <c r="D19" s="94"/>
      <c r="E19" s="94"/>
      <c r="F19" s="94"/>
      <c r="G19" s="94"/>
      <c r="H19" s="94"/>
      <c r="I19" s="94"/>
      <c r="J19" s="94"/>
      <c r="K19" s="94"/>
      <c r="L19" s="94"/>
    </row>
    <row r="20" spans="2:12">
      <c r="B20" s="94"/>
      <c r="C20" s="94"/>
      <c r="D20" s="94"/>
      <c r="E20" s="94"/>
      <c r="F20" s="94"/>
      <c r="G20" s="94"/>
      <c r="H20" s="94"/>
      <c r="I20" s="94"/>
      <c r="J20" s="94"/>
      <c r="K20" s="94"/>
      <c r="L20" s="94"/>
    </row>
    <row r="21" spans="2:12">
      <c r="B21" s="94"/>
      <c r="C21" s="94"/>
      <c r="D21" s="94"/>
      <c r="E21" s="94"/>
      <c r="F21" s="94"/>
      <c r="G21" s="94"/>
      <c r="H21" s="94"/>
      <c r="I21" s="94"/>
      <c r="J21" s="94"/>
      <c r="K21" s="94"/>
      <c r="L21" s="94"/>
    </row>
    <row r="22" spans="2:12">
      <c r="B22" s="94"/>
      <c r="C22" s="94"/>
      <c r="D22" s="94"/>
      <c r="E22" s="94"/>
      <c r="F22" s="94"/>
      <c r="G22" s="94"/>
      <c r="H22" s="94"/>
      <c r="I22" s="94"/>
      <c r="J22" s="94"/>
      <c r="K22" s="94"/>
      <c r="L22" s="94"/>
    </row>
    <row r="23" spans="2:12">
      <c r="B23" s="94"/>
      <c r="C23" s="94"/>
      <c r="D23" s="94"/>
      <c r="E23" s="94"/>
      <c r="F23" s="94"/>
      <c r="G23" s="94"/>
      <c r="H23" s="94"/>
      <c r="I23" s="94"/>
      <c r="J23" s="94"/>
      <c r="K23" s="94"/>
      <c r="L23" s="94"/>
    </row>
    <row r="24" spans="2:12">
      <c r="B24" s="94"/>
      <c r="C24" s="94"/>
      <c r="D24" s="94"/>
      <c r="E24" s="94"/>
      <c r="F24" s="94"/>
      <c r="G24" s="94"/>
      <c r="H24" s="94"/>
      <c r="I24" s="94"/>
      <c r="J24" s="94"/>
      <c r="K24" s="94"/>
      <c r="L24" s="94"/>
    </row>
    <row r="25" spans="2:12">
      <c r="B25" s="94"/>
      <c r="C25" s="94"/>
      <c r="D25" s="94"/>
      <c r="E25" s="94"/>
      <c r="F25" s="94"/>
      <c r="G25" s="94"/>
      <c r="H25" s="94"/>
      <c r="I25" s="94"/>
      <c r="J25" s="94"/>
      <c r="K25" s="94"/>
      <c r="L25" s="94"/>
    </row>
    <row r="26" spans="2:12">
      <c r="B26" s="94"/>
      <c r="C26" s="94"/>
      <c r="D26" s="94"/>
      <c r="E26" s="94"/>
      <c r="F26" s="94"/>
      <c r="G26" s="94"/>
      <c r="H26" s="94"/>
      <c r="I26" s="94"/>
      <c r="J26" s="94"/>
      <c r="K26" s="94"/>
      <c r="L26" s="94"/>
    </row>
    <row r="27" spans="2:12">
      <c r="B27" s="94"/>
      <c r="C27" s="94"/>
      <c r="D27" s="94"/>
      <c r="E27" s="94"/>
      <c r="F27" s="94"/>
      <c r="G27" s="94"/>
      <c r="H27" s="94"/>
      <c r="I27" s="94"/>
      <c r="J27" s="94"/>
      <c r="K27" s="94"/>
      <c r="L27" s="94"/>
    </row>
    <row r="28" spans="2:12">
      <c r="B28" s="94"/>
      <c r="C28" s="94"/>
      <c r="D28" s="94"/>
      <c r="E28" s="94"/>
      <c r="F28" s="94"/>
      <c r="G28" s="94"/>
      <c r="H28" s="94"/>
      <c r="I28" s="94"/>
      <c r="J28" s="94"/>
      <c r="K28" s="94"/>
      <c r="L28" s="94"/>
    </row>
  </sheetData>
  <sheetProtection sheet="1" scenarios="1"/>
  <mergeCells count="8">
    <mergeCell ref="B2:H2"/>
    <mergeCell ref="N2:P2"/>
    <mergeCell ref="N3:P3"/>
    <mergeCell ref="I2:I7"/>
    <mergeCell ref="B8:H13"/>
    <mergeCell ref="B3:H7"/>
    <mergeCell ref="J2:L13"/>
    <mergeCell ref="N4:P5"/>
  </mergeCells>
  <pageMargins left="0.7" right="0.7" top="0.75" bottom="0.75" header="0.3" footer="0.3"/>
  <pageSetup paperSize="9" orientation="portrait"/>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theme="0" tint="-0.249977111117893"/>
  </sheetPr>
  <dimension ref="A1:X52"/>
  <sheetViews>
    <sheetView zoomScale="80" zoomScaleNormal="80" workbookViewId="0">
      <selection activeCell="R8" sqref="R8"/>
    </sheetView>
  </sheetViews>
  <sheetFormatPr defaultColWidth="3.33636363636364" defaultRowHeight="13"/>
  <cols>
    <col min="1" max="1" width="3.78181818181818" style="54" customWidth="1"/>
    <col min="2" max="2" width="4.78181818181818" style="54" customWidth="1"/>
    <col min="3" max="3" width="18.7818181818182" style="54" customWidth="1"/>
    <col min="4" max="4" width="15.7818181818182" style="54" customWidth="1"/>
    <col min="5" max="5" width="6.78181818181818" style="54" customWidth="1"/>
    <col min="6" max="6" width="10.7818181818182" style="54" customWidth="1"/>
    <col min="7" max="9" width="3.78181818181818" style="54" customWidth="1"/>
    <col min="10" max="10" width="20.7818181818182" style="54" customWidth="1"/>
    <col min="11" max="11" width="16.7818181818182" style="54" customWidth="1"/>
    <col min="12" max="12" width="32.1090909090909" style="54" customWidth="1"/>
    <col min="13" max="14" width="4.78181818181818" style="54" customWidth="1"/>
    <col min="15" max="16" width="2.33636363636364" style="54" customWidth="1"/>
    <col min="17" max="24" width="9.33636363636364" style="54" customWidth="1"/>
    <col min="25" max="16384" width="3.33636363636364" style="54"/>
  </cols>
  <sheetData>
    <row r="1" ht="16.95" customHeight="1" spans="1:24">
      <c r="A1" s="55" t="s">
        <v>10499</v>
      </c>
      <c r="B1" s="55"/>
      <c r="C1" s="55"/>
      <c r="D1" s="55"/>
      <c r="E1" s="55"/>
      <c r="F1" s="55"/>
      <c r="G1" s="55"/>
      <c r="H1" s="55"/>
      <c r="I1" s="55"/>
      <c r="J1" s="55"/>
      <c r="K1" s="55"/>
      <c r="L1" s="55"/>
      <c r="M1" s="55"/>
      <c r="N1" s="55"/>
      <c r="O1" s="55"/>
      <c r="Q1" s="72" t="s">
        <v>10500</v>
      </c>
      <c r="R1" s="72"/>
      <c r="S1" s="72"/>
      <c r="T1" s="72"/>
      <c r="U1" s="72"/>
      <c r="V1" s="72"/>
      <c r="W1" s="72"/>
      <c r="X1" s="72"/>
    </row>
    <row r="2" ht="16.95" customHeight="1" spans="1:24">
      <c r="A2" s="56"/>
      <c r="B2" s="57" t="s">
        <v>10501</v>
      </c>
      <c r="C2" s="56" t="s">
        <v>10502</v>
      </c>
      <c r="D2" s="56" t="s">
        <v>10503</v>
      </c>
      <c r="E2" s="56" t="s">
        <v>10504</v>
      </c>
      <c r="F2" s="56" t="s">
        <v>10505</v>
      </c>
      <c r="G2" s="58" t="s">
        <v>7526</v>
      </c>
      <c r="H2" s="58" t="s">
        <v>7527</v>
      </c>
      <c r="I2" s="58" t="s">
        <v>7539</v>
      </c>
      <c r="J2" s="58" t="s">
        <v>10506</v>
      </c>
      <c r="K2" s="56" t="s">
        <v>10507</v>
      </c>
      <c r="L2" s="68" t="s">
        <v>10508</v>
      </c>
      <c r="M2" s="56" t="s">
        <v>10509</v>
      </c>
      <c r="N2" s="56" t="s">
        <v>10510</v>
      </c>
      <c r="O2" s="56"/>
      <c r="Q2" s="73" t="s">
        <v>172</v>
      </c>
      <c r="R2" s="73"/>
      <c r="S2" s="73" t="s">
        <v>174</v>
      </c>
      <c r="T2" s="73" t="s">
        <v>4919</v>
      </c>
      <c r="U2" s="73" t="s">
        <v>4920</v>
      </c>
      <c r="V2" s="73" t="s">
        <v>176</v>
      </c>
      <c r="W2" s="73" t="s">
        <v>165</v>
      </c>
      <c r="X2" s="73" t="s">
        <v>10511</v>
      </c>
    </row>
    <row r="3" ht="16.95" customHeight="1" spans="1:24">
      <c r="A3" s="59"/>
      <c r="B3" s="60"/>
      <c r="C3" s="61"/>
      <c r="D3" s="62"/>
      <c r="E3" s="61"/>
      <c r="F3" s="62"/>
      <c r="G3" s="63"/>
      <c r="H3" s="63"/>
      <c r="I3" s="63"/>
      <c r="J3" s="62"/>
      <c r="K3" s="61"/>
      <c r="L3" s="69"/>
      <c r="M3" s="61"/>
      <c r="N3" s="61"/>
      <c r="P3" s="70"/>
      <c r="Q3" s="63" t="s">
        <v>10512</v>
      </c>
      <c r="R3" s="63"/>
      <c r="S3" s="63"/>
      <c r="T3" s="63"/>
      <c r="U3" s="63"/>
      <c r="V3" s="63"/>
      <c r="W3" s="63"/>
      <c r="X3" s="63" t="s">
        <v>10513</v>
      </c>
    </row>
    <row r="4" ht="16.95" customHeight="1" spans="2:24">
      <c r="B4" s="64"/>
      <c r="C4" s="65"/>
      <c r="D4" s="66"/>
      <c r="E4" s="65"/>
      <c r="F4" s="66"/>
      <c r="G4" s="67"/>
      <c r="H4" s="67"/>
      <c r="I4" s="67"/>
      <c r="J4" s="66"/>
      <c r="K4" s="65"/>
      <c r="L4" s="71"/>
      <c r="M4" s="65"/>
      <c r="N4" s="65"/>
      <c r="P4" s="70"/>
      <c r="Q4" s="63" t="s">
        <v>10514</v>
      </c>
      <c r="R4" s="63"/>
      <c r="S4" s="63"/>
      <c r="T4" s="63"/>
      <c r="U4" s="63"/>
      <c r="V4" s="63"/>
      <c r="W4" s="63"/>
      <c r="X4" s="63" t="s">
        <v>10513</v>
      </c>
    </row>
    <row r="5" ht="16.95" customHeight="1" spans="2:24">
      <c r="B5" s="60"/>
      <c r="C5" s="61"/>
      <c r="D5" s="62"/>
      <c r="E5" s="61"/>
      <c r="F5" s="62"/>
      <c r="G5" s="63"/>
      <c r="H5" s="63"/>
      <c r="I5" s="63"/>
      <c r="J5" s="62"/>
      <c r="K5" s="61"/>
      <c r="L5" s="69"/>
      <c r="M5" s="61"/>
      <c r="N5" s="61"/>
      <c r="P5" s="70"/>
      <c r="Q5" s="63" t="s">
        <v>10515</v>
      </c>
      <c r="R5" s="63"/>
      <c r="S5" s="63"/>
      <c r="T5" s="63"/>
      <c r="U5" s="63"/>
      <c r="V5" s="63"/>
      <c r="W5" s="63"/>
      <c r="X5" s="63" t="s">
        <v>10513</v>
      </c>
    </row>
    <row r="6" ht="16.95" customHeight="1" spans="2:18">
      <c r="B6" s="64"/>
      <c r="C6" s="65"/>
      <c r="D6" s="66"/>
      <c r="E6" s="65"/>
      <c r="F6" s="66"/>
      <c r="G6" s="67"/>
      <c r="H6" s="67"/>
      <c r="I6" s="67"/>
      <c r="J6" s="66"/>
      <c r="K6" s="65"/>
      <c r="L6" s="71"/>
      <c r="M6" s="65"/>
      <c r="N6" s="65"/>
      <c r="P6" s="70"/>
      <c r="Q6" s="70"/>
      <c r="R6" s="70"/>
    </row>
    <row r="7" ht="16.95" customHeight="1" spans="2:21">
      <c r="B7" s="60"/>
      <c r="C7" s="61"/>
      <c r="D7" s="62"/>
      <c r="E7" s="61"/>
      <c r="F7" s="62"/>
      <c r="G7" s="63"/>
      <c r="H7" s="63"/>
      <c r="I7" s="63"/>
      <c r="J7" s="62"/>
      <c r="K7" s="61"/>
      <c r="L7" s="69"/>
      <c r="M7" s="61"/>
      <c r="N7" s="61"/>
      <c r="P7" s="70"/>
      <c r="Q7" s="72" t="s">
        <v>10516</v>
      </c>
      <c r="R7" s="72"/>
      <c r="S7" s="72"/>
      <c r="T7" s="72"/>
      <c r="U7" s="72"/>
    </row>
    <row r="8" ht="16.95" customHeight="1" spans="2:21">
      <c r="B8" s="64"/>
      <c r="C8" s="65"/>
      <c r="D8" s="66"/>
      <c r="E8" s="65"/>
      <c r="F8" s="66"/>
      <c r="G8" s="67"/>
      <c r="H8" s="67"/>
      <c r="I8" s="67"/>
      <c r="J8" s="66"/>
      <c r="K8" s="65"/>
      <c r="L8" s="71"/>
      <c r="M8" s="65"/>
      <c r="N8" s="65"/>
      <c r="P8" s="70"/>
      <c r="Q8" s="73" t="s">
        <v>92</v>
      </c>
      <c r="R8" s="73" t="s">
        <v>10517</v>
      </c>
      <c r="S8" s="73" t="s">
        <v>10518</v>
      </c>
      <c r="T8" s="73" t="s">
        <v>92</v>
      </c>
      <c r="U8" s="73" t="s">
        <v>10518</v>
      </c>
    </row>
    <row r="9" ht="16.95" customHeight="1" spans="2:21">
      <c r="B9" s="60"/>
      <c r="C9" s="61"/>
      <c r="D9" s="62"/>
      <c r="E9" s="61"/>
      <c r="F9" s="62"/>
      <c r="G9" s="63"/>
      <c r="H9" s="63"/>
      <c r="I9" s="63"/>
      <c r="J9" s="62"/>
      <c r="K9" s="61"/>
      <c r="L9" s="69"/>
      <c r="M9" s="61"/>
      <c r="N9" s="61"/>
      <c r="P9" s="70"/>
      <c r="Q9" s="74" t="s">
        <v>104</v>
      </c>
      <c r="R9" s="75">
        <v>8</v>
      </c>
      <c r="S9" s="76">
        <f t="shared" ref="S9:S14" si="0">VLOOKUP(R9,$T$9:$U$16,2,0)</f>
        <v>0</v>
      </c>
      <c r="T9" s="75">
        <v>8</v>
      </c>
      <c r="U9" s="76">
        <v>0</v>
      </c>
    </row>
    <row r="10" ht="16.95" customHeight="1" spans="2:21">
      <c r="B10" s="64"/>
      <c r="C10" s="65"/>
      <c r="D10" s="66"/>
      <c r="E10" s="65"/>
      <c r="F10" s="66"/>
      <c r="G10" s="67"/>
      <c r="H10" s="67"/>
      <c r="I10" s="67"/>
      <c r="J10" s="66"/>
      <c r="K10" s="65"/>
      <c r="L10" s="71"/>
      <c r="M10" s="65"/>
      <c r="N10" s="65"/>
      <c r="P10" s="70"/>
      <c r="Q10" s="74" t="s">
        <v>109</v>
      </c>
      <c r="R10" s="75">
        <v>8</v>
      </c>
      <c r="S10" s="76">
        <f t="shared" si="0"/>
        <v>0</v>
      </c>
      <c r="T10" s="75">
        <v>9</v>
      </c>
      <c r="U10" s="76">
        <v>1</v>
      </c>
    </row>
    <row r="11" ht="16.95" customHeight="1" spans="2:21">
      <c r="B11" s="60"/>
      <c r="C11" s="61"/>
      <c r="D11" s="62"/>
      <c r="E11" s="61"/>
      <c r="F11" s="62"/>
      <c r="G11" s="63"/>
      <c r="H11" s="63"/>
      <c r="I11" s="63"/>
      <c r="J11" s="62"/>
      <c r="K11" s="61"/>
      <c r="L11" s="69"/>
      <c r="M11" s="61"/>
      <c r="N11" s="61"/>
      <c r="P11" s="70"/>
      <c r="Q11" s="74" t="s">
        <v>112</v>
      </c>
      <c r="R11" s="75">
        <v>8</v>
      </c>
      <c r="S11" s="76">
        <f t="shared" si="0"/>
        <v>0</v>
      </c>
      <c r="T11" s="75">
        <v>10</v>
      </c>
      <c r="U11" s="76">
        <v>2</v>
      </c>
    </row>
    <row r="12" ht="16.95" customHeight="1" spans="2:21">
      <c r="B12" s="64"/>
      <c r="C12" s="65"/>
      <c r="D12" s="66"/>
      <c r="E12" s="65"/>
      <c r="F12" s="66"/>
      <c r="G12" s="67"/>
      <c r="H12" s="67"/>
      <c r="I12" s="67"/>
      <c r="J12" s="66"/>
      <c r="K12" s="65"/>
      <c r="L12" s="71"/>
      <c r="M12" s="65"/>
      <c r="N12" s="65"/>
      <c r="P12" s="70"/>
      <c r="Q12" s="74" t="s">
        <v>116</v>
      </c>
      <c r="R12" s="75">
        <v>8</v>
      </c>
      <c r="S12" s="76">
        <f t="shared" si="0"/>
        <v>0</v>
      </c>
      <c r="T12" s="75">
        <v>11</v>
      </c>
      <c r="U12" s="76">
        <v>3</v>
      </c>
    </row>
    <row r="13" ht="16.95" customHeight="1" spans="2:21">
      <c r="B13" s="60"/>
      <c r="C13" s="61"/>
      <c r="D13" s="62"/>
      <c r="E13" s="61"/>
      <c r="F13" s="62"/>
      <c r="G13" s="63"/>
      <c r="H13" s="63"/>
      <c r="I13" s="63"/>
      <c r="J13" s="62"/>
      <c r="K13" s="61"/>
      <c r="L13" s="69"/>
      <c r="M13" s="61"/>
      <c r="N13" s="61"/>
      <c r="P13" s="70"/>
      <c r="Q13" s="74" t="s">
        <v>119</v>
      </c>
      <c r="R13" s="75">
        <v>8</v>
      </c>
      <c r="S13" s="76">
        <f t="shared" si="0"/>
        <v>0</v>
      </c>
      <c r="T13" s="75">
        <v>12</v>
      </c>
      <c r="U13" s="76">
        <v>4</v>
      </c>
    </row>
    <row r="14" ht="16.95" customHeight="1" spans="2:21">
      <c r="B14" s="64"/>
      <c r="C14" s="65"/>
      <c r="D14" s="66"/>
      <c r="E14" s="65"/>
      <c r="F14" s="66"/>
      <c r="G14" s="67"/>
      <c r="H14" s="67"/>
      <c r="I14" s="67"/>
      <c r="J14" s="66"/>
      <c r="K14" s="65"/>
      <c r="L14" s="71"/>
      <c r="M14" s="65"/>
      <c r="N14" s="65"/>
      <c r="P14" s="70"/>
      <c r="Q14" s="74" t="s">
        <v>121</v>
      </c>
      <c r="R14" s="75">
        <v>8</v>
      </c>
      <c r="S14" s="76">
        <f t="shared" si="0"/>
        <v>0</v>
      </c>
      <c r="T14" s="75">
        <v>13</v>
      </c>
      <c r="U14" s="76">
        <v>5</v>
      </c>
    </row>
    <row r="15" ht="16.95" customHeight="1" spans="2:21">
      <c r="B15" s="60"/>
      <c r="C15" s="61"/>
      <c r="D15" s="62"/>
      <c r="E15" s="61"/>
      <c r="F15" s="62"/>
      <c r="G15" s="63"/>
      <c r="H15" s="63"/>
      <c r="I15" s="63"/>
      <c r="J15" s="62"/>
      <c r="K15" s="61"/>
      <c r="L15" s="69"/>
      <c r="M15" s="61"/>
      <c r="N15" s="61"/>
      <c r="P15" s="70"/>
      <c r="Q15" s="73" t="s">
        <v>10519</v>
      </c>
      <c r="R15" s="73" t="s">
        <v>10520</v>
      </c>
      <c r="T15" s="75">
        <v>14</v>
      </c>
      <c r="U15" s="76">
        <v>7</v>
      </c>
    </row>
    <row r="16" ht="16.95" customHeight="1" spans="2:21">
      <c r="B16" s="64"/>
      <c r="C16" s="65"/>
      <c r="D16" s="66"/>
      <c r="E16" s="65"/>
      <c r="F16" s="66"/>
      <c r="G16" s="67"/>
      <c r="H16" s="67"/>
      <c r="I16" s="67"/>
      <c r="J16" s="66"/>
      <c r="K16" s="65"/>
      <c r="L16" s="71"/>
      <c r="M16" s="65"/>
      <c r="N16" s="65"/>
      <c r="P16" s="70"/>
      <c r="Q16" s="75">
        <v>27</v>
      </c>
      <c r="R16" s="75">
        <f>Q16-SUM(S9:S14)</f>
        <v>27</v>
      </c>
      <c r="T16" s="75">
        <v>15</v>
      </c>
      <c r="U16" s="76">
        <v>9</v>
      </c>
    </row>
    <row r="17" ht="16.95" customHeight="1" spans="2:16">
      <c r="B17" s="60"/>
      <c r="C17" s="61"/>
      <c r="D17" s="62"/>
      <c r="E17" s="61"/>
      <c r="F17" s="62"/>
      <c r="G17" s="63"/>
      <c r="H17" s="63"/>
      <c r="I17" s="63"/>
      <c r="J17" s="62"/>
      <c r="K17" s="61"/>
      <c r="L17" s="69"/>
      <c r="M17" s="61"/>
      <c r="N17" s="61"/>
      <c r="P17" s="70"/>
    </row>
    <row r="18" ht="16.95" customHeight="1" spans="2:24">
      <c r="B18" s="64"/>
      <c r="C18" s="65"/>
      <c r="D18" s="66"/>
      <c r="E18" s="65"/>
      <c r="F18" s="66"/>
      <c r="G18" s="67"/>
      <c r="H18" s="67"/>
      <c r="I18" s="67"/>
      <c r="J18" s="66"/>
      <c r="K18" s="65"/>
      <c r="L18" s="71"/>
      <c r="M18" s="65"/>
      <c r="N18" s="65"/>
      <c r="P18" s="70"/>
      <c r="Q18" s="72" t="s">
        <v>10521</v>
      </c>
      <c r="R18" s="72"/>
      <c r="S18" s="72"/>
      <c r="T18" s="72"/>
      <c r="U18" s="72"/>
      <c r="V18" s="72"/>
      <c r="W18" s="72"/>
      <c r="X18" s="72"/>
    </row>
    <row r="19" ht="16.95" customHeight="1" spans="2:24">
      <c r="B19" s="60"/>
      <c r="C19" s="61"/>
      <c r="D19" s="62"/>
      <c r="E19" s="61"/>
      <c r="F19" s="62"/>
      <c r="G19" s="63"/>
      <c r="H19" s="63"/>
      <c r="I19" s="63"/>
      <c r="J19" s="62"/>
      <c r="K19" s="61"/>
      <c r="L19" s="69"/>
      <c r="M19" s="61"/>
      <c r="N19" s="61"/>
      <c r="P19" s="70"/>
      <c r="Q19" s="73" t="s">
        <v>88</v>
      </c>
      <c r="R19" s="73"/>
      <c r="S19" s="73" t="s">
        <v>7496</v>
      </c>
      <c r="T19" s="73"/>
      <c r="U19" s="73"/>
      <c r="V19" s="73"/>
      <c r="W19" s="73"/>
      <c r="X19" s="73"/>
    </row>
    <row r="20" ht="16.95" customHeight="1" spans="2:24">
      <c r="B20" s="64"/>
      <c r="C20" s="65"/>
      <c r="D20" s="66"/>
      <c r="E20" s="65"/>
      <c r="F20" s="66"/>
      <c r="G20" s="67"/>
      <c r="H20" s="67"/>
      <c r="I20" s="67"/>
      <c r="J20" s="66"/>
      <c r="K20" s="65"/>
      <c r="L20" s="71"/>
      <c r="M20" s="65"/>
      <c r="N20" s="65"/>
      <c r="P20" s="70"/>
      <c r="Q20" s="63" t="s">
        <v>10522</v>
      </c>
      <c r="R20" s="63"/>
      <c r="S20" s="77" t="s">
        <v>4935</v>
      </c>
      <c r="T20" s="78"/>
      <c r="U20" s="78"/>
      <c r="V20" s="78"/>
      <c r="W20" s="78"/>
      <c r="X20" s="79"/>
    </row>
    <row r="21" ht="16.95" customHeight="1" spans="2:24">
      <c r="B21" s="60"/>
      <c r="C21" s="61"/>
      <c r="D21" s="62"/>
      <c r="E21" s="61"/>
      <c r="F21" s="62"/>
      <c r="G21" s="63"/>
      <c r="H21" s="63"/>
      <c r="I21" s="63"/>
      <c r="J21" s="62"/>
      <c r="K21" s="61"/>
      <c r="L21" s="69"/>
      <c r="M21" s="61"/>
      <c r="N21" s="61"/>
      <c r="P21" s="70"/>
      <c r="Q21" s="63" t="s">
        <v>10523</v>
      </c>
      <c r="R21" s="63"/>
      <c r="S21" s="77" t="s">
        <v>4935</v>
      </c>
      <c r="T21" s="78"/>
      <c r="U21" s="78"/>
      <c r="V21" s="78"/>
      <c r="W21" s="78"/>
      <c r="X21" s="79"/>
    </row>
    <row r="22" ht="16.95" customHeight="1" spans="2:24">
      <c r="B22" s="64"/>
      <c r="C22" s="65"/>
      <c r="D22" s="66"/>
      <c r="E22" s="65"/>
      <c r="F22" s="66"/>
      <c r="G22" s="67"/>
      <c r="H22" s="67"/>
      <c r="I22" s="67"/>
      <c r="J22" s="66"/>
      <c r="K22" s="65"/>
      <c r="L22" s="71"/>
      <c r="M22" s="65"/>
      <c r="N22" s="65"/>
      <c r="P22" s="70"/>
      <c r="Q22" s="63" t="s">
        <v>10524</v>
      </c>
      <c r="R22" s="63"/>
      <c r="S22" s="77" t="s">
        <v>4935</v>
      </c>
      <c r="T22" s="78"/>
      <c r="U22" s="78"/>
      <c r="V22" s="78"/>
      <c r="W22" s="78"/>
      <c r="X22" s="79"/>
    </row>
    <row r="23" ht="16.95" customHeight="1" spans="2:24">
      <c r="B23" s="60"/>
      <c r="C23" s="61"/>
      <c r="D23" s="62"/>
      <c r="E23" s="61"/>
      <c r="F23" s="62"/>
      <c r="G23" s="63"/>
      <c r="H23" s="63"/>
      <c r="I23" s="63"/>
      <c r="J23" s="62"/>
      <c r="K23" s="61"/>
      <c r="L23" s="69"/>
      <c r="M23" s="61"/>
      <c r="N23" s="61"/>
      <c r="P23" s="70"/>
      <c r="Q23" s="73" t="s">
        <v>88</v>
      </c>
      <c r="R23" s="73"/>
      <c r="S23" s="73" t="s">
        <v>7496</v>
      </c>
      <c r="T23" s="73"/>
      <c r="U23" s="73"/>
      <c r="V23" s="73"/>
      <c r="W23" s="73"/>
      <c r="X23" s="73"/>
    </row>
    <row r="24" ht="16.95" customHeight="1" spans="2:24">
      <c r="B24" s="64"/>
      <c r="C24" s="65"/>
      <c r="D24" s="66"/>
      <c r="E24" s="65"/>
      <c r="F24" s="66"/>
      <c r="G24" s="67"/>
      <c r="H24" s="67"/>
      <c r="I24" s="67"/>
      <c r="J24" s="66"/>
      <c r="K24" s="65"/>
      <c r="L24" s="71"/>
      <c r="M24" s="65"/>
      <c r="N24" s="65"/>
      <c r="P24" s="70"/>
      <c r="Q24" s="63" t="s">
        <v>10525</v>
      </c>
      <c r="R24" s="63"/>
      <c r="S24" s="77" t="s">
        <v>4935</v>
      </c>
      <c r="T24" s="78"/>
      <c r="U24" s="78"/>
      <c r="V24" s="78"/>
      <c r="W24" s="78"/>
      <c r="X24" s="79"/>
    </row>
    <row r="25" ht="16.95" customHeight="1" spans="2:24">
      <c r="B25" s="60"/>
      <c r="C25" s="61"/>
      <c r="D25" s="62"/>
      <c r="E25" s="61"/>
      <c r="F25" s="62"/>
      <c r="G25" s="63"/>
      <c r="H25" s="63"/>
      <c r="I25" s="63"/>
      <c r="J25" s="62"/>
      <c r="K25" s="61"/>
      <c r="L25" s="69"/>
      <c r="M25" s="61"/>
      <c r="N25" s="61"/>
      <c r="P25" s="70"/>
      <c r="Q25" s="63" t="s">
        <v>10526</v>
      </c>
      <c r="R25" s="63"/>
      <c r="S25" s="77" t="s">
        <v>4935</v>
      </c>
      <c r="T25" s="78"/>
      <c r="U25" s="78"/>
      <c r="V25" s="78"/>
      <c r="W25" s="78"/>
      <c r="X25" s="79"/>
    </row>
    <row r="26" ht="16.95" customHeight="1" spans="2:18">
      <c r="B26" s="64"/>
      <c r="C26" s="65"/>
      <c r="D26" s="66"/>
      <c r="E26" s="65"/>
      <c r="F26" s="66"/>
      <c r="G26" s="67"/>
      <c r="H26" s="67"/>
      <c r="I26" s="67"/>
      <c r="J26" s="66"/>
      <c r="K26" s="65"/>
      <c r="L26" s="71"/>
      <c r="M26" s="65"/>
      <c r="N26" s="65"/>
      <c r="P26" s="70"/>
      <c r="Q26" s="70"/>
      <c r="R26" s="70"/>
    </row>
    <row r="27" ht="16.95" customHeight="1" spans="2:24">
      <c r="B27" s="60"/>
      <c r="C27" s="61"/>
      <c r="D27" s="62"/>
      <c r="E27" s="61"/>
      <c r="F27" s="62"/>
      <c r="G27" s="63"/>
      <c r="H27" s="63"/>
      <c r="I27" s="63"/>
      <c r="J27" s="62"/>
      <c r="K27" s="61"/>
      <c r="L27" s="69"/>
      <c r="M27" s="61"/>
      <c r="N27" s="61"/>
      <c r="P27" s="70"/>
      <c r="Q27" s="80" t="s">
        <v>10527</v>
      </c>
      <c r="R27" s="80"/>
      <c r="S27" s="80"/>
      <c r="T27" s="80"/>
      <c r="U27" s="80"/>
      <c r="V27" s="80"/>
      <c r="W27" s="80"/>
      <c r="X27" s="80"/>
    </row>
    <row r="28" ht="16.95" customHeight="1" spans="2:24">
      <c r="B28" s="64"/>
      <c r="C28" s="65"/>
      <c r="D28" s="66"/>
      <c r="E28" s="65"/>
      <c r="F28" s="66"/>
      <c r="G28" s="67"/>
      <c r="H28" s="67"/>
      <c r="I28" s="67"/>
      <c r="J28" s="66"/>
      <c r="K28" s="65"/>
      <c r="L28" s="71"/>
      <c r="M28" s="65"/>
      <c r="N28" s="65"/>
      <c r="P28" s="70"/>
      <c r="Q28" s="73" t="s">
        <v>88</v>
      </c>
      <c r="R28" s="73"/>
      <c r="S28" s="73" t="s">
        <v>5</v>
      </c>
      <c r="T28" s="73"/>
      <c r="U28" s="73" t="s">
        <v>6</v>
      </c>
      <c r="V28" s="73"/>
      <c r="W28" s="73" t="s">
        <v>8</v>
      </c>
      <c r="X28" s="73"/>
    </row>
    <row r="29" ht="16.95" customHeight="1" spans="2:24">
      <c r="B29" s="60"/>
      <c r="C29" s="61"/>
      <c r="D29" s="62"/>
      <c r="E29" s="61"/>
      <c r="F29" s="62"/>
      <c r="G29" s="63"/>
      <c r="H29" s="63"/>
      <c r="I29" s="63"/>
      <c r="J29" s="62"/>
      <c r="K29" s="61"/>
      <c r="L29" s="69"/>
      <c r="M29" s="61"/>
      <c r="N29" s="61"/>
      <c r="P29" s="70"/>
      <c r="Q29" s="81" t="s">
        <v>10528</v>
      </c>
      <c r="R29" s="61"/>
      <c r="S29" s="81" t="s">
        <v>6969</v>
      </c>
      <c r="T29" s="61"/>
      <c r="U29" s="81" t="s">
        <v>6970</v>
      </c>
      <c r="V29" s="61"/>
      <c r="W29" s="81" t="s">
        <v>6971</v>
      </c>
      <c r="X29" s="61"/>
    </row>
    <row r="30" ht="16.95" customHeight="1" spans="2:24">
      <c r="B30" s="64"/>
      <c r="C30" s="65"/>
      <c r="D30" s="66"/>
      <c r="E30" s="65"/>
      <c r="F30" s="66"/>
      <c r="G30" s="67"/>
      <c r="H30" s="67"/>
      <c r="I30" s="67"/>
      <c r="J30" s="66"/>
      <c r="K30" s="65"/>
      <c r="L30" s="71"/>
      <c r="M30" s="65"/>
      <c r="N30" s="65"/>
      <c r="P30" s="70"/>
      <c r="Q30" s="61"/>
      <c r="R30" s="61"/>
      <c r="S30" s="61"/>
      <c r="T30" s="61"/>
      <c r="U30" s="61"/>
      <c r="V30" s="61"/>
      <c r="W30" s="61"/>
      <c r="X30" s="61"/>
    </row>
    <row r="31" ht="16.95" customHeight="1" spans="2:24">
      <c r="B31" s="60"/>
      <c r="C31" s="61"/>
      <c r="D31" s="62"/>
      <c r="E31" s="61"/>
      <c r="F31" s="62"/>
      <c r="G31" s="63"/>
      <c r="H31" s="63"/>
      <c r="I31" s="63"/>
      <c r="J31" s="62"/>
      <c r="K31" s="61"/>
      <c r="L31" s="69"/>
      <c r="M31" s="61"/>
      <c r="N31" s="61"/>
      <c r="P31" s="70"/>
      <c r="Q31" s="73" t="s">
        <v>11</v>
      </c>
      <c r="R31" s="73"/>
      <c r="S31" s="73" t="s">
        <v>155</v>
      </c>
      <c r="T31" s="73"/>
      <c r="U31" s="73" t="s">
        <v>3</v>
      </c>
      <c r="V31" s="73"/>
      <c r="W31" s="73"/>
      <c r="X31" s="73"/>
    </row>
    <row r="32" ht="16.95" customHeight="1" spans="2:24">
      <c r="B32" s="64"/>
      <c r="C32" s="65"/>
      <c r="D32" s="66"/>
      <c r="E32" s="65"/>
      <c r="F32" s="66"/>
      <c r="G32" s="67"/>
      <c r="H32" s="67"/>
      <c r="I32" s="67"/>
      <c r="J32" s="66"/>
      <c r="K32" s="65"/>
      <c r="L32" s="71"/>
      <c r="M32" s="65"/>
      <c r="N32" s="65"/>
      <c r="Q32" s="81" t="s">
        <v>6972</v>
      </c>
      <c r="R32" s="61"/>
      <c r="S32" s="61" t="s">
        <v>10529</v>
      </c>
      <c r="T32" s="61"/>
      <c r="U32" s="81" t="s">
        <v>6974</v>
      </c>
      <c r="V32" s="61"/>
      <c r="W32" s="61"/>
      <c r="X32" s="61"/>
    </row>
    <row r="33" ht="16.95" customHeight="1" spans="2:24">
      <c r="B33" s="60"/>
      <c r="C33" s="61"/>
      <c r="D33" s="62"/>
      <c r="E33" s="61"/>
      <c r="F33" s="62"/>
      <c r="G33" s="63"/>
      <c r="H33" s="63"/>
      <c r="I33" s="63"/>
      <c r="J33" s="62"/>
      <c r="K33" s="61"/>
      <c r="L33" s="69"/>
      <c r="M33" s="61"/>
      <c r="N33" s="61"/>
      <c r="Q33" s="61"/>
      <c r="R33" s="61"/>
      <c r="S33" s="61"/>
      <c r="T33" s="61"/>
      <c r="U33" s="61"/>
      <c r="V33" s="61"/>
      <c r="W33" s="61"/>
      <c r="X33" s="61"/>
    </row>
    <row r="34" ht="16.95" customHeight="1" spans="2:24">
      <c r="B34" s="64"/>
      <c r="C34" s="65"/>
      <c r="D34" s="66"/>
      <c r="E34" s="65"/>
      <c r="F34" s="66"/>
      <c r="G34" s="67"/>
      <c r="H34" s="67"/>
      <c r="I34" s="67"/>
      <c r="J34" s="66"/>
      <c r="K34" s="65"/>
      <c r="L34" s="71"/>
      <c r="M34" s="65"/>
      <c r="N34" s="65"/>
      <c r="Q34" s="73" t="s">
        <v>88</v>
      </c>
      <c r="R34" s="73"/>
      <c r="S34" s="73" t="s">
        <v>5</v>
      </c>
      <c r="T34" s="73"/>
      <c r="U34" s="73" t="s">
        <v>6</v>
      </c>
      <c r="V34" s="73"/>
      <c r="W34" s="73" t="s">
        <v>8</v>
      </c>
      <c r="X34" s="73"/>
    </row>
    <row r="35" ht="16.95" customHeight="1" spans="2:24">
      <c r="B35" s="60"/>
      <c r="C35" s="61"/>
      <c r="D35" s="62"/>
      <c r="E35" s="61"/>
      <c r="F35" s="62"/>
      <c r="G35" s="63"/>
      <c r="H35" s="63"/>
      <c r="I35" s="63"/>
      <c r="J35" s="62"/>
      <c r="K35" s="61"/>
      <c r="L35" s="69"/>
      <c r="M35" s="61"/>
      <c r="N35" s="61"/>
      <c r="Q35" s="81" t="s">
        <v>10530</v>
      </c>
      <c r="R35" s="61"/>
      <c r="S35" s="81" t="s">
        <v>6969</v>
      </c>
      <c r="T35" s="61"/>
      <c r="U35" s="81" t="s">
        <v>6970</v>
      </c>
      <c r="V35" s="61"/>
      <c r="W35" s="81" t="s">
        <v>6971</v>
      </c>
      <c r="X35" s="61"/>
    </row>
    <row r="36" ht="16.95" customHeight="1" spans="2:24">
      <c r="B36" s="64"/>
      <c r="C36" s="65"/>
      <c r="D36" s="66"/>
      <c r="E36" s="65"/>
      <c r="F36" s="66"/>
      <c r="G36" s="67"/>
      <c r="H36" s="67"/>
      <c r="I36" s="67"/>
      <c r="J36" s="66"/>
      <c r="K36" s="65"/>
      <c r="L36" s="71"/>
      <c r="M36" s="65"/>
      <c r="N36" s="65"/>
      <c r="Q36" s="61"/>
      <c r="R36" s="61"/>
      <c r="S36" s="61"/>
      <c r="T36" s="61"/>
      <c r="U36" s="61"/>
      <c r="V36" s="61"/>
      <c r="W36" s="61"/>
      <c r="X36" s="61"/>
    </row>
    <row r="37" ht="16.95" customHeight="1" spans="2:24">
      <c r="B37" s="60"/>
      <c r="C37" s="61"/>
      <c r="D37" s="62"/>
      <c r="E37" s="61"/>
      <c r="F37" s="62"/>
      <c r="G37" s="63"/>
      <c r="H37" s="63"/>
      <c r="I37" s="63"/>
      <c r="J37" s="62"/>
      <c r="K37" s="61"/>
      <c r="L37" s="69"/>
      <c r="M37" s="61"/>
      <c r="N37" s="61"/>
      <c r="Q37" s="73" t="s">
        <v>11</v>
      </c>
      <c r="R37" s="73"/>
      <c r="S37" s="73" t="s">
        <v>155</v>
      </c>
      <c r="T37" s="73"/>
      <c r="U37" s="73" t="s">
        <v>3</v>
      </c>
      <c r="V37" s="73"/>
      <c r="W37" s="73"/>
      <c r="X37" s="73"/>
    </row>
    <row r="38" ht="16.95" customHeight="1" spans="2:24">
      <c r="B38" s="64"/>
      <c r="C38" s="65"/>
      <c r="D38" s="66"/>
      <c r="E38" s="65"/>
      <c r="F38" s="66"/>
      <c r="G38" s="67"/>
      <c r="H38" s="67"/>
      <c r="I38" s="67"/>
      <c r="J38" s="66"/>
      <c r="K38" s="65"/>
      <c r="L38" s="71"/>
      <c r="M38" s="65"/>
      <c r="N38" s="65"/>
      <c r="Q38" s="81" t="s">
        <v>6972</v>
      </c>
      <c r="R38" s="61"/>
      <c r="S38" s="61" t="s">
        <v>10529</v>
      </c>
      <c r="T38" s="61"/>
      <c r="U38" s="81" t="s">
        <v>6974</v>
      </c>
      <c r="V38" s="61"/>
      <c r="W38" s="61"/>
      <c r="X38" s="61"/>
    </row>
    <row r="39" ht="16.95" customHeight="1" spans="2:24">
      <c r="B39" s="60"/>
      <c r="C39" s="61"/>
      <c r="D39" s="62"/>
      <c r="E39" s="61"/>
      <c r="F39" s="62"/>
      <c r="G39" s="63"/>
      <c r="H39" s="63"/>
      <c r="I39" s="63"/>
      <c r="J39" s="62"/>
      <c r="K39" s="61"/>
      <c r="L39" s="69"/>
      <c r="M39" s="61"/>
      <c r="N39" s="61"/>
      <c r="Q39" s="61"/>
      <c r="R39" s="61"/>
      <c r="S39" s="61"/>
      <c r="T39" s="61"/>
      <c r="U39" s="61"/>
      <c r="V39" s="61"/>
      <c r="W39" s="61"/>
      <c r="X39" s="61"/>
    </row>
    <row r="40" ht="16.95" customHeight="1" spans="2:14">
      <c r="B40" s="64"/>
      <c r="C40" s="65"/>
      <c r="D40" s="66"/>
      <c r="E40" s="65"/>
      <c r="F40" s="66"/>
      <c r="G40" s="67"/>
      <c r="H40" s="67"/>
      <c r="I40" s="67"/>
      <c r="J40" s="71"/>
      <c r="K40" s="65"/>
      <c r="L40" s="71"/>
      <c r="M40" s="65"/>
      <c r="N40" s="65"/>
    </row>
    <row r="41" ht="16.95" customHeight="1" spans="2:14">
      <c r="B41" s="60"/>
      <c r="C41" s="61"/>
      <c r="D41" s="62"/>
      <c r="E41" s="61"/>
      <c r="F41" s="62"/>
      <c r="G41" s="63"/>
      <c r="H41" s="63"/>
      <c r="I41" s="63"/>
      <c r="J41" s="69"/>
      <c r="K41" s="61"/>
      <c r="L41" s="69"/>
      <c r="M41" s="61"/>
      <c r="N41" s="61"/>
    </row>
    <row r="42" ht="16.95" customHeight="1" spans="2:14">
      <c r="B42" s="64"/>
      <c r="C42" s="65"/>
      <c r="D42" s="66"/>
      <c r="E42" s="65"/>
      <c r="F42" s="66"/>
      <c r="G42" s="67"/>
      <c r="H42" s="67"/>
      <c r="I42" s="67"/>
      <c r="J42" s="71"/>
      <c r="K42" s="65"/>
      <c r="L42" s="71"/>
      <c r="M42" s="65"/>
      <c r="N42" s="65"/>
    </row>
    <row r="43" ht="16.95" customHeight="1" spans="2:14">
      <c r="B43" s="60"/>
      <c r="C43" s="61"/>
      <c r="D43" s="62"/>
      <c r="E43" s="61"/>
      <c r="F43" s="62"/>
      <c r="G43" s="63"/>
      <c r="H43" s="63"/>
      <c r="I43" s="63"/>
      <c r="J43" s="69"/>
      <c r="K43" s="61"/>
      <c r="L43" s="69"/>
      <c r="M43" s="61"/>
      <c r="N43" s="61"/>
    </row>
    <row r="44" ht="16.95" customHeight="1" spans="2:14">
      <c r="B44" s="64"/>
      <c r="C44" s="65"/>
      <c r="D44" s="66"/>
      <c r="E44" s="65"/>
      <c r="F44" s="66"/>
      <c r="G44" s="67"/>
      <c r="H44" s="67"/>
      <c r="I44" s="67"/>
      <c r="J44" s="71"/>
      <c r="K44" s="65"/>
      <c r="L44" s="71"/>
      <c r="M44" s="65"/>
      <c r="N44" s="65"/>
    </row>
    <row r="45" ht="16.95" customHeight="1" spans="2:14">
      <c r="B45" s="60"/>
      <c r="C45" s="61"/>
      <c r="D45" s="62"/>
      <c r="E45" s="61"/>
      <c r="F45" s="62"/>
      <c r="G45" s="63"/>
      <c r="H45" s="63"/>
      <c r="I45" s="63"/>
      <c r="J45" s="69"/>
      <c r="K45" s="61"/>
      <c r="L45" s="69"/>
      <c r="M45" s="61"/>
      <c r="N45" s="61"/>
    </row>
    <row r="46" ht="16.95" customHeight="1" spans="2:14">
      <c r="B46" s="64"/>
      <c r="C46" s="65"/>
      <c r="D46" s="66"/>
      <c r="E46" s="65"/>
      <c r="F46" s="66"/>
      <c r="G46" s="67"/>
      <c r="H46" s="67"/>
      <c r="I46" s="67"/>
      <c r="J46" s="71"/>
      <c r="K46" s="65"/>
      <c r="L46" s="71"/>
      <c r="M46" s="65"/>
      <c r="N46" s="65"/>
    </row>
    <row r="47" spans="2:14">
      <c r="B47" s="60"/>
      <c r="C47" s="61"/>
      <c r="D47" s="62"/>
      <c r="E47" s="61"/>
      <c r="F47" s="62"/>
      <c r="G47" s="63"/>
      <c r="H47" s="63"/>
      <c r="I47" s="63"/>
      <c r="J47" s="69"/>
      <c r="K47" s="61"/>
      <c r="L47" s="69"/>
      <c r="M47" s="61"/>
      <c r="N47" s="61"/>
    </row>
    <row r="48" spans="2:14">
      <c r="B48" s="64"/>
      <c r="C48" s="65"/>
      <c r="D48" s="66"/>
      <c r="E48" s="65"/>
      <c r="F48" s="66"/>
      <c r="G48" s="67"/>
      <c r="H48" s="67"/>
      <c r="I48" s="67"/>
      <c r="J48" s="71"/>
      <c r="K48" s="65"/>
      <c r="L48" s="71"/>
      <c r="M48" s="65"/>
      <c r="N48" s="65"/>
    </row>
    <row r="49" spans="2:14">
      <c r="B49" s="60"/>
      <c r="C49" s="61"/>
      <c r="D49" s="62"/>
      <c r="E49" s="61"/>
      <c r="F49" s="62"/>
      <c r="G49" s="63"/>
      <c r="H49" s="63"/>
      <c r="I49" s="63"/>
      <c r="J49" s="69"/>
      <c r="K49" s="61"/>
      <c r="L49" s="69"/>
      <c r="M49" s="61"/>
      <c r="N49" s="61"/>
    </row>
    <row r="50" spans="2:14">
      <c r="B50" s="64"/>
      <c r="C50" s="65"/>
      <c r="D50" s="66"/>
      <c r="E50" s="65"/>
      <c r="F50" s="66"/>
      <c r="G50" s="67"/>
      <c r="H50" s="67"/>
      <c r="I50" s="67"/>
      <c r="J50" s="71"/>
      <c r="K50" s="65"/>
      <c r="L50" s="71"/>
      <c r="M50" s="65"/>
      <c r="N50" s="65"/>
    </row>
    <row r="51" spans="2:14">
      <c r="B51" s="60"/>
      <c r="C51" s="61"/>
      <c r="D51" s="62"/>
      <c r="E51" s="61"/>
      <c r="F51" s="62"/>
      <c r="G51" s="63"/>
      <c r="H51" s="63"/>
      <c r="I51" s="63"/>
      <c r="J51" s="69"/>
      <c r="K51" s="61"/>
      <c r="L51" s="69"/>
      <c r="M51" s="61"/>
      <c r="N51" s="61"/>
    </row>
    <row r="52" spans="2:14">
      <c r="B52" s="64"/>
      <c r="C52" s="65"/>
      <c r="D52" s="66"/>
      <c r="E52" s="65"/>
      <c r="F52" s="66"/>
      <c r="G52" s="67"/>
      <c r="H52" s="67"/>
      <c r="I52" s="67"/>
      <c r="J52" s="71"/>
      <c r="K52" s="65"/>
      <c r="L52" s="71"/>
      <c r="M52" s="65"/>
      <c r="N52" s="65"/>
    </row>
  </sheetData>
  <sheetProtection selectLockedCells="1" formatCells="0"/>
  <mergeCells count="51">
    <mergeCell ref="A1:O1"/>
    <mergeCell ref="Q1:X1"/>
    <mergeCell ref="Q2:R2"/>
    <mergeCell ref="Q3:R3"/>
    <mergeCell ref="Q4:R4"/>
    <mergeCell ref="Q5:R5"/>
    <mergeCell ref="Q7:U7"/>
    <mergeCell ref="Q18:X18"/>
    <mergeCell ref="Q19:R19"/>
    <mergeCell ref="S19:X19"/>
    <mergeCell ref="Q20:R20"/>
    <mergeCell ref="S20:X20"/>
    <mergeCell ref="Q21:R21"/>
    <mergeCell ref="S21:X21"/>
    <mergeCell ref="Q22:R22"/>
    <mergeCell ref="S22:X22"/>
    <mergeCell ref="Q23:R23"/>
    <mergeCell ref="S23:X23"/>
    <mergeCell ref="Q24:R24"/>
    <mergeCell ref="S24:X24"/>
    <mergeCell ref="Q25:R25"/>
    <mergeCell ref="S25:X25"/>
    <mergeCell ref="Q27:X27"/>
    <mergeCell ref="Q28:R28"/>
    <mergeCell ref="S28:T28"/>
    <mergeCell ref="U28:V28"/>
    <mergeCell ref="W28:X28"/>
    <mergeCell ref="Q31:R31"/>
    <mergeCell ref="S31:T31"/>
    <mergeCell ref="U31:X31"/>
    <mergeCell ref="Q34:R34"/>
    <mergeCell ref="S34:T34"/>
    <mergeCell ref="U34:V34"/>
    <mergeCell ref="W34:X34"/>
    <mergeCell ref="Q37:R37"/>
    <mergeCell ref="S37:T37"/>
    <mergeCell ref="U37:X37"/>
    <mergeCell ref="Q38:R39"/>
    <mergeCell ref="S38:T39"/>
    <mergeCell ref="U38:X39"/>
    <mergeCell ref="Q35:R36"/>
    <mergeCell ref="S35:T36"/>
    <mergeCell ref="U35:V36"/>
    <mergeCell ref="W35:X36"/>
    <mergeCell ref="Q29:R30"/>
    <mergeCell ref="S29:T30"/>
    <mergeCell ref="U29:V30"/>
    <mergeCell ref="W29:X30"/>
    <mergeCell ref="U32:X33"/>
    <mergeCell ref="Q32:R33"/>
    <mergeCell ref="S32:T33"/>
  </mergeCells>
  <conditionalFormatting sqref="Q9">
    <cfRule type="expression" dxfId="0" priority="6">
      <formula>$B$13="O"</formula>
    </cfRule>
  </conditionalFormatting>
  <conditionalFormatting sqref="Q10">
    <cfRule type="expression" dxfId="0" priority="5">
      <formula>$B$14="O"</formula>
    </cfRule>
  </conditionalFormatting>
  <conditionalFormatting sqref="Q11">
    <cfRule type="expression" dxfId="0" priority="4">
      <formula>$B$15="O"</formula>
    </cfRule>
  </conditionalFormatting>
  <conditionalFormatting sqref="Q12">
    <cfRule type="expression" dxfId="0" priority="3">
      <formula>$B$16="O"</formula>
    </cfRule>
  </conditionalFormatting>
  <conditionalFormatting sqref="Q13">
    <cfRule type="expression" dxfId="0" priority="2">
      <formula>$B$17="O"</formula>
    </cfRule>
  </conditionalFormatting>
  <conditionalFormatting sqref="Q14">
    <cfRule type="expression" dxfId="0" priority="1">
      <formula>$B$18="O"</formula>
    </cfRule>
  </conditionalFormatting>
  <dataValidations count="13">
    <dataValidation type="list" allowBlank="1" showInputMessage="1" sqref="B3:B52">
      <formula1>数据表!$P$34:$P$43</formula1>
    </dataValidation>
    <dataValidation type="list" allowBlank="1" showInputMessage="1" sqref="D3:D52">
      <formula1>数据表!$S$34:$S$50</formula1>
    </dataValidation>
    <dataValidation type="list" allowBlank="1" showInputMessage="1" showErrorMessage="1" sqref="E3:E52">
      <formula1>数据表!$Q$34:$Q$41</formula1>
    </dataValidation>
    <dataValidation type="list" allowBlank="1" showInputMessage="1" sqref="F3:F52">
      <formula1>数据表!$R$34:$R$41</formula1>
    </dataValidation>
    <dataValidation type="list" allowBlank="1" showInputMessage="1" showErrorMessage="1" sqref="G3:G52">
      <formula1>"V"</formula1>
    </dataValidation>
    <dataValidation type="list" allowBlank="1" showInputMessage="1" showErrorMessage="1" sqref="H3:H52">
      <formula1>"S"</formula1>
    </dataValidation>
    <dataValidation type="list" allowBlank="1" showInputMessage="1" showErrorMessage="1" sqref="I3:I52">
      <formula1>"M"</formula1>
    </dataValidation>
    <dataValidation type="list" allowBlank="1" showInputMessage="1" sqref="K3:K52">
      <formula1>数据表!$T$34:$T$51</formula1>
    </dataValidation>
    <dataValidation type="list" allowBlank="1" showInputMessage="1" showErrorMessage="1" sqref="R9:R14">
      <formula1>$T$9:$T$16</formula1>
    </dataValidation>
    <dataValidation type="list" allowBlank="1" showInputMessage="1" sqref="T3:T5">
      <formula1>装备!$AE$14:$AE$26</formula1>
    </dataValidation>
    <dataValidation type="list" allowBlank="1" showInputMessage="1" sqref="V3:V5">
      <formula1>装备!$AC$9:$AC$16</formula1>
    </dataValidation>
    <dataValidation type="list" allowBlank="1" showInputMessage="1" sqref="X3:X5">
      <formula1>装备!$AC$18:$AC$23</formula1>
    </dataValidation>
    <dataValidation type="list" allowBlank="1" showInputMessage="1" sqref="M3:N52">
      <formula1>"√"</formula1>
    </dataValidation>
  </dataValidations>
  <pageMargins left="0.75" right="0.75" top="1" bottom="1" header="0.511805555555556" footer="0.511805555555556"/>
  <pageSetup paperSize="9" orientation="portrait"/>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tabColor theme="0" tint="-0.499984740745262"/>
  </sheetPr>
  <dimension ref="B1:BZ82"/>
  <sheetViews>
    <sheetView showGridLines="0" zoomScale="85" zoomScaleNormal="85" workbookViewId="0">
      <selection activeCell="B3" sqref="B3:Z17"/>
    </sheetView>
  </sheetViews>
  <sheetFormatPr defaultColWidth="3.78181818181818" defaultRowHeight="14"/>
  <cols>
    <col min="1" max="16384" width="3.78181818181818" style="1"/>
  </cols>
  <sheetData>
    <row r="1" ht="14.4" customHeight="1" spans="2:78">
      <c r="B1" s="2" t="s">
        <v>10531</v>
      </c>
      <c r="C1" s="3"/>
      <c r="D1" s="3"/>
      <c r="E1" s="3"/>
      <c r="F1" s="3"/>
      <c r="G1" s="3"/>
      <c r="H1" s="3"/>
      <c r="I1" s="3"/>
      <c r="J1" s="3"/>
      <c r="K1" s="3"/>
      <c r="L1" s="3"/>
      <c r="M1" s="3"/>
      <c r="N1" s="3"/>
      <c r="O1" s="3"/>
      <c r="P1" s="3"/>
      <c r="Q1" s="3"/>
      <c r="R1" s="3"/>
      <c r="S1" s="3"/>
      <c r="T1" s="3"/>
      <c r="U1" s="3"/>
      <c r="V1" s="3"/>
      <c r="W1" s="3"/>
      <c r="X1" s="3"/>
      <c r="Y1" s="3"/>
      <c r="Z1" s="27"/>
      <c r="AB1" s="28" t="s">
        <v>10532</v>
      </c>
      <c r="AC1" s="29"/>
      <c r="AD1" s="29"/>
      <c r="AE1" s="29"/>
      <c r="AF1" s="29"/>
      <c r="AG1" s="29"/>
      <c r="AH1" s="29"/>
      <c r="AI1" s="29"/>
      <c r="AJ1" s="29"/>
      <c r="AK1" s="29"/>
      <c r="AL1" s="29"/>
      <c r="AM1" s="29"/>
      <c r="AN1" s="29"/>
      <c r="AO1" s="29"/>
      <c r="AP1" s="29"/>
      <c r="AQ1" s="29"/>
      <c r="AR1" s="29"/>
      <c r="AS1" s="29"/>
      <c r="AT1" s="29"/>
      <c r="AU1" s="29"/>
      <c r="AV1" s="29"/>
      <c r="AW1" s="29"/>
      <c r="AX1" s="29"/>
      <c r="AY1" s="29"/>
      <c r="AZ1" s="41"/>
      <c r="BB1" s="42" t="s">
        <v>10533</v>
      </c>
      <c r="BC1" s="43"/>
      <c r="BD1" s="43"/>
      <c r="BE1" s="43"/>
      <c r="BF1" s="43"/>
      <c r="BG1" s="43"/>
      <c r="BH1" s="43"/>
      <c r="BI1" s="43"/>
      <c r="BJ1" s="43"/>
      <c r="BK1" s="43"/>
      <c r="BL1" s="43"/>
      <c r="BM1" s="43"/>
      <c r="BN1" s="43"/>
      <c r="BO1" s="43"/>
      <c r="BP1" s="43"/>
      <c r="BQ1" s="43"/>
      <c r="BR1" s="43"/>
      <c r="BS1" s="43"/>
      <c r="BT1" s="43"/>
      <c r="BU1" s="43"/>
      <c r="BV1" s="43"/>
      <c r="BW1" s="43"/>
      <c r="BX1" s="43"/>
      <c r="BY1" s="43"/>
      <c r="BZ1" s="51"/>
    </row>
    <row r="2" ht="15" customHeight="1" spans="2:78">
      <c r="B2" s="2"/>
      <c r="C2" s="3"/>
      <c r="D2" s="3"/>
      <c r="E2" s="3"/>
      <c r="F2" s="3"/>
      <c r="G2" s="3"/>
      <c r="H2" s="3"/>
      <c r="I2" s="3"/>
      <c r="J2" s="3"/>
      <c r="K2" s="3"/>
      <c r="L2" s="3"/>
      <c r="M2" s="3"/>
      <c r="N2" s="3"/>
      <c r="O2" s="3"/>
      <c r="P2" s="3"/>
      <c r="Q2" s="3"/>
      <c r="R2" s="3"/>
      <c r="S2" s="3"/>
      <c r="T2" s="3"/>
      <c r="U2" s="3"/>
      <c r="V2" s="3"/>
      <c r="W2" s="3"/>
      <c r="X2" s="3"/>
      <c r="Y2" s="3"/>
      <c r="Z2" s="27"/>
      <c r="AB2" s="28"/>
      <c r="AC2" s="29"/>
      <c r="AD2" s="29"/>
      <c r="AE2" s="29"/>
      <c r="AF2" s="29"/>
      <c r="AG2" s="29"/>
      <c r="AH2" s="29"/>
      <c r="AI2" s="29"/>
      <c r="AJ2" s="29"/>
      <c r="AK2" s="29"/>
      <c r="AL2" s="29"/>
      <c r="AM2" s="29"/>
      <c r="AN2" s="29"/>
      <c r="AO2" s="29"/>
      <c r="AP2" s="29"/>
      <c r="AQ2" s="29"/>
      <c r="AR2" s="29"/>
      <c r="AS2" s="29"/>
      <c r="AT2" s="29"/>
      <c r="AU2" s="29"/>
      <c r="AV2" s="29"/>
      <c r="AW2" s="29"/>
      <c r="AX2" s="29"/>
      <c r="AY2" s="29"/>
      <c r="AZ2" s="41"/>
      <c r="BB2" s="44"/>
      <c r="BC2" s="45"/>
      <c r="BD2" s="45"/>
      <c r="BE2" s="45"/>
      <c r="BF2" s="45"/>
      <c r="BG2" s="45"/>
      <c r="BH2" s="45"/>
      <c r="BI2" s="45"/>
      <c r="BJ2" s="45"/>
      <c r="BK2" s="45"/>
      <c r="BL2" s="45"/>
      <c r="BM2" s="45"/>
      <c r="BN2" s="45"/>
      <c r="BO2" s="45"/>
      <c r="BP2" s="45"/>
      <c r="BQ2" s="45"/>
      <c r="BR2" s="45"/>
      <c r="BS2" s="45"/>
      <c r="BT2" s="45"/>
      <c r="BU2" s="45"/>
      <c r="BV2" s="45"/>
      <c r="BW2" s="45"/>
      <c r="BX2" s="45"/>
      <c r="BY2" s="45"/>
      <c r="BZ2" s="52"/>
    </row>
    <row r="3" ht="14.4" customHeight="1" spans="2:78">
      <c r="B3" s="4" t="s">
        <v>10534</v>
      </c>
      <c r="C3" s="5"/>
      <c r="D3" s="5"/>
      <c r="E3" s="5"/>
      <c r="F3" s="5"/>
      <c r="G3" s="5"/>
      <c r="H3" s="5"/>
      <c r="I3" s="5"/>
      <c r="J3" s="5"/>
      <c r="K3" s="5"/>
      <c r="L3" s="5"/>
      <c r="M3" s="5"/>
      <c r="N3" s="5"/>
      <c r="O3" s="5"/>
      <c r="P3" s="5"/>
      <c r="Q3" s="5"/>
      <c r="R3" s="5"/>
      <c r="S3" s="5"/>
      <c r="T3" s="5"/>
      <c r="U3" s="5"/>
      <c r="V3" s="5"/>
      <c r="W3" s="5"/>
      <c r="X3" s="5"/>
      <c r="Y3" s="5"/>
      <c r="Z3" s="30"/>
      <c r="AB3" s="31" t="s">
        <v>10535</v>
      </c>
      <c r="AC3" s="32"/>
      <c r="AD3" s="32"/>
      <c r="AE3" s="32"/>
      <c r="AF3" s="32"/>
      <c r="AG3" s="32"/>
      <c r="AH3" s="32"/>
      <c r="AI3" s="32"/>
      <c r="AJ3" s="32"/>
      <c r="AK3" s="32"/>
      <c r="AL3" s="32"/>
      <c r="AM3" s="32"/>
      <c r="AN3" s="32"/>
      <c r="AO3" s="32"/>
      <c r="AP3" s="32"/>
      <c r="AQ3" s="32"/>
      <c r="AR3" s="32"/>
      <c r="AS3" s="32"/>
      <c r="AT3" s="32"/>
      <c r="AU3" s="32"/>
      <c r="AV3" s="32"/>
      <c r="AW3" s="32"/>
      <c r="AX3" s="32"/>
      <c r="AY3" s="32"/>
      <c r="AZ3" s="46"/>
      <c r="BB3" s="47" t="s">
        <v>10536</v>
      </c>
      <c r="BC3" s="48"/>
      <c r="BD3" s="48"/>
      <c r="BE3" s="48"/>
      <c r="BF3" s="48"/>
      <c r="BG3" s="48"/>
      <c r="BH3" s="48"/>
      <c r="BI3" s="48"/>
      <c r="BJ3" s="48"/>
      <c r="BK3" s="48"/>
      <c r="BL3" s="48"/>
      <c r="BM3" s="48"/>
      <c r="BN3" s="48"/>
      <c r="BO3" s="48"/>
      <c r="BP3" s="48"/>
      <c r="BQ3" s="48"/>
      <c r="BR3" s="48"/>
      <c r="BS3" s="48"/>
      <c r="BT3" s="48"/>
      <c r="BU3" s="48"/>
      <c r="BV3" s="48"/>
      <c r="BW3" s="48"/>
      <c r="BX3" s="48"/>
      <c r="BY3" s="48"/>
      <c r="BZ3" s="53"/>
    </row>
    <row r="4" ht="14.4" customHeight="1" spans="2:78">
      <c r="B4" s="6"/>
      <c r="C4" s="7"/>
      <c r="D4" s="7"/>
      <c r="E4" s="7"/>
      <c r="F4" s="7"/>
      <c r="G4" s="7"/>
      <c r="H4" s="7"/>
      <c r="I4" s="7"/>
      <c r="J4" s="7"/>
      <c r="K4" s="7"/>
      <c r="L4" s="7"/>
      <c r="M4" s="7"/>
      <c r="N4" s="7"/>
      <c r="O4" s="7"/>
      <c r="P4" s="7"/>
      <c r="Q4" s="7"/>
      <c r="R4" s="7"/>
      <c r="S4" s="7"/>
      <c r="T4" s="7"/>
      <c r="U4" s="7"/>
      <c r="V4" s="7"/>
      <c r="W4" s="7"/>
      <c r="X4" s="7"/>
      <c r="Y4" s="7"/>
      <c r="Z4" s="33"/>
      <c r="AB4" s="34"/>
      <c r="AC4" s="35"/>
      <c r="AD4" s="35"/>
      <c r="AE4" s="35"/>
      <c r="AF4" s="35"/>
      <c r="AG4" s="35"/>
      <c r="AH4" s="35"/>
      <c r="AI4" s="35"/>
      <c r="AJ4" s="35"/>
      <c r="AK4" s="35"/>
      <c r="AL4" s="35"/>
      <c r="AM4" s="35"/>
      <c r="AN4" s="35"/>
      <c r="AO4" s="35"/>
      <c r="AP4" s="35"/>
      <c r="AQ4" s="35"/>
      <c r="AR4" s="35"/>
      <c r="AS4" s="35"/>
      <c r="AT4" s="35"/>
      <c r="AU4" s="35"/>
      <c r="AV4" s="35"/>
      <c r="AW4" s="35"/>
      <c r="AX4" s="35"/>
      <c r="AY4" s="35"/>
      <c r="AZ4" s="49"/>
      <c r="BB4" s="47"/>
      <c r="BC4" s="48"/>
      <c r="BD4" s="48"/>
      <c r="BE4" s="48"/>
      <c r="BF4" s="48"/>
      <c r="BG4" s="48"/>
      <c r="BH4" s="48"/>
      <c r="BI4" s="48"/>
      <c r="BJ4" s="48"/>
      <c r="BK4" s="48"/>
      <c r="BL4" s="48"/>
      <c r="BM4" s="48"/>
      <c r="BN4" s="48"/>
      <c r="BO4" s="48"/>
      <c r="BP4" s="48"/>
      <c r="BQ4" s="48"/>
      <c r="BR4" s="48"/>
      <c r="BS4" s="48"/>
      <c r="BT4" s="48"/>
      <c r="BU4" s="48"/>
      <c r="BV4" s="48"/>
      <c r="BW4" s="48"/>
      <c r="BX4" s="48"/>
      <c r="BY4" s="48"/>
      <c r="BZ4" s="53"/>
    </row>
    <row r="5" ht="13.95" customHeight="1" spans="2:78">
      <c r="B5" s="6"/>
      <c r="C5" s="7"/>
      <c r="D5" s="7"/>
      <c r="E5" s="7"/>
      <c r="F5" s="7"/>
      <c r="G5" s="7"/>
      <c r="H5" s="7"/>
      <c r="I5" s="7"/>
      <c r="J5" s="7"/>
      <c r="K5" s="7"/>
      <c r="L5" s="7"/>
      <c r="M5" s="7"/>
      <c r="N5" s="7"/>
      <c r="O5" s="7"/>
      <c r="P5" s="7"/>
      <c r="Q5" s="7"/>
      <c r="R5" s="7"/>
      <c r="S5" s="7"/>
      <c r="T5" s="7"/>
      <c r="U5" s="7"/>
      <c r="V5" s="7"/>
      <c r="W5" s="7"/>
      <c r="X5" s="7"/>
      <c r="Y5" s="7"/>
      <c r="Z5" s="33"/>
      <c r="AB5" s="34"/>
      <c r="AC5" s="35"/>
      <c r="AD5" s="35"/>
      <c r="AE5" s="35"/>
      <c r="AF5" s="35"/>
      <c r="AG5" s="35"/>
      <c r="AH5" s="35"/>
      <c r="AI5" s="35"/>
      <c r="AJ5" s="35"/>
      <c r="AK5" s="35"/>
      <c r="AL5" s="35"/>
      <c r="AM5" s="35"/>
      <c r="AN5" s="35"/>
      <c r="AO5" s="35"/>
      <c r="AP5" s="35"/>
      <c r="AQ5" s="35"/>
      <c r="AR5" s="35"/>
      <c r="AS5" s="35"/>
      <c r="AT5" s="35"/>
      <c r="AU5" s="35"/>
      <c r="AV5" s="35"/>
      <c r="AW5" s="35"/>
      <c r="AX5" s="35"/>
      <c r="AY5" s="35"/>
      <c r="AZ5" s="49"/>
      <c r="BB5" s="47"/>
      <c r="BC5" s="48"/>
      <c r="BD5" s="48"/>
      <c r="BE5" s="48"/>
      <c r="BF5" s="48"/>
      <c r="BG5" s="48"/>
      <c r="BH5" s="48"/>
      <c r="BI5" s="48"/>
      <c r="BJ5" s="48"/>
      <c r="BK5" s="48"/>
      <c r="BL5" s="48"/>
      <c r="BM5" s="48"/>
      <c r="BN5" s="48"/>
      <c r="BO5" s="48"/>
      <c r="BP5" s="48"/>
      <c r="BQ5" s="48"/>
      <c r="BR5" s="48"/>
      <c r="BS5" s="48"/>
      <c r="BT5" s="48"/>
      <c r="BU5" s="48"/>
      <c r="BV5" s="48"/>
      <c r="BW5" s="48"/>
      <c r="BX5" s="48"/>
      <c r="BY5" s="48"/>
      <c r="BZ5" s="53"/>
    </row>
    <row r="6" ht="13.95" customHeight="1" spans="2:78">
      <c r="B6" s="6"/>
      <c r="C6" s="7"/>
      <c r="D6" s="7"/>
      <c r="E6" s="7"/>
      <c r="F6" s="7"/>
      <c r="G6" s="7"/>
      <c r="H6" s="7"/>
      <c r="I6" s="7"/>
      <c r="J6" s="7"/>
      <c r="K6" s="7"/>
      <c r="L6" s="7"/>
      <c r="M6" s="7"/>
      <c r="N6" s="7"/>
      <c r="O6" s="7"/>
      <c r="P6" s="7"/>
      <c r="Q6" s="7"/>
      <c r="R6" s="7"/>
      <c r="S6" s="7"/>
      <c r="T6" s="7"/>
      <c r="U6" s="7"/>
      <c r="V6" s="7"/>
      <c r="W6" s="7"/>
      <c r="X6" s="7"/>
      <c r="Y6" s="7"/>
      <c r="Z6" s="33"/>
      <c r="AB6" s="34"/>
      <c r="AC6" s="35"/>
      <c r="AD6" s="35"/>
      <c r="AE6" s="35"/>
      <c r="AF6" s="35"/>
      <c r="AG6" s="35"/>
      <c r="AH6" s="35"/>
      <c r="AI6" s="35"/>
      <c r="AJ6" s="35"/>
      <c r="AK6" s="35"/>
      <c r="AL6" s="35"/>
      <c r="AM6" s="35"/>
      <c r="AN6" s="35"/>
      <c r="AO6" s="35"/>
      <c r="AP6" s="35"/>
      <c r="AQ6" s="35"/>
      <c r="AR6" s="35"/>
      <c r="AS6" s="35"/>
      <c r="AT6" s="35"/>
      <c r="AU6" s="35"/>
      <c r="AV6" s="35"/>
      <c r="AW6" s="35"/>
      <c r="AX6" s="35"/>
      <c r="AY6" s="35"/>
      <c r="AZ6" s="49"/>
      <c r="BB6" s="47"/>
      <c r="BC6" s="48"/>
      <c r="BD6" s="48"/>
      <c r="BE6" s="48"/>
      <c r="BF6" s="48"/>
      <c r="BG6" s="48"/>
      <c r="BH6" s="48"/>
      <c r="BI6" s="48"/>
      <c r="BJ6" s="48"/>
      <c r="BK6" s="48"/>
      <c r="BL6" s="48"/>
      <c r="BM6" s="48"/>
      <c r="BN6" s="48"/>
      <c r="BO6" s="48"/>
      <c r="BP6" s="48"/>
      <c r="BQ6" s="48"/>
      <c r="BR6" s="48"/>
      <c r="BS6" s="48"/>
      <c r="BT6" s="48"/>
      <c r="BU6" s="48"/>
      <c r="BV6" s="48"/>
      <c r="BW6" s="48"/>
      <c r="BX6" s="48"/>
      <c r="BY6" s="48"/>
      <c r="BZ6" s="53"/>
    </row>
    <row r="7" ht="13.95" customHeight="1" spans="2:78">
      <c r="B7" s="6"/>
      <c r="C7" s="7"/>
      <c r="D7" s="7"/>
      <c r="E7" s="7"/>
      <c r="F7" s="7"/>
      <c r="G7" s="7"/>
      <c r="H7" s="7"/>
      <c r="I7" s="7"/>
      <c r="J7" s="7"/>
      <c r="K7" s="7"/>
      <c r="L7" s="7"/>
      <c r="M7" s="7"/>
      <c r="N7" s="7"/>
      <c r="O7" s="7"/>
      <c r="P7" s="7"/>
      <c r="Q7" s="7"/>
      <c r="R7" s="7"/>
      <c r="S7" s="7"/>
      <c r="T7" s="7"/>
      <c r="U7" s="7"/>
      <c r="V7" s="7"/>
      <c r="W7" s="7"/>
      <c r="X7" s="7"/>
      <c r="Y7" s="7"/>
      <c r="Z7" s="33"/>
      <c r="AB7" s="34"/>
      <c r="AC7" s="35"/>
      <c r="AD7" s="35"/>
      <c r="AE7" s="35"/>
      <c r="AF7" s="35"/>
      <c r="AG7" s="35"/>
      <c r="AH7" s="35"/>
      <c r="AI7" s="35"/>
      <c r="AJ7" s="35"/>
      <c r="AK7" s="35"/>
      <c r="AL7" s="35"/>
      <c r="AM7" s="35"/>
      <c r="AN7" s="35"/>
      <c r="AO7" s="35"/>
      <c r="AP7" s="35"/>
      <c r="AQ7" s="35"/>
      <c r="AR7" s="35"/>
      <c r="AS7" s="35"/>
      <c r="AT7" s="35"/>
      <c r="AU7" s="35"/>
      <c r="AV7" s="35"/>
      <c r="AW7" s="35"/>
      <c r="AX7" s="35"/>
      <c r="AY7" s="35"/>
      <c r="AZ7" s="49"/>
      <c r="BB7" s="47"/>
      <c r="BC7" s="48"/>
      <c r="BD7" s="48"/>
      <c r="BE7" s="48"/>
      <c r="BF7" s="48"/>
      <c r="BG7" s="48"/>
      <c r="BH7" s="48"/>
      <c r="BI7" s="48"/>
      <c r="BJ7" s="48"/>
      <c r="BK7" s="48"/>
      <c r="BL7" s="48"/>
      <c r="BM7" s="48"/>
      <c r="BN7" s="48"/>
      <c r="BO7" s="48"/>
      <c r="BP7" s="48"/>
      <c r="BQ7" s="48"/>
      <c r="BR7" s="48"/>
      <c r="BS7" s="48"/>
      <c r="BT7" s="48"/>
      <c r="BU7" s="48"/>
      <c r="BV7" s="48"/>
      <c r="BW7" s="48"/>
      <c r="BX7" s="48"/>
      <c r="BY7" s="48"/>
      <c r="BZ7" s="53"/>
    </row>
    <row r="8" ht="13.95" customHeight="1" spans="2:78">
      <c r="B8" s="6"/>
      <c r="C8" s="7"/>
      <c r="D8" s="7"/>
      <c r="E8" s="7"/>
      <c r="F8" s="7"/>
      <c r="G8" s="7"/>
      <c r="H8" s="7"/>
      <c r="I8" s="7"/>
      <c r="J8" s="7"/>
      <c r="K8" s="7"/>
      <c r="L8" s="7"/>
      <c r="M8" s="7"/>
      <c r="N8" s="7"/>
      <c r="O8" s="7"/>
      <c r="P8" s="7"/>
      <c r="Q8" s="7"/>
      <c r="R8" s="7"/>
      <c r="S8" s="7"/>
      <c r="T8" s="7"/>
      <c r="U8" s="7"/>
      <c r="V8" s="7"/>
      <c r="W8" s="7"/>
      <c r="X8" s="7"/>
      <c r="Y8" s="7"/>
      <c r="Z8" s="33"/>
      <c r="AB8" s="34"/>
      <c r="AC8" s="35"/>
      <c r="AD8" s="35"/>
      <c r="AE8" s="35"/>
      <c r="AF8" s="35"/>
      <c r="AG8" s="35"/>
      <c r="AH8" s="35"/>
      <c r="AI8" s="35"/>
      <c r="AJ8" s="35"/>
      <c r="AK8" s="35"/>
      <c r="AL8" s="35"/>
      <c r="AM8" s="35"/>
      <c r="AN8" s="35"/>
      <c r="AO8" s="35"/>
      <c r="AP8" s="35"/>
      <c r="AQ8" s="35"/>
      <c r="AR8" s="35"/>
      <c r="AS8" s="35"/>
      <c r="AT8" s="35"/>
      <c r="AU8" s="35"/>
      <c r="AV8" s="35"/>
      <c r="AW8" s="35"/>
      <c r="AX8" s="35"/>
      <c r="AY8" s="35"/>
      <c r="AZ8" s="49"/>
      <c r="BB8" s="47"/>
      <c r="BC8" s="48"/>
      <c r="BD8" s="48"/>
      <c r="BE8" s="48"/>
      <c r="BF8" s="48"/>
      <c r="BG8" s="48"/>
      <c r="BH8" s="48"/>
      <c r="BI8" s="48"/>
      <c r="BJ8" s="48"/>
      <c r="BK8" s="48"/>
      <c r="BL8" s="48"/>
      <c r="BM8" s="48"/>
      <c r="BN8" s="48"/>
      <c r="BO8" s="48"/>
      <c r="BP8" s="48"/>
      <c r="BQ8" s="48"/>
      <c r="BR8" s="48"/>
      <c r="BS8" s="48"/>
      <c r="BT8" s="48"/>
      <c r="BU8" s="48"/>
      <c r="BV8" s="48"/>
      <c r="BW8" s="48"/>
      <c r="BX8" s="48"/>
      <c r="BY8" s="48"/>
      <c r="BZ8" s="53"/>
    </row>
    <row r="9" ht="13.95" customHeight="1" spans="2:78">
      <c r="B9" s="6"/>
      <c r="C9" s="7"/>
      <c r="D9" s="7"/>
      <c r="E9" s="7"/>
      <c r="F9" s="7"/>
      <c r="G9" s="7"/>
      <c r="H9" s="7"/>
      <c r="I9" s="7"/>
      <c r="J9" s="7"/>
      <c r="K9" s="7"/>
      <c r="L9" s="7"/>
      <c r="M9" s="7"/>
      <c r="N9" s="7"/>
      <c r="O9" s="7"/>
      <c r="P9" s="7"/>
      <c r="Q9" s="7"/>
      <c r="R9" s="7"/>
      <c r="S9" s="7"/>
      <c r="T9" s="7"/>
      <c r="U9" s="7"/>
      <c r="V9" s="7"/>
      <c r="W9" s="7"/>
      <c r="X9" s="7"/>
      <c r="Y9" s="7"/>
      <c r="Z9" s="33"/>
      <c r="AB9" s="34"/>
      <c r="AC9" s="35"/>
      <c r="AD9" s="35"/>
      <c r="AE9" s="35"/>
      <c r="AF9" s="35"/>
      <c r="AG9" s="35"/>
      <c r="AH9" s="35"/>
      <c r="AI9" s="35"/>
      <c r="AJ9" s="35"/>
      <c r="AK9" s="35"/>
      <c r="AL9" s="35"/>
      <c r="AM9" s="35"/>
      <c r="AN9" s="35"/>
      <c r="AO9" s="35"/>
      <c r="AP9" s="35"/>
      <c r="AQ9" s="35"/>
      <c r="AR9" s="35"/>
      <c r="AS9" s="35"/>
      <c r="AT9" s="35"/>
      <c r="AU9" s="35"/>
      <c r="AV9" s="35"/>
      <c r="AW9" s="35"/>
      <c r="AX9" s="35"/>
      <c r="AY9" s="35"/>
      <c r="AZ9" s="49"/>
      <c r="BB9" s="47"/>
      <c r="BC9" s="48"/>
      <c r="BD9" s="48"/>
      <c r="BE9" s="48"/>
      <c r="BF9" s="48"/>
      <c r="BG9" s="48"/>
      <c r="BH9" s="48"/>
      <c r="BI9" s="48"/>
      <c r="BJ9" s="48"/>
      <c r="BK9" s="48"/>
      <c r="BL9" s="48"/>
      <c r="BM9" s="48"/>
      <c r="BN9" s="48"/>
      <c r="BO9" s="48"/>
      <c r="BP9" s="48"/>
      <c r="BQ9" s="48"/>
      <c r="BR9" s="48"/>
      <c r="BS9" s="48"/>
      <c r="BT9" s="48"/>
      <c r="BU9" s="48"/>
      <c r="BV9" s="48"/>
      <c r="BW9" s="48"/>
      <c r="BX9" s="48"/>
      <c r="BY9" s="48"/>
      <c r="BZ9" s="53"/>
    </row>
    <row r="10" ht="15" customHeight="1" spans="2:78">
      <c r="B10" s="6"/>
      <c r="C10" s="7"/>
      <c r="D10" s="7"/>
      <c r="E10" s="7"/>
      <c r="F10" s="7"/>
      <c r="G10" s="7"/>
      <c r="H10" s="7"/>
      <c r="I10" s="7"/>
      <c r="J10" s="7"/>
      <c r="K10" s="7"/>
      <c r="L10" s="7"/>
      <c r="M10" s="7"/>
      <c r="N10" s="7"/>
      <c r="O10" s="7"/>
      <c r="P10" s="7"/>
      <c r="Q10" s="7"/>
      <c r="R10" s="7"/>
      <c r="S10" s="7"/>
      <c r="T10" s="7"/>
      <c r="U10" s="7"/>
      <c r="V10" s="7"/>
      <c r="W10" s="7"/>
      <c r="X10" s="7"/>
      <c r="Y10" s="7"/>
      <c r="Z10" s="33"/>
      <c r="AB10" s="34"/>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49"/>
      <c r="BB10" s="47"/>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53"/>
    </row>
    <row r="11" ht="13.95" customHeight="1" spans="2:78">
      <c r="B11" s="6"/>
      <c r="C11" s="7"/>
      <c r="D11" s="7"/>
      <c r="E11" s="7"/>
      <c r="F11" s="7"/>
      <c r="G11" s="7"/>
      <c r="H11" s="7"/>
      <c r="I11" s="7"/>
      <c r="J11" s="7"/>
      <c r="K11" s="7"/>
      <c r="L11" s="7"/>
      <c r="M11" s="7"/>
      <c r="N11" s="7"/>
      <c r="O11" s="7"/>
      <c r="P11" s="7"/>
      <c r="Q11" s="7"/>
      <c r="R11" s="7"/>
      <c r="S11" s="7"/>
      <c r="T11" s="7"/>
      <c r="U11" s="7"/>
      <c r="V11" s="7"/>
      <c r="W11" s="7"/>
      <c r="X11" s="7"/>
      <c r="Y11" s="7"/>
      <c r="Z11" s="33"/>
      <c r="AB11" s="34"/>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49"/>
      <c r="BB11" s="47"/>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53"/>
    </row>
    <row r="12" ht="14.4" customHeight="1" spans="2:78">
      <c r="B12" s="6"/>
      <c r="C12" s="7"/>
      <c r="D12" s="7"/>
      <c r="E12" s="7"/>
      <c r="F12" s="7"/>
      <c r="G12" s="7"/>
      <c r="H12" s="7"/>
      <c r="I12" s="7"/>
      <c r="J12" s="7"/>
      <c r="K12" s="7"/>
      <c r="L12" s="7"/>
      <c r="M12" s="7"/>
      <c r="N12" s="7"/>
      <c r="O12" s="7"/>
      <c r="P12" s="7"/>
      <c r="Q12" s="7"/>
      <c r="R12" s="7"/>
      <c r="S12" s="7"/>
      <c r="T12" s="7"/>
      <c r="U12" s="7"/>
      <c r="V12" s="7"/>
      <c r="W12" s="7"/>
      <c r="X12" s="7"/>
      <c r="Y12" s="7"/>
      <c r="Z12" s="33"/>
      <c r="AB12" s="34"/>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49"/>
      <c r="BB12" s="47"/>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53"/>
    </row>
    <row r="13" ht="13.95" customHeight="1" spans="2:78">
      <c r="B13" s="6"/>
      <c r="C13" s="7"/>
      <c r="D13" s="7"/>
      <c r="E13" s="7"/>
      <c r="F13" s="7"/>
      <c r="G13" s="7"/>
      <c r="H13" s="7"/>
      <c r="I13" s="7"/>
      <c r="J13" s="7"/>
      <c r="K13" s="7"/>
      <c r="L13" s="7"/>
      <c r="M13" s="7"/>
      <c r="N13" s="7"/>
      <c r="O13" s="7"/>
      <c r="P13" s="7"/>
      <c r="Q13" s="7"/>
      <c r="R13" s="7"/>
      <c r="S13" s="7"/>
      <c r="T13" s="7"/>
      <c r="U13" s="7"/>
      <c r="V13" s="7"/>
      <c r="W13" s="7"/>
      <c r="X13" s="7"/>
      <c r="Y13" s="7"/>
      <c r="Z13" s="33"/>
      <c r="AB13" s="34"/>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49"/>
      <c r="BB13" s="47"/>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53"/>
    </row>
    <row r="14" ht="15" customHeight="1" spans="2:78">
      <c r="B14" s="6"/>
      <c r="C14" s="7"/>
      <c r="D14" s="7"/>
      <c r="E14" s="7"/>
      <c r="F14" s="7"/>
      <c r="G14" s="7"/>
      <c r="H14" s="7"/>
      <c r="I14" s="7"/>
      <c r="J14" s="7"/>
      <c r="K14" s="7"/>
      <c r="L14" s="7"/>
      <c r="M14" s="7"/>
      <c r="N14" s="7"/>
      <c r="O14" s="7"/>
      <c r="P14" s="7"/>
      <c r="Q14" s="7"/>
      <c r="R14" s="7"/>
      <c r="S14" s="7"/>
      <c r="T14" s="7"/>
      <c r="U14" s="7"/>
      <c r="V14" s="7"/>
      <c r="W14" s="7"/>
      <c r="X14" s="7"/>
      <c r="Y14" s="7"/>
      <c r="Z14" s="33"/>
      <c r="AB14" s="34"/>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49"/>
      <c r="BB14" s="47"/>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53"/>
    </row>
    <row r="15" ht="13.95" customHeight="1" spans="2:78">
      <c r="B15" s="6"/>
      <c r="C15" s="7"/>
      <c r="D15" s="7"/>
      <c r="E15" s="7"/>
      <c r="F15" s="7"/>
      <c r="G15" s="7"/>
      <c r="H15" s="7"/>
      <c r="I15" s="7"/>
      <c r="J15" s="7"/>
      <c r="K15" s="7"/>
      <c r="L15" s="7"/>
      <c r="M15" s="7"/>
      <c r="N15" s="7"/>
      <c r="O15" s="7"/>
      <c r="P15" s="7"/>
      <c r="Q15" s="7"/>
      <c r="R15" s="7"/>
      <c r="S15" s="7"/>
      <c r="T15" s="7"/>
      <c r="U15" s="7"/>
      <c r="V15" s="7"/>
      <c r="W15" s="7"/>
      <c r="X15" s="7"/>
      <c r="Y15" s="7"/>
      <c r="Z15" s="33"/>
      <c r="AB15" s="34"/>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49"/>
      <c r="BB15" s="47"/>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53"/>
    </row>
    <row r="16" ht="13.95" customHeight="1" spans="2:78">
      <c r="B16" s="6"/>
      <c r="C16" s="7"/>
      <c r="D16" s="7"/>
      <c r="E16" s="7"/>
      <c r="F16" s="7"/>
      <c r="G16" s="7"/>
      <c r="H16" s="7"/>
      <c r="I16" s="7"/>
      <c r="J16" s="7"/>
      <c r="K16" s="7"/>
      <c r="L16" s="7"/>
      <c r="M16" s="7"/>
      <c r="N16" s="7"/>
      <c r="O16" s="7"/>
      <c r="P16" s="7"/>
      <c r="Q16" s="7"/>
      <c r="R16" s="7"/>
      <c r="S16" s="7"/>
      <c r="T16" s="7"/>
      <c r="U16" s="7"/>
      <c r="V16" s="7"/>
      <c r="W16" s="7"/>
      <c r="X16" s="7"/>
      <c r="Y16" s="7"/>
      <c r="Z16" s="33"/>
      <c r="AB16" s="34"/>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49"/>
      <c r="BB16" s="47"/>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53"/>
    </row>
    <row r="17" ht="13.95" customHeight="1" spans="2:78">
      <c r="B17" s="8"/>
      <c r="C17" s="9"/>
      <c r="D17" s="9"/>
      <c r="E17" s="9"/>
      <c r="F17" s="9"/>
      <c r="G17" s="9"/>
      <c r="H17" s="9"/>
      <c r="I17" s="9"/>
      <c r="J17" s="9"/>
      <c r="K17" s="9"/>
      <c r="L17" s="9"/>
      <c r="M17" s="9"/>
      <c r="N17" s="9"/>
      <c r="O17" s="9"/>
      <c r="P17" s="9"/>
      <c r="Q17" s="9"/>
      <c r="R17" s="9"/>
      <c r="S17" s="9"/>
      <c r="T17" s="9"/>
      <c r="U17" s="9"/>
      <c r="V17" s="9"/>
      <c r="W17" s="9"/>
      <c r="X17" s="9"/>
      <c r="Y17" s="9"/>
      <c r="Z17" s="36"/>
      <c r="AB17" s="34"/>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49"/>
      <c r="BB17" s="47"/>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53"/>
    </row>
    <row r="18" ht="13.95" customHeight="1" spans="28:78">
      <c r="AB18" s="34"/>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49"/>
      <c r="BB18" s="47"/>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53"/>
    </row>
    <row r="19" ht="15" customHeight="1" spans="2:78">
      <c r="B19" s="10" t="s">
        <v>10537</v>
      </c>
      <c r="C19" s="11"/>
      <c r="D19" s="11"/>
      <c r="E19" s="11"/>
      <c r="F19" s="11"/>
      <c r="G19" s="11"/>
      <c r="H19" s="11"/>
      <c r="I19" s="11"/>
      <c r="J19" s="11"/>
      <c r="K19" s="11"/>
      <c r="L19" s="11"/>
      <c r="M19" s="18"/>
      <c r="O19" s="19" t="s">
        <v>10538</v>
      </c>
      <c r="P19" s="20"/>
      <c r="Q19" s="20"/>
      <c r="R19" s="20"/>
      <c r="S19" s="20"/>
      <c r="T19" s="20"/>
      <c r="U19" s="20"/>
      <c r="V19" s="20"/>
      <c r="W19" s="20"/>
      <c r="X19" s="20"/>
      <c r="Y19" s="20"/>
      <c r="Z19" s="37"/>
      <c r="AB19" s="34"/>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49"/>
      <c r="BB19" s="47"/>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53"/>
    </row>
    <row r="20" ht="13.95" customHeight="1" spans="2:78">
      <c r="B20" s="10"/>
      <c r="C20" s="11"/>
      <c r="D20" s="11"/>
      <c r="E20" s="11"/>
      <c r="F20" s="11"/>
      <c r="G20" s="11"/>
      <c r="H20" s="11"/>
      <c r="I20" s="11"/>
      <c r="J20" s="11"/>
      <c r="K20" s="11"/>
      <c r="L20" s="11"/>
      <c r="M20" s="18"/>
      <c r="O20" s="19"/>
      <c r="P20" s="20"/>
      <c r="Q20" s="20"/>
      <c r="R20" s="20"/>
      <c r="S20" s="20"/>
      <c r="T20" s="20"/>
      <c r="U20" s="20"/>
      <c r="V20" s="20"/>
      <c r="W20" s="20"/>
      <c r="X20" s="20"/>
      <c r="Y20" s="20"/>
      <c r="Z20" s="37"/>
      <c r="AB20" s="34"/>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49"/>
      <c r="BB20" s="47"/>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53"/>
    </row>
    <row r="21" ht="13.95" customHeight="1" spans="2:78">
      <c r="B21" s="12" t="s">
        <v>10539</v>
      </c>
      <c r="C21" s="13"/>
      <c r="D21" s="13"/>
      <c r="E21" s="13"/>
      <c r="F21" s="13"/>
      <c r="G21" s="13"/>
      <c r="H21" s="13"/>
      <c r="I21" s="13"/>
      <c r="J21" s="13"/>
      <c r="K21" s="13"/>
      <c r="L21" s="13"/>
      <c r="M21" s="21"/>
      <c r="O21" s="22" t="s">
        <v>10540</v>
      </c>
      <c r="P21" s="23"/>
      <c r="Q21" s="23"/>
      <c r="R21" s="23"/>
      <c r="S21" s="23"/>
      <c r="T21" s="23"/>
      <c r="U21" s="23"/>
      <c r="V21" s="23"/>
      <c r="W21" s="23"/>
      <c r="X21" s="23"/>
      <c r="Y21" s="23"/>
      <c r="Z21" s="38"/>
      <c r="AB21" s="34"/>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49"/>
      <c r="BB21" s="47"/>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53"/>
    </row>
    <row r="22" ht="13.95" customHeight="1" spans="2:78">
      <c r="B22" s="12"/>
      <c r="C22" s="13"/>
      <c r="D22" s="13"/>
      <c r="E22" s="13"/>
      <c r="F22" s="13"/>
      <c r="G22" s="13"/>
      <c r="H22" s="13"/>
      <c r="I22" s="13"/>
      <c r="J22" s="13"/>
      <c r="K22" s="13"/>
      <c r="L22" s="13"/>
      <c r="M22" s="21"/>
      <c r="O22" s="24"/>
      <c r="P22" s="23"/>
      <c r="Q22" s="23"/>
      <c r="R22" s="23"/>
      <c r="S22" s="23"/>
      <c r="T22" s="23"/>
      <c r="U22" s="23"/>
      <c r="V22" s="23"/>
      <c r="W22" s="23"/>
      <c r="X22" s="23"/>
      <c r="Y22" s="23"/>
      <c r="Z22" s="38"/>
      <c r="AB22" s="34"/>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49"/>
      <c r="BB22" s="47"/>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53"/>
    </row>
    <row r="23" ht="13.95" customHeight="1" spans="2:78">
      <c r="B23" s="14" t="s">
        <v>10541</v>
      </c>
      <c r="C23" s="15"/>
      <c r="D23" s="15"/>
      <c r="E23" s="15"/>
      <c r="F23" s="15"/>
      <c r="G23" s="15"/>
      <c r="H23" s="15"/>
      <c r="I23" s="15"/>
      <c r="J23" s="15"/>
      <c r="K23" s="15"/>
      <c r="L23" s="15"/>
      <c r="M23" s="25"/>
      <c r="O23" s="24"/>
      <c r="P23" s="23"/>
      <c r="Q23" s="23"/>
      <c r="R23" s="23"/>
      <c r="S23" s="23"/>
      <c r="T23" s="23"/>
      <c r="U23" s="23"/>
      <c r="V23" s="23"/>
      <c r="W23" s="23"/>
      <c r="X23" s="23"/>
      <c r="Y23" s="23"/>
      <c r="Z23" s="38"/>
      <c r="AB23" s="34"/>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49"/>
      <c r="BB23" s="47"/>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53"/>
    </row>
    <row r="24" ht="13.95" customHeight="1" spans="2:78">
      <c r="B24" s="14"/>
      <c r="C24" s="15"/>
      <c r="D24" s="15"/>
      <c r="E24" s="15"/>
      <c r="F24" s="15"/>
      <c r="G24" s="15"/>
      <c r="H24" s="15"/>
      <c r="I24" s="15"/>
      <c r="J24" s="15"/>
      <c r="K24" s="15"/>
      <c r="L24" s="15"/>
      <c r="M24" s="25"/>
      <c r="O24" s="24"/>
      <c r="P24" s="23"/>
      <c r="Q24" s="23"/>
      <c r="R24" s="23"/>
      <c r="S24" s="23"/>
      <c r="T24" s="23"/>
      <c r="U24" s="23"/>
      <c r="V24" s="23"/>
      <c r="W24" s="23"/>
      <c r="X24" s="23"/>
      <c r="Y24" s="23"/>
      <c r="Z24" s="38"/>
      <c r="AB24" s="34"/>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49"/>
      <c r="BB24" s="47"/>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53"/>
    </row>
    <row r="25" ht="13.95" customHeight="1" spans="2:78">
      <c r="B25" s="14" t="s">
        <v>10542</v>
      </c>
      <c r="C25" s="15"/>
      <c r="D25" s="15"/>
      <c r="E25" s="15"/>
      <c r="F25" s="15"/>
      <c r="G25" s="15"/>
      <c r="H25" s="15"/>
      <c r="I25" s="15"/>
      <c r="J25" s="15"/>
      <c r="K25" s="15"/>
      <c r="L25" s="15"/>
      <c r="M25" s="25"/>
      <c r="O25" s="24"/>
      <c r="P25" s="23"/>
      <c r="Q25" s="23"/>
      <c r="R25" s="23"/>
      <c r="S25" s="23"/>
      <c r="T25" s="23"/>
      <c r="U25" s="23"/>
      <c r="V25" s="23"/>
      <c r="W25" s="23"/>
      <c r="X25" s="23"/>
      <c r="Y25" s="23"/>
      <c r="Z25" s="38"/>
      <c r="AB25" s="34"/>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49"/>
      <c r="BB25" s="47"/>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53"/>
    </row>
    <row r="26" ht="13.95" customHeight="1" spans="2:78">
      <c r="B26" s="14"/>
      <c r="C26" s="15"/>
      <c r="D26" s="15"/>
      <c r="E26" s="15"/>
      <c r="F26" s="15"/>
      <c r="G26" s="15"/>
      <c r="H26" s="15"/>
      <c r="I26" s="15"/>
      <c r="J26" s="15"/>
      <c r="K26" s="15"/>
      <c r="L26" s="15"/>
      <c r="M26" s="25"/>
      <c r="O26" s="24"/>
      <c r="P26" s="23"/>
      <c r="Q26" s="23"/>
      <c r="R26" s="23"/>
      <c r="S26" s="23"/>
      <c r="T26" s="23"/>
      <c r="U26" s="23"/>
      <c r="V26" s="23"/>
      <c r="W26" s="23"/>
      <c r="X26" s="23"/>
      <c r="Y26" s="23"/>
      <c r="Z26" s="38"/>
      <c r="AB26" s="34"/>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49"/>
      <c r="BB26" s="47"/>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53"/>
    </row>
    <row r="27" spans="2:78">
      <c r="B27" s="16" t="s">
        <v>10543</v>
      </c>
      <c r="C27" s="17"/>
      <c r="D27" s="17"/>
      <c r="E27" s="17"/>
      <c r="F27" s="17"/>
      <c r="G27" s="17"/>
      <c r="H27" s="17"/>
      <c r="I27" s="17"/>
      <c r="J27" s="17"/>
      <c r="K27" s="17"/>
      <c r="L27" s="17"/>
      <c r="M27" s="26"/>
      <c r="AB27" s="34"/>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49"/>
      <c r="BB27" s="47"/>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53"/>
    </row>
    <row r="28" spans="2:78">
      <c r="B28" s="16"/>
      <c r="C28" s="17"/>
      <c r="D28" s="17"/>
      <c r="E28" s="17"/>
      <c r="F28" s="17"/>
      <c r="G28" s="17"/>
      <c r="H28" s="17"/>
      <c r="I28" s="17"/>
      <c r="J28" s="17"/>
      <c r="K28" s="17"/>
      <c r="L28" s="17"/>
      <c r="M28" s="26"/>
      <c r="AB28" s="34"/>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49"/>
      <c r="BB28" s="47"/>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53"/>
    </row>
    <row r="29" spans="2:78">
      <c r="B29" s="16" t="s">
        <v>10544</v>
      </c>
      <c r="C29" s="17"/>
      <c r="D29" s="17"/>
      <c r="E29" s="17"/>
      <c r="F29" s="17"/>
      <c r="G29" s="17"/>
      <c r="H29" s="17"/>
      <c r="I29" s="17"/>
      <c r="J29" s="17"/>
      <c r="K29" s="17"/>
      <c r="L29" s="17"/>
      <c r="M29" s="26"/>
      <c r="AB29" s="34"/>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49"/>
      <c r="BB29" s="47"/>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53"/>
    </row>
    <row r="30" spans="2:78">
      <c r="B30" s="16"/>
      <c r="C30" s="17"/>
      <c r="D30" s="17"/>
      <c r="E30" s="17"/>
      <c r="F30" s="17"/>
      <c r="G30" s="17"/>
      <c r="H30" s="17"/>
      <c r="I30" s="17"/>
      <c r="J30" s="17"/>
      <c r="K30" s="17"/>
      <c r="L30" s="17"/>
      <c r="M30" s="26"/>
      <c r="AB30" s="34"/>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49"/>
      <c r="BB30" s="47"/>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53"/>
    </row>
    <row r="31" spans="28:78">
      <c r="AB31" s="34"/>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49"/>
      <c r="BB31" s="47"/>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53"/>
    </row>
    <row r="32" ht="13.8" customHeight="1" spans="28:78">
      <c r="AB32" s="34"/>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49"/>
      <c r="BB32" s="47"/>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53"/>
    </row>
    <row r="33" spans="28:78">
      <c r="AB33" s="34"/>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49"/>
      <c r="BB33" s="47"/>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53"/>
    </row>
    <row r="34" spans="28:78">
      <c r="AB34" s="34"/>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49"/>
      <c r="BB34" s="47"/>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53"/>
    </row>
    <row r="35" spans="28:78">
      <c r="AB35" s="34"/>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49"/>
      <c r="BB35" s="47"/>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53"/>
    </row>
    <row r="36" spans="28:78">
      <c r="AB36" s="34"/>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49"/>
      <c r="BB36" s="47"/>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53"/>
    </row>
    <row r="37" spans="28:78">
      <c r="AB37" s="34"/>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49"/>
      <c r="BB37" s="47"/>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53"/>
    </row>
    <row r="38" spans="28:78">
      <c r="AB38" s="34"/>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49"/>
      <c r="BB38" s="47"/>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53"/>
    </row>
    <row r="39" spans="28:78">
      <c r="AB39" s="34"/>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49"/>
      <c r="BB39" s="47"/>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53"/>
    </row>
    <row r="40" spans="28:78">
      <c r="AB40" s="34"/>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49"/>
      <c r="BB40" s="47"/>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53"/>
    </row>
    <row r="41" spans="28:78">
      <c r="AB41" s="34"/>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49"/>
      <c r="BB41" s="47"/>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53"/>
    </row>
    <row r="42" spans="28:78">
      <c r="AB42" s="34"/>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49"/>
      <c r="BB42" s="47"/>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53"/>
    </row>
    <row r="43" spans="28:78">
      <c r="AB43" s="34"/>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49"/>
      <c r="BB43" s="47"/>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53"/>
    </row>
    <row r="44" spans="28:78">
      <c r="AB44" s="34"/>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49"/>
      <c r="BB44" s="47"/>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53"/>
    </row>
    <row r="45" spans="28:78">
      <c r="AB45" s="34"/>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49"/>
      <c r="BB45" s="47"/>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53"/>
    </row>
    <row r="46" spans="28:78">
      <c r="AB46" s="39"/>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50"/>
      <c r="BB46" s="47"/>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53"/>
    </row>
    <row r="47" spans="28:78">
      <c r="AB47" s="31" t="s">
        <v>10545</v>
      </c>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46"/>
      <c r="BB47" s="47"/>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53"/>
    </row>
    <row r="48" spans="28:78">
      <c r="AB48" s="34"/>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49"/>
      <c r="BB48" s="47"/>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53"/>
    </row>
    <row r="49" spans="28:78">
      <c r="AB49" s="34"/>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49"/>
      <c r="BB49" s="47"/>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53"/>
    </row>
    <row r="50" spans="28:78">
      <c r="AB50" s="34"/>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49"/>
      <c r="BB50" s="47"/>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53"/>
    </row>
    <row r="51" spans="28:52">
      <c r="AB51" s="34"/>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49"/>
    </row>
    <row r="52" spans="28:52">
      <c r="AB52" s="34"/>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49"/>
    </row>
    <row r="53" spans="28:52">
      <c r="AB53" s="34"/>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49"/>
    </row>
    <row r="54" spans="28:52">
      <c r="AB54" s="34"/>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49"/>
    </row>
    <row r="55" spans="28:52">
      <c r="AB55" s="34"/>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49"/>
    </row>
    <row r="56" spans="28:52">
      <c r="AB56" s="34"/>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49"/>
    </row>
    <row r="57" spans="28:52">
      <c r="AB57" s="34"/>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49"/>
    </row>
    <row r="58" spans="28:52">
      <c r="AB58" s="34"/>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49"/>
    </row>
    <row r="59" spans="28:52">
      <c r="AB59" s="34"/>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49"/>
    </row>
    <row r="60" spans="28:52">
      <c r="AB60" s="34"/>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49"/>
    </row>
    <row r="61" spans="28:52">
      <c r="AB61" s="34"/>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49"/>
    </row>
    <row r="62" spans="28:52">
      <c r="AB62" s="34"/>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49"/>
    </row>
    <row r="63" spans="28:52">
      <c r="AB63" s="34"/>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49"/>
    </row>
    <row r="64" spans="28:52">
      <c r="AB64" s="34"/>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49"/>
    </row>
    <row r="65" spans="28:52">
      <c r="AB65" s="34"/>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49"/>
    </row>
    <row r="66" spans="28:52">
      <c r="AB66" s="34"/>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49"/>
    </row>
    <row r="67" spans="28:52">
      <c r="AB67" s="34"/>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49"/>
    </row>
    <row r="68" spans="28:52">
      <c r="AB68" s="34"/>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49"/>
    </row>
    <row r="69" spans="28:52">
      <c r="AB69" s="34"/>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49"/>
    </row>
    <row r="70" spans="28:52">
      <c r="AB70" s="34"/>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49"/>
    </row>
    <row r="71" spans="28:52">
      <c r="AB71" s="34"/>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49"/>
    </row>
    <row r="72" spans="28:52">
      <c r="AB72" s="34"/>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49"/>
    </row>
    <row r="73" spans="28:52">
      <c r="AB73" s="34"/>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49"/>
    </row>
    <row r="74" spans="28:52">
      <c r="AB74" s="34"/>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49"/>
    </row>
    <row r="75" spans="28:52">
      <c r="AB75" s="34"/>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49"/>
    </row>
    <row r="76" spans="28:52">
      <c r="AB76" s="34"/>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49"/>
    </row>
    <row r="77" spans="28:52">
      <c r="AB77" s="34"/>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49"/>
    </row>
    <row r="78" spans="28:52">
      <c r="AB78" s="39"/>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50"/>
    </row>
    <row r="82" ht="13.8" customHeight="1"/>
  </sheetData>
  <sheetProtection algorithmName="SHA-512" hashValue="GPko9no5gEGX3k04y3Jcsj8Dos+AHzEu6YogZdyIQR8KoFhwEL/3heHz9kvRROCc3jed/RnatLjlTZWHNLoJRw==" saltValue="hF/INwGduMovYXn3AYJuhw==" spinCount="100000" sheet="1" objects="1" scenarios="1"/>
  <mergeCells count="15">
    <mergeCell ref="AB47:AZ78"/>
    <mergeCell ref="AB3:AZ46"/>
    <mergeCell ref="B19:M20"/>
    <mergeCell ref="O21:Z26"/>
    <mergeCell ref="BB1:BZ2"/>
    <mergeCell ref="AB1:AZ2"/>
    <mergeCell ref="B1:Z2"/>
    <mergeCell ref="B27:M28"/>
    <mergeCell ref="B21:M22"/>
    <mergeCell ref="B25:M26"/>
    <mergeCell ref="BB3:BZ50"/>
    <mergeCell ref="B29:M30"/>
    <mergeCell ref="B23:M24"/>
    <mergeCell ref="B3:Z17"/>
    <mergeCell ref="O19:Z20"/>
  </mergeCells>
  <pageMargins left="0.7" right="0.7" top="0.75" bottom="0.75" header="0.3" footer="0.3"/>
  <pageSetup paperSize="9" orientation="portrait"/>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7" master="" otherUserPermission="visible"/>
  <rangeList sheetStid="2" master="" otherUserPermission="visible"/>
  <rangeList sheetStid="10" master="" otherUserPermission="visible"/>
  <rangeList sheetStid="18" master="" otherUserPermission="visible"/>
  <rangeList sheetStid="16" master="" otherUserPermission="visible"/>
  <rangeList sheetStid="27" master="" otherUserPermission="visible"/>
  <rangeList sheetStid="29" master="" otherUserPermission="visible"/>
  <rangeList sheetStid="26" master="" otherUserPermission="visible"/>
  <rangeList sheetStid="3" master="" otherUserPermission="visible"/>
  <rangeList sheetStid="31" master="" otherUserPermission="visible"/>
  <rangeList sheetStid="30" master="" otherUserPermission="visible">
    <arrUserId title="区域3" rangeCreator="" othersAccessPermission="edit"/>
    <arrUserId title="区域2" rangeCreator="" othersAccessPermission="edit"/>
    <arrUserId title="区域1_1" rangeCreator="" othersAccessPermission="edit"/>
  </rangeList>
  <rangeList sheetStid="8" master="" otherUserPermission="visible"/>
  <rangeList sheetStid="24" master="" otherUserPermission="visible"/>
  <rangeList sheetStid="32" master="" otherUserPermission="visible"/>
  <rangeList sheetStid="28" master="" otherUserPermission="visible"/>
  <rangeList sheetStid="4" master="" otherUserPermission="visible"/>
  <rangeList sheetStid="25"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起源</vt:lpstr>
      <vt:lpstr>主要</vt:lpstr>
      <vt:lpstr>数据表</vt:lpstr>
      <vt:lpstr>职业</vt:lpstr>
      <vt:lpstr>装备</vt:lpstr>
      <vt:lpstr>种族</vt:lpstr>
      <vt:lpstr>专长与据点</vt:lpstr>
      <vt:lpstr>背景</vt:lpstr>
      <vt:lpstr>背包</vt:lpstr>
      <vt:lpstr>盟友与魔宠</vt:lpstr>
      <vt:lpstr>据点</vt:lpstr>
      <vt:lpstr>法术书</vt:lpstr>
      <vt:lpstr>法术大全</vt:lpstr>
      <vt:lpstr>圆形效应范围</vt:lpstr>
      <vt:lpstr>骰娘导入</vt:lpstr>
      <vt:lpstr>自定义调整栏</vt:lpstr>
      <vt:lpstr>更新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悲灵</dc:creator>
  <cp:lastModifiedBy>王健明</cp:lastModifiedBy>
  <dcterms:created xsi:type="dcterms:W3CDTF">2018-02-27T11:14:00Z</dcterms:created>
  <dcterms:modified xsi:type="dcterms:W3CDTF">2026-04-02T08:43:04Z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C99BAA4A22D444D8B9F59635C5EFF59F_12</vt:lpwstr>
  </property>
</Properties>
</file>